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Neha.Mathur\Downloads\Transformed AAP\"/>
    </mc:Choice>
  </mc:AlternateContent>
  <xr:revisionPtr revIDLastSave="0" documentId="8_{D18C6429-0142-4061-859D-7D9822A4D900}" xr6:coauthVersionLast="47" xr6:coauthVersionMax="47" xr10:uidLastSave="{00000000-0000-0000-0000-000000000000}"/>
  <bookViews>
    <workbookView xWindow="-110" yWindow="-110" windowWidth="19420" windowHeight="10300" xr2:uid="{00000000-000D-0000-FFFF-FFFF00000000}"/>
  </bookViews>
  <sheets>
    <sheet name="Chhattisgarh 2025-26" sheetId="1" r:id="rId1"/>
    <sheet name="HMNEH" sheetId="2" state="hidden" r:id="rId2"/>
    <sheet name="Chhattisgarh Summary 2025-26" sheetId="6" r:id="rId3"/>
    <sheet name="U.P." sheetId="4" state="hidden" r:id="rId4"/>
    <sheet name="Sheet1" sheetId="3" r:id="rId5"/>
  </sheets>
  <definedNames>
    <definedName name="_xlnm.Print_Area" localSheetId="2">'Chhattisgarh Summary 2025-26'!$A$1:$J$28</definedName>
    <definedName name="_xlnm.Print_Area" localSheetId="3">'U.P.'!$A$1:$F$22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454" i="1" l="1"/>
  <c r="G455" i="1"/>
  <c r="G523" i="1"/>
  <c r="G522" i="1"/>
  <c r="G444" i="1"/>
  <c r="I444" i="1" s="1"/>
  <c r="H444" i="1" l="1"/>
  <c r="F585" i="1"/>
  <c r="F26" i="6" s="1"/>
  <c r="F533" i="1"/>
  <c r="F293" i="1" l="1"/>
  <c r="G504" i="1" l="1"/>
  <c r="G502" i="1"/>
  <c r="G501" i="1"/>
  <c r="G435" i="1"/>
  <c r="G433" i="1"/>
  <c r="G285" i="1"/>
  <c r="I285" i="1" s="1"/>
  <c r="G284" i="1"/>
  <c r="G264" i="1"/>
  <c r="G262" i="1"/>
  <c r="G254" i="1"/>
  <c r="G249" i="1"/>
  <c r="G244" i="1"/>
  <c r="G241" i="1"/>
  <c r="I175" i="1"/>
  <c r="I177" i="1"/>
  <c r="I178" i="1"/>
  <c r="I166" i="1"/>
  <c r="H167" i="1"/>
  <c r="I168" i="1"/>
  <c r="I169" i="1"/>
  <c r="G179" i="1"/>
  <c r="F179" i="1"/>
  <c r="I176" i="1"/>
  <c r="I174" i="1"/>
  <c r="H174" i="1"/>
  <c r="I173" i="1"/>
  <c r="F171" i="1"/>
  <c r="I170" i="1"/>
  <c r="I165" i="1"/>
  <c r="F180" i="1" l="1"/>
  <c r="H285" i="1"/>
  <c r="H178" i="1"/>
  <c r="I179" i="1"/>
  <c r="H175" i="1"/>
  <c r="H176" i="1"/>
  <c r="H173" i="1"/>
  <c r="H177" i="1"/>
  <c r="I167" i="1"/>
  <c r="H168" i="1"/>
  <c r="H165" i="1"/>
  <c r="H169" i="1"/>
  <c r="H166" i="1"/>
  <c r="H170" i="1"/>
  <c r="G185" i="1"/>
  <c r="I185" i="1" s="1"/>
  <c r="G184" i="1"/>
  <c r="H184" i="1" s="1"/>
  <c r="G22" i="1"/>
  <c r="G21" i="1"/>
  <c r="G18" i="1"/>
  <c r="G16" i="1"/>
  <c r="G13" i="1"/>
  <c r="G12" i="1"/>
  <c r="I560" i="1"/>
  <c r="H560" i="1"/>
  <c r="G434" i="1"/>
  <c r="H434" i="1" s="1"/>
  <c r="I428" i="1"/>
  <c r="I419" i="1"/>
  <c r="G397" i="1"/>
  <c r="I397" i="1" s="1"/>
  <c r="G395" i="1"/>
  <c r="I395" i="1" s="1"/>
  <c r="G394" i="1"/>
  <c r="I394" i="1" s="1"/>
  <c r="G361" i="1"/>
  <c r="I361" i="1" s="1"/>
  <c r="G351" i="1"/>
  <c r="I351" i="1" s="1"/>
  <c r="G345" i="1"/>
  <c r="I345" i="1" s="1"/>
  <c r="G340" i="1"/>
  <c r="I340" i="1" s="1"/>
  <c r="F256" i="1"/>
  <c r="I254" i="1"/>
  <c r="I249" i="1"/>
  <c r="G245" i="1"/>
  <c r="I239" i="1"/>
  <c r="I242" i="1"/>
  <c r="I244" i="1"/>
  <c r="G232" i="1"/>
  <c r="H232" i="1" s="1"/>
  <c r="H143" i="1"/>
  <c r="I143" i="1"/>
  <c r="I142" i="1"/>
  <c r="G57" i="1"/>
  <c r="H57" i="1" s="1"/>
  <c r="G122" i="1"/>
  <c r="G121" i="1"/>
  <c r="I121" i="1" s="1"/>
  <c r="H179" i="1" l="1"/>
  <c r="H185" i="1"/>
  <c r="I184" i="1"/>
  <c r="I434" i="1"/>
  <c r="H361" i="1"/>
  <c r="H395" i="1"/>
  <c r="H428" i="1"/>
  <c r="H419" i="1"/>
  <c r="H397" i="1"/>
  <c r="H394" i="1"/>
  <c r="H351" i="1"/>
  <c r="H345" i="1"/>
  <c r="H340" i="1"/>
  <c r="H254" i="1"/>
  <c r="H244" i="1"/>
  <c r="I57" i="1"/>
  <c r="H249" i="1"/>
  <c r="H239" i="1"/>
  <c r="H242" i="1"/>
  <c r="I232" i="1"/>
  <c r="H142" i="1"/>
  <c r="H121" i="1"/>
  <c r="R24" i="3"/>
  <c r="M9" i="3"/>
  <c r="N9" i="3"/>
  <c r="O9" i="3"/>
  <c r="P9" i="3"/>
  <c r="Q9" i="3"/>
  <c r="S9" i="3"/>
  <c r="T9" i="3"/>
  <c r="U9" i="3"/>
  <c r="V9" i="3"/>
  <c r="W9" i="3"/>
  <c r="X9" i="3"/>
  <c r="Y9" i="3"/>
  <c r="D9" i="3"/>
  <c r="E9" i="3"/>
  <c r="F9" i="3"/>
  <c r="G9" i="3"/>
  <c r="H9" i="3"/>
  <c r="I9" i="3"/>
  <c r="J9" i="3"/>
  <c r="K9" i="3"/>
  <c r="L9" i="3"/>
  <c r="C9" i="3"/>
  <c r="B9" i="3"/>
  <c r="G192" i="1"/>
  <c r="I192" i="1" s="1"/>
  <c r="G191" i="1"/>
  <c r="H191" i="1" s="1"/>
  <c r="I191" i="1" l="1"/>
  <c r="H192" i="1"/>
  <c r="G553" i="1"/>
  <c r="G453" i="1"/>
  <c r="G452" i="1"/>
  <c r="I433" i="1"/>
  <c r="G405" i="1"/>
  <c r="G417" i="1"/>
  <c r="G415" i="1"/>
  <c r="G414" i="1"/>
  <c r="G413" i="1"/>
  <c r="G412" i="1"/>
  <c r="G411" i="1"/>
  <c r="G410" i="1"/>
  <c r="G409" i="1"/>
  <c r="G408" i="1"/>
  <c r="G406" i="1"/>
  <c r="G403" i="1"/>
  <c r="G402" i="1"/>
  <c r="H433" i="1" l="1"/>
  <c r="G368" i="1"/>
  <c r="G347" i="1"/>
  <c r="G346" i="1"/>
  <c r="G344" i="1"/>
  <c r="G326" i="1"/>
  <c r="G238" i="1"/>
  <c r="G127" i="1"/>
  <c r="G214" i="1"/>
  <c r="G158" i="1"/>
  <c r="I158" i="1" s="1"/>
  <c r="I157" i="1"/>
  <c r="F159" i="1"/>
  <c r="H146" i="1"/>
  <c r="H145" i="1"/>
  <c r="H144" i="1"/>
  <c r="G152" i="1"/>
  <c r="H152" i="1" s="1"/>
  <c r="G47" i="1"/>
  <c r="G37" i="1"/>
  <c r="G38" i="1"/>
  <c r="G34" i="1"/>
  <c r="G19" i="1"/>
  <c r="I27" i="6"/>
  <c r="F27" i="6"/>
  <c r="G27" i="6" l="1"/>
  <c r="H27" i="6"/>
  <c r="I164" i="1"/>
  <c r="I171" i="1" s="1"/>
  <c r="I180" i="1" s="1"/>
  <c r="G171" i="1"/>
  <c r="G180" i="1" s="1"/>
  <c r="H164" i="1"/>
  <c r="H171" i="1" s="1"/>
  <c r="H180" i="1" s="1"/>
  <c r="H157" i="1"/>
  <c r="H158" i="1"/>
  <c r="I152" i="1"/>
  <c r="I146" i="1"/>
  <c r="I144" i="1"/>
  <c r="I145" i="1"/>
  <c r="F16" i="6"/>
  <c r="F15" i="6"/>
  <c r="I12" i="6"/>
  <c r="F12" i="6"/>
  <c r="F4" i="6"/>
  <c r="O22" i="4"/>
  <c r="N22" i="4"/>
  <c r="M22" i="4"/>
  <c r="L22" i="4"/>
  <c r="K22" i="4"/>
  <c r="J22" i="4"/>
  <c r="I22" i="4"/>
  <c r="E20" i="4"/>
  <c r="E19" i="4"/>
  <c r="H10" i="4"/>
  <c r="H22" i="4" s="1"/>
  <c r="D9" i="4"/>
  <c r="G12" i="6" l="1"/>
  <c r="H12" i="6"/>
  <c r="E21" i="4"/>
  <c r="E26" i="4" s="1"/>
  <c r="F3" i="4"/>
  <c r="F13" i="4"/>
  <c r="F5" i="4"/>
  <c r="F16" i="4"/>
  <c r="F12" i="4"/>
  <c r="F14" i="4"/>
  <c r="F15" i="4"/>
  <c r="F6" i="4"/>
  <c r="F8" i="4"/>
  <c r="F18" i="4"/>
  <c r="F10" i="4"/>
  <c r="F11" i="4" l="1"/>
  <c r="F4" i="4"/>
  <c r="F2" i="4"/>
  <c r="F20" i="4"/>
  <c r="F9" i="4"/>
  <c r="F19" i="4"/>
  <c r="F17" i="4"/>
  <c r="F7" i="4"/>
  <c r="F21" i="4"/>
  <c r="G7" i="1" l="1"/>
  <c r="I4" i="6" s="1"/>
  <c r="H4" i="6" l="1"/>
  <c r="G4" i="6"/>
  <c r="G520" i="1"/>
  <c r="I520" i="1" s="1"/>
  <c r="G519" i="1"/>
  <c r="I519" i="1" s="1"/>
  <c r="G446" i="1"/>
  <c r="I446" i="1" s="1"/>
  <c r="G445" i="1"/>
  <c r="I445" i="1" s="1"/>
  <c r="G443" i="1"/>
  <c r="I415" i="1"/>
  <c r="H415" i="1"/>
  <c r="I410" i="1"/>
  <c r="H410" i="1"/>
  <c r="F260" i="1"/>
  <c r="F268" i="1"/>
  <c r="F269" i="1"/>
  <c r="F298" i="1"/>
  <c r="I443" i="1" l="1"/>
  <c r="H446" i="1"/>
  <c r="H519" i="1"/>
  <c r="H520" i="1"/>
  <c r="H445" i="1"/>
  <c r="H443" i="1"/>
  <c r="G25" i="1"/>
  <c r="G24" i="1"/>
  <c r="F335" i="1" l="1"/>
  <c r="F10" i="6" s="1"/>
  <c r="F545" i="1"/>
  <c r="F22" i="6" s="1"/>
  <c r="F557" i="1"/>
  <c r="F24" i="6" s="1"/>
  <c r="G579" i="1"/>
  <c r="G578" i="1"/>
  <c r="I578" i="1" s="1"/>
  <c r="G577" i="1"/>
  <c r="I577" i="1" s="1"/>
  <c r="G575" i="1"/>
  <c r="I575" i="1" s="1"/>
  <c r="G574" i="1"/>
  <c r="I574" i="1" s="1"/>
  <c r="G572" i="1"/>
  <c r="I572" i="1" s="1"/>
  <c r="G571" i="1"/>
  <c r="I571" i="1" s="1"/>
  <c r="G569" i="1"/>
  <c r="I569" i="1" s="1"/>
  <c r="G568" i="1"/>
  <c r="G556" i="1"/>
  <c r="I556" i="1" s="1"/>
  <c r="G555" i="1"/>
  <c r="I555" i="1" s="1"/>
  <c r="I553" i="1"/>
  <c r="G549" i="1"/>
  <c r="G548" i="1"/>
  <c r="G544" i="1"/>
  <c r="I544" i="1" s="1"/>
  <c r="G543" i="1"/>
  <c r="I543" i="1" s="1"/>
  <c r="G585" i="1" l="1"/>
  <c r="I26" i="6" s="1"/>
  <c r="I557" i="1"/>
  <c r="I568" i="1"/>
  <c r="G557" i="1"/>
  <c r="I24" i="6" s="1"/>
  <c r="H577" i="1"/>
  <c r="H578" i="1"/>
  <c r="H574" i="1"/>
  <c r="H575" i="1"/>
  <c r="H571" i="1"/>
  <c r="H572" i="1"/>
  <c r="H568" i="1"/>
  <c r="H569" i="1"/>
  <c r="H553" i="1"/>
  <c r="H555" i="1"/>
  <c r="H556" i="1"/>
  <c r="H544" i="1"/>
  <c r="H543" i="1"/>
  <c r="G539" i="1"/>
  <c r="G540" i="1"/>
  <c r="G532" i="1"/>
  <c r="I532" i="1" s="1"/>
  <c r="G531" i="1"/>
  <c r="I531" i="1" s="1"/>
  <c r="G529" i="1"/>
  <c r="I529" i="1" s="1"/>
  <c r="G528" i="1"/>
  <c r="I528" i="1" s="1"/>
  <c r="G526" i="1"/>
  <c r="G525" i="1"/>
  <c r="I523" i="1"/>
  <c r="H522" i="1"/>
  <c r="G516" i="1"/>
  <c r="H24" i="6" l="1"/>
  <c r="G24" i="6"/>
  <c r="G26" i="6"/>
  <c r="H26" i="6"/>
  <c r="H557" i="1"/>
  <c r="H531" i="1"/>
  <c r="H532" i="1"/>
  <c r="H528" i="1"/>
  <c r="H529" i="1"/>
  <c r="I522" i="1"/>
  <c r="H523" i="1"/>
  <c r="G515" i="1"/>
  <c r="I515" i="1" s="1"/>
  <c r="G514" i="1"/>
  <c r="H514" i="1" s="1"/>
  <c r="G511" i="1"/>
  <c r="G508" i="1"/>
  <c r="G507" i="1"/>
  <c r="G505" i="1"/>
  <c r="I502" i="1"/>
  <c r="I501" i="1"/>
  <c r="G499" i="1"/>
  <c r="H499" i="1" s="1"/>
  <c r="G498" i="1"/>
  <c r="H498" i="1" s="1"/>
  <c r="G489" i="1"/>
  <c r="I489" i="1" s="1"/>
  <c r="G488" i="1"/>
  <c r="I488" i="1" s="1"/>
  <c r="G496" i="1"/>
  <c r="I496" i="1" s="1"/>
  <c r="G495" i="1"/>
  <c r="H495" i="1" s="1"/>
  <c r="G493" i="1"/>
  <c r="I493" i="1" s="1"/>
  <c r="G492" i="1"/>
  <c r="H492" i="1" s="1"/>
  <c r="G486" i="1"/>
  <c r="I486" i="1" s="1"/>
  <c r="G485" i="1"/>
  <c r="I485" i="1" s="1"/>
  <c r="G482" i="1"/>
  <c r="I482" i="1" s="1"/>
  <c r="G481" i="1"/>
  <c r="I481" i="1" s="1"/>
  <c r="G479" i="1"/>
  <c r="I479" i="1" s="1"/>
  <c r="G478" i="1"/>
  <c r="I478" i="1" s="1"/>
  <c r="G475" i="1"/>
  <c r="I475" i="1" s="1"/>
  <c r="G474" i="1"/>
  <c r="I474" i="1" s="1"/>
  <c r="G472" i="1"/>
  <c r="I472" i="1" s="1"/>
  <c r="G471" i="1"/>
  <c r="I471" i="1" s="1"/>
  <c r="G469" i="1"/>
  <c r="I469" i="1" s="1"/>
  <c r="G468" i="1"/>
  <c r="I468" i="1" s="1"/>
  <c r="G465" i="1"/>
  <c r="G464" i="1"/>
  <c r="G462" i="1"/>
  <c r="G461" i="1"/>
  <c r="G459" i="1"/>
  <c r="G458" i="1"/>
  <c r="I458" i="1" s="1"/>
  <c r="K341" i="2"/>
  <c r="I514" i="1" l="1"/>
  <c r="H515" i="1"/>
  <c r="H496" i="1"/>
  <c r="H501" i="1"/>
  <c r="H502" i="1"/>
  <c r="I492" i="1"/>
  <c r="I498" i="1"/>
  <c r="I499" i="1"/>
  <c r="I495" i="1"/>
  <c r="H493" i="1"/>
  <c r="H489" i="1"/>
  <c r="H485" i="1"/>
  <c r="H486" i="1"/>
  <c r="H488" i="1"/>
  <c r="H482" i="1"/>
  <c r="H478" i="1"/>
  <c r="H479" i="1"/>
  <c r="H481" i="1"/>
  <c r="H474" i="1"/>
  <c r="H475" i="1"/>
  <c r="H471" i="1"/>
  <c r="H472" i="1"/>
  <c r="H468" i="1"/>
  <c r="H469" i="1"/>
  <c r="H458" i="1"/>
  <c r="H455" i="1"/>
  <c r="H454" i="1"/>
  <c r="G450" i="1"/>
  <c r="G449" i="1"/>
  <c r="G448" i="1"/>
  <c r="G447" i="1"/>
  <c r="F441" i="1"/>
  <c r="F20" i="6" s="1"/>
  <c r="G427" i="1"/>
  <c r="I427" i="1" s="1"/>
  <c r="G436" i="1"/>
  <c r="G440" i="1"/>
  <c r="G439" i="1"/>
  <c r="G432" i="1"/>
  <c r="I455" i="1" l="1"/>
  <c r="I454" i="1"/>
  <c r="H427" i="1"/>
  <c r="F425" i="1"/>
  <c r="F19" i="6" s="1"/>
  <c r="G424" i="1"/>
  <c r="I424" i="1" s="1"/>
  <c r="G423" i="1"/>
  <c r="I423" i="1" s="1"/>
  <c r="G418" i="1"/>
  <c r="I418" i="1" s="1"/>
  <c r="I417" i="1"/>
  <c r="G379" i="1"/>
  <c r="G393" i="1"/>
  <c r="G392" i="1"/>
  <c r="G388" i="1"/>
  <c r="G376" i="1"/>
  <c r="G375" i="1"/>
  <c r="G370" i="1"/>
  <c r="I370" i="1" s="1"/>
  <c r="G369" i="1"/>
  <c r="I369" i="1" s="1"/>
  <c r="I368" i="1"/>
  <c r="G367" i="1"/>
  <c r="I367" i="1" s="1"/>
  <c r="G366" i="1"/>
  <c r="I366" i="1" s="1"/>
  <c r="G365" i="1"/>
  <c r="I365" i="1" s="1"/>
  <c r="G364" i="1"/>
  <c r="I364" i="1" s="1"/>
  <c r="G363" i="1"/>
  <c r="I363" i="1" s="1"/>
  <c r="I389" i="1" l="1"/>
  <c r="I16" i="6"/>
  <c r="I388" i="1"/>
  <c r="I15" i="6"/>
  <c r="I425" i="1"/>
  <c r="G425" i="1"/>
  <c r="I19" i="6" s="1"/>
  <c r="H418" i="1"/>
  <c r="H423" i="1"/>
  <c r="H424" i="1"/>
  <c r="H417" i="1"/>
  <c r="H388" i="1"/>
  <c r="H389" i="1"/>
  <c r="H363" i="1"/>
  <c r="H367" i="1"/>
  <c r="H364" i="1"/>
  <c r="H368" i="1"/>
  <c r="H365" i="1"/>
  <c r="H369" i="1"/>
  <c r="H366" i="1"/>
  <c r="H370" i="1"/>
  <c r="G360" i="1"/>
  <c r="I360" i="1" s="1"/>
  <c r="G359" i="1"/>
  <c r="G357" i="1"/>
  <c r="G356" i="1"/>
  <c r="G355" i="1"/>
  <c r="G354" i="1"/>
  <c r="G353" i="1"/>
  <c r="G348" i="1"/>
  <c r="G342" i="1"/>
  <c r="G341" i="1"/>
  <c r="G339" i="1"/>
  <c r="G333" i="1"/>
  <c r="I333" i="1" s="1"/>
  <c r="I331" i="1"/>
  <c r="H331" i="1"/>
  <c r="G334" i="1"/>
  <c r="I334" i="1" s="1"/>
  <c r="G327" i="1"/>
  <c r="F322" i="1"/>
  <c r="F9" i="6" s="1"/>
  <c r="G321" i="1"/>
  <c r="I321" i="1" s="1"/>
  <c r="G320" i="1"/>
  <c r="I320" i="1" s="1"/>
  <c r="G319" i="1"/>
  <c r="F246" i="1"/>
  <c r="I245" i="1"/>
  <c r="I241" i="1"/>
  <c r="I238" i="1"/>
  <c r="G19" i="6" l="1"/>
  <c r="H19" i="6"/>
  <c r="G15" i="6"/>
  <c r="H15" i="6"/>
  <c r="G16" i="6"/>
  <c r="H16" i="6"/>
  <c r="G335" i="1"/>
  <c r="I10" i="6" s="1"/>
  <c r="H425" i="1"/>
  <c r="H360" i="1"/>
  <c r="I246" i="1"/>
  <c r="G246" i="1"/>
  <c r="G322" i="1"/>
  <c r="I9" i="6" s="1"/>
  <c r="H333" i="1"/>
  <c r="H334" i="1"/>
  <c r="H321" i="1"/>
  <c r="H320" i="1"/>
  <c r="H245" i="1"/>
  <c r="H241" i="1"/>
  <c r="H238" i="1"/>
  <c r="F303" i="1"/>
  <c r="G301" i="1"/>
  <c r="H301" i="1" s="1"/>
  <c r="G300" i="1"/>
  <c r="I302" i="1"/>
  <c r="H302" i="1"/>
  <c r="G296" i="1"/>
  <c r="H296" i="1" s="1"/>
  <c r="G295" i="1"/>
  <c r="G288" i="1"/>
  <c r="H288" i="1" s="1"/>
  <c r="G277" i="1"/>
  <c r="I277" i="1" s="1"/>
  <c r="I276" i="1"/>
  <c r="G292" i="1"/>
  <c r="I292" i="1" s="1"/>
  <c r="G291" i="1"/>
  <c r="G286" i="1"/>
  <c r="I286" i="1" s="1"/>
  <c r="H284" i="1"/>
  <c r="G281" i="1"/>
  <c r="H281" i="1" s="1"/>
  <c r="G280" i="1"/>
  <c r="I280" i="1" s="1"/>
  <c r="G274" i="1"/>
  <c r="G273" i="1"/>
  <c r="I279" i="1"/>
  <c r="G267" i="1"/>
  <c r="I267" i="1" s="1"/>
  <c r="G266" i="1"/>
  <c r="I266" i="1" s="1"/>
  <c r="G265" i="1"/>
  <c r="G263" i="1"/>
  <c r="H263" i="1" s="1"/>
  <c r="G259" i="1"/>
  <c r="G258" i="1"/>
  <c r="H258" i="1" s="1"/>
  <c r="G252" i="1"/>
  <c r="I252" i="1" s="1"/>
  <c r="G9" i="6" l="1"/>
  <c r="H9" i="6"/>
  <c r="G10" i="6"/>
  <c r="H10" i="6"/>
  <c r="I291" i="1"/>
  <c r="I293" i="1" s="1"/>
  <c r="G293" i="1"/>
  <c r="H259" i="1"/>
  <c r="I255" i="1"/>
  <c r="I265" i="1"/>
  <c r="G268" i="1"/>
  <c r="I264" i="1"/>
  <c r="G269" i="1"/>
  <c r="H295" i="1"/>
  <c r="G298" i="1"/>
  <c r="H246" i="1"/>
  <c r="G303" i="1"/>
  <c r="I300" i="1"/>
  <c r="I301" i="1"/>
  <c r="H300" i="1"/>
  <c r="H303" i="1" s="1"/>
  <c r="I296" i="1"/>
  <c r="I295" i="1"/>
  <c r="I288" i="1"/>
  <c r="I281" i="1"/>
  <c r="H276" i="1"/>
  <c r="H277" i="1"/>
  <c r="H291" i="1"/>
  <c r="H292" i="1"/>
  <c r="H280" i="1"/>
  <c r="I284" i="1"/>
  <c r="H286" i="1"/>
  <c r="I258" i="1"/>
  <c r="H279" i="1"/>
  <c r="I259" i="1"/>
  <c r="I263" i="1"/>
  <c r="H264" i="1"/>
  <c r="H265" i="1"/>
  <c r="H266" i="1"/>
  <c r="H267" i="1"/>
  <c r="H255" i="1"/>
  <c r="H252" i="1"/>
  <c r="G250" i="1"/>
  <c r="G256" i="1" s="1"/>
  <c r="G257" i="1"/>
  <c r="I257" i="1" s="1"/>
  <c r="F317" i="1"/>
  <c r="F8" i="6" s="1"/>
  <c r="G316" i="1"/>
  <c r="I316" i="1" s="1"/>
  <c r="G315" i="1"/>
  <c r="G314" i="1"/>
  <c r="G312" i="1"/>
  <c r="G311" i="1"/>
  <c r="G309" i="1"/>
  <c r="G308" i="1"/>
  <c r="F235" i="1"/>
  <c r="G234" i="1"/>
  <c r="I234" i="1" s="1"/>
  <c r="G231" i="1"/>
  <c r="G228" i="1"/>
  <c r="H228" i="1" s="1"/>
  <c r="G223" i="1"/>
  <c r="I223" i="1" s="1"/>
  <c r="F229" i="1"/>
  <c r="I226" i="1"/>
  <c r="H226" i="1"/>
  <c r="F224" i="1"/>
  <c r="I222" i="1"/>
  <c r="H222" i="1"/>
  <c r="G219" i="1"/>
  <c r="I219" i="1" s="1"/>
  <c r="I214" i="1"/>
  <c r="F220" i="1"/>
  <c r="I217" i="1"/>
  <c r="H217" i="1"/>
  <c r="F215" i="1"/>
  <c r="I213" i="1"/>
  <c r="H213" i="1"/>
  <c r="G210" i="1"/>
  <c r="G211" i="1" s="1"/>
  <c r="G205" i="1"/>
  <c r="H205" i="1" s="1"/>
  <c r="F211" i="1"/>
  <c r="I208" i="1"/>
  <c r="H208" i="1"/>
  <c r="F206" i="1"/>
  <c r="I204" i="1"/>
  <c r="H204" i="1"/>
  <c r="G201" i="1"/>
  <c r="G202" i="1" s="1"/>
  <c r="G196" i="1"/>
  <c r="I196" i="1" s="1"/>
  <c r="F202" i="1"/>
  <c r="I199" i="1"/>
  <c r="H199" i="1"/>
  <c r="F197" i="1"/>
  <c r="I195" i="1"/>
  <c r="H195" i="1"/>
  <c r="F193" i="1"/>
  <c r="G193" i="1"/>
  <c r="I189" i="1"/>
  <c r="H189" i="1"/>
  <c r="F187" i="1"/>
  <c r="G186" i="1"/>
  <c r="G187" i="1" s="1"/>
  <c r="I183" i="1"/>
  <c r="H183" i="1"/>
  <c r="G156" i="1"/>
  <c r="G159" i="1" s="1"/>
  <c r="I161" i="1"/>
  <c r="H161" i="1"/>
  <c r="I155" i="1"/>
  <c r="H155" i="1"/>
  <c r="G141" i="1"/>
  <c r="H293" i="1" l="1"/>
  <c r="I260" i="1"/>
  <c r="H268" i="1"/>
  <c r="G260" i="1"/>
  <c r="I268" i="1"/>
  <c r="I215" i="1"/>
  <c r="G317" i="1"/>
  <c r="I8" i="6" s="1"/>
  <c r="I303" i="1"/>
  <c r="G235" i="1"/>
  <c r="H229" i="1"/>
  <c r="H257" i="1"/>
  <c r="H260" i="1" s="1"/>
  <c r="H316" i="1"/>
  <c r="H234" i="1"/>
  <c r="I224" i="1"/>
  <c r="H223" i="1"/>
  <c r="H224" i="1" s="1"/>
  <c r="G224" i="1"/>
  <c r="G229" i="1"/>
  <c r="I228" i="1"/>
  <c r="I229" i="1" s="1"/>
  <c r="I220" i="1"/>
  <c r="H214" i="1"/>
  <c r="H215" i="1" s="1"/>
  <c r="H219" i="1"/>
  <c r="H220" i="1" s="1"/>
  <c r="G215" i="1"/>
  <c r="G220" i="1"/>
  <c r="H206" i="1"/>
  <c r="H210" i="1"/>
  <c r="H211" i="1" s="1"/>
  <c r="I205" i="1"/>
  <c r="I206" i="1" s="1"/>
  <c r="I210" i="1"/>
  <c r="I211" i="1" s="1"/>
  <c r="G206" i="1"/>
  <c r="I197" i="1"/>
  <c r="G197" i="1"/>
  <c r="H201" i="1"/>
  <c r="H202" i="1" s="1"/>
  <c r="I201" i="1"/>
  <c r="I202" i="1" s="1"/>
  <c r="H196" i="1"/>
  <c r="H197" i="1" s="1"/>
  <c r="H186" i="1"/>
  <c r="H187" i="1" s="1"/>
  <c r="I186" i="1"/>
  <c r="I187" i="1" s="1"/>
  <c r="H193" i="1"/>
  <c r="I193" i="1"/>
  <c r="H156" i="1"/>
  <c r="H159" i="1" s="1"/>
  <c r="I156" i="1"/>
  <c r="I159" i="1" s="1"/>
  <c r="F153" i="1"/>
  <c r="G153" i="1"/>
  <c r="I149" i="1"/>
  <c r="H149" i="1"/>
  <c r="F147" i="1"/>
  <c r="G147" i="1"/>
  <c r="I140" i="1"/>
  <c r="H140" i="1"/>
  <c r="F137" i="1"/>
  <c r="G136" i="1"/>
  <c r="I136" i="1" s="1"/>
  <c r="I134" i="1"/>
  <c r="H134" i="1"/>
  <c r="F132" i="1"/>
  <c r="G131" i="1"/>
  <c r="H131" i="1" s="1"/>
  <c r="I130" i="1"/>
  <c r="H130" i="1"/>
  <c r="H127" i="1"/>
  <c r="F128" i="1"/>
  <c r="H125" i="1"/>
  <c r="F118" i="1"/>
  <c r="G117" i="1"/>
  <c r="I115" i="1"/>
  <c r="F113" i="1"/>
  <c r="G112" i="1"/>
  <c r="I112" i="1" s="1"/>
  <c r="I111" i="1"/>
  <c r="H111" i="1"/>
  <c r="G108" i="1"/>
  <c r="H108" i="1" s="1"/>
  <c r="H106" i="1"/>
  <c r="G103" i="1"/>
  <c r="F109" i="1"/>
  <c r="G99" i="1"/>
  <c r="I97" i="1"/>
  <c r="G94" i="1"/>
  <c r="I94" i="1" s="1"/>
  <c r="H93" i="1"/>
  <c r="F100" i="1"/>
  <c r="F95" i="1"/>
  <c r="G90" i="1"/>
  <c r="I88" i="1"/>
  <c r="G85" i="1"/>
  <c r="F91" i="1"/>
  <c r="F86" i="1"/>
  <c r="I84" i="1"/>
  <c r="G81" i="1"/>
  <c r="I81" i="1" s="1"/>
  <c r="H66" i="1"/>
  <c r="G76" i="1"/>
  <c r="I75" i="1"/>
  <c r="F82" i="1"/>
  <c r="H79" i="1"/>
  <c r="F77" i="1"/>
  <c r="F73" i="1"/>
  <c r="F64" i="1"/>
  <c r="G72" i="1"/>
  <c r="I72" i="1" s="1"/>
  <c r="G67" i="1"/>
  <c r="H67" i="1" s="1"/>
  <c r="I70" i="1"/>
  <c r="F68" i="1"/>
  <c r="H61" i="1"/>
  <c r="G63" i="1"/>
  <c r="I63" i="1" s="1"/>
  <c r="G58" i="1"/>
  <c r="F48" i="1"/>
  <c r="F53" i="1"/>
  <c r="I50" i="1"/>
  <c r="I46" i="1"/>
  <c r="G52" i="1"/>
  <c r="G35" i="1"/>
  <c r="I35" i="1" s="1"/>
  <c r="I34" i="1"/>
  <c r="G32" i="1"/>
  <c r="G31" i="1"/>
  <c r="G29" i="1"/>
  <c r="G28" i="1"/>
  <c r="G15" i="1"/>
  <c r="G8" i="6" l="1"/>
  <c r="H8" i="6"/>
  <c r="H7" i="1"/>
  <c r="I137" i="1"/>
  <c r="H141" i="1"/>
  <c r="H147" i="1" s="1"/>
  <c r="I141" i="1"/>
  <c r="I147" i="1" s="1"/>
  <c r="H153" i="1"/>
  <c r="I153" i="1"/>
  <c r="H132" i="1"/>
  <c r="G137" i="1"/>
  <c r="H128" i="1"/>
  <c r="G132" i="1"/>
  <c r="I131" i="1"/>
  <c r="I132" i="1" s="1"/>
  <c r="H136" i="1"/>
  <c r="H137" i="1" s="1"/>
  <c r="I93" i="1"/>
  <c r="I95" i="1" s="1"/>
  <c r="H109" i="1"/>
  <c r="H88" i="1"/>
  <c r="I73" i="1"/>
  <c r="I125" i="1"/>
  <c r="G91" i="1"/>
  <c r="I113" i="1"/>
  <c r="G113" i="1"/>
  <c r="I127" i="1"/>
  <c r="G128" i="1"/>
  <c r="H112" i="1"/>
  <c r="H113" i="1" s="1"/>
  <c r="H75" i="1"/>
  <c r="H115" i="1"/>
  <c r="G118" i="1"/>
  <c r="I117" i="1"/>
  <c r="I118" i="1" s="1"/>
  <c r="H117" i="1"/>
  <c r="G64" i="1"/>
  <c r="G77" i="1"/>
  <c r="I106" i="1"/>
  <c r="H84" i="1"/>
  <c r="G73" i="1"/>
  <c r="G86" i="1"/>
  <c r="G48" i="1"/>
  <c r="I108" i="1"/>
  <c r="G109" i="1"/>
  <c r="H97" i="1"/>
  <c r="G100" i="1"/>
  <c r="H94" i="1"/>
  <c r="H95" i="1" s="1"/>
  <c r="H99" i="1"/>
  <c r="I99" i="1"/>
  <c r="I100" i="1" s="1"/>
  <c r="G95" i="1"/>
  <c r="H85" i="1"/>
  <c r="H90" i="1"/>
  <c r="I90" i="1"/>
  <c r="I91" i="1" s="1"/>
  <c r="I85" i="1"/>
  <c r="I86" i="1" s="1"/>
  <c r="I79" i="1"/>
  <c r="I82" i="1" s="1"/>
  <c r="G82" i="1"/>
  <c r="H76" i="1"/>
  <c r="I76" i="1"/>
  <c r="I77" i="1" s="1"/>
  <c r="H81" i="1"/>
  <c r="H82" i="1" s="1"/>
  <c r="I66" i="1"/>
  <c r="G53" i="1"/>
  <c r="H68" i="1"/>
  <c r="H70" i="1"/>
  <c r="I67" i="1"/>
  <c r="H72" i="1"/>
  <c r="G68" i="1"/>
  <c r="I61" i="1"/>
  <c r="I64" i="1" s="1"/>
  <c r="H63" i="1"/>
  <c r="H64" i="1" s="1"/>
  <c r="H50" i="1"/>
  <c r="H46" i="1"/>
  <c r="H34" i="1"/>
  <c r="H35" i="1"/>
  <c r="I7" i="1"/>
  <c r="H433" i="2"/>
  <c r="G433" i="2"/>
  <c r="I432" i="2"/>
  <c r="E432" i="2"/>
  <c r="J431" i="2"/>
  <c r="F431" i="2"/>
  <c r="H431" i="2" s="1"/>
  <c r="H429" i="2"/>
  <c r="G429" i="2"/>
  <c r="J428" i="2"/>
  <c r="F428" i="2"/>
  <c r="H428" i="2" s="1"/>
  <c r="J427" i="2"/>
  <c r="F427" i="2"/>
  <c r="G427" i="2" s="1"/>
  <c r="J426" i="2"/>
  <c r="F426" i="2"/>
  <c r="H426" i="2" s="1"/>
  <c r="J425" i="2"/>
  <c r="F425" i="2"/>
  <c r="H425" i="2" s="1"/>
  <c r="J424" i="2"/>
  <c r="F424" i="2"/>
  <c r="G424" i="2" s="1"/>
  <c r="J423" i="2"/>
  <c r="F423" i="2"/>
  <c r="H421" i="2"/>
  <c r="G421" i="2"/>
  <c r="I419" i="2"/>
  <c r="E419" i="2"/>
  <c r="J418" i="2"/>
  <c r="J419" i="2" s="1"/>
  <c r="F418" i="2"/>
  <c r="F419" i="2" s="1"/>
  <c r="H417" i="2"/>
  <c r="G417" i="2"/>
  <c r="H416" i="2"/>
  <c r="G416" i="2"/>
  <c r="I414" i="2"/>
  <c r="E414" i="2"/>
  <c r="J413" i="2"/>
  <c r="J414" i="2" s="1"/>
  <c r="F413" i="2"/>
  <c r="F414" i="2" s="1"/>
  <c r="I410" i="2"/>
  <c r="E410" i="2"/>
  <c r="J409" i="2"/>
  <c r="F409" i="2"/>
  <c r="H409" i="2" s="1"/>
  <c r="J408" i="2"/>
  <c r="F408" i="2"/>
  <c r="G408" i="2" s="1"/>
  <c r="J407" i="2"/>
  <c r="F407" i="2"/>
  <c r="H407" i="2" s="1"/>
  <c r="J406" i="2"/>
  <c r="F406" i="2"/>
  <c r="H406" i="2" s="1"/>
  <c r="J405" i="2"/>
  <c r="F405" i="2"/>
  <c r="I402" i="2"/>
  <c r="I411" i="2" s="1"/>
  <c r="E402" i="2"/>
  <c r="E411" i="2" s="1"/>
  <c r="J401" i="2"/>
  <c r="F401" i="2"/>
  <c r="G401" i="2" s="1"/>
  <c r="J400" i="2"/>
  <c r="F400" i="2"/>
  <c r="H400" i="2" s="1"/>
  <c r="J399" i="2"/>
  <c r="F399" i="2"/>
  <c r="H399" i="2" s="1"/>
  <c r="J397" i="2"/>
  <c r="F397" i="2"/>
  <c r="G397" i="2" s="1"/>
  <c r="J396" i="2"/>
  <c r="F396" i="2"/>
  <c r="H396" i="2" s="1"/>
  <c r="J394" i="2"/>
  <c r="F394" i="2"/>
  <c r="H394" i="2" s="1"/>
  <c r="J393" i="2"/>
  <c r="F393" i="2"/>
  <c r="G393" i="2" s="1"/>
  <c r="J391" i="2"/>
  <c r="F391" i="2"/>
  <c r="H391" i="2" s="1"/>
  <c r="H389" i="2"/>
  <c r="G389" i="2"/>
  <c r="I388" i="2"/>
  <c r="E388" i="2"/>
  <c r="J387" i="2"/>
  <c r="H387" i="2"/>
  <c r="G387" i="2"/>
  <c r="J386" i="2"/>
  <c r="F386" i="2"/>
  <c r="H386" i="2" s="1"/>
  <c r="J385" i="2"/>
  <c r="F385" i="2"/>
  <c r="H385" i="2" s="1"/>
  <c r="H384" i="2"/>
  <c r="G384" i="2"/>
  <c r="J383" i="2"/>
  <c r="F383" i="2"/>
  <c r="G383" i="2" s="1"/>
  <c r="H382" i="2"/>
  <c r="G382" i="2"/>
  <c r="H381" i="2"/>
  <c r="G381" i="2"/>
  <c r="F380" i="2"/>
  <c r="G380" i="2" s="1"/>
  <c r="J379" i="2"/>
  <c r="F379" i="2"/>
  <c r="H379" i="2" s="1"/>
  <c r="H378" i="2"/>
  <c r="G378" i="2"/>
  <c r="J377" i="2"/>
  <c r="F377" i="2"/>
  <c r="H377" i="2" s="1"/>
  <c r="J376" i="2"/>
  <c r="F376" i="2"/>
  <c r="G376" i="2" s="1"/>
  <c r="H374" i="2"/>
  <c r="G374" i="2"/>
  <c r="J373" i="2"/>
  <c r="F373" i="2"/>
  <c r="H373" i="2" s="1"/>
  <c r="J372" i="2"/>
  <c r="H372" i="2"/>
  <c r="G372" i="2"/>
  <c r="J371" i="2"/>
  <c r="H371" i="2"/>
  <c r="G371" i="2"/>
  <c r="H369" i="2"/>
  <c r="G369" i="2"/>
  <c r="I367" i="2"/>
  <c r="E367" i="2"/>
  <c r="J366" i="2"/>
  <c r="F366" i="2"/>
  <c r="H366" i="2" s="1"/>
  <c r="J365" i="2"/>
  <c r="F365" i="2"/>
  <c r="H365" i="2" s="1"/>
  <c r="J364" i="2"/>
  <c r="F364" i="2"/>
  <c r="H364" i="2" s="1"/>
  <c r="J363" i="2"/>
  <c r="F363" i="2"/>
  <c r="H363" i="2" s="1"/>
  <c r="J361" i="2"/>
  <c r="H361" i="2"/>
  <c r="G361" i="2"/>
  <c r="J360" i="2"/>
  <c r="F360" i="2"/>
  <c r="H360" i="2" s="1"/>
  <c r="J358" i="2"/>
  <c r="F358" i="2"/>
  <c r="H358" i="2" s="1"/>
  <c r="J357" i="2"/>
  <c r="F357" i="2"/>
  <c r="H357" i="2" s="1"/>
  <c r="J356" i="2"/>
  <c r="G356" i="2"/>
  <c r="F356" i="2"/>
  <c r="H356" i="2" s="1"/>
  <c r="J355" i="2"/>
  <c r="F355" i="2"/>
  <c r="H355" i="2" s="1"/>
  <c r="J354" i="2"/>
  <c r="F354" i="2"/>
  <c r="H354" i="2" s="1"/>
  <c r="J352" i="2"/>
  <c r="F352" i="2"/>
  <c r="H352" i="2" s="1"/>
  <c r="J351" i="2"/>
  <c r="F351" i="2"/>
  <c r="H351" i="2" s="1"/>
  <c r="J350" i="2"/>
  <c r="F350" i="2"/>
  <c r="H350" i="2" s="1"/>
  <c r="J348" i="2"/>
  <c r="F348" i="2"/>
  <c r="H348" i="2" s="1"/>
  <c r="J347" i="2"/>
  <c r="F347" i="2"/>
  <c r="H347" i="2" s="1"/>
  <c r="J345" i="2"/>
  <c r="F345" i="2"/>
  <c r="H345" i="2" s="1"/>
  <c r="J344" i="2"/>
  <c r="F344" i="2"/>
  <c r="H344" i="2" s="1"/>
  <c r="J342" i="2"/>
  <c r="F342" i="2"/>
  <c r="H342" i="2" s="1"/>
  <c r="J341" i="2"/>
  <c r="F341" i="2"/>
  <c r="H341" i="2" s="1"/>
  <c r="J338" i="2"/>
  <c r="F338" i="2"/>
  <c r="H338" i="2" s="1"/>
  <c r="J337" i="2"/>
  <c r="F337" i="2"/>
  <c r="H337" i="2" s="1"/>
  <c r="J336" i="2"/>
  <c r="F336" i="2"/>
  <c r="H336" i="2" s="1"/>
  <c r="J335" i="2"/>
  <c r="F335" i="2"/>
  <c r="H335" i="2" s="1"/>
  <c r="J334" i="2"/>
  <c r="F334" i="2"/>
  <c r="H334" i="2" s="1"/>
  <c r="J333" i="2"/>
  <c r="F333" i="2"/>
  <c r="H333" i="2" s="1"/>
  <c r="J332" i="2"/>
  <c r="F332" i="2"/>
  <c r="H332" i="2" s="1"/>
  <c r="J331" i="2"/>
  <c r="F331" i="2"/>
  <c r="H331" i="2" s="1"/>
  <c r="H330" i="2"/>
  <c r="G330" i="2"/>
  <c r="J329" i="2"/>
  <c r="F329" i="2"/>
  <c r="H329" i="2" s="1"/>
  <c r="J327" i="2"/>
  <c r="F327" i="2"/>
  <c r="H327" i="2" s="1"/>
  <c r="I326" i="2"/>
  <c r="E326" i="2"/>
  <c r="J325" i="2"/>
  <c r="F325" i="2"/>
  <c r="H325" i="2" s="1"/>
  <c r="J324" i="2"/>
  <c r="F324" i="2"/>
  <c r="H324" i="2" s="1"/>
  <c r="J323" i="2"/>
  <c r="F323" i="2"/>
  <c r="H323" i="2" s="1"/>
  <c r="J321" i="2"/>
  <c r="F321" i="2"/>
  <c r="H321" i="2" s="1"/>
  <c r="J320" i="2"/>
  <c r="F320" i="2"/>
  <c r="H320" i="2" s="1"/>
  <c r="J318" i="2"/>
  <c r="F318" i="2"/>
  <c r="H318" i="2" s="1"/>
  <c r="J317" i="2"/>
  <c r="F317" i="2"/>
  <c r="H317" i="2" s="1"/>
  <c r="J315" i="2"/>
  <c r="F315" i="2"/>
  <c r="H315" i="2" s="1"/>
  <c r="J314" i="2"/>
  <c r="F314" i="2"/>
  <c r="H314" i="2" s="1"/>
  <c r="J312" i="2"/>
  <c r="F312" i="2"/>
  <c r="H312" i="2" s="1"/>
  <c r="J311" i="2"/>
  <c r="F311" i="2"/>
  <c r="H311" i="2" s="1"/>
  <c r="J309" i="2"/>
  <c r="F309" i="2"/>
  <c r="H309" i="2" s="1"/>
  <c r="J308" i="2"/>
  <c r="F308" i="2"/>
  <c r="H308" i="2" s="1"/>
  <c r="J306" i="2"/>
  <c r="F306" i="2"/>
  <c r="H306" i="2" s="1"/>
  <c r="J305" i="2"/>
  <c r="F305" i="2"/>
  <c r="H305" i="2" s="1"/>
  <c r="J302" i="2"/>
  <c r="F302" i="2"/>
  <c r="H302" i="2" s="1"/>
  <c r="J301" i="2"/>
  <c r="F301" i="2"/>
  <c r="H301" i="2" s="1"/>
  <c r="J300" i="2"/>
  <c r="F300" i="2"/>
  <c r="H300" i="2" s="1"/>
  <c r="J299" i="2"/>
  <c r="F299" i="2"/>
  <c r="H299" i="2" s="1"/>
  <c r="J298" i="2"/>
  <c r="F298" i="2"/>
  <c r="H298" i="2" s="1"/>
  <c r="J297" i="2"/>
  <c r="F297" i="2"/>
  <c r="H297" i="2" s="1"/>
  <c r="J296" i="2"/>
  <c r="H296" i="2"/>
  <c r="F296" i="2"/>
  <c r="G296" i="2" s="1"/>
  <c r="J295" i="2"/>
  <c r="F295" i="2"/>
  <c r="H295" i="2" s="1"/>
  <c r="J294" i="2"/>
  <c r="F294" i="2"/>
  <c r="H294" i="2" s="1"/>
  <c r="J293" i="2"/>
  <c r="H293" i="2"/>
  <c r="F293" i="2"/>
  <c r="G293" i="2" s="1"/>
  <c r="J292" i="2"/>
  <c r="F292" i="2"/>
  <c r="H292" i="2" s="1"/>
  <c r="J290" i="2"/>
  <c r="F290" i="2"/>
  <c r="H290" i="2" s="1"/>
  <c r="J289" i="2"/>
  <c r="F289" i="2"/>
  <c r="H289" i="2" s="1"/>
  <c r="J288" i="2"/>
  <c r="F288" i="2"/>
  <c r="H288" i="2" s="1"/>
  <c r="J287" i="2"/>
  <c r="F287" i="2"/>
  <c r="H287" i="2" s="1"/>
  <c r="J285" i="2"/>
  <c r="F285" i="2"/>
  <c r="G285" i="2" s="1"/>
  <c r="J284" i="2"/>
  <c r="F284" i="2"/>
  <c r="H284" i="2" s="1"/>
  <c r="I282" i="2"/>
  <c r="E282" i="2"/>
  <c r="J281" i="2"/>
  <c r="F281" i="2"/>
  <c r="H281" i="2" s="1"/>
  <c r="J280" i="2"/>
  <c r="F280" i="2"/>
  <c r="G280" i="2" s="1"/>
  <c r="J279" i="2"/>
  <c r="F279" i="2"/>
  <c r="H279" i="2" s="1"/>
  <c r="J278" i="2"/>
  <c r="F278" i="2"/>
  <c r="H278" i="2" s="1"/>
  <c r="J277" i="2"/>
  <c r="F277" i="2"/>
  <c r="G277" i="2" s="1"/>
  <c r="I275" i="2"/>
  <c r="E275" i="2"/>
  <c r="J274" i="2"/>
  <c r="F274" i="2"/>
  <c r="H274" i="2" s="1"/>
  <c r="J273" i="2"/>
  <c r="F273" i="2"/>
  <c r="H273" i="2" s="1"/>
  <c r="J271" i="2"/>
  <c r="F271" i="2"/>
  <c r="H271" i="2" s="1"/>
  <c r="J270" i="2"/>
  <c r="F270" i="2"/>
  <c r="H270" i="2" s="1"/>
  <c r="J269" i="2"/>
  <c r="F269" i="2"/>
  <c r="H269" i="2" s="1"/>
  <c r="J267" i="2"/>
  <c r="F267" i="2"/>
  <c r="G267" i="2" s="1"/>
  <c r="J266" i="2"/>
  <c r="F266" i="2"/>
  <c r="H266" i="2" s="1"/>
  <c r="J265" i="2"/>
  <c r="F265" i="2"/>
  <c r="H265" i="2" s="1"/>
  <c r="I263" i="2"/>
  <c r="E263" i="2"/>
  <c r="J262" i="2"/>
  <c r="F262" i="2"/>
  <c r="G262" i="2" s="1"/>
  <c r="J261" i="2"/>
  <c r="F261" i="2"/>
  <c r="H261" i="2" s="1"/>
  <c r="J259" i="2"/>
  <c r="F259" i="2"/>
  <c r="H259" i="2" s="1"/>
  <c r="J258" i="2"/>
  <c r="F258" i="2"/>
  <c r="G258" i="2" s="1"/>
  <c r="H257" i="2"/>
  <c r="G257" i="2"/>
  <c r="J256" i="2"/>
  <c r="F256" i="2"/>
  <c r="H256" i="2" s="1"/>
  <c r="J255" i="2"/>
  <c r="F255" i="2"/>
  <c r="H255" i="2" s="1"/>
  <c r="H254" i="2"/>
  <c r="G254" i="2"/>
  <c r="J253" i="2"/>
  <c r="F253" i="2"/>
  <c r="H253" i="2" s="1"/>
  <c r="J252" i="2"/>
  <c r="F252" i="2"/>
  <c r="H252" i="2" s="1"/>
  <c r="J251" i="2"/>
  <c r="F251" i="2"/>
  <c r="G251" i="2" s="1"/>
  <c r="I249" i="2"/>
  <c r="E249" i="2"/>
  <c r="J248" i="2"/>
  <c r="F248" i="2"/>
  <c r="H248" i="2" s="1"/>
  <c r="J247" i="2"/>
  <c r="F247" i="2"/>
  <c r="H247" i="2" s="1"/>
  <c r="J246" i="2"/>
  <c r="F246" i="2"/>
  <c r="H246" i="2" s="1"/>
  <c r="J245" i="2"/>
  <c r="F245" i="2"/>
  <c r="H245" i="2" s="1"/>
  <c r="J244" i="2"/>
  <c r="F244" i="2"/>
  <c r="H244" i="2" s="1"/>
  <c r="J243" i="2"/>
  <c r="F243" i="2"/>
  <c r="H243" i="2" s="1"/>
  <c r="J242" i="2"/>
  <c r="F242" i="2"/>
  <c r="H242" i="2" s="1"/>
  <c r="J241" i="2"/>
  <c r="F241" i="2"/>
  <c r="H241" i="2" s="1"/>
  <c r="J240" i="2"/>
  <c r="F240" i="2"/>
  <c r="H240" i="2" s="1"/>
  <c r="J239" i="2"/>
  <c r="F239" i="2"/>
  <c r="H239" i="2" s="1"/>
  <c r="J238" i="2"/>
  <c r="G238" i="2"/>
  <c r="F238" i="2"/>
  <c r="H238" i="2" s="1"/>
  <c r="J237" i="2"/>
  <c r="G237" i="2"/>
  <c r="F237" i="2"/>
  <c r="H237" i="2" s="1"/>
  <c r="F236" i="2"/>
  <c r="G236" i="2" s="1"/>
  <c r="J235" i="2"/>
  <c r="F235" i="2"/>
  <c r="H235" i="2" s="1"/>
  <c r="H234" i="2"/>
  <c r="G234" i="2"/>
  <c r="J233" i="2"/>
  <c r="F233" i="2"/>
  <c r="H233" i="2" s="1"/>
  <c r="J232" i="2"/>
  <c r="F232" i="2"/>
  <c r="H232" i="2" s="1"/>
  <c r="H231" i="2"/>
  <c r="G231" i="2"/>
  <c r="J230" i="2"/>
  <c r="F230" i="2"/>
  <c r="H230" i="2" s="1"/>
  <c r="J229" i="2"/>
  <c r="F229" i="2"/>
  <c r="G229" i="2" s="1"/>
  <c r="J228" i="2"/>
  <c r="F228" i="2"/>
  <c r="H228" i="2" s="1"/>
  <c r="J227" i="2"/>
  <c r="F227" i="2"/>
  <c r="H227" i="2" s="1"/>
  <c r="F226" i="2"/>
  <c r="G226" i="2" s="1"/>
  <c r="J225" i="2"/>
  <c r="F225" i="2"/>
  <c r="H225" i="2" s="1"/>
  <c r="F224" i="2"/>
  <c r="H224" i="2" s="1"/>
  <c r="J223" i="2"/>
  <c r="F223" i="2"/>
  <c r="H223" i="2" s="1"/>
  <c r="F222" i="2"/>
  <c r="H222" i="2" s="1"/>
  <c r="J221" i="2"/>
  <c r="F221" i="2"/>
  <c r="H221" i="2" s="1"/>
  <c r="F220" i="2"/>
  <c r="H220" i="2" s="1"/>
  <c r="J219" i="2"/>
  <c r="H219" i="2"/>
  <c r="F219" i="2"/>
  <c r="G219" i="2" s="1"/>
  <c r="F217" i="2"/>
  <c r="H217" i="2" s="1"/>
  <c r="J216" i="2"/>
  <c r="F216" i="2"/>
  <c r="H216" i="2" s="1"/>
  <c r="F215" i="2"/>
  <c r="J214" i="2"/>
  <c r="F214" i="2"/>
  <c r="H214" i="2" s="1"/>
  <c r="F213" i="2"/>
  <c r="H213" i="2" s="1"/>
  <c r="J212" i="2"/>
  <c r="H212" i="2"/>
  <c r="G212" i="2"/>
  <c r="F212" i="2"/>
  <c r="F211" i="2"/>
  <c r="G211" i="2" s="1"/>
  <c r="J210" i="2"/>
  <c r="F210" i="2"/>
  <c r="H210" i="2" s="1"/>
  <c r="I207" i="2"/>
  <c r="E207" i="2"/>
  <c r="J206" i="2"/>
  <c r="F206" i="2"/>
  <c r="H206" i="2" s="1"/>
  <c r="J205" i="2"/>
  <c r="F205" i="2"/>
  <c r="H205" i="2" s="1"/>
  <c r="J203" i="2"/>
  <c r="F203" i="2"/>
  <c r="H203" i="2" s="1"/>
  <c r="J202" i="2"/>
  <c r="F202" i="2"/>
  <c r="H202" i="2" s="1"/>
  <c r="I197" i="2"/>
  <c r="E197" i="2"/>
  <c r="J196" i="2"/>
  <c r="J197" i="2" s="1"/>
  <c r="F196" i="2"/>
  <c r="G196" i="2" s="1"/>
  <c r="G197" i="2" s="1"/>
  <c r="I195" i="2"/>
  <c r="E195" i="2"/>
  <c r="J194" i="2"/>
  <c r="F194" i="2"/>
  <c r="H194" i="2" s="1"/>
  <c r="J193" i="2"/>
  <c r="F193" i="2"/>
  <c r="G193" i="2" s="1"/>
  <c r="J191" i="2"/>
  <c r="F191" i="2"/>
  <c r="G191" i="2" s="1"/>
  <c r="J190" i="2"/>
  <c r="F190" i="2"/>
  <c r="J188" i="2"/>
  <c r="F188" i="2"/>
  <c r="H188" i="2" s="1"/>
  <c r="J187" i="2"/>
  <c r="J195" i="2" s="1"/>
  <c r="F187" i="2"/>
  <c r="G187" i="2" s="1"/>
  <c r="I182" i="2"/>
  <c r="E182" i="2"/>
  <c r="J181" i="2"/>
  <c r="F181" i="2"/>
  <c r="H181" i="2" s="1"/>
  <c r="J180" i="2"/>
  <c r="F180" i="2"/>
  <c r="I178" i="2"/>
  <c r="E178" i="2"/>
  <c r="J177" i="2"/>
  <c r="F177" i="2"/>
  <c r="H177" i="2" s="1"/>
  <c r="J176" i="2"/>
  <c r="F176" i="2"/>
  <c r="H176" i="2" s="1"/>
  <c r="J175" i="2"/>
  <c r="F175" i="2"/>
  <c r="H175" i="2" s="1"/>
  <c r="I173" i="2"/>
  <c r="E173" i="2"/>
  <c r="J172" i="2"/>
  <c r="F172" i="2"/>
  <c r="G172" i="2" s="1"/>
  <c r="J171" i="2"/>
  <c r="F171" i="2"/>
  <c r="H171" i="2" s="1"/>
  <c r="J169" i="2"/>
  <c r="F169" i="2"/>
  <c r="G169" i="2" s="1"/>
  <c r="J168" i="2"/>
  <c r="F168" i="2"/>
  <c r="G168" i="2" s="1"/>
  <c r="I165" i="2"/>
  <c r="E165" i="2"/>
  <c r="J164" i="2"/>
  <c r="F164" i="2"/>
  <c r="H164" i="2" s="1"/>
  <c r="J163" i="2"/>
  <c r="G163" i="2"/>
  <c r="F163" i="2"/>
  <c r="H163" i="2" s="1"/>
  <c r="H165" i="2" s="1"/>
  <c r="I161" i="2"/>
  <c r="E161" i="2"/>
  <c r="J160" i="2"/>
  <c r="J161" i="2" s="1"/>
  <c r="F160" i="2"/>
  <c r="G160" i="2" s="1"/>
  <c r="F159" i="2"/>
  <c r="G159" i="2" s="1"/>
  <c r="I156" i="2"/>
  <c r="E156" i="2"/>
  <c r="J155" i="2"/>
  <c r="F155" i="2"/>
  <c r="H155" i="2" s="1"/>
  <c r="J154" i="2"/>
  <c r="F154" i="2"/>
  <c r="H154" i="2" s="1"/>
  <c r="J152" i="2"/>
  <c r="F152" i="2"/>
  <c r="H152" i="2" s="1"/>
  <c r="J151" i="2"/>
  <c r="F151" i="2"/>
  <c r="H151" i="2" s="1"/>
  <c r="J149" i="2"/>
  <c r="F149" i="2"/>
  <c r="H149" i="2" s="1"/>
  <c r="J148" i="2"/>
  <c r="F148" i="2"/>
  <c r="H148" i="2" s="1"/>
  <c r="I145" i="2"/>
  <c r="E145" i="2"/>
  <c r="J144" i="2"/>
  <c r="J145" i="2" s="1"/>
  <c r="F144" i="2"/>
  <c r="F145" i="2" s="1"/>
  <c r="I142" i="2"/>
  <c r="E142" i="2"/>
  <c r="J141" i="2"/>
  <c r="J142" i="2" s="1"/>
  <c r="F141" i="2"/>
  <c r="H141" i="2" s="1"/>
  <c r="F139" i="2"/>
  <c r="F142" i="2" s="1"/>
  <c r="I137" i="2"/>
  <c r="E137" i="2"/>
  <c r="J136" i="2"/>
  <c r="F136" i="2"/>
  <c r="H136" i="2" s="1"/>
  <c r="J135" i="2"/>
  <c r="F135" i="2"/>
  <c r="H135" i="2" s="1"/>
  <c r="J134" i="2"/>
  <c r="F134" i="2"/>
  <c r="H134" i="2" s="1"/>
  <c r="J133" i="2"/>
  <c r="F133" i="2"/>
  <c r="H133" i="2" s="1"/>
  <c r="J132" i="2"/>
  <c r="F132" i="2"/>
  <c r="H132" i="2" s="1"/>
  <c r="J131" i="2"/>
  <c r="F131" i="2"/>
  <c r="H131" i="2" s="1"/>
  <c r="J130" i="2"/>
  <c r="F130" i="2"/>
  <c r="H130" i="2" s="1"/>
  <c r="J129" i="2"/>
  <c r="F129" i="2"/>
  <c r="H129" i="2" s="1"/>
  <c r="J128" i="2"/>
  <c r="F128" i="2"/>
  <c r="G128" i="2" s="1"/>
  <c r="J127" i="2"/>
  <c r="F127" i="2"/>
  <c r="G127" i="2" s="1"/>
  <c r="J126" i="2"/>
  <c r="F126" i="2"/>
  <c r="H126" i="2" s="1"/>
  <c r="I124" i="2"/>
  <c r="E124" i="2"/>
  <c r="J123" i="2"/>
  <c r="F123" i="2"/>
  <c r="H123" i="2" s="1"/>
  <c r="J122" i="2"/>
  <c r="F122" i="2"/>
  <c r="G122" i="2" s="1"/>
  <c r="J121" i="2"/>
  <c r="F121" i="2"/>
  <c r="H121" i="2" s="1"/>
  <c r="J120" i="2"/>
  <c r="F120" i="2"/>
  <c r="G120" i="2" s="1"/>
  <c r="J118" i="2"/>
  <c r="H118" i="2"/>
  <c r="F118" i="2"/>
  <c r="G118" i="2" s="1"/>
  <c r="F117" i="2"/>
  <c r="G117" i="2" s="1"/>
  <c r="F116" i="2"/>
  <c r="H116" i="2" s="1"/>
  <c r="F115" i="2"/>
  <c r="H115" i="2" s="1"/>
  <c r="I112" i="2"/>
  <c r="E112" i="2"/>
  <c r="F111" i="2"/>
  <c r="H111" i="2" s="1"/>
  <c r="F110" i="2"/>
  <c r="G110" i="2" s="1"/>
  <c r="J109" i="2"/>
  <c r="F109" i="2"/>
  <c r="J108" i="2"/>
  <c r="F108" i="2"/>
  <c r="H108" i="2" s="1"/>
  <c r="J107" i="2"/>
  <c r="F107" i="2"/>
  <c r="H107" i="2" s="1"/>
  <c r="I105" i="2"/>
  <c r="E105" i="2"/>
  <c r="J104" i="2"/>
  <c r="F104" i="2"/>
  <c r="H104" i="2" s="1"/>
  <c r="J103" i="2"/>
  <c r="J105" i="2" s="1"/>
  <c r="F103" i="2"/>
  <c r="F105" i="2" s="1"/>
  <c r="I101" i="2"/>
  <c r="E101" i="2"/>
  <c r="J100" i="2"/>
  <c r="F100" i="2"/>
  <c r="H100" i="2" s="1"/>
  <c r="J99" i="2"/>
  <c r="F99" i="2"/>
  <c r="I97" i="2"/>
  <c r="E97" i="2"/>
  <c r="J96" i="2"/>
  <c r="J97" i="2" s="1"/>
  <c r="F96" i="2"/>
  <c r="F97" i="2" s="1"/>
  <c r="I94" i="2"/>
  <c r="E94" i="2"/>
  <c r="J93" i="2"/>
  <c r="G93" i="2"/>
  <c r="F93" i="2"/>
  <c r="H93" i="2" s="1"/>
  <c r="J92" i="2"/>
  <c r="F92" i="2"/>
  <c r="I90" i="2"/>
  <c r="E90" i="2"/>
  <c r="J89" i="2"/>
  <c r="J90" i="2" s="1"/>
  <c r="F89" i="2"/>
  <c r="F90" i="2" s="1"/>
  <c r="I87" i="2"/>
  <c r="E87" i="2"/>
  <c r="J86" i="2"/>
  <c r="F86" i="2"/>
  <c r="G86" i="2" s="1"/>
  <c r="J85" i="2"/>
  <c r="F85" i="2"/>
  <c r="E83" i="2"/>
  <c r="J82" i="2"/>
  <c r="J83" i="2" s="1"/>
  <c r="F82" i="2"/>
  <c r="F83" i="2" s="1"/>
  <c r="I80" i="2"/>
  <c r="E80" i="2"/>
  <c r="J79" i="2"/>
  <c r="F79" i="2"/>
  <c r="G79" i="2" s="1"/>
  <c r="J78" i="2"/>
  <c r="F78" i="2"/>
  <c r="G78" i="2" s="1"/>
  <c r="I76" i="2"/>
  <c r="E76" i="2"/>
  <c r="J75" i="2"/>
  <c r="J76" i="2" s="1"/>
  <c r="F75" i="2"/>
  <c r="F76" i="2" s="1"/>
  <c r="I73" i="2"/>
  <c r="E73" i="2"/>
  <c r="J72" i="2"/>
  <c r="F72" i="2"/>
  <c r="G72" i="2" s="1"/>
  <c r="J71" i="2"/>
  <c r="F71" i="2"/>
  <c r="G71" i="2" s="1"/>
  <c r="I69" i="2"/>
  <c r="E69" i="2"/>
  <c r="J68" i="2"/>
  <c r="J69" i="2" s="1"/>
  <c r="F68" i="2"/>
  <c r="H68" i="2" s="1"/>
  <c r="H69" i="2" s="1"/>
  <c r="I66" i="2"/>
  <c r="E66" i="2"/>
  <c r="J65" i="2"/>
  <c r="F65" i="2"/>
  <c r="G65" i="2" s="1"/>
  <c r="J64" i="2"/>
  <c r="F64" i="2"/>
  <c r="G64" i="2" s="1"/>
  <c r="I62" i="2"/>
  <c r="E62" i="2"/>
  <c r="J61" i="2"/>
  <c r="F61" i="2"/>
  <c r="H61" i="2" s="1"/>
  <c r="J60" i="2"/>
  <c r="J62" i="2" s="1"/>
  <c r="F60" i="2"/>
  <c r="I58" i="2"/>
  <c r="E58" i="2"/>
  <c r="J57" i="2"/>
  <c r="F57" i="2"/>
  <c r="G57" i="2" s="1"/>
  <c r="J56" i="2"/>
  <c r="F56" i="2"/>
  <c r="H56" i="2" s="1"/>
  <c r="J54" i="2"/>
  <c r="F54" i="2"/>
  <c r="G54" i="2" s="1"/>
  <c r="J53" i="2"/>
  <c r="F53" i="2"/>
  <c r="G53" i="2" s="1"/>
  <c r="I51" i="2"/>
  <c r="E51" i="2"/>
  <c r="J50" i="2"/>
  <c r="F50" i="2"/>
  <c r="H50" i="2" s="1"/>
  <c r="F49" i="2"/>
  <c r="H48" i="2"/>
  <c r="G48" i="2"/>
  <c r="F47" i="2"/>
  <c r="H47" i="2" s="1"/>
  <c r="J46" i="2"/>
  <c r="J51" i="2" s="1"/>
  <c r="F46" i="2"/>
  <c r="H46" i="2" s="1"/>
  <c r="I40" i="2"/>
  <c r="E40" i="2"/>
  <c r="J39" i="2"/>
  <c r="F39" i="2"/>
  <c r="H39" i="2" s="1"/>
  <c r="J38" i="2"/>
  <c r="F38" i="2"/>
  <c r="G38" i="2" s="1"/>
  <c r="H37" i="2"/>
  <c r="G37" i="2"/>
  <c r="J36" i="2"/>
  <c r="H36" i="2"/>
  <c r="G36" i="2"/>
  <c r="F36" i="2"/>
  <c r="J33" i="2"/>
  <c r="F33" i="2"/>
  <c r="H33" i="2" s="1"/>
  <c r="J32" i="2"/>
  <c r="F32" i="2"/>
  <c r="H32" i="2" s="1"/>
  <c r="J30" i="2"/>
  <c r="F30" i="2"/>
  <c r="H30" i="2" s="1"/>
  <c r="J29" i="2"/>
  <c r="F29" i="2"/>
  <c r="H29" i="2" s="1"/>
  <c r="J26" i="2"/>
  <c r="F26" i="2"/>
  <c r="H26" i="2" s="1"/>
  <c r="J25" i="2"/>
  <c r="F25" i="2"/>
  <c r="G25" i="2" s="1"/>
  <c r="J23" i="2"/>
  <c r="F23" i="2"/>
  <c r="J22" i="2"/>
  <c r="F22" i="2"/>
  <c r="H22" i="2" s="1"/>
  <c r="J20" i="2"/>
  <c r="F20" i="2"/>
  <c r="G20" i="2" s="1"/>
  <c r="J19" i="2"/>
  <c r="F19" i="2"/>
  <c r="J17" i="2"/>
  <c r="F17" i="2"/>
  <c r="H17" i="2" s="1"/>
  <c r="J16" i="2"/>
  <c r="F16" i="2"/>
  <c r="G16" i="2" s="1"/>
  <c r="J14" i="2"/>
  <c r="F14" i="2"/>
  <c r="J13" i="2"/>
  <c r="F13" i="2"/>
  <c r="H13" i="2" s="1"/>
  <c r="J9" i="2"/>
  <c r="I9" i="2"/>
  <c r="E9" i="2"/>
  <c r="J8" i="2"/>
  <c r="F8" i="2"/>
  <c r="G8" i="2" s="1"/>
  <c r="G9" i="2" s="1"/>
  <c r="K1" i="2"/>
  <c r="I1" i="2"/>
  <c r="H25" i="2" l="1"/>
  <c r="H86" i="2"/>
  <c r="H159" i="2"/>
  <c r="G205" i="2"/>
  <c r="G17" i="2"/>
  <c r="G338" i="2"/>
  <c r="G133" i="2"/>
  <c r="G240" i="2"/>
  <c r="G252" i="2"/>
  <c r="G396" i="2"/>
  <c r="G26" i="2"/>
  <c r="J80" i="2"/>
  <c r="F410" i="2"/>
  <c r="H427" i="2"/>
  <c r="G289" i="2"/>
  <c r="H267" i="2"/>
  <c r="G379" i="2"/>
  <c r="J182" i="2"/>
  <c r="F62" i="2"/>
  <c r="G100" i="2"/>
  <c r="H408" i="2"/>
  <c r="G188" i="2"/>
  <c r="G299" i="2"/>
  <c r="G344" i="2"/>
  <c r="F182" i="2"/>
  <c r="G256" i="2"/>
  <c r="G332" i="2"/>
  <c r="G352" i="2"/>
  <c r="G426" i="2"/>
  <c r="J165" i="2"/>
  <c r="G213" i="2"/>
  <c r="J326" i="2"/>
  <c r="J402" i="2"/>
  <c r="G271" i="2"/>
  <c r="G278" i="2"/>
  <c r="G407" i="2"/>
  <c r="J73" i="2"/>
  <c r="G89" i="2"/>
  <c r="G90" i="2" s="1"/>
  <c r="G149" i="2"/>
  <c r="H178" i="2"/>
  <c r="H285" i="2"/>
  <c r="J410" i="2"/>
  <c r="J66" i="2"/>
  <c r="G241" i="2"/>
  <c r="H401" i="2"/>
  <c r="J432" i="2"/>
  <c r="H187" i="2"/>
  <c r="H211" i="2"/>
  <c r="H376" i="2"/>
  <c r="H118" i="1"/>
  <c r="H91" i="1"/>
  <c r="H77" i="1"/>
  <c r="I128" i="1"/>
  <c r="I109" i="1"/>
  <c r="H86" i="1"/>
  <c r="H73" i="1"/>
  <c r="H100" i="1"/>
  <c r="I68" i="1"/>
  <c r="G217" i="2"/>
  <c r="G259" i="2"/>
  <c r="G308" i="2"/>
  <c r="G321" i="2"/>
  <c r="G413" i="2"/>
  <c r="G414" i="2" s="1"/>
  <c r="G30" i="2"/>
  <c r="G244" i="2"/>
  <c r="G13" i="2"/>
  <c r="G47" i="2"/>
  <c r="H60" i="2"/>
  <c r="H62" i="2" s="1"/>
  <c r="G107" i="2"/>
  <c r="F124" i="2"/>
  <c r="G136" i="2"/>
  <c r="G177" i="2"/>
  <c r="H191" i="2"/>
  <c r="G385" i="2"/>
  <c r="G391" i="2"/>
  <c r="H413" i="2"/>
  <c r="H414" i="2" s="1"/>
  <c r="G418" i="2"/>
  <c r="G419" i="2" s="1"/>
  <c r="H424" i="2"/>
  <c r="G115" i="2"/>
  <c r="H127" i="2"/>
  <c r="H137" i="2" s="1"/>
  <c r="H172" i="2"/>
  <c r="G225" i="2"/>
  <c r="G327" i="2"/>
  <c r="H380" i="2"/>
  <c r="H388" i="2" s="1"/>
  <c r="H397" i="2"/>
  <c r="H418" i="2"/>
  <c r="H53" i="2"/>
  <c r="J263" i="2"/>
  <c r="H280" i="2"/>
  <c r="G317" i="2"/>
  <c r="G405" i="2"/>
  <c r="G32" i="2"/>
  <c r="G96" i="2"/>
  <c r="G97" i="2" s="1"/>
  <c r="G152" i="2"/>
  <c r="H20" i="2"/>
  <c r="G103" i="2"/>
  <c r="G116" i="2"/>
  <c r="H122" i="2"/>
  <c r="H160" i="2"/>
  <c r="H161" i="2" s="1"/>
  <c r="F178" i="2"/>
  <c r="H193" i="2"/>
  <c r="G202" i="2"/>
  <c r="G214" i="2"/>
  <c r="H226" i="2"/>
  <c r="G246" i="2"/>
  <c r="H262" i="2"/>
  <c r="J367" i="2"/>
  <c r="H393" i="2"/>
  <c r="H402" i="2" s="1"/>
  <c r="H405" i="2"/>
  <c r="G431" i="2"/>
  <c r="G60" i="2"/>
  <c r="I184" i="2"/>
  <c r="J388" i="2"/>
  <c r="J87" i="2"/>
  <c r="J112" i="2"/>
  <c r="G134" i="2"/>
  <c r="G148" i="2"/>
  <c r="H168" i="2"/>
  <c r="G175" i="2"/>
  <c r="J249" i="2"/>
  <c r="G221" i="2"/>
  <c r="G281" i="2"/>
  <c r="G335" i="2"/>
  <c r="G348" i="2"/>
  <c r="G360" i="2"/>
  <c r="G400" i="2"/>
  <c r="J40" i="2"/>
  <c r="J411" i="2"/>
  <c r="H8" i="2"/>
  <c r="H9" i="2" s="1"/>
  <c r="H57" i="2"/>
  <c r="G22" i="2"/>
  <c r="G73" i="2"/>
  <c r="G80" i="2"/>
  <c r="J94" i="2"/>
  <c r="H117" i="2"/>
  <c r="G141" i="2"/>
  <c r="G154" i="2"/>
  <c r="J173" i="2"/>
  <c r="G243" i="2"/>
  <c r="H277" i="2"/>
  <c r="H282" i="2" s="1"/>
  <c r="G312" i="2"/>
  <c r="G325" i="2"/>
  <c r="G366" i="2"/>
  <c r="H383" i="2"/>
  <c r="H38" i="2"/>
  <c r="H16" i="2"/>
  <c r="E184" i="2"/>
  <c r="H64" i="2"/>
  <c r="H71" i="2"/>
  <c r="H78" i="2"/>
  <c r="J101" i="2"/>
  <c r="H110" i="2"/>
  <c r="J156" i="2"/>
  <c r="J178" i="2"/>
  <c r="F195" i="2"/>
  <c r="J207" i="2"/>
  <c r="G247" i="2"/>
  <c r="H258" i="2"/>
  <c r="J282" i="2"/>
  <c r="H419" i="2"/>
  <c r="J275" i="2"/>
  <c r="F432" i="2"/>
  <c r="G423" i="2"/>
  <c r="H423" i="2"/>
  <c r="H432" i="2" s="1"/>
  <c r="F388" i="2"/>
  <c r="G363" i="2"/>
  <c r="G302" i="2"/>
  <c r="F275" i="2"/>
  <c r="H275" i="2" s="1"/>
  <c r="H251" i="2"/>
  <c r="F249" i="2"/>
  <c r="H236" i="2"/>
  <c r="G232" i="2"/>
  <c r="G224" i="2"/>
  <c r="H229" i="2"/>
  <c r="G206" i="2"/>
  <c r="H207" i="2"/>
  <c r="F207" i="2"/>
  <c r="H196" i="2"/>
  <c r="H197" i="2" s="1"/>
  <c r="J137" i="2"/>
  <c r="G131" i="2"/>
  <c r="H128" i="2"/>
  <c r="G130" i="2"/>
  <c r="F137" i="2"/>
  <c r="E183" i="2"/>
  <c r="G111" i="2"/>
  <c r="F40" i="2"/>
  <c r="H85" i="2"/>
  <c r="H87" i="2" s="1"/>
  <c r="G85" i="2"/>
  <c r="G87" i="2" s="1"/>
  <c r="F87" i="2"/>
  <c r="H156" i="2"/>
  <c r="J58" i="2"/>
  <c r="H14" i="2"/>
  <c r="G14" i="2"/>
  <c r="F112" i="2"/>
  <c r="H23" i="2"/>
  <c r="G23" i="2"/>
  <c r="H49" i="2"/>
  <c r="H51" i="2" s="1"/>
  <c r="G49" i="2"/>
  <c r="H326" i="2"/>
  <c r="H367" i="2"/>
  <c r="G66" i="2"/>
  <c r="J124" i="2"/>
  <c r="G161" i="2"/>
  <c r="H109" i="2"/>
  <c r="G109" i="2"/>
  <c r="H92" i="2"/>
  <c r="H94" i="2" s="1"/>
  <c r="G92" i="2"/>
  <c r="G94" i="2" s="1"/>
  <c r="F94" i="2"/>
  <c r="H99" i="2"/>
  <c r="H101" i="2" s="1"/>
  <c r="G99" i="2"/>
  <c r="G101" i="2" s="1"/>
  <c r="F101" i="2"/>
  <c r="H19" i="2"/>
  <c r="G19" i="2"/>
  <c r="F263" i="2"/>
  <c r="G29" i="2"/>
  <c r="G33" i="2"/>
  <c r="G46" i="2"/>
  <c r="G50" i="2"/>
  <c r="G61" i="2"/>
  <c r="G68" i="2"/>
  <c r="G69" i="2" s="1"/>
  <c r="G75" i="2"/>
  <c r="G76" i="2" s="1"/>
  <c r="G82" i="2"/>
  <c r="G83" i="2" s="1"/>
  <c r="H89" i="2"/>
  <c r="H90" i="2" s="1"/>
  <c r="H96" i="2"/>
  <c r="H97" i="2" s="1"/>
  <c r="H103" i="2"/>
  <c r="H105" i="2" s="1"/>
  <c r="G126" i="2"/>
  <c r="G129" i="2"/>
  <c r="G132" i="2"/>
  <c r="G135" i="2"/>
  <c r="G164" i="2"/>
  <c r="G165" i="2" s="1"/>
  <c r="G176" i="2"/>
  <c r="G190" i="2"/>
  <c r="G194" i="2"/>
  <c r="G203" i="2"/>
  <c r="G215" i="2"/>
  <c r="G223" i="2"/>
  <c r="G233" i="2"/>
  <c r="G364" i="2"/>
  <c r="F367" i="2"/>
  <c r="G377" i="2"/>
  <c r="G406" i="2"/>
  <c r="G409" i="2"/>
  <c r="F161" i="2"/>
  <c r="G180" i="2"/>
  <c r="F197" i="2"/>
  <c r="G220" i="2"/>
  <c r="G227" i="2"/>
  <c r="G230" i="2"/>
  <c r="G373" i="2"/>
  <c r="G394" i="2"/>
  <c r="G399" i="2"/>
  <c r="F402" i="2"/>
  <c r="F411" i="2" s="1"/>
  <c r="G425" i="2"/>
  <c r="G428" i="2"/>
  <c r="H75" i="2"/>
  <c r="H76" i="2" s="1"/>
  <c r="H82" i="2"/>
  <c r="H83" i="2" s="1"/>
  <c r="F156" i="2"/>
  <c r="G39" i="2"/>
  <c r="G123" i="2"/>
  <c r="G139" i="2"/>
  <c r="H54" i="2"/>
  <c r="H65" i="2"/>
  <c r="H72" i="2"/>
  <c r="H79" i="2"/>
  <c r="G104" i="2"/>
  <c r="H120" i="2"/>
  <c r="H139" i="2"/>
  <c r="H142" i="2" s="1"/>
  <c r="G144" i="2"/>
  <c r="G145" i="2" s="1"/>
  <c r="H169" i="2"/>
  <c r="H180" i="2"/>
  <c r="H182" i="2" s="1"/>
  <c r="G216" i="2"/>
  <c r="G253" i="2"/>
  <c r="G261" i="2"/>
  <c r="G279" i="2"/>
  <c r="G282" i="2" s="1"/>
  <c r="F282" i="2"/>
  <c r="G329" i="2"/>
  <c r="G386" i="2"/>
  <c r="H190" i="2"/>
  <c r="H215" i="2"/>
  <c r="F51" i="2"/>
  <c r="F69" i="2"/>
  <c r="H144" i="2"/>
  <c r="H145" i="2" s="1"/>
  <c r="F165" i="2"/>
  <c r="G365" i="2"/>
  <c r="F58" i="2"/>
  <c r="G108" i="2"/>
  <c r="G265" i="2"/>
  <c r="G269" i="2"/>
  <c r="G273" i="2"/>
  <c r="G287" i="2"/>
  <c r="G290" i="2"/>
  <c r="G294" i="2"/>
  <c r="G297" i="2"/>
  <c r="G300" i="2"/>
  <c r="G305" i="2"/>
  <c r="G309" i="2"/>
  <c r="G314" i="2"/>
  <c r="G318" i="2"/>
  <c r="G323" i="2"/>
  <c r="F326" i="2"/>
  <c r="G333" i="2"/>
  <c r="G336" i="2"/>
  <c r="G341" i="2"/>
  <c r="G345" i="2"/>
  <c r="G350" i="2"/>
  <c r="G354" i="2"/>
  <c r="G357" i="2"/>
  <c r="F9" i="2"/>
  <c r="F173" i="2"/>
  <c r="G56" i="2"/>
  <c r="G58" i="2" s="1"/>
  <c r="F66" i="2"/>
  <c r="F73" i="2"/>
  <c r="F80" i="2"/>
  <c r="G121" i="2"/>
  <c r="G171" i="2"/>
  <c r="G173" i="2" s="1"/>
  <c r="G181" i="2"/>
  <c r="G210" i="2"/>
  <c r="G228" i="2"/>
  <c r="G235" i="2"/>
  <c r="G222" i="2"/>
  <c r="G239" i="2"/>
  <c r="G242" i="2"/>
  <c r="G245" i="2"/>
  <c r="G248" i="2"/>
  <c r="G255" i="2"/>
  <c r="G266" i="2"/>
  <c r="G270" i="2"/>
  <c r="G274" i="2"/>
  <c r="G284" i="2"/>
  <c r="G288" i="2"/>
  <c r="G292" i="2"/>
  <c r="G295" i="2"/>
  <c r="G298" i="2"/>
  <c r="G301" i="2"/>
  <c r="G306" i="2"/>
  <c r="G311" i="2"/>
  <c r="G315" i="2"/>
  <c r="G320" i="2"/>
  <c r="G324" i="2"/>
  <c r="G331" i="2"/>
  <c r="G334" i="2"/>
  <c r="G337" i="2"/>
  <c r="G342" i="2"/>
  <c r="G347" i="2"/>
  <c r="G351" i="2"/>
  <c r="G355" i="2"/>
  <c r="G358" i="2"/>
  <c r="G151" i="2"/>
  <c r="G155" i="2"/>
  <c r="G195" i="2" l="1"/>
  <c r="G178" i="2"/>
  <c r="G105" i="2"/>
  <c r="H410" i="2"/>
  <c r="H411" i="2" s="1"/>
  <c r="H73" i="2"/>
  <c r="H112" i="2"/>
  <c r="H66" i="2"/>
  <c r="G263" i="2"/>
  <c r="G142" i="2"/>
  <c r="G275" i="2"/>
  <c r="J184" i="2"/>
  <c r="J435" i="2" s="1"/>
  <c r="J1" i="2" s="1"/>
  <c r="H173" i="2"/>
  <c r="F184" i="2"/>
  <c r="G40" i="2"/>
  <c r="H263" i="2"/>
  <c r="G124" i="2"/>
  <c r="H195" i="2"/>
  <c r="G62" i="2"/>
  <c r="H58" i="2"/>
  <c r="H124" i="2"/>
  <c r="G156" i="2"/>
  <c r="H80" i="2"/>
  <c r="G410" i="2"/>
  <c r="G402" i="2"/>
  <c r="H249" i="2"/>
  <c r="G432" i="2"/>
  <c r="G207" i="2"/>
  <c r="H183" i="2"/>
  <c r="G112" i="2"/>
  <c r="G137" i="2"/>
  <c r="G367" i="2"/>
  <c r="H40" i="2"/>
  <c r="G51" i="2"/>
  <c r="G183" i="2" s="1"/>
  <c r="G326" i="2"/>
  <c r="G249" i="2"/>
  <c r="F183" i="2"/>
  <c r="G388" i="2"/>
  <c r="G182" i="2"/>
  <c r="G184" i="2" l="1"/>
  <c r="F435" i="2"/>
  <c r="F2" i="2" s="1"/>
  <c r="G411" i="2"/>
  <c r="H184" i="2"/>
  <c r="H435" i="2" s="1"/>
  <c r="H1" i="2" s="1"/>
  <c r="J2" i="2"/>
  <c r="G435" i="2"/>
  <c r="G1" i="2" s="1"/>
  <c r="F1" i="2"/>
  <c r="I359" i="1" l="1"/>
  <c r="I273" i="1"/>
  <c r="I38" i="1"/>
  <c r="I22" i="1"/>
  <c r="I25" i="1"/>
  <c r="I13" i="1"/>
  <c r="I564" i="1"/>
  <c r="H564" i="1"/>
  <c r="I584" i="1"/>
  <c r="H584" i="1"/>
  <c r="I583" i="1"/>
  <c r="H583" i="1"/>
  <c r="I581" i="1"/>
  <c r="H581" i="1"/>
  <c r="I580" i="1"/>
  <c r="H580" i="1"/>
  <c r="H579" i="1"/>
  <c r="I565" i="1"/>
  <c r="H565" i="1"/>
  <c r="F562" i="1"/>
  <c r="F25" i="6" s="1"/>
  <c r="G562" i="1"/>
  <c r="I25" i="6" s="1"/>
  <c r="I559" i="1"/>
  <c r="H559" i="1"/>
  <c r="F550" i="1"/>
  <c r="F23" i="6" s="1"/>
  <c r="I549" i="1"/>
  <c r="G541" i="1"/>
  <c r="H540" i="1"/>
  <c r="H539" i="1"/>
  <c r="G537" i="1"/>
  <c r="I537" i="1" s="1"/>
  <c r="G536" i="1"/>
  <c r="I536" i="1" s="1"/>
  <c r="F21" i="6"/>
  <c r="I440" i="1"/>
  <c r="I439" i="1"/>
  <c r="G438" i="1"/>
  <c r="I437" i="1"/>
  <c r="H437" i="1"/>
  <c r="I436" i="1"/>
  <c r="H436" i="1"/>
  <c r="I435" i="1"/>
  <c r="H432" i="1"/>
  <c r="I526" i="1"/>
  <c r="I525" i="1"/>
  <c r="G517" i="1"/>
  <c r="I517" i="1" s="1"/>
  <c r="I516" i="1"/>
  <c r="I508" i="1"/>
  <c r="H507" i="1"/>
  <c r="G512" i="1"/>
  <c r="G533" i="1" s="1"/>
  <c r="I511" i="1"/>
  <c r="H511" i="1"/>
  <c r="I505" i="1"/>
  <c r="H504" i="1"/>
  <c r="H465" i="1"/>
  <c r="I464" i="1"/>
  <c r="H462" i="1"/>
  <c r="I461" i="1"/>
  <c r="H461" i="1"/>
  <c r="I459" i="1"/>
  <c r="H459" i="1"/>
  <c r="I450" i="1"/>
  <c r="I449" i="1"/>
  <c r="H453" i="1"/>
  <c r="I452" i="1"/>
  <c r="I448" i="1"/>
  <c r="H447" i="1"/>
  <c r="I430" i="1"/>
  <c r="F421" i="1"/>
  <c r="F18" i="6" s="1"/>
  <c r="I414" i="1"/>
  <c r="I413" i="1"/>
  <c r="H412" i="1"/>
  <c r="I411" i="1"/>
  <c r="I409" i="1"/>
  <c r="I408" i="1"/>
  <c r="H406" i="1"/>
  <c r="I405" i="1"/>
  <c r="I403" i="1"/>
  <c r="I402" i="1"/>
  <c r="F399" i="1"/>
  <c r="F17" i="6" s="1"/>
  <c r="G398" i="1"/>
  <c r="H398" i="1" s="1"/>
  <c r="G396" i="1"/>
  <c r="I396" i="1" s="1"/>
  <c r="H393" i="1"/>
  <c r="I392" i="1"/>
  <c r="G391" i="1"/>
  <c r="I391" i="1" s="1"/>
  <c r="F387" i="1"/>
  <c r="F14" i="6" s="1"/>
  <c r="G386" i="1"/>
  <c r="I386" i="1" s="1"/>
  <c r="G385" i="1"/>
  <c r="I385" i="1" s="1"/>
  <c r="I383" i="1"/>
  <c r="I382" i="1"/>
  <c r="F380" i="1"/>
  <c r="F13" i="6" s="1"/>
  <c r="I379" i="1"/>
  <c r="G378" i="1"/>
  <c r="I378" i="1" s="1"/>
  <c r="I377" i="1"/>
  <c r="H377" i="1"/>
  <c r="I376" i="1"/>
  <c r="I375" i="1"/>
  <c r="F371" i="1"/>
  <c r="G358" i="1"/>
  <c r="H358" i="1" s="1"/>
  <c r="I357" i="1"/>
  <c r="I356" i="1"/>
  <c r="I355" i="1"/>
  <c r="I354" i="1"/>
  <c r="I353" i="1"/>
  <c r="G352" i="1"/>
  <c r="H352" i="1" s="1"/>
  <c r="G350" i="1"/>
  <c r="I350" i="1" s="1"/>
  <c r="H348" i="1"/>
  <c r="I347" i="1"/>
  <c r="H346" i="1"/>
  <c r="I344" i="1"/>
  <c r="I342" i="1"/>
  <c r="I341" i="1"/>
  <c r="H339" i="1"/>
  <c r="I329" i="1"/>
  <c r="I327" i="1"/>
  <c r="I319" i="1"/>
  <c r="I322" i="1" s="1"/>
  <c r="I315" i="1"/>
  <c r="I314" i="1"/>
  <c r="I312" i="1"/>
  <c r="I311" i="1"/>
  <c r="H309" i="1"/>
  <c r="I308" i="1"/>
  <c r="H297" i="1"/>
  <c r="H298" i="1" s="1"/>
  <c r="F289" i="1"/>
  <c r="F305" i="1" s="1"/>
  <c r="F282" i="1"/>
  <c r="H274" i="1"/>
  <c r="H273" i="1"/>
  <c r="I250" i="1"/>
  <c r="I256" i="1" s="1"/>
  <c r="F123" i="1"/>
  <c r="I122" i="1"/>
  <c r="I120" i="1"/>
  <c r="F104" i="1"/>
  <c r="I103" i="1"/>
  <c r="F59" i="1"/>
  <c r="F304" i="1" s="1"/>
  <c r="I58" i="1"/>
  <c r="H56" i="1"/>
  <c r="H52" i="1"/>
  <c r="H53" i="1" s="1"/>
  <c r="F39" i="1"/>
  <c r="F5" i="6" s="1"/>
  <c r="I37" i="1"/>
  <c r="H32" i="1"/>
  <c r="I31" i="1"/>
  <c r="H29" i="1"/>
  <c r="I28" i="1"/>
  <c r="H21" i="1"/>
  <c r="H19" i="1"/>
  <c r="H18" i="1"/>
  <c r="H24" i="1"/>
  <c r="H16" i="1"/>
  <c r="H15" i="1"/>
  <c r="I12" i="1"/>
  <c r="G25" i="6" l="1"/>
  <c r="H25" i="6"/>
  <c r="H585" i="1"/>
  <c r="F11" i="6"/>
  <c r="I512" i="1"/>
  <c r="F6" i="6"/>
  <c r="F7" i="6"/>
  <c r="I541" i="1"/>
  <c r="G545" i="1"/>
  <c r="I22" i="6" s="1"/>
  <c r="H438" i="1"/>
  <c r="G441" i="1"/>
  <c r="H22" i="1"/>
  <c r="H359" i="1"/>
  <c r="I462" i="1"/>
  <c r="H103" i="1"/>
  <c r="I348" i="1"/>
  <c r="I56" i="1"/>
  <c r="I59" i="1" s="1"/>
  <c r="G104" i="1"/>
  <c r="I52" i="1"/>
  <c r="I53" i="1" s="1"/>
  <c r="F551" i="1"/>
  <c r="F586" i="1" s="1"/>
  <c r="I358" i="1"/>
  <c r="H378" i="1"/>
  <c r="H402" i="1"/>
  <c r="H411" i="1"/>
  <c r="I432" i="1"/>
  <c r="H13" i="1"/>
  <c r="H516" i="1"/>
  <c r="I539" i="1"/>
  <c r="H549" i="1"/>
  <c r="I393" i="1"/>
  <c r="I19" i="1"/>
  <c r="I231" i="1"/>
  <c r="I235" i="1" s="1"/>
  <c r="I309" i="1"/>
  <c r="I317" i="1" s="1"/>
  <c r="I352" i="1"/>
  <c r="H385" i="1"/>
  <c r="I447" i="1"/>
  <c r="H526" i="1"/>
  <c r="I438" i="1"/>
  <c r="I540" i="1"/>
  <c r="I398" i="1"/>
  <c r="H356" i="1"/>
  <c r="H430" i="1"/>
  <c r="H315" i="1"/>
  <c r="H355" i="1"/>
  <c r="H452" i="1"/>
  <c r="I504" i="1"/>
  <c r="H536" i="1"/>
  <c r="I102" i="1"/>
  <c r="I104" i="1" s="1"/>
  <c r="H342" i="1"/>
  <c r="I346" i="1"/>
  <c r="H386" i="1"/>
  <c r="H396" i="1"/>
  <c r="H403" i="1"/>
  <c r="I465" i="1"/>
  <c r="H517" i="1"/>
  <c r="H439" i="1"/>
  <c r="H102" i="1"/>
  <c r="I326" i="1"/>
  <c r="I335" i="1" s="1"/>
  <c r="I507" i="1"/>
  <c r="G123" i="1"/>
  <c r="H250" i="1"/>
  <c r="H256" i="1" s="1"/>
  <c r="H311" i="1"/>
  <c r="I274" i="1"/>
  <c r="H408" i="1"/>
  <c r="H329" i="1"/>
  <c r="H414" i="1"/>
  <c r="I453" i="1"/>
  <c r="G282" i="1"/>
  <c r="H440" i="1"/>
  <c r="H272" i="1"/>
  <c r="I406" i="1"/>
  <c r="G550" i="1"/>
  <c r="I23" i="6" s="1"/>
  <c r="I579" i="1"/>
  <c r="I585" i="1" s="1"/>
  <c r="I21" i="1"/>
  <c r="H120" i="1"/>
  <c r="H231" i="1"/>
  <c r="H235" i="1" s="1"/>
  <c r="I297" i="1"/>
  <c r="I298" i="1" s="1"/>
  <c r="H314" i="1"/>
  <c r="G371" i="1"/>
  <c r="H354" i="1"/>
  <c r="H375" i="1"/>
  <c r="H392" i="1"/>
  <c r="H450" i="1"/>
  <c r="G289" i="1"/>
  <c r="I289" i="1"/>
  <c r="I412" i="1"/>
  <c r="H122" i="1"/>
  <c r="I123" i="1"/>
  <c r="H38" i="1"/>
  <c r="H28" i="1"/>
  <c r="I32" i="1"/>
  <c r="H25" i="1"/>
  <c r="I15" i="1"/>
  <c r="I18" i="1"/>
  <c r="I24" i="1"/>
  <c r="H37" i="1"/>
  <c r="G59" i="1"/>
  <c r="H262" i="1"/>
  <c r="H269" i="1" s="1"/>
  <c r="I339" i="1"/>
  <c r="H350" i="1"/>
  <c r="G399" i="1"/>
  <c r="I17" i="6" s="1"/>
  <c r="H548" i="1"/>
  <c r="H561" i="1"/>
  <c r="H562" i="1" s="1"/>
  <c r="H31" i="1"/>
  <c r="H47" i="1"/>
  <c r="H48" i="1" s="1"/>
  <c r="I262" i="1"/>
  <c r="I269" i="1" s="1"/>
  <c r="H347" i="1"/>
  <c r="G387" i="1"/>
  <c r="I14" i="6" s="1"/>
  <c r="H505" i="1"/>
  <c r="I548" i="1"/>
  <c r="I550" i="1" s="1"/>
  <c r="I561" i="1"/>
  <c r="I562" i="1" s="1"/>
  <c r="I47" i="1"/>
  <c r="I48" i="1" s="1"/>
  <c r="H308" i="1"/>
  <c r="H312" i="1"/>
  <c r="H341" i="1"/>
  <c r="H344" i="1"/>
  <c r="H357" i="1"/>
  <c r="H376" i="1"/>
  <c r="H379" i="1"/>
  <c r="G380" i="1"/>
  <c r="I13" i="6" s="1"/>
  <c r="H405" i="1"/>
  <c r="H464" i="1"/>
  <c r="H525" i="1"/>
  <c r="H537" i="1"/>
  <c r="H541" i="1"/>
  <c r="I272" i="1"/>
  <c r="H326" i="1"/>
  <c r="H353" i="1"/>
  <c r="H383" i="1"/>
  <c r="H391" i="1"/>
  <c r="H413" i="1"/>
  <c r="G421" i="1"/>
  <c r="I18" i="6" s="1"/>
  <c r="H448" i="1"/>
  <c r="H449" i="1"/>
  <c r="H512" i="1"/>
  <c r="H508" i="1"/>
  <c r="G39" i="1"/>
  <c r="I5" i="6" s="1"/>
  <c r="H12" i="1"/>
  <c r="I16" i="1"/>
  <c r="I29" i="1"/>
  <c r="H58" i="1"/>
  <c r="H59" i="1" s="1"/>
  <c r="H319" i="1"/>
  <c r="H322" i="1" s="1"/>
  <c r="H327" i="1"/>
  <c r="H382" i="1"/>
  <c r="H409" i="1"/>
  <c r="H435" i="1"/>
  <c r="H18" i="6" l="1"/>
  <c r="G18" i="6"/>
  <c r="G23" i="6"/>
  <c r="H23" i="6"/>
  <c r="G22" i="6"/>
  <c r="H22" i="6"/>
  <c r="G13" i="6"/>
  <c r="H13" i="6"/>
  <c r="G17" i="6"/>
  <c r="H17" i="6"/>
  <c r="G14" i="6"/>
  <c r="H14" i="6"/>
  <c r="G5" i="6"/>
  <c r="H5" i="6"/>
  <c r="I11" i="6"/>
  <c r="H533" i="1"/>
  <c r="I533" i="1"/>
  <c r="G304" i="1"/>
  <c r="I6" i="6" s="1"/>
  <c r="I20" i="6"/>
  <c r="I305" i="1"/>
  <c r="H335" i="1"/>
  <c r="H545" i="1"/>
  <c r="I545" i="1"/>
  <c r="I551" i="1" s="1"/>
  <c r="H441" i="1"/>
  <c r="I441" i="1"/>
  <c r="H317" i="1"/>
  <c r="H104" i="1"/>
  <c r="H282" i="1"/>
  <c r="I380" i="1"/>
  <c r="I399" i="1"/>
  <c r="H380" i="1"/>
  <c r="H123" i="1"/>
  <c r="H399" i="1"/>
  <c r="I421" i="1"/>
  <c r="H371" i="1"/>
  <c r="G551" i="1"/>
  <c r="I282" i="1"/>
  <c r="I304" i="1" s="1"/>
  <c r="H421" i="1"/>
  <c r="I371" i="1"/>
  <c r="I39" i="1"/>
  <c r="H289" i="1"/>
  <c r="I387" i="1"/>
  <c r="H387" i="1"/>
  <c r="H39" i="1"/>
  <c r="H550" i="1"/>
  <c r="G20" i="6" l="1"/>
  <c r="H20" i="6"/>
  <c r="G6" i="6"/>
  <c r="H6" i="6"/>
  <c r="G11" i="6"/>
  <c r="H11" i="6"/>
  <c r="I586" i="1"/>
  <c r="I21" i="6"/>
  <c r="G305" i="1"/>
  <c r="I7" i="6" s="1"/>
  <c r="H304" i="1"/>
  <c r="H305" i="1"/>
  <c r="H551" i="1"/>
  <c r="G7" i="6" l="1"/>
  <c r="H7" i="6"/>
  <c r="G21" i="6"/>
  <c r="H21" i="6"/>
  <c r="H586" i="1"/>
  <c r="G586" i="1"/>
  <c r="G1" i="1" s="1"/>
  <c r="I28" i="6"/>
  <c r="G28" i="6" l="1"/>
  <c r="H28" i="6"/>
  <c r="J12" i="6"/>
  <c r="J15" i="6"/>
  <c r="J7" i="6"/>
  <c r="J5" i="6"/>
  <c r="J8" i="6"/>
  <c r="J4" i="6"/>
  <c r="J27" i="6"/>
  <c r="J11" i="6"/>
  <c r="J13" i="6"/>
  <c r="J21" i="6"/>
  <c r="J6" i="6"/>
  <c r="J19" i="6"/>
  <c r="J18" i="6"/>
  <c r="J17" i="6"/>
  <c r="J10" i="6"/>
  <c r="J16" i="6"/>
  <c r="J26" i="6"/>
  <c r="J9" i="6"/>
  <c r="J14" i="6"/>
  <c r="J23" i="6"/>
  <c r="J25" i="6"/>
  <c r="J22" i="6"/>
  <c r="J24" i="6"/>
  <c r="J20" i="6"/>
  <c r="J28" i="6" l="1"/>
</calcChain>
</file>

<file path=xl/sharedStrings.xml><?xml version="1.0" encoding="utf-8"?>
<sst xmlns="http://schemas.openxmlformats.org/spreadsheetml/2006/main" count="2080" uniqueCount="1067">
  <si>
    <t>(Rs. in Lakhs)</t>
  </si>
  <si>
    <t>Spill Over</t>
  </si>
  <si>
    <t xml:space="preserve">S. No  </t>
  </si>
  <si>
    <t xml:space="preserve">Activity </t>
  </si>
  <si>
    <t>Maximum
permissible
cost</t>
  </si>
  <si>
    <t>Pattern of Assistance</t>
  </si>
  <si>
    <t xml:space="preserve">Phy Target              </t>
  </si>
  <si>
    <t xml:space="preserve">Fin.           Outlay                        </t>
  </si>
  <si>
    <t xml:space="preserve">GOI Share 60%                      </t>
  </si>
  <si>
    <t>State Share 40%</t>
  </si>
  <si>
    <t>Remarks</t>
  </si>
  <si>
    <t>I</t>
  </si>
  <si>
    <t xml:space="preserve">Plantation Infrastructure and Development                               </t>
  </si>
  <si>
    <t xml:space="preserve"> Production of planting material Public Sector</t>
  </si>
  <si>
    <t>Hi-tech nursery (4ha)</t>
  </si>
  <si>
    <t>a) Public Sector</t>
  </si>
  <si>
    <t>Rs. 25.00 lakh/ha</t>
  </si>
  <si>
    <t>100% to public sector limited to Rs 100 lakh/unit and in case of private sector, credit linked back-ended subsidy @ 40% of cost, subject to a maximum of Rs. 40 lakh/unit, for a maximum of 4 ha. as project based activity on prorata basis.    Each nursery will produce a minimum of 50,000 numbers per hectare of mandated perennial fruit crops/ tree spices/ aromatic trees/plantation crops per year, duly certified for its quality.</t>
  </si>
  <si>
    <t>Project to be submitted</t>
  </si>
  <si>
    <t>b) Private Sector</t>
  </si>
  <si>
    <t>Rs. 25 lakh/ha unit</t>
  </si>
  <si>
    <t>Small Nursery (1 ha)</t>
  </si>
  <si>
    <t>Rs. 15 lakh/one ha unit</t>
  </si>
  <si>
    <t xml:space="preserve"> 100% to public sector and in case of private sector, credit linked back-ended subsidy @ 50% of cost, subject to a maximum of Rs. 7.50 lakh/unit, as project based activity.    Each nursery will produce a minimum of 25,000 numbers of mandated perennial vegetatively propagated fruit plants/tree spices/plantation crops aromatic plants, per year, duly certified for its quality.</t>
  </si>
  <si>
    <t xml:space="preserve"> 100% to public sector and in case of private sector, credit linked back-ended subsidy of cost, subject to a maximum of Rs. 7.50 lakh/unit, as project based activity.    Each nursery will produce a minimum of 25,000 numbers of mandated perennial vegetatively propagated fruit plants/tree spices/plantation crops per year, aromatic plants, duly certified for its quality.</t>
  </si>
  <si>
    <t>do</t>
  </si>
  <si>
    <r>
      <t xml:space="preserve">100% of cost to </t>
    </r>
    <r>
      <rPr>
        <b/>
        <sz val="12"/>
        <rFont val="Arial"/>
        <family val="2"/>
      </rPr>
      <t>public sector</t>
    </r>
  </si>
  <si>
    <t>b) Private sector</t>
  </si>
  <si>
    <r>
      <t xml:space="preserve">40% of cost to </t>
    </r>
    <r>
      <rPr>
        <b/>
        <sz val="12"/>
        <rFont val="Arial"/>
        <family val="2"/>
      </rPr>
      <t>private sector</t>
    </r>
  </si>
  <si>
    <t>Upgrading nursery Infrastructure to meet acceditation norms (4 ha)</t>
  </si>
  <si>
    <t>Up to Rs. 10.00 lakh/nursery of 4 ha, on prorata basis</t>
  </si>
  <si>
    <r>
      <t xml:space="preserve">100% of </t>
    </r>
    <r>
      <rPr>
        <b/>
        <sz val="12"/>
        <rFont val="Arial"/>
        <family val="2"/>
      </rPr>
      <t>Public Sector</t>
    </r>
  </si>
  <si>
    <r>
      <t xml:space="preserve">50% of cost to </t>
    </r>
    <r>
      <rPr>
        <b/>
        <sz val="12"/>
        <rFont val="Arial"/>
        <family val="2"/>
      </rPr>
      <t>Private sector</t>
    </r>
    <r>
      <rPr>
        <sz val="12"/>
        <rFont val="Arial"/>
        <family val="2"/>
      </rPr>
      <t xml:space="preserve"> subject to a maximum of Rs. 5.00 lakh/nursery.</t>
    </r>
  </si>
  <si>
    <t>Strengthening of existing Tissue Culture (TC) units</t>
  </si>
  <si>
    <t>Rs. 20.00 lakh</t>
  </si>
  <si>
    <r>
      <t xml:space="preserve">50% of cost to </t>
    </r>
    <r>
      <rPr>
        <b/>
        <sz val="12"/>
        <rFont val="Arial"/>
        <family val="2"/>
      </rPr>
      <t>private sector</t>
    </r>
  </si>
  <si>
    <t xml:space="preserve"> Setting up of new TC Units.</t>
  </si>
  <si>
    <t>Rs. 250.00 lakh</t>
  </si>
  <si>
    <t>Seed production for vegetables and  spices</t>
  </si>
  <si>
    <t xml:space="preserve"> Open pollinated crops</t>
  </si>
  <si>
    <t>Rs. 35,000/ha</t>
  </si>
  <si>
    <t xml:space="preserve">100% of cost, limited to 5 ha.     Output target of seed for each crop will be fixed by the individual state. </t>
  </si>
  <si>
    <t>b) Private sector-General Area</t>
  </si>
  <si>
    <t xml:space="preserve">35% in general areas and 50% in NE &amp; Himalayan States, Tribal Sub Plans (TSP) areas, Andaman &amp; Nicobar &amp; Lakshadweep Islands, limited to 5 ha.     Output target of seed for each crop will be fixed by the individual state. </t>
  </si>
  <si>
    <t>Hybrid seeds</t>
  </si>
  <si>
    <t>Rs. 1.50 lakh/ha</t>
  </si>
  <si>
    <t>Rs. 100.00 lakh</t>
  </si>
  <si>
    <r>
      <rPr>
        <b/>
        <sz val="12"/>
        <rFont val="Arial"/>
        <family val="2"/>
      </rPr>
      <t>100% of cost for State Govt.</t>
    </r>
    <r>
      <rPr>
        <sz val="12"/>
        <rFont val="Arial"/>
        <family val="2"/>
      </rPr>
      <t xml:space="preserve"> PSUs, as project based</t>
    </r>
  </si>
  <si>
    <t xml:space="preserve">Seed infrastructure </t>
  </si>
  <si>
    <t>a) Public sector</t>
  </si>
  <si>
    <t>Rs. 200.00 lakh</t>
  </si>
  <si>
    <t xml:space="preserve">100% of cost  </t>
  </si>
  <si>
    <t>50% of cost</t>
  </si>
  <si>
    <t>Sub-total  Planting material</t>
  </si>
  <si>
    <t xml:space="preserve">Establishment of new gardens / Area Expansion </t>
  </si>
  <si>
    <t xml:space="preserve"> Fruit crops other than cost intensive crops using normal spacing (For a maximum area of 4 ha per beneficiary)</t>
  </si>
  <si>
    <t xml:space="preserve">Fruits - Perennials </t>
  </si>
  <si>
    <t xml:space="preserve">(a) Cost intensive crops </t>
  </si>
  <si>
    <t xml:space="preserve">Fruit crops like Grape, Kiwi, Passion fruit etc. </t>
  </si>
  <si>
    <r>
      <t>a)</t>
    </r>
    <r>
      <rPr>
        <sz val="7"/>
        <rFont val="Times New Roman"/>
        <family val="1"/>
      </rPr>
      <t xml:space="preserve"> </t>
    </r>
    <r>
      <rPr>
        <sz val="12"/>
        <rFont val="Arial"/>
        <family val="2"/>
      </rPr>
      <t>Integrated package  with drip irrigation and trellis.</t>
    </r>
  </si>
  <si>
    <t>Rs. 4.00 lakh/ha.</t>
  </si>
  <si>
    <r>
      <t>Maximum of Rs. 1.60 lakh/- per ha. (40% of cost) for meeting the expenditure on planting material and  cost of material for  drip irrigation, trellies and   INM/IPM, in 3 installments of 60:20:20 subject to survival rate of 75% in 2</t>
    </r>
    <r>
      <rPr>
        <vertAlign val="superscript"/>
        <sz val="12"/>
        <rFont val="Arial"/>
        <family val="2"/>
      </rPr>
      <t>nd</t>
    </r>
    <r>
      <rPr>
        <sz val="12"/>
        <rFont val="Arial"/>
        <family val="2"/>
      </rPr>
      <t xml:space="preserve"> year and 90% in 3rd year). </t>
    </r>
  </si>
  <si>
    <t>b) Without integration</t>
  </si>
  <si>
    <t>Rs. 1.25 lakh/ha</t>
  </si>
  <si>
    <r>
      <t>Maximum of Rs. 0.50 lakh/ha (40% of cost) for meeting the expenditure on planting material and cost of   INM/IPM in three installments of 60:20:20 subject to survival rate of 75% in 2</t>
    </r>
    <r>
      <rPr>
        <vertAlign val="superscript"/>
        <sz val="12"/>
        <rFont val="Arial"/>
        <family val="2"/>
      </rPr>
      <t>nd</t>
    </r>
    <r>
      <rPr>
        <sz val="12"/>
        <rFont val="Arial"/>
        <family val="2"/>
      </rPr>
      <t xml:space="preserve"> year and 90% in 3rd year.        For (a) and (b) above, in the case of TSP areas, Andaman &amp; Nicobar and Lakshadweep Islands, assistance will be @ 50% of cost.</t>
    </r>
  </si>
  <si>
    <t>Sub total</t>
  </si>
  <si>
    <t>1st Year</t>
  </si>
  <si>
    <t>2nd Year</t>
  </si>
  <si>
    <t>Sub total maintainance</t>
  </si>
  <si>
    <t xml:space="preserve">ii) Strawberry </t>
  </si>
  <si>
    <r>
      <t>a)</t>
    </r>
    <r>
      <rPr>
        <sz val="7"/>
        <rFont val="Times New Roman"/>
        <family val="1"/>
      </rPr>
      <t xml:space="preserve"> </t>
    </r>
    <r>
      <rPr>
        <sz val="12"/>
        <rFont val="Arial"/>
        <family val="2"/>
      </rPr>
      <t>Integrated package  with drip irrigation &amp; mulching</t>
    </r>
  </si>
  <si>
    <t xml:space="preserve">Rs. 2.80 lakh/ha
</t>
  </si>
  <si>
    <t>Maximum of Rs. 1.12 lakh/ per ha. (40% of cost) for meeting the expenditure on planting material and cost of material for drip irrigation, mulching and   INM/IPM, in one installment.</t>
  </si>
  <si>
    <t>b)  Without integration</t>
  </si>
  <si>
    <t xml:space="preserve">Maximum of Rs. 0.50 lakh/ha (40% of cost) for meeting the expenditure on planting material and cost of   INM/IPM one installment.
For (a) and (b) above, in the case of TSP areas, Andaman &amp; Nicobar and Lakshadweep Islands, assistance will be @ 50% of cost.
</t>
  </si>
  <si>
    <t>iii) Banana (sucker)</t>
  </si>
  <si>
    <r>
      <t>a)</t>
    </r>
    <r>
      <rPr>
        <sz val="7"/>
        <rFont val="Times New Roman"/>
        <family val="1"/>
      </rPr>
      <t xml:space="preserve">            </t>
    </r>
    <r>
      <rPr>
        <sz val="12"/>
        <rFont val="Arial"/>
        <family val="2"/>
      </rPr>
      <t>Integrated package  with drip irrigation.</t>
    </r>
  </si>
  <si>
    <t>Rs. 2.00 lakh/ha</t>
  </si>
  <si>
    <t>Maximum of Rs. 0.80 lakh/ha (40% of the cost) for meeting expenditure on planting material, drip irrigation and cost of material for INM/IPM, in 2 installments (75:25).</t>
  </si>
  <si>
    <t>Rs.87,500/ha</t>
  </si>
  <si>
    <t>Maximum of Rs. 0.35 lakh/ha (40% of cost) for meeting the expenditure on planting material and cost of   INM/IPM in 2 installments (75:25).  For (a) and (b) above, in the case of TSP areas, Andaman &amp; Nicobar and Lakshadweep Islands, assistance will be @ 50% of cost in 2 installments.</t>
  </si>
  <si>
    <t>iv ) Pineapple (sucker)</t>
  </si>
  <si>
    <t>Rs. 3.00 lakh/ha</t>
  </si>
  <si>
    <t>Maximum of Rs. 1.20 lakh/ha (40% of the cost) for meeting expenditure on planting material, drip irrigation and cost of material for INM/IPM, in 2 installments.</t>
  </si>
  <si>
    <t xml:space="preserve">Maximum of Rs. 0.35 lakh/ha (40% of cost) for meeting the expenditure on planting material and cost of   INM/IPM in 2 installments (75:25).
For (a) and (b) above, in the case of TSP areas, Andaman &amp; Nicobar and Lakshadweep Islands, assistance will be @ 50% of cost in 2 installments (75:25).
</t>
  </si>
  <si>
    <t xml:space="preserve">v)  Banana (TC)  </t>
  </si>
  <si>
    <r>
      <t>a)</t>
    </r>
    <r>
      <rPr>
        <sz val="7"/>
        <rFont val="Times New Roman"/>
        <family val="1"/>
      </rPr>
      <t xml:space="preserve">    </t>
    </r>
    <r>
      <rPr>
        <sz val="12"/>
        <rFont val="Arial"/>
        <family val="2"/>
      </rPr>
      <t>Integrated package  with drip irrigation.</t>
    </r>
  </si>
  <si>
    <t xml:space="preserve">Maximum of Rs. 1.20 lakh/ha (40 % of cost) for meeting the expenditure on planting material and cost of material for drip system, INM/IPM etc., in 2 installments (75:25).  </t>
  </si>
  <si>
    <t xml:space="preserve">b)   Without integration </t>
  </si>
  <si>
    <t>Rs. 1.25 lakh/ha.</t>
  </si>
  <si>
    <t xml:space="preserve">Max. of Rs. 0.50 lakh per ha, (40% of cost) for meeting the expenditure on planting material and cost of   INM/IPM in 2 installments (75:25).
For (a) and (b) above, in the case of TSP areas, Andaman &amp; Nicobar and Lakshadweep Islands,   assistance will be @ 50% of cost in 2 installments (75:25).
</t>
  </si>
  <si>
    <t>vi) Pineapple (TC)</t>
  </si>
  <si>
    <t>Rs. 5.50 lakh /ha.</t>
  </si>
  <si>
    <t xml:space="preserve">Maximum of Rs. 2.20 lakh/ha (40 % of cost) for meeting the expenditure on planting material and cost of material for drip system, INM/IPM etc., in 2 installments (75:25).  </t>
  </si>
  <si>
    <t>b)   Without integration</t>
  </si>
  <si>
    <t xml:space="preserve">vii) Papaya </t>
  </si>
  <si>
    <t>a)  Integrated package  with drip irrigation.</t>
  </si>
  <si>
    <t xml:space="preserve"> Rs. 2.00 lakh/ha.</t>
  </si>
  <si>
    <t>Rs. 60,000/ha</t>
  </si>
  <si>
    <t xml:space="preserve">Maximum of Rs. 0.30 lakh/ha (50 % of cost) for meeting the expenditure on planting material and cost of INM/IPM in 2 installments (75:25).
For (a) and (b) above, in the case of NE and Himalayan States, TSP areas, Andaman &amp; Nicobar and Lakshadweep Islands,   assistance will be @ 50% of cost in 2 installments (75:25).
</t>
  </si>
  <si>
    <t>viii) Ultra high density (Meadow orchard)</t>
  </si>
  <si>
    <t>a)  Integrated package with drip irrigation</t>
  </si>
  <si>
    <t>Rs. 2.00 lakh/ha.</t>
  </si>
  <si>
    <r>
      <t>Maximum of Rs. 0.80 lakh/ ha. (40% of cost) for meeting the expenditure on planting material and cost of material for drip system, INM/IPM, and canopy management in 3 installments of 60:20:20 subject to survival rate of 75% in 2nd year and 90% in 3</t>
    </r>
    <r>
      <rPr>
        <vertAlign val="superscript"/>
        <sz val="12"/>
        <rFont val="Arial"/>
        <family val="2"/>
      </rPr>
      <t>rd</t>
    </r>
    <r>
      <rPr>
        <sz val="12"/>
        <rFont val="Arial"/>
        <family val="2"/>
      </rPr>
      <t xml:space="preserve"> year).</t>
    </r>
  </si>
  <si>
    <t xml:space="preserve">Maximum of Rs. 0.50 lakh/ha., (40% of cost) for meeting the expenditure on planting material and cost of   INM/IPM in 3 installments.
For (a) and (b) above, in the case of  TSP areas, Andaman &amp; Nicobar and Lakshadweep Islands,   assistance will be @ 50% of cost in 3 installments.
</t>
  </si>
  <si>
    <t>ix) High density planting (mango, guava, litchi, pomegranate, apple, citrus etc).</t>
  </si>
  <si>
    <t xml:space="preserve">Rs. 1.50 lakh /ha </t>
  </si>
  <si>
    <r>
      <t>Maximum of Rs. 0.60 lakh per ha. (40% of cost) for meeting the expenditure on planting material, cost of drip system, INM/IPM, canopy management etc., in 3 installments of 60:20:20 subject to survival rate of 75% in 2nd year and 90% in 3</t>
    </r>
    <r>
      <rPr>
        <vertAlign val="superscript"/>
        <sz val="12"/>
        <rFont val="Arial"/>
        <family val="2"/>
      </rPr>
      <t>rd</t>
    </r>
    <r>
      <rPr>
        <sz val="12"/>
        <rFont val="Arial"/>
        <family val="2"/>
      </rPr>
      <t xml:space="preserve"> year).</t>
    </r>
  </si>
  <si>
    <t xml:space="preserve">b) Without Integration. </t>
  </si>
  <si>
    <t>Rs. 1.00 lakh/ha.</t>
  </si>
  <si>
    <t xml:space="preserve">Maximum of Rs. 0.40 lakh/ha (40% of the cost) for meeting the expenditure on planting material and cost of   INM/IPM in 3 installments (60:20:20).
For (a) and (b) above, in the case of TSP areas, Andaman &amp; Nicobar and Lakshadweep Islands, assistance will be @ 50% of cost in 3 installments of 60:20:20 subject to survival rate of 75% in 2nd year and 90% in 3rd year)
</t>
  </si>
  <si>
    <t>-do-</t>
  </si>
  <si>
    <t>(b) Fruit crops other than cost intensive crops using normal spacing</t>
  </si>
  <si>
    <t>a) Integrated package with drip irrigation</t>
  </si>
  <si>
    <t xml:space="preserve">Rs. 1.00 lakh/ha </t>
  </si>
  <si>
    <t>Maximum of Rs. 0.40 lakh/ ha. (40% of cost) for meeting the expenditure on planting material, cost of drip system, INM/IPM, canopy management etc in 3 installments of 60:20:20 subject to survival rate of 75% in 2nd year &amp; 90% in 3rd year for perennial crops and for non perennial crops in 2 installments of 75:25.</t>
  </si>
  <si>
    <t xml:space="preserve">b) Without Integration </t>
  </si>
  <si>
    <t xml:space="preserve">Maximum of Rs. 0.30 lakh/ha (50 % of cost) for meeting the expenditure on planting material and cost of INM/IPM in 3 installments of 60:20:20.
</t>
  </si>
  <si>
    <t>Vegetable (For maximum area of 2 ha per beneficiary)</t>
  </si>
  <si>
    <t>Hybrid</t>
  </si>
  <si>
    <t>Rs.50,000/ ha</t>
  </si>
  <si>
    <t xml:space="preserve">40% of cost in general areas </t>
  </si>
  <si>
    <t xml:space="preserve">Sub-total </t>
  </si>
  <si>
    <t>Flowers   (For a maximum of 2 ha  per beneficiary)</t>
  </si>
  <si>
    <t xml:space="preserve"> Cut flowers</t>
  </si>
  <si>
    <t xml:space="preserve"> Small &amp; Marginal Farmers</t>
  </si>
  <si>
    <t>Rs. 1.00 lakh/ha</t>
  </si>
  <si>
    <t xml:space="preserve">40% of cost  </t>
  </si>
  <si>
    <t>Other farmers</t>
  </si>
  <si>
    <t xml:space="preserve">25% of the cost </t>
  </si>
  <si>
    <t>Bulbulous flowers</t>
  </si>
  <si>
    <t xml:space="preserve">Rs. 1.50 lakh/ha </t>
  </si>
  <si>
    <t>40 % of the cost</t>
  </si>
  <si>
    <t>25% of cost</t>
  </si>
  <si>
    <t xml:space="preserve"> Loose Flowers</t>
  </si>
  <si>
    <t>Rs. 40,000/ha</t>
  </si>
  <si>
    <t>Sub-total flowers</t>
  </si>
  <si>
    <t>Spices ( For a maximum area of 4 ha per beneficiary)</t>
  </si>
  <si>
    <r>
      <t xml:space="preserve">Seed spice and   </t>
    </r>
    <r>
      <rPr>
        <b/>
        <sz val="12"/>
        <rFont val="Arial"/>
        <family val="2"/>
      </rPr>
      <t xml:space="preserve"> </t>
    </r>
    <r>
      <rPr>
        <sz val="12"/>
        <rFont val="Arial"/>
        <family val="2"/>
      </rPr>
      <t>Rhizomatic spices</t>
    </r>
  </si>
  <si>
    <t>Rs.30,000/ha</t>
  </si>
  <si>
    <t xml:space="preserve">Maximum of Rs. 12,000/- per ha. (40% of cost) for meeting the expenditure on planting material and cost of material for INM/IPM etc). </t>
  </si>
  <si>
    <r>
      <t xml:space="preserve">Perennial spices      </t>
    </r>
    <r>
      <rPr>
        <sz val="12"/>
        <rFont val="Arial"/>
        <family val="2"/>
      </rPr>
      <t xml:space="preserve">                                                (black pepper)</t>
    </r>
  </si>
  <si>
    <t>Rs. 50,000/ha</t>
  </si>
  <si>
    <t xml:space="preserve">Maximum of Rs. 20,000/- per ha (@40% of cost) for meeting the expenditure on planting material and cost of material for INM/IPM etc. 
For (i) and (ii) above, in the case of TSP areas, Andaman and Lakshadweep Islands, assistance will be @ 50% of cost.
</t>
  </si>
  <si>
    <t>Sub-total spices</t>
  </si>
  <si>
    <t>Aromatic Plants   (For a maximum area of 4 ha per beneficiary)</t>
  </si>
  <si>
    <t xml:space="preserve">(a) Cost intensive aromatic plants </t>
  </si>
  <si>
    <t xml:space="preserve">Rs. 1,00,000/ha </t>
  </si>
  <si>
    <t xml:space="preserve">40% of cost, subject to a maximum of Rs.40,000/- per ha, for meeting the expenditure on planting material and cost of material for INM/IPM etc.  </t>
  </si>
  <si>
    <t>(b) Other aromatic plants</t>
  </si>
  <si>
    <t xml:space="preserve">Rs. 40,000/ha </t>
  </si>
  <si>
    <t xml:space="preserve">40% of cost, subject to a maximum of Rs.16,000/- per ha, for meeting the expenditure on planting material and cost of material for INM/IPM etc.  
For (i) and (ii) above, in the case of TSP areas, Andaman &amp; Nicobar and Lakshadweep Islands, assistance will be @ 50% of cost.
</t>
  </si>
  <si>
    <t>Sub-total aromatics</t>
  </si>
  <si>
    <t>Plantation crops (For a maximum area of 4 ha per beneficiary)</t>
  </si>
  <si>
    <t>Cashew</t>
  </si>
  <si>
    <t xml:space="preserve">Rs. 1.00 lakh/ha
</t>
  </si>
  <si>
    <t xml:space="preserve">Rs. 0.40 lakh per ha (40% of cost) for meeting the expenditure on planting material and cost of material for drip system, INM/IPM etc) in 3 installments of 60:20:20 subject to survival rate of 50% in second year and 90% in third year.  </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</si>
  <si>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TSP areas, Andaman &amp; Nicobar and Lakshadweep Islands assistance will be @ 50% of cost in 3 installments.</t>
    </r>
  </si>
  <si>
    <t>Cocoa</t>
  </si>
  <si>
    <r>
      <t xml:space="preserve">Rs.0.20 lakh per ha (40 % of  cost)  </t>
    </r>
    <r>
      <rPr>
        <sz val="12"/>
        <rFont val="Arial"/>
        <family val="2"/>
      </rPr>
      <t xml:space="preserve"> for meeting the expenditure on planting material and cost of material for INM/IPM in 3 installments of 60:20:20 subject to survival rate of 75% in second year and 90% in third year for a maximum area of 4 ha per beneficiary.                                     For (a) and (b) above, in the case of NE and Himalayan States, TSP areas, Andaman &amp; Nicobar and Lakshadweep Islands assistance will be @ 50% of cost in 3 installments.</t>
    </r>
  </si>
  <si>
    <t xml:space="preserve">Cocoa inter Crop in Arecanut Gardens </t>
  </si>
  <si>
    <t xml:space="preserve">Grand Total Area Expansion </t>
  </si>
  <si>
    <t>Grand Total Area Expansion maintenance</t>
  </si>
  <si>
    <t>Mushrooms</t>
  </si>
  <si>
    <t>Production unit</t>
  </si>
  <si>
    <t>Public Sector</t>
  </si>
  <si>
    <t>Rs. 20.00 lakh/ unit</t>
  </si>
  <si>
    <t>100% of the cost.</t>
  </si>
  <si>
    <t xml:space="preserve">Private Sector                                 </t>
  </si>
  <si>
    <t>40% of cost for private sector, for meeting the expenditure on infrastructure, as credit linked back ended subsidy.</t>
  </si>
  <si>
    <t>Spawn making unit</t>
  </si>
  <si>
    <t>Rs. 15 lakh/ unit</t>
  </si>
  <si>
    <t>Private Sector</t>
  </si>
  <si>
    <t>Compost making unit</t>
  </si>
  <si>
    <t>Sub-total mushrooms</t>
  </si>
  <si>
    <t>Rejuvenation/ replacement of senile plantation including Canopy management. Mango</t>
  </si>
  <si>
    <t>50% of the total cost subject to a maximum of Rs. 20,000/ha limited to two ha per beneficiary.</t>
  </si>
  <si>
    <t>Creation of Water resources</t>
  </si>
  <si>
    <t>Community tanks</t>
  </si>
  <si>
    <t>i) Community tanks/on farm ponds/on farm water reservoirs with use of plastic/RCC lining - (10 ha. of command area, with pond size of 100m x 100m x 3m) -</t>
  </si>
  <si>
    <t>Community tanks/on farm ponds/on farm water reservoirs with use of plastic/RCC lining</t>
  </si>
  <si>
    <t xml:space="preserve">Plain areas </t>
  </si>
  <si>
    <t xml:space="preserve">Rs. 20.00 lakh in plain areas </t>
  </si>
  <si>
    <t>100% of cost for 10 ha command</t>
  </si>
  <si>
    <t>Hilly areas.</t>
  </si>
  <si>
    <t xml:space="preserve">Rs. 25 lakh/ unit for Hilly areas. </t>
  </si>
  <si>
    <t xml:space="preserve">ii) Water harvesting system  for individuals- for storage   of water in 20mx20mx3m </t>
  </si>
  <si>
    <t xml:space="preserve">Rs. 1.50 lakh/unit in plain areas and </t>
  </si>
  <si>
    <t xml:space="preserve">Rs. 1.80 lakh/unit in hilly areas </t>
  </si>
  <si>
    <t>Protected cultivation</t>
  </si>
  <si>
    <t xml:space="preserve">a) Green House structure                </t>
  </si>
  <si>
    <t xml:space="preserve"> Fan &amp; Pad system</t>
  </si>
  <si>
    <t>Rs. 1650/Sq.m (up to area 500 Sq. m)</t>
  </si>
  <si>
    <t xml:space="preserve">50% of cost for a maximum area of 4000 sq. m per beneficiary. </t>
  </si>
  <si>
    <t>Rs. 1465/Sq. m (&gt;500 Sq.m up to 1008 Sqm)</t>
  </si>
  <si>
    <t>Rs. 1420/Sq. m (&gt;1008 Sq. m up to 2080 Sq.m)</t>
  </si>
  <si>
    <t>Rs. 1400/Sq. m (&gt;2080 Sq. m upto 4000 Sq.m)</t>
  </si>
  <si>
    <t>(b) Naturally ventilated system</t>
  </si>
  <si>
    <t>(i) Tubular structur</t>
  </si>
  <si>
    <t xml:space="preserve">Rs.1060/Sq.m </t>
  </si>
  <si>
    <t>50% of the cost limited to 4000  Sq.m per beneficiary.</t>
  </si>
  <si>
    <t>Rs. 935/Sq.m (&gt;500 Sq. m up to 1008 Sq. m)</t>
  </si>
  <si>
    <t>Rs. 890/Sq. m (&gt;1008 Sq.m up to 2080 Sq. m)</t>
  </si>
  <si>
    <t>Rs. 844/Sq. m (&gt;2080 Sq. m up to 4000 Sq. m)</t>
  </si>
  <si>
    <t>ii) Wooden structure</t>
  </si>
  <si>
    <t xml:space="preserve">Rs. 540/Sq. m </t>
  </si>
  <si>
    <t>50% of the cost limited to 20 units (each unit not to exceed 200 Sq.m per beneficiary).</t>
  </si>
  <si>
    <t xml:space="preserve">Rs. 621/Sq. m for hilly areas  </t>
  </si>
  <si>
    <t>iii) Bamboo structure</t>
  </si>
  <si>
    <t xml:space="preserve">Rs. 450/Sq. m </t>
  </si>
  <si>
    <t>50% of the cost limited to 20 units (each unit should not exceed 200 Sqm per beneficiary.</t>
  </si>
  <si>
    <t>Rs. 518/Sq. m for hilly areas</t>
  </si>
  <si>
    <t>c)  Plastic Mulching</t>
  </si>
  <si>
    <t xml:space="preserve"> Plastic Mulching</t>
  </si>
  <si>
    <t>Rs. 32,000/ha</t>
  </si>
  <si>
    <t>50% of the total cost limited to 2 ha per beneficiary.</t>
  </si>
  <si>
    <t>Rs. 36,800/ha for hilly areas</t>
  </si>
  <si>
    <t>d) Shade Net House</t>
  </si>
  <si>
    <t>i)  Tubular structure</t>
  </si>
  <si>
    <t xml:space="preserve">Rs. 710/Sq.m </t>
  </si>
  <si>
    <t>50% of cost limited to  4000  Sq.m  per beneficiary.</t>
  </si>
  <si>
    <t xml:space="preserve"> i) Tubular structure</t>
  </si>
  <si>
    <t>Rs. 816/Sq.m for hilly areas</t>
  </si>
  <si>
    <t xml:space="preserve">Rs. 492/Sq.m </t>
  </si>
  <si>
    <t>50% of cost limited to 20 units      (each unit not to exceed 200  Sq.m )  per beneficiary.</t>
  </si>
  <si>
    <t>Rs. 566/Sq.m for hilly areas</t>
  </si>
  <si>
    <t>Rs.360/Sq.m</t>
  </si>
  <si>
    <t>50% of cost limited to 20 units (each unit not to exceed                 200  sq. m)  per beneficiary.</t>
  </si>
  <si>
    <t>Rs. 414/Sq. m for hilly areas</t>
  </si>
  <si>
    <t>Plastic Tunnels</t>
  </si>
  <si>
    <t xml:space="preserve">Rs. 60/Sq.m </t>
  </si>
  <si>
    <t>50% of cost limited 1000 sq. m per beneficiary.</t>
  </si>
  <si>
    <t xml:space="preserve">Rs.75/Sq.m for hilly areas. </t>
  </si>
  <si>
    <t>Walk in tunnels</t>
  </si>
  <si>
    <t>Rs. 600/ Sq.m</t>
  </si>
  <si>
    <t>50% of the cost limited to 4000 sq.m. (each unit not to exceed 800 Sq. m per beneficiary).</t>
  </si>
  <si>
    <t>e) Anti Bird/Anti  Hail Nets</t>
  </si>
  <si>
    <t>Rs.35/- per Sq.m</t>
  </si>
  <si>
    <t>50% of cost limited to 5000 Sq.m per beneficiary.</t>
  </si>
  <si>
    <t>f) Cost of planting material &amp; cultivation of  high value vegetables grown in    poly house</t>
  </si>
  <si>
    <t>Rs.140/Sq. m</t>
  </si>
  <si>
    <t>50% of cost limited to 4000 Sq.m   per beneficiary.</t>
  </si>
  <si>
    <t>g) Cost of planting material &amp; cultivation of Orchid &amp; Anthurium under poly house/shade net house.</t>
  </si>
  <si>
    <t>Rs. 700/Sq.m</t>
  </si>
  <si>
    <t>50% of cost limited to 4000 Sq. m per beneficiary.</t>
  </si>
  <si>
    <t>h) Cost of planting material &amp; cultivation of Carnation &amp; Gerbera under poly house/shade net house.</t>
  </si>
  <si>
    <t>Rs. 610/Sq.m</t>
  </si>
  <si>
    <t>i) Cost of  planting material &amp; cultivation of Rose and lilum under poly house/shade net house</t>
  </si>
  <si>
    <t>Rs. 426/Sq.m</t>
  </si>
  <si>
    <t>Sub-total protected cultivation</t>
  </si>
  <si>
    <t>Promotion of Integrated Nutrient Management(INM)/ Integrated Pest Management (IPM)</t>
  </si>
  <si>
    <t>Promotion of IPM</t>
  </si>
  <si>
    <t>Rs. 4000/ha</t>
  </si>
  <si>
    <t>30% of cost subject to a maximum of Rs 1200/ha limited to 4.00 ha/ beneficiary.</t>
  </si>
  <si>
    <t>Promotion of INM</t>
  </si>
  <si>
    <t>Disease forecasting unit (PSUs)</t>
  </si>
  <si>
    <t xml:space="preserve">Rs. 6.00 lakh/unit </t>
  </si>
  <si>
    <t xml:space="preserve">100 % of costs. </t>
  </si>
  <si>
    <t xml:space="preserve"> Bio control lab </t>
  </si>
  <si>
    <t xml:space="preserve">Rs. 90.00 lakh/unit </t>
  </si>
  <si>
    <t>100% to Public sector</t>
  </si>
  <si>
    <t xml:space="preserve">50% to private sector. </t>
  </si>
  <si>
    <t xml:space="preserve"> Plant Health Clinic</t>
  </si>
  <si>
    <t>Rs. 25.00 lakhs/unit</t>
  </si>
  <si>
    <t xml:space="preserve"> Leaf /Tissue analysis lab</t>
  </si>
  <si>
    <t>Sub-total  INM / IPM</t>
  </si>
  <si>
    <t>Adoption Organic Farming</t>
  </si>
  <si>
    <r>
      <t xml:space="preserve">(i) Adoption of Organic Farming. </t>
    </r>
    <r>
      <rPr>
        <b/>
        <sz val="12"/>
        <rFont val="Arial"/>
        <family val="2"/>
      </rPr>
      <t>1st Year (ha)</t>
    </r>
  </si>
  <si>
    <t>Rs. 20,000/ ha</t>
  </si>
  <si>
    <t>50% of cost limited to Rs.10000/ha for a maximum area of 4 ha. per beneficiary, spread over a period of 3 years involving an assistance of Rs.4000/- in first year and Rs.3000/- each  in second  &amp; third year.  The programme to be linked with certification.</t>
  </si>
  <si>
    <t>3rd Year</t>
  </si>
  <si>
    <t>(ii) Organic  Certification  (no)</t>
  </si>
  <si>
    <r>
      <t xml:space="preserve"> </t>
    </r>
    <r>
      <rPr>
        <b/>
        <sz val="12"/>
        <rFont val="Arial"/>
        <family val="2"/>
      </rPr>
      <t>1st Year (ha)</t>
    </r>
  </si>
  <si>
    <t>Project based</t>
  </si>
  <si>
    <t xml:space="preserve">Rs. 5 lakh for a cluster of 50 ha which will include Rs.1.50 lakh in first year, Rs. 1.50 lakh in second year and Rs. 2.00 lakh in third year. </t>
  </si>
  <si>
    <t>iii) Vermi compost Units /organic input production unit</t>
  </si>
  <si>
    <t>i) Vermi compost Units</t>
  </si>
  <si>
    <t>Rs.1,00,000/ unit for permanent structure and Rs. 16,000/unit for HDPE Vermibed.</t>
  </si>
  <si>
    <t>50% of cost conforming to the size of the unit of 30’x8’x2.5’ dimension of permanent structure to be administered on pro-rata basis. 50% of cost conforming to the size of 96 cft (12’x4’x2’) and IS 15907:2010 to be administered on pro-rata basis.</t>
  </si>
  <si>
    <t>ii) Vermibeds</t>
  </si>
  <si>
    <t>Pollination support through beekeeping</t>
  </si>
  <si>
    <t>Production of nucleus stock (Public sector)</t>
  </si>
  <si>
    <t>Production of  bee    colonies by bee breeder</t>
  </si>
  <si>
    <t>Rs. 10.00 lakh</t>
  </si>
  <si>
    <t>40% of cost for producing min. of 2000 colonies / year</t>
  </si>
  <si>
    <t>Honey bee colony</t>
  </si>
  <si>
    <t xml:space="preserve">Rs.2000/colony of 8 frames </t>
  </si>
  <si>
    <t>40% of cost limited to 50 colonies / beneficiary.</t>
  </si>
  <si>
    <t>Hives</t>
  </si>
  <si>
    <t>Rs 2000/ per hive.</t>
  </si>
  <si>
    <t>Equipment including  honey extractor (4 frame), food grade container (30 kg), net, etc.</t>
  </si>
  <si>
    <t xml:space="preserve">Rs. 20,000/set </t>
  </si>
  <si>
    <t>40% of the cost limited to one set per beneficiary.</t>
  </si>
  <si>
    <t>Horticulture Mechanization</t>
  </si>
  <si>
    <t xml:space="preserve">i) Tractor (upto 20 PTO HP)  </t>
  </si>
  <si>
    <t>3.00 lakh/unit</t>
  </si>
  <si>
    <t xml:space="preserve">25% of cost, subject to a maximum of Rs. 0.75 lakh/unit for general category farmers, and in the case if SC, ST, Small &amp; Marginal famers, women farmers and beneficiaries in NE states, 35% of cost, subject to a maximum of Rs. 1.00 lakh per unit. </t>
  </si>
  <si>
    <t>i) Tractor (upto 20 PTO HP)  (SC, ST, Small &amp; Marginal famers)</t>
  </si>
  <si>
    <t>ii) Power Tiller</t>
  </si>
  <si>
    <t>1.00 lakh per unit</t>
  </si>
  <si>
    <t>Subject to a maximum of Rs.0.40 lakh/unit for general category farmers, and in the case if SC, ST, Small &amp;  Marginal farmers, women farmers and beneficiaries in NE states, subject of a maximum of Rs. 0.50 lakh/unit.</t>
  </si>
  <si>
    <t>a) Power tiller (below 8 BHP) (SC, ST, Small &amp; Marginal famers)</t>
  </si>
  <si>
    <t>b) Power tiller (8 BHP &amp;  above)</t>
  </si>
  <si>
    <t>1.50 lakh per unit</t>
  </si>
  <si>
    <t>Subject to a maximum of Rs.0.60 lakh/unit for general category farmers, and in the case if SC, ST, Small &amp;  Marginal farmers, women farmers and beneficiaries in NE states, subject of a maximum of Rs. 0.75 lakh/unit.</t>
  </si>
  <si>
    <t>b) Power tiller (8 BHP &amp;  above) (SC, ST, Small &amp; Marginal famers)</t>
  </si>
  <si>
    <t>(iii) Tractor/Power tiller (below 20 BHP) driven equipments</t>
  </si>
  <si>
    <r>
      <t>a)</t>
    </r>
    <r>
      <rPr>
        <sz val="7"/>
        <rFont val="Times New Roman"/>
        <family val="1"/>
      </rPr>
      <t xml:space="preserve">   </t>
    </r>
    <r>
      <rPr>
        <sz val="12"/>
        <rFont val="Arial"/>
        <family val="2"/>
      </rPr>
      <t xml:space="preserve">Land Development, tillage and seed bed preparation equipments </t>
    </r>
  </si>
  <si>
    <t>0.30 lakh per unit</t>
  </si>
  <si>
    <t>Subject to a maximum of Rs.0.12 lakh/unit for general category farmers, and in the case if SC, ST, Small &amp; Marginal farmers, women farmers and beneficiaries in NE states, subject of a maximum of Rs. 0.15 lakh/unit.</t>
  </si>
  <si>
    <t>1) General</t>
  </si>
  <si>
    <r>
      <t>b)</t>
    </r>
    <r>
      <rPr>
        <sz val="7"/>
        <rFont val="Times New Roman"/>
        <family val="1"/>
      </rPr>
      <t xml:space="preserve">   </t>
    </r>
    <r>
      <rPr>
        <sz val="12"/>
        <rFont val="Arial"/>
        <family val="2"/>
      </rPr>
      <t>Sowing, planting reaping and digging equipments</t>
    </r>
  </si>
  <si>
    <t>Subject to a maximum of Rs.0.12 lakh/unit for general category farmers, and in the case if SC, ST, Small &amp;  Marginal farmers, women farmers and beneficiaries in NE states,  subject of a maximum of Rs. 0.15 lakh/unit.</t>
  </si>
  <si>
    <r>
      <t>c)</t>
    </r>
    <r>
      <rPr>
        <sz val="7"/>
        <rFont val="Times New Roman"/>
        <family val="1"/>
      </rPr>
      <t xml:space="preserve">    </t>
    </r>
    <r>
      <rPr>
        <sz val="12"/>
        <rFont val="Arial"/>
        <family val="2"/>
      </rPr>
      <t>Plastic mulch laying machine</t>
    </r>
  </si>
  <si>
    <t>0.70 lakh per unit</t>
  </si>
  <si>
    <t>Subject to a maximum of Rs.0.28 lakh/unit for general category farmers, and in the case if SC, ST, Small &amp; Marginal farmers, women farmers and beneficiaries in NE states, subject of a maximum of Rs. 0.35 lakh/unit.</t>
  </si>
  <si>
    <t>2.50 lakh per unit</t>
  </si>
  <si>
    <t>Subject to a maximum of Rs. 1.00 lakh/unit for general category farmers, and in the case if SC, ST, Small &amp; Marginal farmers, women farmers and beneficiaries in NE states, subject of a maximum of Rs. 1.25 lakh/unit.</t>
  </si>
  <si>
    <t>(v) PP Equipment</t>
  </si>
  <si>
    <t>Manual Sprayer (Knapsack/foot operated sprayer</t>
  </si>
  <si>
    <t>a) General</t>
  </si>
  <si>
    <t>0.012 lakh per unit</t>
  </si>
  <si>
    <t>Subject to a maximum of Rs.0.005 lakh/unit for general category farmers, and in the case if SC, ST, Small &amp; Marginal farmers, women farmers and beneficiaries in NE states, subject of a maximum of Rs. 0.006 lakh/unit.</t>
  </si>
  <si>
    <t>b) SC/ ST etc</t>
  </si>
  <si>
    <t>Power Knapsack sprayer/power operated Taiwan sprayer (8-12 lts Capcity)</t>
  </si>
  <si>
    <t>0.062 lakh per unit</t>
  </si>
  <si>
    <t>Subject to a maximum of Rs. 0.025 lakh/unit for general category farmers, and in the case if SC, ST, Small &amp; Marginal farmers, women farmers and beneficiaries in NE states, subject of a maximum of Rs. 0.031 lakh/unit.</t>
  </si>
  <si>
    <t>Power Knapsack sprayer/power operated Taiwan sprayer (12-16 lts Capcity)</t>
  </si>
  <si>
    <t>Subject to a maximum of Rs.0.03 lakh/unit for general category farmers, and in the case if SC, ST, Small &amp; Marginal farmers, women farmers and beneficiaries in NE states, subject of a maximum of Rs. 0.038 lakh/unit</t>
  </si>
  <si>
    <t>Power Knapsack sprayer/power operated Taiwan sprayer (16 lts Capcity)</t>
  </si>
  <si>
    <t>0.20 lakh per unit</t>
  </si>
  <si>
    <t>Subject to a maximum of Rs.0.08 lakh/unit for general category farmers, and in the case if SC, ST, Small &amp; Marginal farmers, women farmers and beneficiaries in NE states, subject of a maximum of Rs. 0.10 lakh/unit</t>
  </si>
  <si>
    <t>Tractor Mounted /operated sprayer (Below 20HP)</t>
  </si>
  <si>
    <t>Subject to a maximum of Rs. 0.08 lakh/unit for general category farmers, and in the case if SC, ST, Small &amp; Marginal farmers, women farmers and beneficiaries in NE states, subject of a maximum of Rs. 0.10 lakh/unit.</t>
  </si>
  <si>
    <t>Tractor Mounted /operated sprayer (Above 35HP)</t>
  </si>
  <si>
    <t>1.26 lakh per unit</t>
  </si>
  <si>
    <t>40% of cost, subject to a maximum of Rs. 0.50 lakh/unit for general category farmers, and in the case if SC, ST, Small &amp; Marginal famers, women farmers and beneficiaries in NE states, 50% of cost, subject to a maximum of Rs. 0.63 lakh per unit.</t>
  </si>
  <si>
    <t>Eco Friendly Light Trap</t>
  </si>
  <si>
    <t>Rs. 0.028 lakh/unit</t>
  </si>
  <si>
    <t>Subject to a maximum of Rs.0.012 lakh/unit for general category farmers, and in the case if SC, ST, Small &amp; Marginal farmers, women farmers and beneficiaries in NE states, subject of a maximum of Rs. 0.014 lakh/unit</t>
  </si>
  <si>
    <t>v) Import of new machines &amp;  tools for horticulture for demonstration purpose (Public sector)</t>
  </si>
  <si>
    <t>Rs. 50.00 lakh per unit</t>
  </si>
  <si>
    <t>100% of the total cost.</t>
  </si>
  <si>
    <t xml:space="preserve">Technology Dissemination through demonstration/ Front Line Demonstration (FLD) </t>
  </si>
  <si>
    <t>Rs. 25.00 lakh</t>
  </si>
  <si>
    <t>75 % of cost in farmers’ field and 100% of cost in farms belonging to Public Sector, SAUs etc. No change</t>
  </si>
  <si>
    <t>INTEGRATED POST HARVEST MANAGEMENT</t>
  </si>
  <si>
    <t>Pack house / On farm collection &amp; storage unit</t>
  </si>
  <si>
    <t>Rs. 4.00 lakh/unit with size of 9Mx6M</t>
  </si>
  <si>
    <t>50% of the capital cost.</t>
  </si>
  <si>
    <t>Integrated pack house with facilities for conveyer belt, sorting, grading units, washing, drying and weighing.</t>
  </si>
  <si>
    <t>Rs. 50.00 lakh per unit with size of 9Mx18M</t>
  </si>
  <si>
    <t>Credit linked back-ended subsidy @ 35% of the cost of project in general areas and 50% of cost in case Hilly &amp; Scheduled areas, per beneficiary.</t>
  </si>
  <si>
    <t>a) General Area</t>
  </si>
  <si>
    <t>b) Hilly Area</t>
  </si>
  <si>
    <t xml:space="preserve">Pre-cooling unit </t>
  </si>
  <si>
    <t>Rs. 25.00 lakh / unit with capacity of                6MT.</t>
  </si>
  <si>
    <t>Pre-cooling unit (Hilly areas)</t>
  </si>
  <si>
    <t>Cold room (staging)</t>
  </si>
  <si>
    <t>Rs. 15.00 lakh/ unit of 30 MT capacity</t>
  </si>
  <si>
    <t>Cold room (staging) (Hilly areas)</t>
  </si>
  <si>
    <t xml:space="preserve">Mobile pre- cooling unit  </t>
  </si>
  <si>
    <t xml:space="preserve">Rs. 25.00 lakh </t>
  </si>
  <si>
    <t xml:space="preserve">Credit linked back-ended subsidy @ 35% of the cost of project in general areas and 50% of cost in case Hilly &amp; Scheduled areas, per beneficiary. </t>
  </si>
  <si>
    <t>Mobile pre- cooling unit  (Hilly areas)</t>
  </si>
  <si>
    <t>Cold Storage  (Construction, Expansion and Modernisation)</t>
  </si>
  <si>
    <t>i) Cold storage units Type 1 - basic  mezzanine structure  with large chamber (of &gt;250 MT) type with single temperature zone</t>
  </si>
  <si>
    <t>Rs. 8,000/MT, (max 5,000 MT capacity)</t>
  </si>
  <si>
    <r>
      <t xml:space="preserve">Credit linked back-ended subsidy @ 35% of the cost of project in general areas and 50% of cost in case Hilly &amp; Scheduled areas, </t>
    </r>
    <r>
      <rPr>
        <sz val="12"/>
        <color indexed="8"/>
        <rFont val="Arial"/>
        <family val="2"/>
      </rPr>
      <t>per beneficiary.</t>
    </r>
  </si>
  <si>
    <t>ii) Cold Storage Unit Type 2 – PEB structure for multiple temperature and  product use, more than 6 chambers (of &lt; 250 MT) and basic material handling equipment.</t>
  </si>
  <si>
    <t>Rs. 10,000/MT, (max 5,000 MT capacity)</t>
  </si>
  <si>
    <t>iii) Cold Storage Units Type 2 with add on technology for Controlled Atmosphere</t>
  </si>
  <si>
    <t xml:space="preserve">Additional Rs. 10,000/MT for add on components of controlled atmosphere technology. Details are as per  Appendix - II                </t>
  </si>
  <si>
    <t xml:space="preserve">Technology induction and modernisation of cold-chain </t>
  </si>
  <si>
    <t>Max Rs. 250.00 lakh for modernization of PLC equipment, packaging lines, dock levelers, advanced graders, alternate technologies, stacking systems, modernization of insulation and refrigeration, etc.  Details are in Appendix –II</t>
  </si>
  <si>
    <t>C.A/M.A. Storage units -</t>
  </si>
  <si>
    <t>Rs. 32,000/ MT  for 5000 MT capacity</t>
  </si>
  <si>
    <t>Credit linked back-ended subsidy @40% of the cost of project in General areas.</t>
  </si>
  <si>
    <t>Refer vans/ containers (general areas)</t>
  </si>
  <si>
    <t>Rs. 26.00 lakh for 9 MT (NHM &amp; HMNEH), and prorata basis for lesser capacity, but not below 4 MT.</t>
  </si>
  <si>
    <t>Credit linked back-ended subsidy @ 35% of the cost of project in general areas and 50% of cost in case of Hilly &amp; Scheduled areas, per beneficiary.</t>
  </si>
  <si>
    <r>
      <t xml:space="preserve">Ripening chamber                   </t>
    </r>
    <r>
      <rPr>
        <b/>
        <sz val="12"/>
        <rFont val="Arial"/>
        <family val="2"/>
      </rPr>
      <t>project in general areas</t>
    </r>
  </si>
  <si>
    <t xml:space="preserve">Rs. 1.00 lakh/MT. </t>
  </si>
  <si>
    <r>
      <t xml:space="preserve">Ripening chamber                   </t>
    </r>
    <r>
      <rPr>
        <b/>
        <sz val="12"/>
        <rFont val="Arial"/>
        <family val="2"/>
      </rPr>
      <t>project in Hilly areas</t>
    </r>
  </si>
  <si>
    <t>Evaporative / low energy  cool chamber (8 MT)</t>
  </si>
  <si>
    <t xml:space="preserve">Rs. 5.00 lakh/unit </t>
  </si>
  <si>
    <t>50% of the total cost.</t>
  </si>
  <si>
    <t>Primary/ Mobile / Minimal processing unit</t>
  </si>
  <si>
    <t>Rs. 25.00 lakh/unit.</t>
  </si>
  <si>
    <t>Credit linked back-ended subsidy @ 40% of the capital cost of project in general areas and 55% in case of Hilly &amp; Scheduled areas, per beneficiary.</t>
  </si>
  <si>
    <t>Preservation unit (low cost)</t>
  </si>
  <si>
    <t>Rs.2.00 lakh/unit for new unit and Rs.1.00lakh/unit for up-gradation</t>
  </si>
  <si>
    <t>New unit</t>
  </si>
  <si>
    <t>Rs.2.00 lakh/unit for new unit</t>
  </si>
  <si>
    <t>Upgraded unit</t>
  </si>
  <si>
    <t>Rs.1.00lakh/unit for up-gradation</t>
  </si>
  <si>
    <t>Low cost onion storage structure (25 MT)</t>
  </si>
  <si>
    <t xml:space="preserve">Rs. 1.75 lakh/per unit </t>
  </si>
  <si>
    <t>Pusa Zero energy cool chamber (100 kg)</t>
  </si>
  <si>
    <t>Rs. 4000 per unit</t>
  </si>
  <si>
    <t xml:space="preserve">Project Based.  Project should comprise of minimum two components listed under C.1 to C.13 above, 
with maximum cost of                         Rs. 600.00 lakh.
</t>
  </si>
  <si>
    <t>Project Based activities</t>
  </si>
  <si>
    <t>i</t>
  </si>
  <si>
    <t>Integrated Supply Chain</t>
  </si>
  <si>
    <t>10% of outlay</t>
  </si>
  <si>
    <t>50% of cost, based on project proposal.</t>
  </si>
  <si>
    <t>ii</t>
  </si>
  <si>
    <t xml:space="preserve">Integrated Cold Chain Supply System </t>
  </si>
  <si>
    <t>iii</t>
  </si>
  <si>
    <t>Food processing units</t>
  </si>
  <si>
    <t>Rs. 800 lakh/unit</t>
  </si>
  <si>
    <t>Credit linked back ended capital investment assistance of 50% of cost in the States of J&amp;K, Himachal and Uttarakhand</t>
  </si>
  <si>
    <t>iv</t>
  </si>
  <si>
    <t xml:space="preserve">Centre of Excellence </t>
  </si>
  <si>
    <t>Rs.1000.00 lakh/ centre</t>
  </si>
  <si>
    <t>100% of cost to public sector.  This can be established through bi-lateral co-operation also.</t>
  </si>
  <si>
    <t>Human Resource Development (HRD)</t>
  </si>
  <si>
    <t>HRD for Supervisors &amp; Entrepreneurs</t>
  </si>
  <si>
    <t>Rs. 20.00 lakh / unit</t>
  </si>
  <si>
    <t>100% of the cost in first year.     In subsequent years, cost of infrastructure not to be claimed.</t>
  </si>
  <si>
    <t>HRD for Gardeners</t>
  </si>
  <si>
    <t>Rs. 15.00 lakh / unit</t>
  </si>
  <si>
    <t xml:space="preserve"> Training of farmers</t>
  </si>
  <si>
    <t xml:space="preserve">Within the State </t>
  </si>
  <si>
    <t>Rs. 1000/day per farmer including transport</t>
  </si>
  <si>
    <t xml:space="preserve">100% of the cost. </t>
  </si>
  <si>
    <t>Outside the state</t>
  </si>
  <si>
    <t xml:space="preserve">Project based as per actual. </t>
  </si>
  <si>
    <t>(e) Exposure visit of farmers</t>
  </si>
  <si>
    <t>Outside the State</t>
  </si>
  <si>
    <t>Outside India</t>
  </si>
  <si>
    <t>Rs. 4.00 lakh / participant</t>
  </si>
  <si>
    <t>Project Based.  100% of air/rail travel cost.</t>
  </si>
  <si>
    <t>Training / study tour of technical staff/  field  functionaries</t>
  </si>
  <si>
    <t>Rs.300/day per participant plus TA/DA, as admissible</t>
  </si>
  <si>
    <t>Study tour to progressive States/ units (group of   minimum 5 participants)</t>
  </si>
  <si>
    <t xml:space="preserve">Rs.800/day per participant plus TA/DA, as admissible </t>
  </si>
  <si>
    <t>Rs. 6.00 lakh / participant</t>
  </si>
  <si>
    <t>100% of the cost on actual basis.</t>
  </si>
  <si>
    <t>Promotion of Farmer Producers Organization/ FPO/FIG Farmer Interest Groups of 15-20 farmers/20 ha, Growers Associations and tie up with Financial Institution and Aggregators.</t>
  </si>
  <si>
    <t>As per norms issued by SFAC.</t>
  </si>
  <si>
    <t>As per norms issued by SFAC from time to time.</t>
  </si>
  <si>
    <t xml:space="preserve">ESTABLISHMENT  OF MARKETING INFRASTRUCTURE FOR HORTICULTURAL PRODUCE </t>
  </si>
  <si>
    <t>Terminal  markets</t>
  </si>
  <si>
    <t>Rs. 150.00 crore/ project</t>
  </si>
  <si>
    <t>25% to 40% (limited to Rs.50.00 crore) as Public-Private Partnership mode through competitive bidding, in accordance with operational guidelines issued separately.</t>
  </si>
  <si>
    <t xml:space="preserve"> Wholesale  markets</t>
  </si>
  <si>
    <t>Rs.100.00 crore/project</t>
  </si>
  <si>
    <t>Credit linked back-ended subsidy @ 25% of the capital cost of project in general areas and 33.33% in case of Hilly &amp; Scheduled areas for individual entrepreneurs.</t>
  </si>
  <si>
    <t xml:space="preserve">Rural Markets/ Apni mandies/Direct markets </t>
  </si>
  <si>
    <t>Retail Markets/ outlets (environmentally controlled)</t>
  </si>
  <si>
    <t>Rs. 15.00 lakh /unit</t>
  </si>
  <si>
    <t>Credit linked back-ended subsidy @ 35% of the capital cost of project in general areas and 50% in case of Hilly &amp; Scheduled areas, per beneficiary.</t>
  </si>
  <si>
    <t>Static/Mobile Vending Cart/ platform with cool chamber.</t>
  </si>
  <si>
    <t>Rs. 30,000/ unit</t>
  </si>
  <si>
    <t xml:space="preserve"> 50% of total cost.</t>
  </si>
  <si>
    <t xml:space="preserve">Functional Infrastructure for: </t>
  </si>
  <si>
    <t>Collection, sorting/ grading, packing units etc.</t>
  </si>
  <si>
    <t>Rs.15.00 lakh</t>
  </si>
  <si>
    <t>Credit linked back-ended subsidy @ 40% of the capital cost of project in general areas and 55 % in case of Hilly &amp; Scheduled areas, per beneficiary.</t>
  </si>
  <si>
    <t xml:space="preserve">Quality control/ analysis lab </t>
  </si>
  <si>
    <t>100% of the total cost to public sector  as credit linked back ended subsidy.</t>
  </si>
  <si>
    <t>50% of cost to private sector as credit linked back ended subsidy.</t>
  </si>
  <si>
    <t>Gravity operated rope way in hilly areas</t>
  </si>
  <si>
    <t>Rs. 15.00 lakh/km</t>
  </si>
  <si>
    <t>Credit linked back-ended subsidy @ 50% of capital costs in Hilly areas.</t>
  </si>
  <si>
    <t>Total MKT</t>
  </si>
  <si>
    <t>SPECIAL INTERVENTIONS</t>
  </si>
  <si>
    <t>Innovative interventions not covered under any GOI schemes</t>
  </si>
  <si>
    <t>Tackling of emergent /unforeseen  requirements of SHMs</t>
  </si>
  <si>
    <t>Rs.20.00 lakh</t>
  </si>
  <si>
    <t>Other Components (Awareness, Survey etc.)</t>
  </si>
  <si>
    <t xml:space="preserve">Institutional Strengthening, hire/purchase of vehicles, hardware/software </t>
  </si>
  <si>
    <t xml:space="preserve">100% assistance.  </t>
  </si>
  <si>
    <t>Seminars, conferences, workshops, exhibitions, Kisan Mela, horticulture shows, honey festivals etc.</t>
  </si>
  <si>
    <t>International level</t>
  </si>
  <si>
    <t>Rs. 7.50 lakh per event.</t>
  </si>
  <si>
    <t>100% of cost per event of 4 days, on pro rata basis.</t>
  </si>
  <si>
    <t>National level</t>
  </si>
  <si>
    <t>Rs. 5.00 lakh per event.</t>
  </si>
  <si>
    <r>
      <t>100% of cost per even</t>
    </r>
    <r>
      <rPr>
        <sz val="12"/>
        <color indexed="8"/>
        <rFont val="Arial"/>
        <family val="2"/>
      </rPr>
      <t>t</t>
    </r>
    <r>
      <rPr>
        <sz val="12"/>
        <rFont val="Arial"/>
        <family val="2"/>
      </rPr>
      <t xml:space="preserve"> of two days.</t>
    </r>
  </si>
  <si>
    <t xml:space="preserve">State level  </t>
  </si>
  <si>
    <t>Rs. 3.00 lakh /event</t>
  </si>
  <si>
    <t>100% assistance subject to a maximum of Rs.3.00 lakh per event of two days.</t>
  </si>
  <si>
    <t>District level</t>
  </si>
  <si>
    <t>Rs. 2.00 lakh /event</t>
  </si>
  <si>
    <t>100% assistance subject to a maximum of Rs.2.00 lakh per event of two days.</t>
  </si>
  <si>
    <t>Information dissemination through publicity, printed literature etc and local advertisements</t>
  </si>
  <si>
    <t>Rs. 0.40 lakh/ block</t>
  </si>
  <si>
    <t>100% of cost.</t>
  </si>
  <si>
    <t>Development of technology packages in electronic form to be shared through IT network</t>
  </si>
  <si>
    <t>Rs. 1.00 lakh/ district</t>
  </si>
  <si>
    <t>100% of Cost</t>
  </si>
  <si>
    <t>Technical Support Group (TSG) at State Level for hiring experts/staff,  studies, monitoring &amp; concurrent evaluation/evaluation,  mass media, publicity, video conference etc.</t>
  </si>
  <si>
    <t>Project based, subject to a ceiling of Rs. 50. 00 lakh per  annum/state</t>
  </si>
  <si>
    <t>100% of cost</t>
  </si>
  <si>
    <t>Baseline survey and Strengthening horticultural statistical data base</t>
  </si>
  <si>
    <t>Rs. 100.00 lakh for large states, Rs. 50.00 lakh for small states and Rs. 25.00 lakh for very small states/ UTs.</t>
  </si>
  <si>
    <t xml:space="preserve">100% of cost as one time grant on survey related activities. </t>
  </si>
  <si>
    <t xml:space="preserve">100% of cost.  </t>
  </si>
  <si>
    <t>Project based. On actual cost basis.</t>
  </si>
  <si>
    <t xml:space="preserve">State &amp; Districts Mission Offices and implementing agencies for administrative expenses, project, preparation, computerization, contingency etc. </t>
  </si>
  <si>
    <t>5% of total annual expenditure on the basis of appraised needs to State Horticulture Mission (SHM) / implementing  Agencies</t>
  </si>
  <si>
    <t xml:space="preserve">100% assistance. </t>
  </si>
  <si>
    <t>Any Other Item</t>
  </si>
  <si>
    <t>Grand Total</t>
  </si>
  <si>
    <t xml:space="preserve">Fresh AAP </t>
  </si>
  <si>
    <t xml:space="preserve">GOI Share 90%                      </t>
  </si>
  <si>
    <t>State Share 10%</t>
  </si>
  <si>
    <t>RESEARCH &amp; DEVELOPMENT</t>
  </si>
  <si>
    <t>Rs. 100.00 lakh/Project</t>
  </si>
  <si>
    <t>Central Government Institutes under ICAR, CSIR, SAUs, National level Govt. agencies and others location specific Institutes will take up need based applied research &amp; development works in the areas of     (i) Seed &amp; Planting material including import of planting material (ii) Technology standardization and (iii)Technology acquisition                                        and (iv) imparting training and FLD, on project mode, with 100% assistance.</t>
  </si>
  <si>
    <t>Total</t>
  </si>
  <si>
    <t xml:space="preserve">Import of planting material for trial &amp; demonstration purpose (By State Government,PSU)       </t>
  </si>
  <si>
    <t>Dragon Fruit</t>
  </si>
  <si>
    <t>Passion fruit</t>
  </si>
  <si>
    <t>Kiwi</t>
  </si>
  <si>
    <t>maintainance drip with Integration</t>
  </si>
  <si>
    <t>maintainance without Integration</t>
  </si>
  <si>
    <t>Citrus Khasi Mandarin</t>
  </si>
  <si>
    <t>Walnut</t>
  </si>
  <si>
    <t>Mango, Guava, Litchi, Pomemgranate</t>
  </si>
  <si>
    <t>All</t>
  </si>
  <si>
    <t>Litchi</t>
  </si>
  <si>
    <t>Citrus</t>
  </si>
  <si>
    <t>Apple</t>
  </si>
  <si>
    <t>Avacado</t>
  </si>
  <si>
    <t>Blueberry</t>
  </si>
  <si>
    <t>Mangosteen</t>
  </si>
  <si>
    <t>Persimmon</t>
  </si>
  <si>
    <t>Rambutan</t>
  </si>
  <si>
    <t>Aonla</t>
  </si>
  <si>
    <t>Seabuckthorn</t>
  </si>
  <si>
    <t>Jackfruit</t>
  </si>
  <si>
    <t>Khasi Mandarin</t>
  </si>
  <si>
    <t>maintainance   I year</t>
  </si>
  <si>
    <t>Rs. 50,000ha</t>
  </si>
  <si>
    <t>Sub-total maintainance</t>
  </si>
  <si>
    <t>maintainance   II year</t>
  </si>
  <si>
    <t>Grand Total Area Expansion maintainance</t>
  </si>
  <si>
    <t>50% of cost.  maintainance to be ensured by the beneficiary.</t>
  </si>
  <si>
    <t>Rs. 1897.5/Sq.m (up to area 500 Sq. m)</t>
  </si>
  <si>
    <t>Rs. 1684.75/Sq. m (&gt;500 Sq.m up to 1008 Sqm)</t>
  </si>
  <si>
    <t>Rs. 1633/Sq. m (&gt;1008 Sq. m up to 2080 Sq.m)</t>
  </si>
  <si>
    <t>Rs. 1610/Sq. m (&gt;2080 Sq. m upto 4000 Sq.m)</t>
  </si>
  <si>
    <t xml:space="preserve">Rs.1219/Sq.m </t>
  </si>
  <si>
    <t>Rs. 1075.25/Sq.m (&gt;500 Sq. m up to 1008 Sq. m)</t>
  </si>
  <si>
    <t>Rs. 1023.50/Sq. m (&gt;1008 Sq.m up to 2080 Sq. m)</t>
  </si>
  <si>
    <t>Rs. 970.6/Sq. m (&gt;2080 Sq. m up to 4000 Sq. m)</t>
  </si>
  <si>
    <t xml:space="preserve">a) Power tiller (below 8 BHP) </t>
  </si>
  <si>
    <t>2) SC &amp; ST, SF/MF</t>
  </si>
  <si>
    <t>iv) Self-propelled Horticulture Machinery</t>
  </si>
  <si>
    <t>iv) Self-propelled Horticulture Machinery (SC, ST, Small &amp; Marginal famers)</t>
  </si>
  <si>
    <t>2)SC &amp; ST, SF/MF</t>
  </si>
  <si>
    <t>FOOD PROCESSING</t>
  </si>
  <si>
    <t>Value Chain Analysis</t>
  </si>
  <si>
    <t>Annual Action Plan of Arunachal Pradesh</t>
  </si>
  <si>
    <t>Action Plan</t>
  </si>
  <si>
    <t>Fresh AAP</t>
  </si>
  <si>
    <t>Rs.100.00 lakh/ project</t>
  </si>
  <si>
    <t>Central Government Institutes under ICAR, CSIR, SAUs, National Level Govt. Agencies and other location specific Institutes will take up need based applied research &amp; development works in the areas of (i) Seed &amp; Planting material (ii) Technology standardization (iii)Technology acquisition and(iv) Imparting training and FLD, on project mode,
with 100% assistance.</t>
  </si>
  <si>
    <t xml:space="preserve">Rs. 30.00 lakh/ha </t>
  </si>
  <si>
    <r>
      <t xml:space="preserve">Assistance @ 100% to public sector and @ 40% to private sector for an area from 1 to 2 ha. as project based activity, on pro-rata basis.  </t>
    </r>
    <r>
      <rPr>
        <b/>
        <sz val="12"/>
        <rFont val="Arial"/>
        <family val="2"/>
      </rPr>
      <t>In the case of NE &amp; Himalayan States, Scheduled areas, vibrant villages, Andaman &amp; Nicobar and Lakshadweep Islands, the lower limit of area will be 0.5 ha.</t>
    </r>
    <r>
      <rPr>
        <sz val="12"/>
        <rFont val="Arial"/>
        <family val="2"/>
      </rPr>
      <t xml:space="preserve">
Each nursery will produce a minimum of 1,00,000 plants per hectare per year of mandated perennial fruit plants, tree spices, aromatic plants, plantation crops, perennial flowers etc. duly certified for its quality.</t>
    </r>
  </si>
  <si>
    <t>Rs. 20 lakh/one ha unit</t>
  </si>
  <si>
    <r>
      <t xml:space="preserve">Assistance @ 100% to public sector and @ 50% to private sector for an area from 0.4 to 1 ha. as a project based activity, on pro rata basis.
</t>
    </r>
    <r>
      <rPr>
        <b/>
        <sz val="12"/>
        <rFont val="Arial"/>
        <family val="2"/>
      </rPr>
      <t>In the case of NE &amp; Himalayan States, Scheduled areas, vibrant villages, Andaman &amp; Nicobar and Lakshadweep Islands, the lower limit of area will be 0.4 ha.</t>
    </r>
    <r>
      <rPr>
        <sz val="12"/>
        <rFont val="Arial"/>
        <family val="2"/>
      </rPr>
      <t xml:space="preserve">
Each nursery will produce a minimum of 50,000 plants per ha of mandated perennial fruit plants, tree spices, aromatic plants, plantation crops, perennial flowers etc. per year, duly certified for its quality.</t>
    </r>
  </si>
  <si>
    <t>Need based upto a maximum of Rs. 4.00 lakh/ha</t>
  </si>
  <si>
    <t xml:space="preserve">Assistance @ 100% to public sector and @ 50% to private sector for a nursery of an area upto 2 ha on pro-rata basis.
The infrastructure facilities will include establishment of Hot bed sterilization of media, Working shed, Virus indexing facility (for citrus &amp; apple), Hardening chamber/net house, Mist chamber, Establishment of Mother Block, Irrigation and Fertigation facility/unit.
</t>
  </si>
  <si>
    <r>
      <t xml:space="preserve">50% of cost to </t>
    </r>
    <r>
      <rPr>
        <b/>
        <sz val="12"/>
        <rFont val="Arial"/>
        <family val="2"/>
      </rPr>
      <t>Private sector.</t>
    </r>
  </si>
  <si>
    <t>Project based upto Rs 250 lakh per project for a capacity of 25 lakh plants or on pro-rata basis for minimum 10 lakh plants.</t>
  </si>
  <si>
    <t xml:space="preserve">Assistance @ 100% to public sector and in case of private sector, credit linked back-ended assistance @ 40% as project based activity.
Each TC unit will produce a minimum of 10 lakh plants/year or on pro rata basis for higher capacity upto 25 lakh plants/unit of mandated crops, duly hardened, for which protocols are available for commercial use.
</t>
  </si>
  <si>
    <t>v. Hi-tech Plug Type Nursery under controlled conditions with automated tray seeder unit</t>
  </si>
  <si>
    <t xml:space="preserve"> iv. Setting up of new TC Units.</t>
  </si>
  <si>
    <t>iii. Upgrading nursery Infrastructure to meet acceditation norms (upto 2 ha)</t>
  </si>
  <si>
    <t>ii. Small Nursery (0.4 to 1 ha)</t>
  </si>
  <si>
    <t>i. Large Nursery (1 to 2 ha)</t>
  </si>
  <si>
    <t>Project based for an area from 0.2 to 1 ha. @ Rs. 1200 per Sq.mt. on pro rata basis.</t>
  </si>
  <si>
    <t>Assistance @ 100% to public sector and in case of private sector, credit linked back-ended assistance @ 50% as project based activity. Each Plug type nursery will produce a minimum of 80000 plugs (4 cycles of 20,000 plugs each) of mandated crops per 100 sq.mt. per year.</t>
  </si>
  <si>
    <t>vi. Seed production for vegetables and  spices</t>
  </si>
  <si>
    <t>Rs 50,000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</si>
  <si>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</si>
  <si>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 xml:space="preserve"> a) Open pollinated crops (1 to 2 ha)</t>
  </si>
  <si>
    <t>b) Hybrid seeds (1 to 2 ha)</t>
  </si>
  <si>
    <t xml:space="preserve">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
</t>
  </si>
  <si>
    <t>Assistance @ 100% to public sector and in case of private sector assistance @ 35% in general areas and 50% in NE &amp; Himalayan States, Scheduled areas, Andaman &amp; Nicobar and Lakshadweep Islands for an area from 1 to 2 ha. on pro rata basis. However, in case of vibrant villages the lower limit of area will be from 0.5 ha.
Output target of seed production for each crop will be fixed by the individual State for each beneficiary before releasing funds.</t>
  </si>
  <si>
    <t>Rs. 1.80 lakh/ha</t>
  </si>
  <si>
    <t>vii. Import  of planting  material, mother  block for mass multiplications.</t>
  </si>
  <si>
    <t>b) FPOs, FIGs, SHGs and Cooperatives</t>
  </si>
  <si>
    <t>Project based for a project cost upto Rs. 150 lakh/year.</t>
  </si>
  <si>
    <t>Assistance @ 100% to State Govt. / Public Sector and in case of FPOs, FIGs, SHGs and Cooperatives credit linked subsidy @ 50% to SHGs as project-based activity.</t>
  </si>
  <si>
    <t>viii. Production  of quality Seed and Planting   Material including handling, processing, packing&amp;   storage for  identified horticulture crops</t>
  </si>
  <si>
    <t>a) State Govt. / Public Sector</t>
  </si>
  <si>
    <t>Project based for a project cost upto Rs. 300 lakh/year.</t>
  </si>
  <si>
    <t>B. 2 Establishment of New Gardens (Area expansion- for a maximum area of 2 ha per beneficiary).</t>
  </si>
  <si>
    <t>A.  Research</t>
  </si>
  <si>
    <t xml:space="preserve">B1. Plantation Infrastructure and Development                               </t>
  </si>
  <si>
    <t>i) Fruit crops like Grape, Kiwi, Passion fruit, Strawberry, Dragon fruit, Datepalm etc.</t>
  </si>
  <si>
    <t>I. Strawberry</t>
  </si>
  <si>
    <t>Assistance @ 40% in general areas for an area upto 2 ha. on pro rata basis for meeting the expenditure on planting material and other input cost, in 2 instalments of 60:40 .
In the case of NE &amp; Himalayan States, Scheduled areas, vibrant villages, Andaman &amp; Nicobar and Lakshadweep Islands, assistance will be @ 50% for an area upto 2 ha. on pro rata basis</t>
  </si>
  <si>
    <t xml:space="preserve">   Rs. 2.0 lakh/ha </t>
  </si>
  <si>
    <t>II. Kiwi, Passion fruit, Dragon fruit with support system</t>
  </si>
  <si>
    <t xml:space="preserve">Maintenance With drip Irrigation (Drip should be in converged with other schemes)
</t>
  </si>
  <si>
    <t xml:space="preserve">Maintenance Without drip Irrigation </t>
  </si>
  <si>
    <t>Dragon fruit</t>
  </si>
  <si>
    <t xml:space="preserve">a) With drip
Irrigation (Drip should be in converged with other schemes)
</t>
  </si>
  <si>
    <t xml:space="preserve">b) Without drip
Irrigation 
</t>
  </si>
  <si>
    <t xml:space="preserve">Rs. 6.75 lakh/ha </t>
  </si>
  <si>
    <t xml:space="preserve">Assistance @40% in general areas for an area upto2 ha. on pro rata basis for meeting the expenditure on planting material, cost of material for trellis and other support systems, in 2 instalments of 60:40 subject to survival rate of 80% in 2nd year.
In the case of NE &amp; Himalayan States, Scheduled areas, vibrant villages, Andaman &amp; Nicobar and Lakshadweep Islands, assistance will be @ 50% for an area upto 2 ha. on pro rata basis.
</t>
  </si>
  <si>
    <t xml:space="preserve">Rs. 2.75 lakh/ha </t>
  </si>
  <si>
    <t xml:space="preserve">Rs. 2.50 lakh/ha </t>
  </si>
  <si>
    <t>III. Grape</t>
  </si>
  <si>
    <t>Rs. 3.00 lakh/ha. including support system</t>
  </si>
  <si>
    <t xml:space="preserve">Assistance @ 40% in general areas for an area upto2 ha. on pro rata basis for meeting the expenditure on planting material, cost of material for trellis other support systems, in 2 instalments of 60:40 subject to survival rate of 80% in 2nd year.
In the case of NE &amp; Himalayan States, Scheduled areas, vibrant villages, Andaman &amp; Nicobar and Lakshadweep Islands, assistance will be @ 50% for an area upto 2 ha. on pro rata basis.
</t>
  </si>
  <si>
    <t>IV. Datepalm (Tissue culture)</t>
  </si>
  <si>
    <t>Rs. 4.00 lakh/ha. including support system</t>
  </si>
  <si>
    <t xml:space="preserve">Assistance @40% in general areas for an area upto 2 ha. on pro rata basis for meeting the expenditure on planting material and other support systems, in 2 installments of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upto2 ha. on pro rata basis.   In addition to basic cost norms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</si>
  <si>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r>
      <t>a)</t>
    </r>
    <r>
      <rPr>
        <sz val="7"/>
        <color rgb="FFFF0000"/>
        <rFont val="Times New Roman"/>
        <family val="1"/>
      </rPr>
      <t xml:space="preserve">            </t>
    </r>
    <r>
      <rPr>
        <sz val="12"/>
        <color rgb="FFFF0000"/>
        <rFont val="Arial"/>
        <family val="2"/>
      </rPr>
      <t>Integrated package  with drip irrigation ((Drip should be in converged with other schemes)</t>
    </r>
  </si>
  <si>
    <t xml:space="preserve">a) With drip Irrigation (As per PDMC norms)
</t>
  </si>
  <si>
    <t xml:space="preserve">Maintenance With drip Irrigation (As per PDMC norms)
</t>
  </si>
  <si>
    <t xml:space="preserve">b)  Without integration </t>
  </si>
  <si>
    <t>As per PDMC norms</t>
  </si>
  <si>
    <t>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t>
  </si>
  <si>
    <t>Rs. 1.10 Lakh/ha</t>
  </si>
  <si>
    <t xml:space="preserve">Assistance @40% in general areas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
</t>
  </si>
  <si>
    <t>ii. Banana  (By Suckers)</t>
  </si>
  <si>
    <t>ii.  Pineapple (By Suckers)</t>
  </si>
  <si>
    <t>Rs. 1.75 lakh/ha.</t>
  </si>
  <si>
    <t xml:space="preserve">Assistance @40% in general area for an area upto 2 ha. on pro rata basis for meeting the expenditure on planting material and other input cost of in 2 instalments (60:40) subject to survival rate of 80% in 2nd year. The planting material should be certified as Tissue Culture planting material.
In the case of NE &amp; Himalayan States, Scheduled areas, vibrant villages, Andaman &amp; Nicobar and Lakshadweep Islands, assistance will be @ 50% for an area upto 2 ha. on pro rata basis.
</t>
  </si>
  <si>
    <t xml:space="preserve">In addition to basic cost i.e. without drip irrigation as mentioned above, assistance for establishment of drip irrigation system would be available as per the PDMC norms to all States including NE &amp; Himalayan States, and Scheduled areas, vibrant villages, Andaman &amp; Nicobar and Lakshadweep Islands.
</t>
  </si>
  <si>
    <t>vi) Pineapple (By Tissue Culture)</t>
  </si>
  <si>
    <t>v)  Banana (By Tissue Culture)</t>
  </si>
  <si>
    <t>(B) Fruit crops other than cost intensive</t>
  </si>
  <si>
    <t>i) Fruit crops like Avocado, Rambutan, Persimmon, Durian, Apricot, Pear, Peach, Plum, Cherry, Blueberry, Fig, Mangosteen etc.</t>
  </si>
  <si>
    <t xml:space="preserve">Assistance @40% in general area for an area upto2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upto2 ha. on pro rata basis
</t>
  </si>
  <si>
    <t>(ii) Fruit crops like–Papaya, Phalsa, Spota, Tamarind, Jamun, Bael, Karonda,  Ber, Jackfruit, Khirni, Custard apple, Amla, Seabuckthorn, Garcinia, Hanuman phal (Soursop), Carobmola, Jackfruit etc.</t>
  </si>
  <si>
    <t>Rs. 75,000/ha</t>
  </si>
  <si>
    <t>In addition to basic cost i.e. without drip irrigation as mentioned above, assistance for establishment of drip irrigation system would be available as per the PDMC norms to all States including NE &amp; Himalayan States, Scheduled areas, vibrant villages, Andaman &amp; Nicobar and Lakshadweep Islands.</t>
  </si>
  <si>
    <t>Assistance @40% in general area for an area upto 2 ha. on pro rata basis for meeting the expenditure on planting material and other input cost in 2 instalments of 60:40 subject to survival rate of 80% in 2nd year.
In the case of NE &amp; Himalayan States,  Scheduled areas, vibrant villages, Andaman &amp; Nicobar and Lakshadweep Islands, assistance will be @ 50% for an area upto 2 ha. on pro rata basis</t>
  </si>
  <si>
    <t xml:space="preserve">C) New orchards of Apple, Mango, Guava, Litchi, Pomegranate, Citrus etc. </t>
  </si>
  <si>
    <t>(i).  Regular spacing</t>
  </si>
  <si>
    <t xml:space="preserve">Assistance @ 40% in general area for an area upto2 ha. on pro rata basis for meeting the expenditure on planting material and other input costin 2 instalments of 60:40 subject to survival rate of 80% in 2nd year. 
In the case of NE &amp; Himalayan States, Scheduled areas, vibrant villages, Andaman &amp; Nicobar and Lakshadweep Islands, assistance will be @ 50% for an area upto 2 ha. on pro-rata basis.
</t>
  </si>
  <si>
    <t>iii)  High Density for Apple with support system 
(Minimum 2222 plants per ha.</t>
  </si>
  <si>
    <t xml:space="preserve">(ii).  High Density (Other than Apple)
</t>
  </si>
  <si>
    <t>Rs. 5.00 lakh/ha.</t>
  </si>
  <si>
    <t xml:space="preserve">(iv)Ultra high density  (Other than apple)
</t>
  </si>
  <si>
    <t>Rs. 3.00 lakh/ha.</t>
  </si>
  <si>
    <t xml:space="preserve">(v)Ultra high density for Apple with support system
(Minimum 3333 plants per ha.)
</t>
  </si>
  <si>
    <t>Rs. 7.50 lakh/ha</t>
  </si>
  <si>
    <t>Hybrid vegetables (Tomato, sweet potato, alocasia, Bottle gourd, Squash, Zucchini, Bitter Gourd, Cauliflower, Cabbage, Broccoli, drumstick, Brussels, sprouts, French beans, Fabia beans, Peas green, Brinjal / Aubergines, Capsicum, Okra, Melons, Cucumber, Green Chilies, Carrot, Beet root, Turnip, Radish, knol kohl, kale, leafy vegetables etc.)</t>
  </si>
  <si>
    <t>Rs.60,000/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</si>
  <si>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</si>
  <si>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i. Onion and Garlic in open pollinated</t>
  </si>
  <si>
    <t>Rs. 50,000/ ha.</t>
  </si>
  <si>
    <t xml:space="preserve">Assistance @ 40% in general areas for an area upto 2 ha. on pro-rata basis in single instalment. 
In the case of NE &amp; Himalayan States,  Scheduled areas, vibrant villages, Andaman &amp; Nicobar and Lakshadweep Islands, assistance will be @ 50% for an area upto 2 ha. on pro rata basis. 
In case of vibrant villages assistance will be @ 80% of the maximum cost.
</t>
  </si>
  <si>
    <t>Rs. 30 lakh/unit</t>
  </si>
  <si>
    <t xml:space="preserve">100% of the cost to public sector and 40% of cost for private sector, for meeting the expenditure on infrastructure, as credit linked back ended subsidy upto a maximum production capacity of 50 MT on pro rata basis.
In the case of NE &amp; Himalayan States, Scheduled areas, vibrant villages, Andaman &amp; Nicobar and Lakshadweep Islands, assistance will be @ 50%.
</t>
  </si>
  <si>
    <t xml:space="preserve">100% of the cost to public sector and 40% of cost for private sector, for meeting the expenditure on infrastructure, as credit linked back ended subsidy. In the case of NE &amp; Himalayan States, Scheduled areas, vibrant villages, Andaman &amp; Nicobar and Lakshadweep Islands, assistance will be @ 50%
</t>
  </si>
  <si>
    <t>100% of the cost to public sector and 40% of cost for private sector, for meeting the expenditure on infrastructure, as credit linked back ended subsidy. In the case of NE &amp;Himalayan States, Scheduled areas, vibrant villages, Andaman &amp; Nicobar and Lakshadweep Islands, assistance will be @ 50%.</t>
  </si>
  <si>
    <t>(d) Low Cost/ Small Scale mushroom production unit</t>
  </si>
  <si>
    <t>Rs. 2.00 Lakhs per unit for a structure of size of 200 sqft</t>
  </si>
  <si>
    <t>Assistance @ 50% per unit for meeting expenditure on infrastructure and inputs subject to a maximum of 5 units per beneficiary.</t>
  </si>
  <si>
    <t>Rs. 2.50 lakh/ha</t>
  </si>
  <si>
    <t>Rs. 50,000 /ha</t>
  </si>
  <si>
    <t>V. Spices ( For a maximum area of 2 ha per beneficiary)</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</si>
  <si>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</si>
  <si>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t>Maintenance</t>
  </si>
  <si>
    <r>
      <rPr>
        <b/>
        <sz val="12"/>
        <rFont val="Arial"/>
        <family val="2"/>
      </rPr>
      <t>ii. Rhizomatic and bulbous Spices</t>
    </r>
    <r>
      <rPr>
        <sz val="12"/>
        <rFont val="Arial"/>
        <family val="2"/>
      </rPr>
      <t xml:space="preserve">
(Ginger, Turmeric, and Garlic)
</t>
    </r>
  </si>
  <si>
    <r>
      <rPr>
        <b/>
        <sz val="12"/>
        <rFont val="Arial"/>
        <family val="2"/>
      </rPr>
      <t>i. Seed Spices</t>
    </r>
    <r>
      <rPr>
        <sz val="12"/>
        <rFont val="Arial"/>
        <family val="2"/>
      </rPr>
      <t xml:space="preserve"> (Ajwain, Aniseed, Caraway, Celery, Coriander, Cumin, Dill, Fennel, Fenugreek, Nigella, Poppy, Black Cumin etc.)
</t>
    </r>
  </si>
  <si>
    <t>Rs. 1.00 Lakh/ ha.</t>
  </si>
  <si>
    <t xml:space="preserve">Assistance @ 40% in general areas for an area upto 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 2 ha. on pro rata basis.
</t>
  </si>
  <si>
    <r>
      <rPr>
        <b/>
        <sz val="12"/>
        <rFont val="Arial"/>
        <family val="2"/>
      </rPr>
      <t>iii. Perennial Spices</t>
    </r>
    <r>
      <rPr>
        <sz val="12"/>
        <rFont val="Arial"/>
        <family val="2"/>
      </rPr>
      <t xml:space="preserve">
(Black Pepper, Cinnamon, Cassia, Clove, Nutmeg, Kokum, Cambodge, Tamarind, Vanilla Cardamom, Allspice, Curry leaf, Star anise, Bay leaf etc.)</t>
    </r>
    <r>
      <rPr>
        <b/>
        <sz val="12"/>
        <rFont val="Arial"/>
        <family val="2"/>
      </rPr>
      <t xml:space="preserve">
</t>
    </r>
    <r>
      <rPr>
        <sz val="12"/>
        <rFont val="Arial"/>
        <family val="2"/>
      </rPr>
      <t xml:space="preserve">
</t>
    </r>
  </si>
  <si>
    <t xml:space="preserve">Assistance @ 40% in general areas for an area upto 2 ha. on pro-rata basis for meeting the expenditure on planting material and cost of material for INM/IPM etc. in 2 instalments of 60:40
In the case of NE &amp; Himalayan States, Scheduled areas, vibrant villages, Andaman &amp; Nicobar and Lakshadweep Islands, assistance will be @ 50%for an area upto 2 ha. on pro-rata basis. 
</t>
  </si>
  <si>
    <t>VI.  Aromatic Plants   (For a maximum area of 2 ha per beneficiary)</t>
  </si>
  <si>
    <t xml:space="preserve">Rs1.25 lakh/ha </t>
  </si>
  <si>
    <t>(i) Cost intensive aromatic plants (Rose, Rosemary, Tuberose, Geranium, Chamomile, Sandalwood, Davana, Jasmine, Lavender etc. )</t>
  </si>
  <si>
    <t xml:space="preserve">Assistance @ 40% in general areas for an area upto2 ha. 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</si>
  <si>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 xml:space="preserve">Rs 50,000/ha </t>
  </si>
  <si>
    <t>Rs. 1.5 lakh/ha</t>
  </si>
  <si>
    <t>(iii) Medicinal plants (Mulethi, Shatavari, Kalihari, Shwet Musali, Guggle, Manjishtha, Kutki, Atees, Jatamansi, Ashwagandha, Brahmi, Tulsi, Vidarikand, Pippali, Chirata, Pushkarmool etc.)</t>
  </si>
  <si>
    <t xml:space="preserve">Assistance @ 40% in general areas for an area upto 2 ha.on pro rata basis for meeting the expenditure on planting material and cost of material for INM/IPM etc. in 2 instalments of 60:40
In the case of NE &amp; Himalayan States, Scheduled areas, vibrant villages, Andaman &amp; Nicobar and Lakshadweep Islands, assistance will be @ 50% for an area upto2 ha. on pro rata basis.
</t>
  </si>
  <si>
    <t>a) Integrated package with drip irrigation (drip should be in converged with other schemes)</t>
  </si>
  <si>
    <t>Rs 75,000 /ha.</t>
  </si>
  <si>
    <t xml:space="preserve">Assistance @40% in general areas for an area upto 2 ha. on pro-rata basis for meeting the expenditure on planting material and other input cost of in 2instalments of 60:40 subject to survival rate of 80% in 2nd year.
In the case of NE &amp; Himalayan States, Scheduled areas, vibrant villages, Andaman &amp; Nicobar and Lakshadweep Islands, assistance will be @ 50% for an area upto2 ha. on pro rata basis.
</t>
  </si>
  <si>
    <t xml:space="preserve">(b) With Intercropping </t>
  </si>
  <si>
    <t>Cocoa       Maintenance   Without integration I year</t>
  </si>
  <si>
    <t>Sub-total  Cashew  maintainance    Without integration I year</t>
  </si>
  <si>
    <t>a) Without integration</t>
  </si>
  <si>
    <t>(ii) High Density (Minimum 400 plants per hectare)  (Cashew Only)</t>
  </si>
  <si>
    <t xml:space="preserve">Assistance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pro-rata basis.
</t>
  </si>
  <si>
    <t>(ii) High Density (Minimum 400 plants per hectare)  (Cashew Only) Without integration I year</t>
  </si>
  <si>
    <t>(B) New Orchards of Almond and Walnut</t>
  </si>
  <si>
    <t>a) Without drip irrigation (Almond)</t>
  </si>
  <si>
    <t>b) Without drip irrigation (Walnut)</t>
  </si>
  <si>
    <t>c) With drip irrigation</t>
  </si>
  <si>
    <t xml:space="preserve">As per PDMC norms
</t>
  </si>
  <si>
    <t xml:space="preserve">Assistance @ 40% in general areas for an area upto 2 ha on pro rata basis for meeting the expenditure on planting material and other input cost of in 2 instalments of 60:40 subject to survival rate of 80% in 2nd year.
In the case of NE &amp; Himalayan States, Scheduled areas, vibrant villages, Andaman &amp; Nicobar and Lakshadweep Islands, assistance will be @ 50% for an area upto 2 ha. on pro rata basis.
</t>
  </si>
  <si>
    <t>In addition to basic cost i.e. without integration as mentioned above, assistance for establishment of drip irrigation system would be available as per the PDMC norms to all States including NE &amp; Himalayan States, and Scheduled areas, vibrant villages, Andaman &amp; Nicobar and Lakshadweep Islands.</t>
  </si>
  <si>
    <t>New Orchards of Almond and Walnut Maintenance   Without integration I year</t>
  </si>
  <si>
    <t>Sub-total  Cocoa  maintainance    Without integration I year</t>
  </si>
  <si>
    <t>Sub-total maintainance Without integration New Orchards of Almond and Walnut</t>
  </si>
  <si>
    <t xml:space="preserve">Assistance @ 40% in general areas for an area upto2ha.on pro rata basis in 2 instalments of 60:40
In the case of NE &amp; Himalayan States, Scheduled areas, vibrant villages, Andaman &amp; Nicobar and Lakshadweep Islands, assistance will be @ 50% for an area upto 2 ha. on pro-rata basis
</t>
  </si>
  <si>
    <t>i. Cut Flowers</t>
  </si>
  <si>
    <t xml:space="preserve">ii)Bulbous and Rhizomatic Flowers (Gladiolus, Lily, Daisy, Gerbera Tuberose and Saffron etc.)
</t>
  </si>
  <si>
    <t xml:space="preserve"> iii) Loose Flowers (Rose, Chrysanthemum, Tuberose, Jasmine, Crossandra, Marigold, Gailardia, Lotus, Neerium, Hybiscus, Barleria etc.)
</t>
  </si>
  <si>
    <t xml:space="preserve">Assistance @ 40% in general areas for an area upto2 ha. on pro rata basis in 2 instalments of 60:40.
In the case of NE &amp; Himalayan States, Scheduled areas, vibrant villages, Andaman &amp; Nicobar and Lakshadweep Islands, assistance will be @ 50% for an area upto 2 ha. on pro rata basis.
</t>
  </si>
  <si>
    <t xml:space="preserve">Assistance @ 40% in general area for an area upto2 ha on pro rata basis in 2 instalments of 60:40.
In the case of NE &amp; Himalayan States, Scheduled areas, vibrant villages, Andaman &amp; Nicobar and Lakshadweep Islands, assistance will be @ 50% for an area upto 2 ha on pro rata basis.
</t>
  </si>
  <si>
    <t>IV. Flowers   (For a maximum of 2 ha  per beneficiary)</t>
  </si>
  <si>
    <t>VII. Plantation crops (For a maximum area of 2 ha per beneficiary) The component is to be integrated with drip in case drip is not proposed under MIDH scheme, then it should be converged with other scheme</t>
  </si>
  <si>
    <t xml:space="preserve">B.3. Rejuvenation/ replacement of senile plantation, canopy management  </t>
  </si>
  <si>
    <t>(i) Removal of dead/dying/old plants</t>
  </si>
  <si>
    <t>Rs. 10,000/ha</t>
  </si>
  <si>
    <t>(ii) Top-working and gap filling with  new plant</t>
  </si>
  <si>
    <t>(iii) Cost of input towards nutrient management, pest management and irrigation</t>
  </si>
  <si>
    <t xml:space="preserve">Assistance @ 40% in general areas for an area upto 2 ha on pro-rata basis 
In the case of NE &amp; Himalayan States, Scheduled areas, vibrant villages, Andaman &amp; Nicobar and Lakshadweep Islands, assistance will be @ 50% for an area upto 2 ha. on pro-rata basis
</t>
  </si>
  <si>
    <t>B.4. Creation of Water resources</t>
  </si>
  <si>
    <t>a) Water Harvesting Structures for Community– Construction of on farm community tank, pond /reservoirs with use of plastic/RCC lining</t>
  </si>
  <si>
    <t xml:space="preserve">General areas </t>
  </si>
  <si>
    <t>Rs. 24.00 lakh per unit @ Rs 80 per cubic metre in general areas and Rs 30 lakh/ per unit @ Rs 100 per cubic metre for NE &amp; Himalayan States,  and Scheduled areas, Andaman &amp; Nicobar and Lakshadweep Islands for a maximum capacity of 30,000 cub mts.</t>
  </si>
  <si>
    <t xml:space="preserve">Assistance @ 75% to irrigate 10 ha of command area, for a storage capacity of 30,000 cubic meter and for smaller capacity on pro-rata basis depending upon the command area either with use of minimum 500-micron plastic films or RCC/HDPE lining; owned &amp; managed by a community/ farmer group.
Cost for non-lined ponds/tanks (only in black cotton soils) will be 30% less.
Assistance will be restricted to the cost of plastic/RCC lining. However, for non MNREGA beneficiaries, assistance on entire cost including construction of pond/tank as well as lining can be availed under the scheme.
</t>
  </si>
  <si>
    <t>b) Water Harvesting Structure for Individuals –Construction of on farm ponds/ tanks etc with use of plastic/RCC lining</t>
  </si>
  <si>
    <t>Water Harvesting Structure for Individuals</t>
  </si>
  <si>
    <t xml:space="preserve">c) Construction of tube-well/bore well (This component will be considered only in integration with other components)
</t>
  </si>
  <si>
    <t>Construction of tube-well/bore well</t>
  </si>
  <si>
    <t>d) Flexible Water Storage Tank (This component will be considered only in integration with other components)</t>
  </si>
  <si>
    <t>At the rate of Rs. 0.8/litre for a capacity upto 10,000 litres.</t>
  </si>
  <si>
    <t>Assistance @ 50 % as per prescribed norms for different capacities on pro-rata basis upto a max capacity of 50000 litres/beneficiary in NE &amp; Himalayan States, Scheduled areas, vibrant villages, Andaman &amp; Nicobar and Lakshadweep Islands only.</t>
  </si>
  <si>
    <t>B.5. Protected cultivation</t>
  </si>
  <si>
    <t>1. Poly house/ Hybrid/ Retractable structures</t>
  </si>
  <si>
    <t xml:space="preserve">a) Fan &amp; Pad system              </t>
  </si>
  <si>
    <t xml:space="preserve">Rs. 1800/Sq.m(up to area 500 Sq. m) </t>
  </si>
  <si>
    <t xml:space="preserve">Rs. 1600/Sq. m (&gt;500 Sq.m up to 1008 Sqm) </t>
  </si>
  <si>
    <t xml:space="preserve">Rs. 1500/Sq. m (&gt;1008 Sq. m up to 2500 Sq.m) </t>
  </si>
  <si>
    <t>Assistance @ 50% for a maximum area of 2500 sq m per beneficiary or on pro-rata basis for smaller areas.                           Above rates will be 15% higher in the case of NE &amp; Himalayan States, Scheduled areas, vibrant villages, Andaman &amp; Nicobar and Lakshadweep Islands</t>
  </si>
  <si>
    <t xml:space="preserve">(i) Tubular/
Rectangular Structure
</t>
  </si>
  <si>
    <t xml:space="preserve">Rs.1200/Sq.m(up to area 500 Sq. m) </t>
  </si>
  <si>
    <t>Rs. 1050/Sq.m (&gt;500 Sq. m up to 1008 Sq. m)</t>
  </si>
  <si>
    <t>Rs. 1000/Sq. m (&gt;1008 Sqm up to 2500 Sq. m)</t>
  </si>
  <si>
    <t>Assistance @ 50% for a maximum           area of 2500 sq. m per beneficiary or on pro-rata basis for smaller areas.                           Above rates will be 15% higher in the case of NE &amp; Himalayan States, Scheduled areas, vibrant villages, Andaman &amp;Nicobar and Lakshadweep Islands.</t>
  </si>
  <si>
    <t>ii) Bamboo/Cable purlin structure</t>
  </si>
  <si>
    <t>Rs 450/Sq.mt.</t>
  </si>
  <si>
    <t>Assistance @ 50% for a maximum area of 2500 sq. m per beneficiary or on pro-rata basis for smaller areas.
In case of Bamboo structure, assistance will be limited to 20 units per beneficiary and size of the each unit not to exceed 200 sq.m.
Above rates will be 15% higher in the case of NE &amp; Himalayan States, Scheduled areas, vibrant villages, Andaman &amp;Nicobar and Lakshadweep Islands</t>
  </si>
  <si>
    <t>2. Shade Net/Agro Textile Net House</t>
  </si>
  <si>
    <t xml:space="preserve">(a) Tubular /Rectangular structure </t>
  </si>
  <si>
    <t>(b) Bamboo /Cable purlin structure</t>
  </si>
  <si>
    <t>Assistance @ 50% for a maximum area of 2500 sq.m per beneficiary or on pro-rata basis for smaller areas                             Above rates will be 15% higher in the case of NE &amp; Himalayan States, Scheduled areas, vibrant villages, Andaman &amp; Nicobar and Lakshadweep Islands.</t>
  </si>
  <si>
    <t xml:space="preserve">Assistance @ 50% for a maximum area of 2500 sq.mt per beneficiary or on pro-rata basis for smaller areas. 
In case of Bamboo structure, assistance will be limited to 20 units per beneficiary and size of each unit not to exceed 200 Sq.mt.
</t>
  </si>
  <si>
    <t xml:space="preserve">Rs. 80/Sq.m </t>
  </si>
  <si>
    <t>3. Plastic/Non woven cloth Tunnels</t>
  </si>
  <si>
    <t>Assistance @ 50% for a maximum area of 2500sqmt per beneficiary or on pro-rata basis for smaller areas.</t>
  </si>
  <si>
    <t>4. Walk in tunnels</t>
  </si>
  <si>
    <t>Rs. 720/ Sq.m</t>
  </si>
  <si>
    <t xml:space="preserve">Assistance @ 50% for a maximum of 3 units per beneficiary (each unit not to exceed 800 sqm). </t>
  </si>
  <si>
    <t>5. Anti Bird/Anti  Hail Nets</t>
  </si>
  <si>
    <t>Rs.50/- per Sq.m</t>
  </si>
  <si>
    <t>6.  Cost of planting material &amp; cultivation of high value fruits and vegetables grown in poly-house/net house</t>
  </si>
  <si>
    <t>7. Cost of planting material &amp;cultivation of Orchid (net house) and Anthurium (poly house) grown in protected conditions.</t>
  </si>
  <si>
    <t>8. Cost of planting material &amp; cultivation of Carnation &amp; Gerbera grown in Poly houses.</t>
  </si>
  <si>
    <t>9. Cost of planting material &amp; cultivation of Rose, Chrysanthemum and Lilum grown in Poly houses.</t>
  </si>
  <si>
    <t>Rs.150/Sq. m</t>
  </si>
  <si>
    <t xml:space="preserve">Assistance @ 50% for a maximum area of 10000 sq mt. per beneficiary or on pro-rata basis for smaller areas. </t>
  </si>
  <si>
    <t xml:space="preserve">Assistance @ 50% for a maximum area of 2500 sqm per beneficiary or on pro-rata basis for smaller areas.
Crops like Capsicum, Cucumber, Muskmelon, Tomato, Broccoli, Parsley, Celery   and other crops approved by Research Institutions may be considered for assistance.
</t>
  </si>
  <si>
    <t>Assistance @ 50% for a maximum area of 2500 sqm per beneficiary or on pro-rata basis for smaller areas.</t>
  </si>
  <si>
    <t>Rs. 450/Sq.m</t>
  </si>
  <si>
    <t>Rs. 600/Sq.m</t>
  </si>
  <si>
    <t>10. Mulching Plastic/Jute/Agro textile/any other biodegradable material</t>
  </si>
  <si>
    <t xml:space="preserve">Rs 40,000/ha </t>
  </si>
  <si>
    <t>Assistance @ 50% subject to a maximum of 2 ha per beneficiary or on pro-rata basis for smaller areas.</t>
  </si>
  <si>
    <t>11. Add on Components:</t>
  </si>
  <si>
    <t>i. Hydroponics and Aeroponics</t>
  </si>
  <si>
    <t>Rs. 350/- per Sq.mt.</t>
  </si>
  <si>
    <t>ii. Circulation Fans in poly house only</t>
  </si>
  <si>
    <t>Rs. 5000 per fan.</t>
  </si>
  <si>
    <t>Assistance @ 50% for a maximum area of 1000 sqm per beneficiary or on pro-rata basis for smaller areas.                          Above rates will be 15% higher in the case of NE &amp; Himalayan States, Scheduled areas, vibrant villages, Andaman &amp; Nicobar and Lakshadweep Islands.</t>
  </si>
  <si>
    <t>Assistance @ 50% for a maximum of 6 fans for a maximum area of 2500sq.m. per beneficiary or on pro-rata basis for smaller areas.                                                     Above rates will be 15% higher in the case of NE &amp; Himalayan States, Scheduled areas, vibrant villages, Andaman &amp; Nicobar and Lakshadweep Islands.</t>
  </si>
  <si>
    <t>iii. Sensor based Automation System for fertigation</t>
  </si>
  <si>
    <t>Rs. 4 lakh/unit</t>
  </si>
  <si>
    <t>Assistance @ 50% per unit per beneficiary for minimum area of 2500sq.m. per beneficiary under protected cultivation.                           Above rates will be 15% higher in the case of NE &amp; Himalayan States, Scheduled areas, vibrant villages, Andaman &amp; Nicobar and Lakshadweep Islands.</t>
  </si>
  <si>
    <t>iv. Support system for vegetable crops</t>
  </si>
  <si>
    <t>Rs. 0.20 Lakhs per ha</t>
  </si>
  <si>
    <t>Assistance @ 50% for all farmers for a maximum area of 2 Ha per beneficiary or on pro-rata basis for smaller areas.                           Above rates will be 15% higher in the case of NE &amp; Himalayan States, Scheduled areas, vibrant villages, Andaman &amp; Nicobar and Lakshadweep Islands.</t>
  </si>
  <si>
    <t>v. Permanent Support Structures for Anti hail/Anti bird nets</t>
  </si>
  <si>
    <t>Rs. 20 per Sq.mt. of covered area</t>
  </si>
  <si>
    <t>Assistance @ 50% for a maximum area of 2 ha. per beneficiary or on pro-rata basis for smaller areas.                                         Above rates will be 15% higher in the case of NE &amp; Himalayan States, Scheduled areas, vibrant villages, Andaman &amp; Nicobar and Lakshadweep Islands.</t>
  </si>
  <si>
    <t>vi. Fencing (This component will be considered only in integration with other components of MIDH Scheme)</t>
  </si>
  <si>
    <t>Rs. 300 per running metre</t>
  </si>
  <si>
    <t>Assistance @ 50% subject to a maximum of 1000 running metres per beneficiary. The component should consist of 4 running lines with iron poles having distance of 10 feet between the poles.                                         Above rates will be 15% higher in the case of NE &amp; Himalayan States, Scheduled areas, vibrant villages, Andaman &amp; Nicobar and Lakshadweep Islands.</t>
  </si>
  <si>
    <t>vii. Fruit/Bunch cover (Paper /Non-woven cover/Paper bags etc</t>
  </si>
  <si>
    <t xml:space="preserve">Rs. 0.50 lakh/ha </t>
  </si>
  <si>
    <t>Assistance @ 50% for all farmers for maximum area of 2 ha per beneficiary or on pro-rata basis for smaller areas.                                         Above rates will be 15% higher in the case of NE &amp; Himalayan States, Scheduled areas, vibrant villages, Andaman &amp; Nicobar and Lakshadweep Islands.</t>
  </si>
  <si>
    <t>viii. Weed Mat</t>
  </si>
  <si>
    <t>Rs. 50 per Sq.mt.</t>
  </si>
  <si>
    <t>Assistance @ 50% for all farmers for maximum area of 4000 Sq.mt. per beneficiary or on pro-rata basis for smaller areas.                                         Above rates will be 15% higher in the case of NE &amp; Himalayan States, Scheduled areas, vibrant villages, Andaman &amp; Nicobar and Lakshadweep Islands.</t>
  </si>
  <si>
    <t>B. 6 PFDCs</t>
  </si>
  <si>
    <t>Assistance @ 100% to PFDCs</t>
  </si>
  <si>
    <t>B.7 Promotion of Integrated Nutrient Management (INM)/Integrated Pest Management (IPM)</t>
  </si>
  <si>
    <t>Rs. 5000/ha.</t>
  </si>
  <si>
    <t xml:space="preserve">Assistance @ 30% for an area upto 2 ha. per beneficiary or on pro-rata basis for smaller areas. </t>
  </si>
  <si>
    <t>B.8 Organic Farming</t>
  </si>
  <si>
    <t xml:space="preserve">Assistance @ 100% to Public sector and @ 50% to private sector </t>
  </si>
  <si>
    <t>Assistance for adoption of Organic farming would be available as per PKVY norms for an area upto 2 ha. per beneficiary or on pro-rata basis for smaller areas to all States including NE &amp; Himalayan States, Scheduled areas, Andaman &amp; Nicobar and Lakshadweep Islands.</t>
  </si>
  <si>
    <t>As per PKVY norms</t>
  </si>
  <si>
    <t>i. Adoption of Organic farming</t>
  </si>
  <si>
    <r>
      <t xml:space="preserve"> </t>
    </r>
    <r>
      <rPr>
        <b/>
        <sz val="12"/>
        <rFont val="Arial"/>
        <family val="2"/>
      </rPr>
      <t>ii. Organic Certification</t>
    </r>
  </si>
  <si>
    <t>Assistance for Organic Certification would be available as per the PKVY norms to all States including NE &amp; Himalayan States, Scheduled areas, Andaman &amp; Nicobar and Lakshadweep Islands.</t>
  </si>
  <si>
    <t>iii. Vermi compost Units/organic input production</t>
  </si>
  <si>
    <t xml:space="preserve">Assistance @ 50% conforming to the size of the unit of 30’x8’x2.5’ dimension of permanent structure.   
For HDPE Vermibed, @ 50% conforming to the size of 96 cft (12’x4’x2’) and IS 15907:2010 
</t>
  </si>
  <si>
    <t>B.9 Adoption and Certification for Good Agricultural Practices (GAP) /Bharat GAP</t>
  </si>
  <si>
    <t>Rs. 20,000/ha.</t>
  </si>
  <si>
    <t xml:space="preserve">Assistance @ 50% subject to a maximum of 2 ha/ beneficiary or on pro-rata basis for smaller areas. </t>
  </si>
  <si>
    <t>B.10 Centre of Excellence for Horticulture Crops</t>
  </si>
  <si>
    <t>Rs 1500.00 Lakh/ centre</t>
  </si>
  <si>
    <t>Assistance @ 100% to public sector. This can be established in technical collaboration under bi-lateral co-operation also.</t>
  </si>
  <si>
    <t>B.11 Pollination support though beekeeping</t>
  </si>
  <si>
    <t>i. Production of nucleus stock (Public Sector)</t>
  </si>
  <si>
    <t>ii. Production of bee colonies by bee breeder.</t>
  </si>
  <si>
    <t>iii. One unit of Bee Hives/Boxes of 8 frames with bee colonies</t>
  </si>
  <si>
    <t>Rs. 4000/unit</t>
  </si>
  <si>
    <t>iv. Bee Hive</t>
  </si>
  <si>
    <t>v. Equipment including honey extractor                (4 frame), food grade container (30 kg), net, including complete set of Bee keeping equipment.</t>
  </si>
  <si>
    <t>12.  Horticulture Mechanization (Standalone machinery/equipment will not be permissible)</t>
  </si>
  <si>
    <t>i. Tractor</t>
  </si>
  <si>
    <t>a) Tractor (upto 20 PTO HP) 2 WD</t>
  </si>
  <si>
    <t>As per SMAM norms</t>
  </si>
  <si>
    <t>b) Tractor (upto 20 PTO HP) 4 WD</t>
  </si>
  <si>
    <t>a) Power tiller (upto8 BHP)</t>
  </si>
  <si>
    <t>b) Power tiller (above 8 BHP)</t>
  </si>
  <si>
    <t>iii). Plant Protection Equipments</t>
  </si>
  <si>
    <t>(a)  Manual Sprayer- Knapsack/ Foot operated sprayer</t>
  </si>
  <si>
    <t>b) Powered Knapsack sprayer/Power Operated Taiwan sprayer  (capacity 8 - 12 lts)</t>
  </si>
  <si>
    <t xml:space="preserve">c) Powered Knapsack sprayer/Power Operated Taiwan sprayer 
(capacity above 12- 16 lts)
</t>
  </si>
  <si>
    <t xml:space="preserve">d)  Powered Knapsack sprayer/Power Operated Taiwan sprayer 
(capacity above 16/lts
</t>
  </si>
  <si>
    <t>(e) Tractor Operated sprayer (boom type)</t>
  </si>
  <si>
    <t xml:space="preserve">(f) Tractor Operated Sprayer 
(air carrier/ assisted)
</t>
  </si>
  <si>
    <t>g) Tractor Operated Electrostatics Sprayer</t>
  </si>
  <si>
    <t>(h) Eco Friendly Light Trap</t>
  </si>
  <si>
    <t xml:space="preserve">iv) Import of new machines &amp;tools for horticulture for demonstration purpose </t>
  </si>
  <si>
    <t xml:space="preserve">Private sector </t>
  </si>
  <si>
    <t xml:space="preserve">Public sector </t>
  </si>
  <si>
    <t>Upto a maximum of Rs. 100.00 lakh per unit</t>
  </si>
  <si>
    <t>Assistance @ 100% of the total cost only to public sector and 50% for private sector for Farmers group/FPOs/FIGs</t>
  </si>
  <si>
    <t>B. 13. Technology Dissemination through Demonstration /Front Line Demonstration</t>
  </si>
  <si>
    <t xml:space="preserve">farmers field </t>
  </si>
  <si>
    <t>Public Sector, ICAR, SAUs etc.</t>
  </si>
  <si>
    <t>B. 14 Human Resource Development (HRD)</t>
  </si>
  <si>
    <t>i)  HRD for Gardeners</t>
  </si>
  <si>
    <t>Rs. 15.00 lakh/unit</t>
  </si>
  <si>
    <t>ii)  Training for Supervisors, Gardeners and Agri/Horti Entrepreneurs as per approved courses of Training Institute/ Agriculture Skill Council of India (ASCI) for Horticulture sector.</t>
  </si>
  <si>
    <t>Assistance @ 100% as per cost norms of Training Institutes/ASCI</t>
  </si>
  <si>
    <t xml:space="preserve">Assistance @ 100% as per cost norms of Training Institutes/ASCI
</t>
  </si>
  <si>
    <t>iii) Training/Exposure visit of farmers</t>
  </si>
  <si>
    <t>a)  Within State</t>
  </si>
  <si>
    <t>b)  Outside State</t>
  </si>
  <si>
    <t>c) Outside India</t>
  </si>
  <si>
    <t>Project based as per actuals.</t>
  </si>
  <si>
    <t>Upto a maximum of Rs. 1.5 lakh / participant</t>
  </si>
  <si>
    <t>iv) Training / Study tour of Officers/Technical staff/ Field functionaries</t>
  </si>
  <si>
    <t>Assistance @ 100% of the prescribed cost norms.</t>
  </si>
  <si>
    <t>Rs.1000/day per participant plus TA/ DA, as admissible</t>
  </si>
  <si>
    <t>Upto a maximum of Rs. 1.50 lakh per participant as per actual.</t>
  </si>
  <si>
    <t>Project Based. Assistance @ 100% of economic air/rail travel.  Course fee cost to be funded under Mission Management. (Proposal will be considered by MIDH Division, DA&amp;FW Only)</t>
  </si>
  <si>
    <t>C. Integrated Post Harvest Management</t>
  </si>
  <si>
    <t>C.1 FARM GATE PACKHOUSE with Movable Handling Trolley, Sorting Table and Farm Gate Standalone Cold Storage</t>
  </si>
  <si>
    <t xml:space="preserve">Upto a maximum of Rs. 25.0 lakh/unit with size of 9MX6M
per beneficiary. However, actual cost would be derived based on the option/technology chosen depending upon component selection as per NCCD guidelines.
</t>
  </si>
  <si>
    <t xml:space="preserve">Assistance @ 50% admissible only.
Note: the component has to be implemented in accordance to NCCD guidelines only
</t>
  </si>
  <si>
    <t xml:space="preserve">C.2 INTEGRATED PACK HOUSE with facilities of size 18m x 22m with conveyor belt sorting, grading, washing, drying, weighing scale, HPT, Stacking(crates), Dock Leveler System, Precooling(if required)#, cold room transit and Reefer van
# This is add-on component and is provided need based only in integrated mode.
</t>
  </si>
  <si>
    <t xml:space="preserve">Upto a maximum of Rs 160.00 lakh per beneficiary.
However, actual cost would be derived based on the component/option chosen depending upon components selection as per NCCD guidelines.
</t>
  </si>
  <si>
    <t xml:space="preserve">Credit linked back-ended assistance @ 35% in General areas and 50% in the case of NE &amp; Himalayan States, Scheduled areas, vibrant villages, Andaman &amp; Nicobar and Lakshadweep Islands.
Note: the component has to be implemented in accordance to NCCD guidelines only
</t>
  </si>
  <si>
    <t xml:space="preserve">C.3. COLLECTION AGGREGATION CENTRE with facilities of size 22m x 26m with conveyor belt sorting, grading, washing, drying, weighing bridge, Automated computerised system, HPT, BOPT, Stacking(crates), Dock Leveler System, Precooling(if required)# and cold room transit.
# This is add-on component and is provided need based only in integrated mode.
</t>
  </si>
  <si>
    <t>Upto a maximum of Rs 320.0 lakh per beneficiary. However, actual cost would be derived based on the component/option chosen depending upon components selection as per NCCD guidelines.</t>
  </si>
  <si>
    <t>Upto a maximum cost of Rs. 5 Lakh/MT.</t>
  </si>
  <si>
    <t xml:space="preserve">Back-ended assistance @ 35% in General areas and 50% in the case of NE &amp; Himalayan States, Scheduled areas, vibrant villages, Andaman &amp; Nicobar and Lakshadweep Islands.
Note: the component has to be implemented in accordance to NCCD guidelines only
</t>
  </si>
  <si>
    <t>C.4 Pre-cooling unit  (Hilly areas)</t>
  </si>
  <si>
    <t>C.5 Mobile pre- cooling unit  (Hilly areas)</t>
  </si>
  <si>
    <t>Rs. 30.00 lakh</t>
  </si>
  <si>
    <t>C.6  Cold Rooms</t>
  </si>
  <si>
    <t>Upto a maximum cost of Rs. 52.00 lakh.</t>
  </si>
  <si>
    <t>Back-ended assistance @ 35% in General areas and 50% in the case of NE &amp; Himalayan States, Scheduled areas, vibrant villages, Andaman &amp; Nicobar and Lakshadweep Islands.</t>
  </si>
  <si>
    <t>ii. Solar Power Cold Room (Hilly areas)</t>
  </si>
  <si>
    <t>i. Cold Rooms (Staging) (Hilly areas)</t>
  </si>
  <si>
    <t>May be taken on standalone basis as proposed in C1, C2, C3 and C6.</t>
  </si>
  <si>
    <t>C.7  Cold Storage Type- I (CS-1)</t>
  </si>
  <si>
    <t xml:space="preserve">i) Cold Storage Type-I is defined as CS-1 with Construction in civil including PUF/PIR panels, Doors and Ante-rooms, Refrigeration Units, Electrical Installation, Administrative block, Safety/Fire Safety and Hazard control and basic mazzenine structure
(For other component details please refer to NCCD guidelines)
</t>
  </si>
  <si>
    <t>Rs.  9600/MT, (Max 5,000 MT capacity)</t>
  </si>
  <si>
    <t>ii) Cold Storage Type-I is defined as CS-1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t>
  </si>
  <si>
    <t>Rs.  12000/MT, (Max 5,000 MT capacity)</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</si>
  <si>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</si>
  <si>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Credit linked back-ended assistance @ 35% in General areas and 50% in the case of NE &amp; Himalayan States, Scheduled areas, vibrant villages, Andaman &amp; Nicobar and Lakshadweep Islands. 
Note: Component has to be implemented in accordance to NCCD guidelines only</t>
  </si>
  <si>
    <t xml:space="preserve">iii) CO2 scrubber (need/produce based),  unified control system, material conveying/hoist system, Automated computerised system, HPT, BOPT and dock leveller system
(Applicable for Cold storage units Type 1 only)
</t>
  </si>
  <si>
    <t xml:space="preserve">Upto Max cost of Rs. 50.0 lakh/ project. However, actual cost would be derived based on the component and qty., etc.  chosen depending upon components selection as per NCCD guidelines.      </t>
  </si>
  <si>
    <t xml:space="preserve">Upto Max cost of Rs. 50.0 lakh/ project. However, actual cost would be derived based on the component and qty., etc.  chosen depending upon components selection as per NCCD guidelines.            </t>
  </si>
  <si>
    <t>C.8  Cold Storage Type- I-Onion (CS-1-Onion)</t>
  </si>
  <si>
    <t xml:space="preserve">ii) Cold Storage Type-I-Onion is defined as CS-1-Onion with Construction in combination of civil &amp; PEB including PUF/PIR panels, Doors and Ante-rooms, Refrigeration Units, Electrical Installation, Administrative block, Safety/Fire Safety and Hazard control and basic mezzanine structure
(For other component details please refer to NCCD guidelines)
</t>
  </si>
  <si>
    <t xml:space="preserve">iii) CO2 scrubber,  unified control system, material conveying/hoist system, Automated computerised system, HPT, BOPT and dock leveller system
(Applicable for Cold storage units Type 1-onion only)
</t>
  </si>
  <si>
    <t>Upto Max cost of Rs. 278.00 lakh/ project. However, actual cost would be derived based on the component and qty., etc.  chosendepending upon components selection as per NCCD guidelines.</t>
  </si>
  <si>
    <t>C.9  Cold Storage Type- II (CS-2)</t>
  </si>
  <si>
    <t xml:space="preserve">ii) CO2 scrubber (need/produce based),  unified control system, material conveying/hoist system, HPT, BOPT and dock leveller system
(Applicable for Cold storage units Type 2 only)
</t>
  </si>
  <si>
    <t>i) Cold Storage Type-II is defined as CS-2 with Construction in combination of civil &amp; PEB including PUF/PIR panels, Doors and Ante-rooms, Refrigeration Units, Electrical Installation, Administrative block, Safety/Fire Safety and Hazard control and basic mezzanine structure</t>
  </si>
  <si>
    <t>Upto Max cost of Rs. 49.00 lakh/ project. However, actual cost would be derived based on the component and qty., etc.  chosen depending upon components selection as per NCCD guidelines.</t>
  </si>
  <si>
    <t>C.9  Cold Storage Type- II-CA (CS-2-CA)</t>
  </si>
  <si>
    <t xml:space="preserve">v) Cold Storage Type-II with CA is defined as CS-2-CA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
</t>
  </si>
  <si>
    <t xml:space="preserve">Additional Rs. 12000/MT for a maximum capacity of 5000 MT.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</si>
  <si>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</si>
  <si>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ii) CA Add-on: Details of the components are described in NCCD guidelines.</t>
  </si>
  <si>
    <t xml:space="preserve">Upto Max cost of Rs. 1345 lakhs/project
(Max. subsidy for CA store may not exceed more than 900 Lakhs including add-ons)
The actual cost would be derived based on the component and qty., etc.  chosen depending upon components selection as per NCCD guidelines.
</t>
  </si>
  <si>
    <t>C.10  Cold Storage Type- IV (CS-4)</t>
  </si>
  <si>
    <t>i) Cold Storage for dry spices &amp; raisins is defined as CS-4 with Construction in civil including PUF/PIR panels, Doors and Ante-rooms, Refrigeration Units, Electrical Installation, Administrative block, Safety/Fire Safety and Hazard control and basic mazzenine structure
(For other component details please refer to NCCD guidelines)</t>
  </si>
  <si>
    <t>ii) Cold Storage for dry spices &amp; raisins, MFP, etc. is defined as CS-4 with Construction in combination of civil &amp; PEB including PUF/PIR panels, Doors and Ante-rooms, Refrigeration Units, Electrical Installation, Administrative block, Safety/Fire Safety and Hazard control and basic mazzenine structure 
(For other component details please refer to NCCD guidelines)</t>
  </si>
  <si>
    <t xml:space="preserve">iii) Unified control system, material hoist HPT, BOPT and dock leveller system
(Applicable for Cold storage units for dry spices and raisins)
</t>
  </si>
  <si>
    <t xml:space="preserve">Upto Max cost of Rs. 31.00 lakh/ project. 
However, actual cost would be derived based on the component and qty., etc.  chosen depending upon components selection as per NCCD guidelines.
</t>
  </si>
  <si>
    <t xml:space="preserve">Max. Rs. 125 lakh but not more than Rs. 3000/MT of the cold store capacity for refrigeration and Max. 
Rs. 120 lakh but not more than Rs. 1800/MT for insulation respectively.
However, actual cost would be derived based on the component and qty., etc.  chosen depending upon components selection as per NCCD guidelines.
</t>
  </si>
  <si>
    <t>C.12 Technology induction/modernization of Cold Storage</t>
  </si>
  <si>
    <t xml:space="preserve">C.13 Refrigerated Transport vehicles </t>
  </si>
  <si>
    <t xml:space="preserve">Rs. 31.00 lakh for upto max. capacity of 14 MT and on pro-rata basis for smaller capacity but not below 4MT.
However, actual cost would be derived based on quantity etc. chosen depending upon components selection as per NCCD guidelines.
</t>
  </si>
  <si>
    <t xml:space="preserve">Credit linked back-ended assistance @ 35% in General areas and 50% in the case of NE &amp; Himalayan States, Scheduled areas, vibrant villages, Andaman &amp; Nicobar and Lakshadweep Islands
Note: Component has to be implemented in accordance to NCCD guidelines only
</t>
  </si>
  <si>
    <t xml:space="preserve">C.14 Primary/Minimal Processing Unit
(This component will be considered only integrated with other components of MIDH Scheme)
</t>
  </si>
  <si>
    <t>Rs. 35.00 lakh/unit</t>
  </si>
  <si>
    <t>Credit linked back-ended assistance @ 35% in General areas and 50% in the case of NE &amp; Himalayan States, Scheduled areas, vibrant villages, Andaman &amp; Nicobar and Lakshadweep Islands.</t>
  </si>
  <si>
    <t>C.15 Ripening Chamber also termed as CS-3</t>
  </si>
  <si>
    <t>General areas</t>
  </si>
  <si>
    <t>Hilly areas</t>
  </si>
  <si>
    <t>i) Non-Pressurised Ripening Chamber also termed as CS-3</t>
  </si>
  <si>
    <t>Credit linked back-ended assistance @ 35% in General areas and 50% in the case of NE &amp; Himalayan States, Scheduled areas, vibrant villages, Andaman &amp; Nicobar and Lakshadweep Islands</t>
  </si>
  <si>
    <t xml:space="preserve">ii) Pressurised
Ripening Chamber also termed as CS-3
</t>
  </si>
  <si>
    <t>Rs. 1.20 lakh/MT</t>
  </si>
  <si>
    <t>C.16 Low-cost Onion/Garlic storage structure</t>
  </si>
  <si>
    <t>Rs. 7000/MT</t>
  </si>
  <si>
    <t xml:space="preserve">Back-ended assistance @ 50 % for a unit of the size from 5 to 1000 MT capacity on pro rata basis in all areas throughout country as per following details: 
5-25 MT   - 10000/MT
25-500 MT - 8000/MT
500-1000 MT   - 6000/MT 
(Assistance will be credit linked in case if project cost is more than Rs. 30.00 lakh)
</t>
  </si>
  <si>
    <t>C.17 Pusa Zero energy cool chamber (100 kg)</t>
  </si>
  <si>
    <t xml:space="preserve">C. 18 Solar Crop Dryer 
(with 24 Hrs. Backup)
</t>
  </si>
  <si>
    <t xml:space="preserve">Rs. 2.50 lakh/unit of 70 kg capacity and Rs. 3.50 lakh/unit of 100 kg capacity for a maximum of 5 units per beneficiary </t>
  </si>
  <si>
    <t>Assistance @ 40% in General areas and 55% in the case of NE &amp; Himalayan States, TSP areas, Hilly and Scheduled areas, vibrant villages, Andaman &amp; Nicobar and Lakshadweep Islands.</t>
  </si>
  <si>
    <t>C.19 Integrated Cold Chain Project</t>
  </si>
  <si>
    <t>Upto a max. cost of Rs. 1000.00 lakh/per project.   Project should comprise of minimum 5 components from C-2 to C-11 to qualify for assistance.</t>
  </si>
  <si>
    <t>C.20 Integrated Supply Chain Project</t>
  </si>
  <si>
    <t xml:space="preserve">Upto a maximum cost of       Rs. 2000 lakh per project </t>
  </si>
  <si>
    <t>C.21 Integrated Supply Chain Project</t>
  </si>
  <si>
    <t>D.   Establishment of Marketing Infrastructure</t>
  </si>
  <si>
    <t>D.1 Rural Markets/Apnimandis/Direct markets</t>
  </si>
  <si>
    <t>Rs. 20.00 lakh /unit</t>
  </si>
  <si>
    <t>D.2 Retail markets/ outlets (environmentally controlled)</t>
  </si>
  <si>
    <t>D.3 Static/Mobile vending cart/platform with cool chamber</t>
  </si>
  <si>
    <t xml:space="preserve">D.4  Modified retail refer van with retail counter (to be linked with Integrated Pack house)
</t>
  </si>
  <si>
    <t>Rs. 20 Lakhs with loading capacity of 3 MT</t>
  </si>
  <si>
    <t>D.5 Functional infrastructure:</t>
  </si>
  <si>
    <t>(i) Quality control /analysis lab</t>
  </si>
  <si>
    <t xml:space="preserve">b) Private sector </t>
  </si>
  <si>
    <t>Assistance @ 100% of the total cost to public sector and credit linked back-ended assistance @ 50% of cost to private sector to check Maximum Residue Levels. The project could be established in PPP Mode also.</t>
  </si>
  <si>
    <t>E. FOOD PROCESSING</t>
  </si>
  <si>
    <t>E.1 Food Processing</t>
  </si>
  <si>
    <t>Rs. 1000 lakh/unit</t>
  </si>
  <si>
    <t>Credit linked back-ended capital investment assistance of 50% of cost in the NE and Himalaya States i.e.  J&amp;K, Himachal and Uttarakhand.</t>
  </si>
  <si>
    <t xml:space="preserve">E.2 Secondary Processing units for Value addition
</t>
  </si>
  <si>
    <t>Assistance @ 35% in General areas and 50% in the case of NE &amp; Himalayan States, Scheduled areas, vibrant villages, Andaman &amp; Nicobar and Lakshadweep Islands.</t>
  </si>
  <si>
    <t>Rs. 100 lakh/unit</t>
  </si>
  <si>
    <t>F. SPECIAL INTERVENTIONS</t>
  </si>
  <si>
    <t>Upto a maximum of Rs 100.00 lakh</t>
  </si>
  <si>
    <t xml:space="preserve">G. Mission Management </t>
  </si>
  <si>
    <t>G.1  State &amp; Districts Mission Offices and implementing agencies for administrative expenses, project, preparation, computerization, contingency etc.</t>
  </si>
  <si>
    <t xml:space="preserve"> 2.5% of total annual expenditure </t>
  </si>
  <si>
    <t>G.2 Institutional Strengthening including purchase of hardware, software and hiring of vehicles.</t>
  </si>
  <si>
    <t>Need based</t>
  </si>
  <si>
    <t>G.3 Seminars conferences, workshops, exhibitions, kisan mela, horticulture shows, honey festivals etc.</t>
  </si>
  <si>
    <t>Assistance @ 100%  to public sector and @ 50% to private sector per event of 3 days on pro rata basis. Physical Participation from atleast 5 countries.</t>
  </si>
  <si>
    <t>Assistance @ 100%  to public sector and @ 50% to private sector per event of 2 days on pro rata basis</t>
  </si>
  <si>
    <t>Do</t>
  </si>
  <si>
    <t>G.4 Information dissemination through publicity, printed literature and local advertisements etc.</t>
  </si>
  <si>
    <t>Rs 1.00 lakh/ district</t>
  </si>
  <si>
    <t xml:space="preserve">Assistance @ 100% of cost </t>
  </si>
  <si>
    <t xml:space="preserve">G.5 Technical Support Group at State level </t>
  </si>
  <si>
    <t xml:space="preserve">Project based subject to ceiling of Rs 50.00 lakh per annum per State </t>
  </si>
  <si>
    <t>100% of cost should not exceed the ceiling per annum.</t>
  </si>
  <si>
    <t xml:space="preserve">G.6 Baseline survey and strengthening horticultural statistical data base </t>
  </si>
  <si>
    <t>Project based subject to a maximum of Rs. 200 Lakhs per State/UT</t>
  </si>
  <si>
    <t>Assistance @ 100% of cost as one time grant for survey related activities.</t>
  </si>
  <si>
    <t>National Level</t>
  </si>
  <si>
    <t>G.7 Technical Support Group at National level for hiring experts/ staffs, studies, seminars / workshops, training, contingencies</t>
  </si>
  <si>
    <t xml:space="preserve">2.5% of BE per annum
</t>
  </si>
  <si>
    <t>G.8 Technical collaboration with international agencies like FAO, World Bank, ADB, Bilateral cooperation, international exposure visits/ training of officials etc.</t>
  </si>
  <si>
    <t>ii. Solar Power Cold Room (General areas )</t>
  </si>
  <si>
    <t>i. Cold Rooms (Staging) (General areas )</t>
  </si>
  <si>
    <t>C.5 Mobile pre- cooling unit  (General areas )</t>
  </si>
  <si>
    <t>C.4 Pre-cooling unit (General areas )</t>
  </si>
  <si>
    <t>Sub-total aromatics Maintenance</t>
  </si>
  <si>
    <t>Sub-total spices Maintenance</t>
  </si>
  <si>
    <t>Up-gradation</t>
  </si>
  <si>
    <t>i) Cold Storage Type-I-Onion is defined as CS-1-Onion with Construction in civil including PUF/PIR panels, Doors and Ante-rooms, Refrigeration Units, Electrical Installation, Administrative block, Safety/Fire Safety and Hazard control and basic mazzenine structure
(For other component details please refer to NCCD guidelines)</t>
  </si>
  <si>
    <t>Action Plan  2025-26</t>
  </si>
  <si>
    <t>S.No.</t>
  </si>
  <si>
    <t>Unit</t>
  </si>
  <si>
    <t>%</t>
  </si>
  <si>
    <t>No.</t>
  </si>
  <si>
    <t xml:space="preserve">Plantation Infrastructure and Development   </t>
  </si>
  <si>
    <t>Establishment of new gardens / Area Expansion+Mushrooms includes 2013-14</t>
  </si>
  <si>
    <t>Ha.</t>
  </si>
  <si>
    <t>Maintenance 1 &amp; 2 Year</t>
  </si>
  <si>
    <t xml:space="preserve">Rejuvenation/ replanting </t>
  </si>
  <si>
    <t>Promotion of IPM/INM</t>
  </si>
  <si>
    <t>Adoption of Organic Farming.</t>
  </si>
  <si>
    <t>FLD+ PFDC+GAP includes 2013-14</t>
  </si>
  <si>
    <t>Post Harvest Management includes 2013-14</t>
  </si>
  <si>
    <t>Food Processing</t>
  </si>
  <si>
    <t>Markets</t>
  </si>
  <si>
    <t>Protected cultivation includes 2013-14</t>
  </si>
  <si>
    <t>Beekeeping</t>
  </si>
  <si>
    <t>Centre of Excellence for Horticulture</t>
  </si>
  <si>
    <t>Awareness, Survey etc.</t>
  </si>
  <si>
    <t>Mission Management/ TSG</t>
  </si>
  <si>
    <t>G. Total</t>
  </si>
  <si>
    <t>U.P. 2025-26</t>
  </si>
  <si>
    <t>Establishment of new gardens / Area Expansion</t>
  </si>
  <si>
    <t xml:space="preserve">Protected cultivation </t>
  </si>
  <si>
    <t>Adoption and Certification for Good Agricultural Practices (GAP) /Bharat GAP</t>
  </si>
  <si>
    <t>Technology Dissemination through Demonstration /Front Line Demonstration</t>
  </si>
  <si>
    <t>Functional infrastructure</t>
  </si>
  <si>
    <t xml:space="preserve"> Institutional Strengthening including purchase of hardware, software and hiring of vehicles</t>
  </si>
  <si>
    <t xml:space="preserve">  BB To GG (Seminars conferences, workshops, exhibitions, kisan mela, horticulture shows, honey festivals etc)</t>
  </si>
  <si>
    <t>Post Harvest Management</t>
  </si>
  <si>
    <t xml:space="preserve"> PFDCs</t>
  </si>
  <si>
    <t>Fig</t>
  </si>
  <si>
    <t>Papaya</t>
  </si>
  <si>
    <t>Jack Fruit</t>
  </si>
  <si>
    <t>Annual Action Plan Chhattisgarh</t>
  </si>
  <si>
    <t>a) Pear (5x5)</t>
  </si>
  <si>
    <t>b) Litchi (7.5x7.5)</t>
  </si>
  <si>
    <t>c) Guava (6x6)</t>
  </si>
  <si>
    <t>d) Draganfruit(4x4)</t>
  </si>
  <si>
    <t>e) Lime (4x4.5)</t>
  </si>
  <si>
    <t>Maintenance ( Seed Spices)</t>
  </si>
  <si>
    <t>Maintenance (Perennial Spices)</t>
  </si>
  <si>
    <t>Maintenance (Rhizomatic and bulbous Spices)</t>
  </si>
  <si>
    <t>(c) With Intercropping (Normal Specing 7x7 )</t>
  </si>
  <si>
    <t xml:space="preserve">(up to area 500 Sq. m) </t>
  </si>
  <si>
    <t>a) Honey bee colony</t>
  </si>
  <si>
    <t xml:space="preserve">b) Bee Hives </t>
  </si>
  <si>
    <t>iii) Self propelled machinery- Power weeder (SC, ST, Small and marginal farmer)</t>
  </si>
  <si>
    <t xml:space="preserve"> Skill Development (Gardener) 200 Hours</t>
  </si>
  <si>
    <t xml:space="preserve">Pack house (size of 9Mx6M) </t>
  </si>
  <si>
    <t>Area Expansion of Onion (Cost Norms as per Scale of Finance of Bank for loan purpouse in Chhattisgarh)</t>
  </si>
  <si>
    <t>b)   Without integration  (Pear)</t>
  </si>
  <si>
    <t>Citrus (Lime)</t>
  </si>
  <si>
    <t>Banana -General Area</t>
  </si>
  <si>
    <t>Papaya -General Area</t>
  </si>
  <si>
    <t xml:space="preserve"> Pear (5x5)</t>
  </si>
  <si>
    <t>Litchi (7.5x7.5)</t>
  </si>
  <si>
    <t>Guava (6x6)</t>
  </si>
  <si>
    <t>Dragon fruit(4x4)</t>
  </si>
  <si>
    <t>Lime (4x4.5)</t>
  </si>
  <si>
    <t>d) Dragon fruit (4x4)</t>
  </si>
  <si>
    <t>f) Jack Fruit Hybrid  (6x6)</t>
  </si>
  <si>
    <t>1st Year Total maintainance</t>
  </si>
  <si>
    <t>2nd YearTotal maintainance</t>
  </si>
  <si>
    <t>Cashew Maintenance  Without integration I &amp; II year</t>
  </si>
  <si>
    <t xml:space="preserve">II year </t>
  </si>
  <si>
    <t xml:space="preserve"> Chhattisgarh 2025-26</t>
  </si>
  <si>
    <t>Adoption for GAP /Bharat GAP</t>
  </si>
  <si>
    <t>Establishment of new gardens</t>
  </si>
  <si>
    <t>Other Components</t>
  </si>
  <si>
    <t>Front Line Demonstration</t>
  </si>
  <si>
    <t>Proposed by State</t>
  </si>
  <si>
    <t>PT</t>
  </si>
  <si>
    <t>FT</t>
  </si>
  <si>
    <t>Target</t>
  </si>
  <si>
    <t>Physical</t>
  </si>
  <si>
    <t>Financial (Rs. in Lakhs)</t>
  </si>
  <si>
    <t>GoI Share</t>
  </si>
  <si>
    <t>State Share</t>
  </si>
  <si>
    <t>mapping_code</t>
  </si>
  <si>
    <t>879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</si>
</sst>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0"/>
    <numFmt numFmtId="166" formatCode="0.000"/>
  </numFmts>
  <fonts count="37" x14ac:knownFonts="1">
    <font>
      <sz val="11"/>
      <color theme="1"/>
      <name val="Calibri"/>
      <family val="2"/>
      <scheme val="minor"/>
    </font>
    <font>
      <sz val="14"/>
      <name val="Arial"/>
      <family val="2"/>
    </font>
    <font>
      <b/>
      <sz val="20"/>
      <name val="Arial"/>
      <family val="2"/>
    </font>
    <font>
      <b/>
      <sz val="14"/>
      <name val="Arial"/>
      <family val="2"/>
    </font>
    <font>
      <sz val="9"/>
      <name val="Arial"/>
      <family val="2"/>
    </font>
    <font>
      <b/>
      <sz val="12"/>
      <name val="Arial"/>
      <family val="2"/>
    </font>
    <font>
      <sz val="12"/>
      <name val="Arial"/>
      <family val="2"/>
    </font>
    <font>
      <sz val="10"/>
      <name val="Arial"/>
      <family val="2"/>
    </font>
    <font>
      <b/>
      <sz val="10"/>
      <name val="Arial"/>
      <family val="2"/>
    </font>
    <font>
      <sz val="7"/>
      <name val="Times New Roman"/>
      <family val="1"/>
    </font>
    <font>
      <vertAlign val="superscript"/>
      <sz val="12"/>
      <name val="Arial"/>
      <family val="2"/>
    </font>
    <font>
      <sz val="14"/>
      <color rgb="FFFF0000"/>
      <name val="Arial"/>
      <family val="2"/>
    </font>
    <font>
      <b/>
      <sz val="12"/>
      <name val="Times New Roman"/>
      <family val="1"/>
    </font>
    <font>
      <sz val="14"/>
      <name val="Times New Roman"/>
      <family val="1"/>
    </font>
    <font>
      <sz val="14"/>
      <color theme="1"/>
      <name val="Arial"/>
      <family val="2"/>
    </font>
    <font>
      <sz val="12"/>
      <color rgb="FF000000"/>
      <name val="Arial"/>
      <family val="2"/>
    </font>
    <font>
      <sz val="12"/>
      <color indexed="8"/>
      <name val="Arial"/>
      <family val="2"/>
    </font>
    <font>
      <b/>
      <sz val="14"/>
      <color theme="1"/>
      <name val="Arial"/>
      <family val="2"/>
    </font>
    <font>
      <sz val="18"/>
      <name val="Arial"/>
      <family val="2"/>
    </font>
    <font>
      <sz val="11.5"/>
      <color theme="1"/>
      <name val="Arial"/>
      <family val="2"/>
    </font>
    <font>
      <b/>
      <sz val="12"/>
      <color rgb="FFFF0000"/>
      <name val="Arial"/>
      <family val="2"/>
    </font>
    <font>
      <sz val="12"/>
      <color rgb="FFFF0000"/>
      <name val="Arial"/>
      <family val="2"/>
    </font>
    <font>
      <sz val="10"/>
      <color rgb="FFFF0000"/>
      <name val="Arial"/>
      <family val="2"/>
    </font>
    <font>
      <b/>
      <sz val="10"/>
      <color rgb="FFFF0000"/>
      <name val="Arial"/>
      <family val="2"/>
    </font>
    <font>
      <b/>
      <sz val="11"/>
      <name val="Arial"/>
      <family val="2"/>
    </font>
    <font>
      <b/>
      <sz val="11"/>
      <color rgb="FFFF0000"/>
      <name val="Arial"/>
      <family val="2"/>
    </font>
    <font>
      <sz val="7"/>
      <color rgb="FFFF0000"/>
      <name val="Times New Roman"/>
      <family val="1"/>
    </font>
    <font>
      <sz val="12"/>
      <color theme="1"/>
      <name val="Arial"/>
      <family val="2"/>
    </font>
    <font>
      <b/>
      <sz val="12"/>
      <color theme="1"/>
      <name val="Arial"/>
      <family val="2"/>
    </font>
    <font>
      <sz val="11"/>
      <color theme="1"/>
      <name val="Calibri"/>
      <family val="2"/>
      <scheme val="minor"/>
    </font>
    <font>
      <b/>
      <sz val="11"/>
      <color theme="1"/>
      <name val="Calibri"/>
      <family val="2"/>
      <scheme val="minor"/>
    </font>
    <font>
      <sz val="12"/>
      <color theme="1"/>
      <name val="Calibri"/>
      <family val="2"/>
      <scheme val="minor"/>
    </font>
    <font>
      <sz val="12"/>
      <name val="Calibri"/>
      <family val="2"/>
      <scheme val="minor"/>
    </font>
    <font>
      <b/>
      <sz val="14"/>
      <color theme="1"/>
      <name val="Calibri"/>
      <family val="2"/>
      <scheme val="minor"/>
    </font>
    <font>
      <sz val="11"/>
      <color rgb="FFFF0000"/>
      <name val="Arial"/>
      <family val="2"/>
    </font>
    <font>
      <b/>
      <sz val="12"/>
      <color rgb="FFFF0000"/>
      <name val="Times New Roman"/>
      <family val="1"/>
    </font>
    <font>
      <b/>
      <sz val="12"/>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4" tint="0.59999389629810485"/>
        <bgColor indexed="64"/>
      </patternFill>
    </fill>
    <fill>
      <patternFill patternType="solid">
        <fgColor theme="5" tint="0.59999389629810485"/>
        <bgColor indexed="64"/>
      </patternFill>
    </fill>
  </fills>
  <borders count="21">
    <border>
      <left/>
      <right/>
      <top/>
      <bottom/>
      <diagonal/>
    </border>
    <border>
      <left style="thin">
        <color indexed="64"/>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bottom/>
      <diagonal/>
    </border>
    <border>
      <left style="thin">
        <color indexed="64"/>
      </left>
      <right/>
      <top/>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29" fillId="0" borderId="0"/>
    <xf numFmtId="0" fontId="7" fillId="0" borderId="0" applyNumberFormat="0" applyFont="0" applyFill="0" applyBorder="0" applyAlignment="0" applyProtection="0">
      <alignment vertical="top"/>
    </xf>
  </cellStyleXfs>
  <cellXfs count="311">
    <xf numFmtId="0" fontId="0" fillId="0" borderId="0" xfId="0"/>
    <xf numFmtId="0" fontId="0" fillId="0" borderId="1" xfId="0" applyBorder="1" applyAlignment="1">
      <alignment horizontal="center" vertical="top"/>
    </xf>
    <xf numFmtId="0" fontId="0" fillId="0" borderId="0" xfId="0" applyAlignment="1">
      <alignment horizontal="center"/>
    </xf>
    <xf numFmtId="2" fontId="1" fillId="0" borderId="0" xfId="0" applyNumberFormat="1" applyFont="1" applyAlignment="1">
      <alignment horizontal="center"/>
    </xf>
    <xf numFmtId="0" fontId="3" fillId="0" borderId="6" xfId="0" applyFont="1" applyBorder="1" applyAlignment="1">
      <alignment horizontal="center" vertical="top" wrapText="1"/>
    </xf>
    <xf numFmtId="0" fontId="3" fillId="0" borderId="6" xfId="0" applyFont="1" applyBorder="1" applyAlignment="1">
      <alignment horizontal="center" vertical="center" wrapText="1"/>
    </xf>
    <xf numFmtId="0" fontId="4" fillId="0" borderId="6" xfId="0" applyFont="1" applyBorder="1" applyAlignment="1">
      <alignment horizontal="right"/>
    </xf>
    <xf numFmtId="0" fontId="5" fillId="0" borderId="10" xfId="0" applyFont="1" applyBorder="1" applyAlignment="1">
      <alignment horizontal="center" vertical="top" wrapText="1"/>
    </xf>
    <xf numFmtId="0" fontId="3" fillId="0" borderId="10" xfId="0" applyFont="1" applyBorder="1" applyAlignment="1">
      <alignment horizontal="center" vertical="top" wrapText="1"/>
    </xf>
    <xf numFmtId="0" fontId="5" fillId="0" borderId="10" xfId="0" applyFont="1" applyBorder="1" applyAlignment="1">
      <alignment horizontal="center" vertical="center" wrapText="1"/>
    </xf>
    <xf numFmtId="0" fontId="1" fillId="0" borderId="10" xfId="0" applyFont="1" applyBorder="1" applyAlignment="1">
      <alignment horizontal="center" vertical="center" wrapText="1"/>
    </xf>
    <xf numFmtId="0" fontId="6" fillId="0" borderId="10" xfId="0" applyFont="1" applyBorder="1" applyAlignment="1">
      <alignment horizontal="center" vertical="top" wrapText="1"/>
    </xf>
    <xf numFmtId="0" fontId="1" fillId="0" borderId="10" xfId="0" applyFont="1" applyBorder="1" applyAlignment="1">
      <alignment vertical="justify"/>
    </xf>
    <xf numFmtId="0" fontId="6" fillId="0" borderId="10" xfId="0" applyFont="1" applyBorder="1" applyAlignment="1">
      <alignment vertical="top"/>
    </xf>
    <xf numFmtId="0" fontId="6" fillId="0" borderId="10" xfId="0" applyFont="1" applyBorder="1" applyAlignment="1">
      <alignment vertical="top" wrapText="1"/>
    </xf>
    <xf numFmtId="1" fontId="1" fillId="0" borderId="10" xfId="0" applyNumberFormat="1" applyFont="1" applyBorder="1" applyAlignment="1">
      <alignment vertical="top" wrapText="1"/>
    </xf>
    <xf numFmtId="2" fontId="1" fillId="0" borderId="10" xfId="0" applyNumberFormat="1" applyFont="1" applyBorder="1" applyAlignment="1">
      <alignment vertical="top" wrapText="1"/>
    </xf>
    <xf numFmtId="0" fontId="7" fillId="0" borderId="10" xfId="0" applyFont="1" applyBorder="1" applyAlignment="1">
      <alignment vertical="top" wrapText="1"/>
    </xf>
    <xf numFmtId="0" fontId="7" fillId="0" borderId="10" xfId="0" applyFont="1" applyBorder="1" applyAlignment="1">
      <alignment vertical="top"/>
    </xf>
    <xf numFmtId="0" fontId="8" fillId="0" borderId="0" xfId="0" applyFont="1"/>
    <xf numFmtId="164" fontId="7" fillId="0" borderId="10" xfId="0" applyNumberFormat="1" applyFont="1" applyBorder="1" applyAlignment="1">
      <alignment horizontal="justify" vertical="top" wrapText="1"/>
    </xf>
    <xf numFmtId="164" fontId="7" fillId="0" borderId="10" xfId="0" applyNumberFormat="1" applyFont="1" applyBorder="1" applyAlignment="1">
      <alignment horizontal="center" vertical="top" wrapText="1"/>
    </xf>
    <xf numFmtId="0" fontId="6" fillId="0" borderId="10" xfId="0" applyFont="1" applyBorder="1" applyAlignment="1">
      <alignment horizontal="justify" vertical="top" wrapText="1"/>
    </xf>
    <xf numFmtId="0" fontId="5" fillId="0" borderId="10" xfId="0" applyFont="1" applyBorder="1" applyAlignment="1">
      <alignment vertical="top"/>
    </xf>
    <xf numFmtId="0" fontId="6" fillId="0" borderId="10" xfId="0" applyFont="1" applyBorder="1" applyAlignment="1">
      <alignment horizontal="left" vertical="top" wrapText="1"/>
    </xf>
    <xf numFmtId="164" fontId="7" fillId="0" borderId="10" xfId="0" applyNumberFormat="1" applyFont="1" applyBorder="1" applyAlignment="1">
      <alignment vertical="center" wrapText="1"/>
    </xf>
    <xf numFmtId="0" fontId="5" fillId="0" borderId="10" xfId="0" applyFont="1" applyBorder="1" applyAlignment="1">
      <alignment vertical="top" wrapText="1"/>
    </xf>
    <xf numFmtId="0" fontId="6" fillId="0" borderId="10" xfId="0" applyFont="1" applyBorder="1"/>
    <xf numFmtId="2" fontId="3" fillId="0" borderId="10" xfId="0" applyNumberFormat="1" applyFont="1" applyBorder="1" applyAlignment="1">
      <alignment vertical="top" wrapText="1"/>
    </xf>
    <xf numFmtId="0" fontId="5" fillId="0" borderId="10" xfId="0" applyFont="1" applyBorder="1" applyAlignment="1">
      <alignment horizontal="center" vertical="top"/>
    </xf>
    <xf numFmtId="164" fontId="1" fillId="0" borderId="10" xfId="0" applyNumberFormat="1" applyFont="1" applyBorder="1" applyAlignment="1">
      <alignment vertical="top" wrapText="1"/>
    </xf>
    <xf numFmtId="165" fontId="6" fillId="0" borderId="10" xfId="0" applyNumberFormat="1" applyFont="1" applyBorder="1" applyAlignment="1">
      <alignment vertical="top" wrapText="1"/>
    </xf>
    <xf numFmtId="0" fontId="5" fillId="0" borderId="9" xfId="0" applyFont="1" applyBorder="1" applyAlignment="1">
      <alignment vertical="top" wrapText="1"/>
    </xf>
    <xf numFmtId="1" fontId="3" fillId="0" borderId="10" xfId="0" applyNumberFormat="1" applyFont="1" applyBorder="1" applyAlignment="1">
      <alignment vertical="top" wrapText="1"/>
    </xf>
    <xf numFmtId="166" fontId="6" fillId="0" borderId="10" xfId="0" applyNumberFormat="1" applyFont="1" applyBorder="1" applyAlignment="1">
      <alignment vertical="top" wrapText="1"/>
    </xf>
    <xf numFmtId="0" fontId="6" fillId="0" borderId="10" xfId="0" applyFont="1" applyBorder="1" applyAlignment="1">
      <alignment horizontal="justify" vertical="top"/>
    </xf>
    <xf numFmtId="0" fontId="6" fillId="0" borderId="10" xfId="0" applyFont="1" applyBorder="1" applyAlignment="1">
      <alignment horizontal="left" vertical="top" wrapText="1" indent="1"/>
    </xf>
    <xf numFmtId="165" fontId="1" fillId="0" borderId="10" xfId="0" applyNumberFormat="1" applyFont="1" applyBorder="1" applyAlignment="1">
      <alignment vertical="top" wrapText="1"/>
    </xf>
    <xf numFmtId="0" fontId="5" fillId="0" borderId="10" xfId="0" applyFont="1" applyBorder="1" applyAlignment="1">
      <alignment horizontal="left" vertical="top" wrapText="1"/>
    </xf>
    <xf numFmtId="0" fontId="6" fillId="0" borderId="10" xfId="0" applyFont="1" applyBorder="1" applyAlignment="1">
      <alignment horizontal="left" vertical="top" indent="1"/>
    </xf>
    <xf numFmtId="2" fontId="11" fillId="0" borderId="10" xfId="0" applyNumberFormat="1" applyFont="1" applyBorder="1" applyAlignment="1">
      <alignment vertical="top" wrapText="1"/>
    </xf>
    <xf numFmtId="0" fontId="12" fillId="0" borderId="10" xfId="0" applyFont="1" applyBorder="1" applyAlignment="1">
      <alignment horizontal="center" vertical="top" wrapText="1"/>
    </xf>
    <xf numFmtId="0" fontId="8" fillId="0" borderId="10" xfId="0" applyFont="1" applyBorder="1" applyAlignment="1">
      <alignment vertical="top" wrapText="1"/>
    </xf>
    <xf numFmtId="0" fontId="5" fillId="0" borderId="0" xfId="0" applyFont="1"/>
    <xf numFmtId="2" fontId="13" fillId="0" borderId="10" xfId="0" applyNumberFormat="1" applyFont="1" applyBorder="1" applyAlignment="1">
      <alignment vertical="top" wrapText="1"/>
    </xf>
    <xf numFmtId="2" fontId="7" fillId="0" borderId="10" xfId="0" applyNumberFormat="1" applyFont="1" applyBorder="1" applyAlignment="1">
      <alignment vertical="top"/>
    </xf>
    <xf numFmtId="0" fontId="8" fillId="0" borderId="10" xfId="0" applyFont="1" applyBorder="1" applyAlignment="1">
      <alignment horizontal="justify" vertical="top" wrapText="1"/>
    </xf>
    <xf numFmtId="164" fontId="3" fillId="0" borderId="10" xfId="0" applyNumberFormat="1" applyFont="1" applyBorder="1" applyAlignment="1">
      <alignment vertical="top" wrapText="1"/>
    </xf>
    <xf numFmtId="0" fontId="7" fillId="0" borderId="10" xfId="0" applyFont="1" applyBorder="1" applyAlignment="1">
      <alignment horizontal="justify" vertical="top"/>
    </xf>
    <xf numFmtId="0" fontId="1" fillId="0" borderId="10" xfId="0" applyFont="1" applyBorder="1" applyAlignment="1">
      <alignment horizontal="left" vertical="top" wrapText="1"/>
    </xf>
    <xf numFmtId="164" fontId="1" fillId="0" borderId="7" xfId="0" applyNumberFormat="1" applyFont="1" applyBorder="1" applyAlignment="1">
      <alignment vertical="top" wrapText="1"/>
    </xf>
    <xf numFmtId="1" fontId="1" fillId="0" borderId="7" xfId="0" applyNumberFormat="1" applyFont="1" applyBorder="1" applyAlignment="1">
      <alignment vertical="top" wrapText="1"/>
    </xf>
    <xf numFmtId="1" fontId="3" fillId="0" borderId="7" xfId="0" applyNumberFormat="1" applyFont="1" applyBorder="1" applyAlignment="1">
      <alignment vertical="top" wrapText="1"/>
    </xf>
    <xf numFmtId="0" fontId="3" fillId="0" borderId="10" xfId="0" applyFont="1" applyBorder="1" applyAlignment="1">
      <alignment vertical="top" wrapText="1"/>
    </xf>
    <xf numFmtId="164" fontId="3" fillId="0" borderId="7" xfId="0" applyNumberFormat="1" applyFont="1" applyBorder="1" applyAlignment="1">
      <alignment vertical="top" wrapText="1"/>
    </xf>
    <xf numFmtId="0" fontId="3" fillId="0" borderId="0" xfId="0" applyFont="1"/>
    <xf numFmtId="0" fontId="1" fillId="0" borderId="10" xfId="0" applyFont="1" applyBorder="1" applyAlignment="1">
      <alignment vertical="top"/>
    </xf>
    <xf numFmtId="0" fontId="1" fillId="0" borderId="10" xfId="0" applyFont="1" applyBorder="1"/>
    <xf numFmtId="2" fontId="1" fillId="0" borderId="10" xfId="0" applyNumberFormat="1" applyFont="1" applyBorder="1"/>
    <xf numFmtId="2" fontId="6" fillId="0" borderId="10" xfId="0" applyNumberFormat="1" applyFont="1" applyBorder="1" applyAlignment="1">
      <alignment vertical="top"/>
    </xf>
    <xf numFmtId="2" fontId="7" fillId="0" borderId="10" xfId="0" applyNumberFormat="1" applyFont="1" applyBorder="1" applyAlignment="1">
      <alignment horizontal="center" vertical="top"/>
    </xf>
    <xf numFmtId="0" fontId="1" fillId="0" borderId="10" xfId="0" applyFont="1" applyBorder="1" applyAlignment="1">
      <alignment vertical="top" wrapText="1"/>
    </xf>
    <xf numFmtId="166" fontId="7" fillId="0" borderId="10" xfId="0" applyNumberFormat="1" applyFont="1" applyBorder="1" applyAlignment="1">
      <alignment horizontal="justify" vertical="top" wrapText="1"/>
    </xf>
    <xf numFmtId="2" fontId="14" fillId="0" borderId="10" xfId="0" applyNumberFormat="1" applyFont="1" applyBorder="1" applyAlignment="1">
      <alignment vertical="top" wrapText="1"/>
    </xf>
    <xf numFmtId="0" fontId="6" fillId="0" borderId="10" xfId="0" applyFont="1" applyBorder="1" applyAlignment="1">
      <alignment wrapText="1"/>
    </xf>
    <xf numFmtId="0" fontId="12" fillId="0" borderId="10" xfId="0" applyFont="1" applyBorder="1" applyAlignment="1">
      <alignment horizontal="center"/>
    </xf>
    <xf numFmtId="0" fontId="15" fillId="0" borderId="10" xfId="0" applyFont="1" applyBorder="1" applyAlignment="1">
      <alignment vertical="top"/>
    </xf>
    <xf numFmtId="0" fontId="15" fillId="0" borderId="10" xfId="0" applyFont="1" applyBorder="1" applyAlignment="1">
      <alignment vertical="top" wrapText="1"/>
    </xf>
    <xf numFmtId="0" fontId="12" fillId="0" borderId="7" xfId="0" applyFont="1" applyBorder="1" applyAlignment="1">
      <alignment horizontal="center"/>
    </xf>
    <xf numFmtId="0" fontId="15" fillId="0" borderId="10" xfId="0" applyFont="1" applyBorder="1" applyAlignment="1">
      <alignment horizontal="center" vertical="top" wrapText="1"/>
    </xf>
    <xf numFmtId="0" fontId="15" fillId="0" borderId="10" xfId="0" applyFont="1" applyBorder="1" applyAlignment="1">
      <alignment horizontal="justify" vertical="top" wrapText="1"/>
    </xf>
    <xf numFmtId="0" fontId="12" fillId="0" borderId="1" xfId="0" applyFont="1" applyBorder="1" applyAlignment="1">
      <alignment horizontal="center"/>
    </xf>
    <xf numFmtId="2" fontId="1" fillId="0" borderId="11" xfId="0" applyNumberFormat="1" applyFont="1" applyBorder="1" applyAlignment="1">
      <alignment vertical="top" wrapText="1"/>
    </xf>
    <xf numFmtId="0" fontId="7" fillId="0" borderId="11" xfId="0" applyFont="1" applyBorder="1" applyAlignment="1">
      <alignment horizontal="justify" vertical="top"/>
    </xf>
    <xf numFmtId="0" fontId="6" fillId="0" borderId="1" xfId="0" applyFont="1" applyBorder="1" applyAlignment="1">
      <alignment vertical="top" wrapText="1"/>
    </xf>
    <xf numFmtId="0" fontId="8" fillId="0" borderId="11" xfId="0" applyFont="1" applyBorder="1" applyAlignment="1">
      <alignment horizontal="justify" vertical="top"/>
    </xf>
    <xf numFmtId="0" fontId="6" fillId="0" borderId="7" xfId="0" applyFont="1" applyBorder="1" applyAlignment="1">
      <alignment vertical="top" wrapText="1"/>
    </xf>
    <xf numFmtId="0" fontId="8" fillId="0" borderId="10" xfId="0" applyFont="1" applyBorder="1" applyAlignment="1">
      <alignment horizontal="justify" vertical="top"/>
    </xf>
    <xf numFmtId="49" fontId="15" fillId="0" borderId="10" xfId="0" applyNumberFormat="1" applyFont="1" applyBorder="1" applyAlignment="1">
      <alignment horizontal="center" vertical="top" wrapText="1"/>
    </xf>
    <xf numFmtId="0" fontId="5" fillId="0" borderId="10" xfId="0" applyFont="1" applyBorder="1" applyAlignment="1">
      <alignment horizontal="justify" vertical="top" wrapText="1"/>
    </xf>
    <xf numFmtId="164" fontId="8" fillId="0" borderId="10" xfId="0" applyNumberFormat="1" applyFont="1" applyBorder="1" applyAlignment="1">
      <alignment horizontal="justify" vertical="top" wrapText="1"/>
    </xf>
    <xf numFmtId="0" fontId="7" fillId="0" borderId="0" xfId="0" applyFont="1"/>
    <xf numFmtId="0" fontId="7" fillId="0" borderId="10" xfId="0" applyFont="1" applyBorder="1"/>
    <xf numFmtId="0" fontId="6" fillId="0" borderId="0" xfId="0" applyFont="1" applyAlignment="1">
      <alignment horizontal="left" vertical="top" wrapText="1"/>
    </xf>
    <xf numFmtId="0" fontId="5" fillId="0" borderId="7" xfId="0" applyFont="1" applyBorder="1" applyAlignment="1">
      <alignment vertical="top" wrapText="1"/>
    </xf>
    <xf numFmtId="0" fontId="6" fillId="0" borderId="9" xfId="0" applyFont="1" applyBorder="1" applyAlignment="1">
      <alignment vertical="top"/>
    </xf>
    <xf numFmtId="164" fontId="7" fillId="0" borderId="0" xfId="0" applyNumberFormat="1" applyFont="1" applyAlignment="1">
      <alignment horizontal="justify" vertical="top" wrapText="1"/>
    </xf>
    <xf numFmtId="1" fontId="14" fillId="0" borderId="10" xfId="0" applyNumberFormat="1" applyFont="1" applyBorder="1" applyAlignment="1">
      <alignment vertical="top" wrapText="1"/>
    </xf>
    <xf numFmtId="2" fontId="17" fillId="0" borderId="10" xfId="0" applyNumberFormat="1" applyFont="1" applyBorder="1" applyAlignment="1">
      <alignment vertical="top" wrapText="1"/>
    </xf>
    <xf numFmtId="164" fontId="7" fillId="0" borderId="10" xfId="0" applyNumberFormat="1" applyFont="1" applyBorder="1" applyAlignment="1">
      <alignment vertical="top" wrapText="1"/>
    </xf>
    <xf numFmtId="0" fontId="8" fillId="0" borderId="10" xfId="0" applyFont="1" applyBorder="1"/>
    <xf numFmtId="0" fontId="8" fillId="0" borderId="10" xfId="0" applyFont="1" applyBorder="1" applyAlignment="1">
      <alignment vertical="top"/>
    </xf>
    <xf numFmtId="0" fontId="5" fillId="0" borderId="0" xfId="0" applyFont="1" applyAlignment="1">
      <alignment horizontal="center" vertical="top" wrapText="1"/>
    </xf>
    <xf numFmtId="0" fontId="6" fillId="0" borderId="0" xfId="0" applyFont="1" applyAlignment="1">
      <alignment vertical="top" wrapText="1"/>
    </xf>
    <xf numFmtId="164" fontId="1" fillId="0" borderId="0" xfId="0" applyNumberFormat="1" applyFont="1" applyAlignment="1">
      <alignment vertical="top" wrapText="1"/>
    </xf>
    <xf numFmtId="2" fontId="1" fillId="0" borderId="0" xfId="0" applyNumberFormat="1" applyFont="1" applyAlignment="1">
      <alignment vertical="top" wrapText="1"/>
    </xf>
    <xf numFmtId="2" fontId="18" fillId="0" borderId="0" xfId="0" applyNumberFormat="1" applyFont="1" applyAlignment="1">
      <alignment vertical="top"/>
    </xf>
    <xf numFmtId="2" fontId="0" fillId="0" borderId="0" xfId="0" applyNumberFormat="1"/>
    <xf numFmtId="0" fontId="0" fillId="0" borderId="0" xfId="0" applyAlignment="1">
      <alignment horizontal="center" vertical="top"/>
    </xf>
    <xf numFmtId="1" fontId="1" fillId="0" borderId="0" xfId="0" applyNumberFormat="1" applyFont="1" applyAlignment="1">
      <alignment horizontal="center"/>
    </xf>
    <xf numFmtId="0" fontId="1" fillId="0" borderId="0" xfId="0" applyFont="1" applyAlignment="1">
      <alignment horizontal="center"/>
    </xf>
    <xf numFmtId="0" fontId="7" fillId="0" borderId="0" xfId="0" applyFont="1" applyAlignment="1">
      <alignment vertical="top"/>
    </xf>
    <xf numFmtId="2" fontId="7" fillId="0" borderId="0" xfId="0" applyNumberFormat="1" applyFont="1" applyAlignment="1">
      <alignment vertical="top"/>
    </xf>
    <xf numFmtId="0" fontId="5" fillId="0" borderId="7" xfId="0" applyFont="1" applyBorder="1" applyAlignment="1">
      <alignment vertical="center" wrapText="1"/>
    </xf>
    <xf numFmtId="0" fontId="5" fillId="0" borderId="9" xfId="0" applyFont="1" applyBorder="1" applyAlignment="1">
      <alignment vertical="center" wrapText="1"/>
    </xf>
    <xf numFmtId="0" fontId="3" fillId="0" borderId="10" xfId="0" applyFont="1" applyBorder="1" applyAlignment="1">
      <alignment horizontal="center" vertical="center" wrapText="1"/>
    </xf>
    <xf numFmtId="2" fontId="3" fillId="0" borderId="10" xfId="0" applyNumberFormat="1" applyFont="1" applyBorder="1" applyAlignment="1">
      <alignment horizontal="center" vertical="center" wrapText="1"/>
    </xf>
    <xf numFmtId="0" fontId="6" fillId="0" borderId="7" xfId="0" applyFont="1" applyBorder="1" applyAlignment="1">
      <alignment horizontal="justify" vertical="top" wrapText="1"/>
    </xf>
    <xf numFmtId="0" fontId="5" fillId="0" borderId="8" xfId="0" applyFont="1" applyBorder="1" applyAlignment="1">
      <alignment horizontal="left" vertical="top" wrapText="1"/>
    </xf>
    <xf numFmtId="2" fontId="3" fillId="0" borderId="0" xfId="0" applyNumberFormat="1" applyFont="1" applyAlignment="1">
      <alignment vertical="top" wrapText="1"/>
    </xf>
    <xf numFmtId="2" fontId="3" fillId="0" borderId="0" xfId="0" applyNumberFormat="1" applyFont="1"/>
    <xf numFmtId="0" fontId="20" fillId="0" borderId="10" xfId="0" applyFont="1" applyBorder="1" applyAlignment="1">
      <alignment horizontal="center" vertical="top" wrapText="1"/>
    </xf>
    <xf numFmtId="0" fontId="21" fillId="0" borderId="10" xfId="0" applyFont="1" applyBorder="1" applyAlignment="1">
      <alignment vertical="top" wrapText="1"/>
    </xf>
    <xf numFmtId="164" fontId="22" fillId="0" borderId="10" xfId="0" applyNumberFormat="1" applyFont="1" applyBorder="1" applyAlignment="1">
      <alignment horizontal="center" vertical="top" wrapText="1"/>
    </xf>
    <xf numFmtId="0" fontId="23" fillId="0" borderId="0" xfId="0" applyFont="1"/>
    <xf numFmtId="0" fontId="20" fillId="0" borderId="10" xfId="0" applyFont="1" applyBorder="1" applyAlignment="1">
      <alignment vertical="top" wrapText="1"/>
    </xf>
    <xf numFmtId="0" fontId="21" fillId="0" borderId="10" xfId="0" applyFont="1" applyBorder="1" applyAlignment="1">
      <alignment vertical="top"/>
    </xf>
    <xf numFmtId="0" fontId="21" fillId="0" borderId="10" xfId="0" applyFont="1" applyBorder="1" applyAlignment="1">
      <alignment horizontal="justify" vertical="top" wrapText="1"/>
    </xf>
    <xf numFmtId="0" fontId="6" fillId="0" borderId="10" xfId="0" applyFont="1" applyBorder="1" applyAlignment="1">
      <alignment horizontal="left" vertical="top"/>
    </xf>
    <xf numFmtId="0" fontId="6" fillId="2" borderId="10" xfId="0" applyFont="1" applyFill="1" applyBorder="1" applyAlignment="1">
      <alignment vertical="top" wrapText="1"/>
    </xf>
    <xf numFmtId="0" fontId="6" fillId="2" borderId="10" xfId="0" applyFont="1" applyFill="1" applyBorder="1" applyAlignment="1">
      <alignment horizontal="justify" vertical="top" wrapText="1"/>
    </xf>
    <xf numFmtId="0" fontId="22" fillId="0" borderId="10" xfId="0" applyFont="1" applyBorder="1" applyAlignment="1">
      <alignment vertical="top"/>
    </xf>
    <xf numFmtId="2" fontId="1" fillId="2" borderId="10" xfId="0" applyNumberFormat="1" applyFont="1" applyFill="1" applyBorder="1" applyAlignment="1">
      <alignment vertical="top" wrapText="1"/>
    </xf>
    <xf numFmtId="0" fontId="3" fillId="0" borderId="10" xfId="0" applyFont="1" applyBorder="1" applyAlignment="1">
      <alignment horizontal="left" vertical="top" wrapText="1"/>
    </xf>
    <xf numFmtId="0" fontId="19" fillId="0" borderId="10" xfId="0" applyFont="1" applyBorder="1" applyAlignment="1">
      <alignment vertical="top"/>
    </xf>
    <xf numFmtId="0" fontId="27" fillId="0" borderId="10" xfId="0" applyFont="1" applyBorder="1" applyAlignment="1">
      <alignment vertical="top"/>
    </xf>
    <xf numFmtId="0" fontId="28" fillId="0" borderId="10" xfId="0" applyFont="1" applyBorder="1"/>
    <xf numFmtId="0" fontId="27" fillId="0" borderId="10" xfId="0" applyFont="1" applyBorder="1"/>
    <xf numFmtId="0" fontId="24" fillId="0" borderId="10" xfId="0" applyFont="1" applyBorder="1" applyAlignment="1">
      <alignment vertical="top" wrapText="1"/>
    </xf>
    <xf numFmtId="0" fontId="24" fillId="0" borderId="10" xfId="0" applyFont="1" applyBorder="1" applyAlignment="1">
      <alignment horizontal="left" vertical="top" wrapText="1"/>
    </xf>
    <xf numFmtId="1" fontId="5" fillId="3" borderId="13" xfId="1" applyNumberFormat="1" applyFont="1" applyFill="1" applyBorder="1" applyAlignment="1">
      <alignment horizontal="center" vertical="center" wrapText="1"/>
    </xf>
    <xf numFmtId="1" fontId="5" fillId="3" borderId="14" xfId="1" applyNumberFormat="1" applyFont="1" applyFill="1" applyBorder="1" applyAlignment="1">
      <alignment horizontal="center" vertical="center" wrapText="1"/>
    </xf>
    <xf numFmtId="1" fontId="5" fillId="3" borderId="15" xfId="1" applyNumberFormat="1" applyFont="1" applyFill="1" applyBorder="1" applyAlignment="1">
      <alignment horizontal="center" vertical="center" wrapText="1"/>
    </xf>
    <xf numFmtId="1" fontId="5" fillId="3" borderId="0" xfId="1" applyNumberFormat="1" applyFont="1" applyFill="1" applyAlignment="1">
      <alignment horizontal="center" vertical="center" wrapText="1"/>
    </xf>
    <xf numFmtId="0" fontId="29" fillId="3" borderId="10" xfId="1" applyFill="1" applyBorder="1" applyAlignment="1">
      <alignment horizontal="center" vertical="top"/>
    </xf>
    <xf numFmtId="0" fontId="31" fillId="3" borderId="10" xfId="1" applyFont="1" applyFill="1" applyBorder="1" applyAlignment="1">
      <alignment vertical="top"/>
    </xf>
    <xf numFmtId="0" fontId="31" fillId="3" borderId="10" xfId="1" applyFont="1" applyFill="1" applyBorder="1" applyAlignment="1">
      <alignment horizontal="center" vertical="top"/>
    </xf>
    <xf numFmtId="1" fontId="31" fillId="3" borderId="10" xfId="1" applyNumberFormat="1" applyFont="1" applyFill="1" applyBorder="1" applyAlignment="1">
      <alignment vertical="top"/>
    </xf>
    <xf numFmtId="2" fontId="31" fillId="3" borderId="10" xfId="1" applyNumberFormat="1" applyFont="1" applyFill="1" applyBorder="1" applyAlignment="1">
      <alignment vertical="top"/>
    </xf>
    <xf numFmtId="0" fontId="31" fillId="3" borderId="6" xfId="1" applyFont="1" applyFill="1" applyBorder="1" applyAlignment="1">
      <alignment vertical="top"/>
    </xf>
    <xf numFmtId="0" fontId="31" fillId="3" borderId="6" xfId="1" applyFont="1" applyFill="1" applyBorder="1" applyAlignment="1">
      <alignment horizontal="center" vertical="top"/>
    </xf>
    <xf numFmtId="1" fontId="31" fillId="3" borderId="6" xfId="1" applyNumberFormat="1" applyFont="1" applyFill="1" applyBorder="1" applyAlignment="1">
      <alignment vertical="top"/>
    </xf>
    <xf numFmtId="2" fontId="31" fillId="3" borderId="6" xfId="1" applyNumberFormat="1" applyFont="1" applyFill="1" applyBorder="1" applyAlignment="1">
      <alignment vertical="top"/>
    </xf>
    <xf numFmtId="0" fontId="29" fillId="0" borderId="0" xfId="1"/>
    <xf numFmtId="0" fontId="31" fillId="3" borderId="10" xfId="1" applyFont="1" applyFill="1" applyBorder="1" applyAlignment="1">
      <alignment vertical="top" wrapText="1"/>
    </xf>
    <xf numFmtId="1" fontId="32" fillId="3" borderId="9" xfId="1" applyNumberFormat="1" applyFont="1" applyFill="1" applyBorder="1" applyAlignment="1">
      <alignment vertical="top" wrapText="1"/>
    </xf>
    <xf numFmtId="2" fontId="32" fillId="3" borderId="9" xfId="1" applyNumberFormat="1" applyFont="1" applyFill="1" applyBorder="1" applyAlignment="1">
      <alignment vertical="top" wrapText="1"/>
    </xf>
    <xf numFmtId="0" fontId="29" fillId="4" borderId="0" xfId="1" applyFill="1"/>
    <xf numFmtId="0" fontId="32" fillId="0" borderId="10" xfId="1" applyFont="1" applyBorder="1" applyAlignment="1">
      <alignment vertical="top" wrapText="1"/>
    </xf>
    <xf numFmtId="0" fontId="29" fillId="3" borderId="10" xfId="1" applyFill="1" applyBorder="1" applyAlignment="1">
      <alignment vertical="top"/>
    </xf>
    <xf numFmtId="2" fontId="30" fillId="3" borderId="10" xfId="1" applyNumberFormat="1" applyFont="1" applyFill="1" applyBorder="1" applyAlignment="1">
      <alignment vertical="top"/>
    </xf>
    <xf numFmtId="0" fontId="29" fillId="3" borderId="0" xfId="1" applyFill="1"/>
    <xf numFmtId="2" fontId="29" fillId="3" borderId="0" xfId="1" applyNumberFormat="1" applyFill="1"/>
    <xf numFmtId="2" fontId="11" fillId="2" borderId="10" xfId="0" applyNumberFormat="1" applyFont="1" applyFill="1" applyBorder="1" applyAlignment="1">
      <alignment vertical="top" wrapText="1"/>
    </xf>
    <xf numFmtId="0" fontId="31" fillId="3" borderId="6" xfId="1" applyFont="1" applyFill="1" applyBorder="1" applyAlignment="1">
      <alignment vertical="top" wrapText="1"/>
    </xf>
    <xf numFmtId="2" fontId="3" fillId="0" borderId="10" xfId="0" applyNumberFormat="1" applyFont="1" applyBorder="1" applyAlignment="1">
      <alignment horizontal="center" vertical="top" wrapText="1"/>
    </xf>
    <xf numFmtId="2" fontId="1" fillId="0" borderId="10" xfId="0" applyNumberFormat="1" applyFont="1" applyBorder="1" applyAlignment="1">
      <alignment horizontal="center" vertical="center" wrapText="1"/>
    </xf>
    <xf numFmtId="2" fontId="1" fillId="0" borderId="10" xfId="0" applyNumberFormat="1" applyFont="1" applyBorder="1" applyAlignment="1">
      <alignment vertical="top"/>
    </xf>
    <xf numFmtId="0" fontId="5" fillId="2" borderId="10" xfId="0" applyFont="1" applyFill="1" applyBorder="1" applyAlignment="1">
      <alignment horizontal="center" vertical="top"/>
    </xf>
    <xf numFmtId="0" fontId="6" fillId="2" borderId="10" xfId="0" applyFont="1" applyFill="1" applyBorder="1" applyAlignment="1">
      <alignment horizontal="left" vertical="top"/>
    </xf>
    <xf numFmtId="165" fontId="1" fillId="2" borderId="10" xfId="0" applyNumberFormat="1" applyFont="1" applyFill="1" applyBorder="1" applyAlignment="1">
      <alignment vertical="top" wrapText="1"/>
    </xf>
    <xf numFmtId="0" fontId="0" fillId="2" borderId="0" xfId="0" applyFill="1"/>
    <xf numFmtId="0" fontId="24" fillId="2" borderId="10" xfId="0" applyFont="1" applyFill="1" applyBorder="1" applyAlignment="1">
      <alignment horizontal="left" vertical="top" wrapText="1"/>
    </xf>
    <xf numFmtId="165" fontId="6" fillId="2" borderId="10" xfId="0" applyNumberFormat="1" applyFont="1" applyFill="1" applyBorder="1" applyAlignment="1">
      <alignment vertical="top" wrapText="1"/>
    </xf>
    <xf numFmtId="0" fontId="12" fillId="2" borderId="10" xfId="0" applyFont="1" applyFill="1" applyBorder="1" applyAlignment="1">
      <alignment horizontal="center" vertical="top" wrapText="1"/>
    </xf>
    <xf numFmtId="0" fontId="7" fillId="2" borderId="10" xfId="0" applyFont="1" applyFill="1" applyBorder="1" applyAlignment="1">
      <alignment vertical="top"/>
    </xf>
    <xf numFmtId="0" fontId="5" fillId="2" borderId="0" xfId="0" applyFont="1" applyFill="1"/>
    <xf numFmtId="0" fontId="6" fillId="2" borderId="10" xfId="0" applyFont="1" applyFill="1" applyBorder="1" applyAlignment="1">
      <alignment vertical="top"/>
    </xf>
    <xf numFmtId="0" fontId="5" fillId="2" borderId="10" xfId="0" applyFont="1" applyFill="1" applyBorder="1" applyAlignment="1">
      <alignment horizontal="center" vertical="top" wrapText="1"/>
    </xf>
    <xf numFmtId="164" fontId="7" fillId="2" borderId="10" xfId="0" applyNumberFormat="1" applyFont="1" applyFill="1" applyBorder="1" applyAlignment="1">
      <alignment horizontal="justify" vertical="top" wrapText="1"/>
    </xf>
    <xf numFmtId="0" fontId="8" fillId="2" borderId="0" xfId="0" applyFont="1" applyFill="1"/>
    <xf numFmtId="0" fontId="21" fillId="2" borderId="10" xfId="0" applyFont="1" applyFill="1" applyBorder="1" applyAlignment="1">
      <alignment vertical="top" wrapText="1"/>
    </xf>
    <xf numFmtId="0" fontId="20" fillId="2" borderId="10" xfId="0" applyFont="1" applyFill="1" applyBorder="1" applyAlignment="1">
      <alignment horizontal="center" vertical="top" wrapText="1"/>
    </xf>
    <xf numFmtId="0" fontId="22" fillId="2" borderId="10" xfId="0" applyFont="1" applyFill="1" applyBorder="1" applyAlignment="1">
      <alignment vertical="top" wrapText="1"/>
    </xf>
    <xf numFmtId="0" fontId="22" fillId="2" borderId="0" xfId="0" applyFont="1" applyFill="1"/>
    <xf numFmtId="164" fontId="23" fillId="2" borderId="10" xfId="0" applyNumberFormat="1" applyFont="1" applyFill="1" applyBorder="1" applyAlignment="1">
      <alignment horizontal="justify" vertical="top" wrapText="1"/>
    </xf>
    <xf numFmtId="0" fontId="12" fillId="0" borderId="10" xfId="0" applyFont="1" applyBorder="1" applyAlignment="1">
      <alignment horizontal="center" vertical="top"/>
    </xf>
    <xf numFmtId="0" fontId="0" fillId="0" borderId="0" xfId="0" applyAlignment="1">
      <alignment vertical="top"/>
    </xf>
    <xf numFmtId="1" fontId="5" fillId="3" borderId="17" xfId="1" applyNumberFormat="1" applyFont="1" applyFill="1" applyBorder="1" applyAlignment="1">
      <alignment horizontal="center" vertical="center" wrapText="1"/>
    </xf>
    <xf numFmtId="1" fontId="5" fillId="3" borderId="10" xfId="1" applyNumberFormat="1" applyFont="1" applyFill="1" applyBorder="1" applyAlignment="1">
      <alignment horizontal="center" vertical="center" wrapText="1"/>
    </xf>
    <xf numFmtId="164" fontId="31" fillId="3" borderId="10" xfId="1" applyNumberFormat="1" applyFont="1" applyFill="1" applyBorder="1" applyAlignment="1">
      <alignment vertical="top"/>
    </xf>
    <xf numFmtId="164" fontId="30" fillId="3" borderId="10" xfId="1" applyNumberFormat="1" applyFont="1" applyFill="1" applyBorder="1" applyAlignment="1">
      <alignment vertical="top"/>
    </xf>
    <xf numFmtId="0" fontId="33" fillId="3" borderId="10" xfId="1" applyFont="1" applyFill="1" applyBorder="1" applyAlignment="1">
      <alignment vertical="top"/>
    </xf>
    <xf numFmtId="0" fontId="31" fillId="3" borderId="10" xfId="1" applyFont="1" applyFill="1" applyBorder="1" applyAlignment="1">
      <alignment horizontal="right" vertical="top"/>
    </xf>
    <xf numFmtId="0" fontId="31" fillId="3" borderId="6" xfId="1" applyFont="1" applyFill="1" applyBorder="1" applyAlignment="1">
      <alignment horizontal="right" vertical="top"/>
    </xf>
    <xf numFmtId="0" fontId="31" fillId="3" borderId="9" xfId="1" applyFont="1" applyFill="1" applyBorder="1" applyAlignment="1">
      <alignment horizontal="right" vertical="top"/>
    </xf>
    <xf numFmtId="2" fontId="30" fillId="3" borderId="10" xfId="1" applyNumberFormat="1" applyFont="1" applyFill="1" applyBorder="1" applyAlignment="1">
      <alignment horizontal="right" vertical="top"/>
    </xf>
    <xf numFmtId="2" fontId="29" fillId="0" borderId="0" xfId="1" applyNumberFormat="1"/>
    <xf numFmtId="2" fontId="29" fillId="4" borderId="0" xfId="1" applyNumberFormat="1" applyFill="1"/>
    <xf numFmtId="0" fontId="5" fillId="0" borderId="10" xfId="0" applyFont="1" applyBorder="1" applyAlignment="1">
      <alignment horizontal="center" vertical="top" wrapText="1"/>
    </xf>
    <xf numFmtId="2" fontId="36" fillId="3" borderId="10" xfId="1" applyNumberFormat="1" applyFont="1" applyFill="1" applyBorder="1" applyAlignment="1">
      <alignment vertical="top"/>
    </xf>
    <xf numFmtId="0" fontId="36" fillId="3" borderId="10" xfId="1" applyFont="1" applyFill="1" applyBorder="1" applyAlignment="1">
      <alignment horizontal="right" vertical="top"/>
    </xf>
    <xf numFmtId="0" fontId="36" fillId="3" borderId="6" xfId="1" applyFont="1" applyFill="1" applyBorder="1" applyAlignment="1">
      <alignment horizontal="right" vertical="top"/>
    </xf>
    <xf numFmtId="0" fontId="36" fillId="3" borderId="9" xfId="1" applyFont="1" applyFill="1" applyBorder="1" applyAlignment="1">
      <alignment horizontal="right" vertical="top"/>
    </xf>
    <xf numFmtId="0" fontId="30" fillId="3" borderId="0" xfId="1" applyFont="1" applyFill="1"/>
    <xf numFmtId="1" fontId="36" fillId="3" borderId="10" xfId="1" applyNumberFormat="1" applyFont="1" applyFill="1" applyBorder="1" applyAlignment="1">
      <alignment vertical="top"/>
    </xf>
    <xf numFmtId="0" fontId="0" fillId="0" borderId="0" xfId="0" applyAlignment="1">
      <alignment horizontal="right" vertical="top"/>
    </xf>
    <xf numFmtId="0" fontId="3" fillId="0" borderId="20" xfId="0" applyFont="1" applyBorder="1" applyAlignment="1">
      <alignment horizontal="right" vertical="top" wrapText="1"/>
    </xf>
    <xf numFmtId="0" fontId="5" fillId="0" borderId="10" xfId="0" applyFont="1" applyBorder="1" applyAlignment="1">
      <alignment horizontal="right" vertical="top" wrapText="1"/>
    </xf>
    <xf numFmtId="0" fontId="6" fillId="0" borderId="10" xfId="0" applyFont="1" applyBorder="1" applyAlignment="1">
      <alignment horizontal="right" vertical="top" wrapText="1"/>
    </xf>
    <xf numFmtId="0" fontId="3" fillId="0" borderId="10" xfId="0" applyFont="1" applyBorder="1" applyAlignment="1">
      <alignment horizontal="right" vertical="top" wrapText="1"/>
    </xf>
    <xf numFmtId="0" fontId="21" fillId="0" borderId="10" xfId="0" applyFont="1" applyBorder="1" applyAlignment="1">
      <alignment horizontal="right" vertical="top" wrapText="1"/>
    </xf>
    <xf numFmtId="0" fontId="21" fillId="0" borderId="10" xfId="0" applyFont="1" applyBorder="1" applyAlignment="1">
      <alignment horizontal="right" vertical="top"/>
    </xf>
    <xf numFmtId="0" fontId="6" fillId="2" borderId="10" xfId="0" applyFont="1" applyFill="1" applyBorder="1" applyAlignment="1">
      <alignment horizontal="right" vertical="top" wrapText="1"/>
    </xf>
    <xf numFmtId="0" fontId="8" fillId="0" borderId="10" xfId="0" applyFont="1" applyBorder="1" applyAlignment="1">
      <alignment horizontal="right" vertical="top" wrapText="1"/>
    </xf>
    <xf numFmtId="166" fontId="1" fillId="0" borderId="10" xfId="0" applyNumberFormat="1" applyFont="1" applyBorder="1" applyAlignment="1">
      <alignment horizontal="right" vertical="top" wrapText="1"/>
    </xf>
    <xf numFmtId="166" fontId="5" fillId="0" borderId="10" xfId="0" applyNumberFormat="1" applyFont="1" applyBorder="1" applyAlignment="1">
      <alignment horizontal="right" vertical="top"/>
    </xf>
    <xf numFmtId="166" fontId="5" fillId="0" borderId="10" xfId="0" applyNumberFormat="1" applyFont="1" applyBorder="1" applyAlignment="1">
      <alignment horizontal="right" vertical="top" wrapText="1"/>
    </xf>
    <xf numFmtId="0" fontId="3" fillId="0" borderId="10" xfId="0" applyFont="1" applyBorder="1" applyAlignment="1">
      <alignment horizontal="right" vertical="top"/>
    </xf>
    <xf numFmtId="0" fontId="27" fillId="0" borderId="10" xfId="0" applyFont="1" applyBorder="1" applyAlignment="1">
      <alignment horizontal="right" vertical="top"/>
    </xf>
    <xf numFmtId="0" fontId="21" fillId="2" borderId="10" xfId="0" applyFont="1" applyFill="1" applyBorder="1" applyAlignment="1">
      <alignment horizontal="right" vertical="top" wrapText="1"/>
    </xf>
    <xf numFmtId="0" fontId="15" fillId="0" borderId="10" xfId="0" applyFont="1" applyBorder="1" applyAlignment="1">
      <alignment horizontal="right" vertical="top"/>
    </xf>
    <xf numFmtId="0" fontId="15" fillId="0" borderId="10" xfId="0" applyFont="1" applyBorder="1" applyAlignment="1">
      <alignment horizontal="right" vertical="top" wrapText="1"/>
    </xf>
    <xf numFmtId="49" fontId="15" fillId="0" borderId="10" xfId="0" applyNumberFormat="1" applyFont="1" applyBorder="1" applyAlignment="1">
      <alignment horizontal="right" vertical="top" wrapText="1"/>
    </xf>
    <xf numFmtId="0" fontId="6" fillId="0" borderId="10" xfId="0" applyFont="1" applyBorder="1" applyAlignment="1">
      <alignment horizontal="right" vertical="top"/>
    </xf>
    <xf numFmtId="0" fontId="6" fillId="0" borderId="11" xfId="0" applyFont="1" applyBorder="1" applyAlignment="1">
      <alignment horizontal="right" vertical="top" wrapText="1"/>
    </xf>
    <xf numFmtId="0" fontId="6" fillId="0" borderId="12" xfId="0" applyFont="1" applyBorder="1" applyAlignment="1">
      <alignment horizontal="right" vertical="top" wrapText="1"/>
    </xf>
    <xf numFmtId="0" fontId="6" fillId="0" borderId="6" xfId="0" applyFont="1" applyBorder="1" applyAlignment="1">
      <alignment horizontal="right" vertical="top" wrapText="1"/>
    </xf>
    <xf numFmtId="0" fontId="8" fillId="0" borderId="10" xfId="0" applyFont="1" applyBorder="1" applyAlignment="1">
      <alignment horizontal="right" vertical="top"/>
    </xf>
    <xf numFmtId="0" fontId="6" fillId="0" borderId="0" xfId="0" applyFont="1" applyAlignment="1">
      <alignment horizontal="right" vertical="top" wrapText="1"/>
    </xf>
    <xf numFmtId="0" fontId="6" fillId="5" borderId="10" xfId="0" applyFont="1" applyFill="1" applyBorder="1" applyAlignment="1">
      <alignment vertical="top" wrapText="1"/>
    </xf>
    <xf numFmtId="0" fontId="6" fillId="5" borderId="10" xfId="0" applyFont="1" applyFill="1" applyBorder="1" applyAlignment="1">
      <alignment horizontal="left" vertical="top"/>
    </xf>
    <xf numFmtId="0" fontId="6" fillId="5" borderId="10" xfId="0" applyFont="1" applyFill="1" applyBorder="1" applyAlignment="1">
      <alignment horizontal="justify" vertical="top" wrapText="1"/>
    </xf>
    <xf numFmtId="0" fontId="6" fillId="5" borderId="10" xfId="0" applyFont="1" applyFill="1" applyBorder="1" applyAlignment="1">
      <alignment horizontal="right" vertical="top" wrapText="1"/>
    </xf>
    <xf numFmtId="0" fontId="24" fillId="5" borderId="10" xfId="0" applyFont="1" applyFill="1" applyBorder="1" applyAlignment="1">
      <alignment horizontal="left" vertical="top" wrapText="1"/>
    </xf>
    <xf numFmtId="0" fontId="12" fillId="5" borderId="10" xfId="0" applyFont="1" applyFill="1" applyBorder="1" applyAlignment="1">
      <alignment horizontal="center" vertical="top" wrapText="1"/>
    </xf>
    <xf numFmtId="2" fontId="1" fillId="5" borderId="10" xfId="0" applyNumberFormat="1" applyFont="1" applyFill="1" applyBorder="1" applyAlignment="1">
      <alignment vertical="top" wrapText="1"/>
    </xf>
    <xf numFmtId="0" fontId="7" fillId="5" borderId="10" xfId="0" applyFont="1" applyFill="1" applyBorder="1" applyAlignment="1">
      <alignment vertical="top"/>
    </xf>
    <xf numFmtId="0" fontId="5" fillId="5" borderId="0" xfId="0" applyFont="1" applyFill="1"/>
    <xf numFmtId="0" fontId="6" fillId="5" borderId="10" xfId="0" applyFont="1" applyFill="1" applyBorder="1" applyAlignment="1">
      <alignment vertical="top"/>
    </xf>
    <xf numFmtId="0" fontId="6" fillId="5" borderId="10" xfId="0" applyFont="1" applyFill="1" applyBorder="1" applyAlignment="1">
      <alignment horizontal="justify" vertical="top"/>
    </xf>
    <xf numFmtId="0" fontId="5" fillId="5" borderId="10" xfId="0" applyFont="1" applyFill="1" applyBorder="1" applyAlignment="1">
      <alignment horizontal="center" vertical="top" wrapText="1"/>
    </xf>
    <xf numFmtId="164" fontId="7" fillId="5" borderId="10" xfId="0" applyNumberFormat="1" applyFont="1" applyFill="1" applyBorder="1" applyAlignment="1">
      <alignment horizontal="justify" vertical="top" wrapText="1"/>
    </xf>
    <xf numFmtId="0" fontId="20" fillId="0" borderId="10" xfId="0" applyFont="1" applyFill="1" applyBorder="1" applyAlignment="1">
      <alignment horizontal="center" vertical="top" wrapText="1"/>
    </xf>
    <xf numFmtId="0" fontId="21" fillId="0" borderId="10" xfId="0" applyFont="1" applyFill="1" applyBorder="1" applyAlignment="1">
      <alignment vertical="top" wrapText="1"/>
    </xf>
    <xf numFmtId="0" fontId="21" fillId="0" borderId="10" xfId="0" applyFont="1" applyFill="1" applyBorder="1" applyAlignment="1">
      <alignment horizontal="right" vertical="top" wrapText="1"/>
    </xf>
    <xf numFmtId="2" fontId="11" fillId="0" borderId="10" xfId="0" applyNumberFormat="1" applyFont="1" applyFill="1" applyBorder="1" applyAlignment="1">
      <alignment vertical="top" wrapText="1"/>
    </xf>
    <xf numFmtId="164" fontId="22" fillId="0" borderId="10" xfId="0" applyNumberFormat="1" applyFont="1" applyFill="1" applyBorder="1" applyAlignment="1">
      <alignment horizontal="center" vertical="top" wrapText="1"/>
    </xf>
    <xf numFmtId="0" fontId="23" fillId="0" borderId="0" xfId="0" applyFont="1" applyFill="1"/>
    <xf numFmtId="0" fontId="8" fillId="0" borderId="0" xfId="0" applyFont="1" applyFill="1"/>
    <xf numFmtId="164" fontId="7" fillId="5" borderId="10" xfId="0" applyNumberFormat="1" applyFont="1" applyFill="1" applyBorder="1" applyAlignment="1">
      <alignment horizontal="center" vertical="top" wrapText="1"/>
    </xf>
    <xf numFmtId="0" fontId="7" fillId="0" borderId="10" xfId="0" applyFont="1" applyFill="1" applyBorder="1" applyAlignment="1">
      <alignment vertical="top"/>
    </xf>
    <xf numFmtId="0" fontId="34" fillId="0" borderId="10" xfId="0" applyFont="1" applyFill="1" applyBorder="1" applyAlignment="1">
      <alignment horizontal="justify" vertical="top" wrapText="1"/>
    </xf>
    <xf numFmtId="0" fontId="21" fillId="0" borderId="9" xfId="0" applyFont="1" applyFill="1" applyBorder="1" applyAlignment="1">
      <alignment vertical="top" wrapText="1"/>
    </xf>
    <xf numFmtId="49" fontId="21" fillId="0" borderId="10" xfId="0" applyNumberFormat="1" applyFont="1" applyFill="1" applyBorder="1" applyAlignment="1">
      <alignment horizontal="left" vertical="top" wrapText="1"/>
    </xf>
    <xf numFmtId="49" fontId="21" fillId="0" borderId="10" xfId="0" applyNumberFormat="1" applyFont="1" applyFill="1" applyBorder="1" applyAlignment="1">
      <alignment horizontal="right" vertical="top" wrapText="1"/>
    </xf>
    <xf numFmtId="0" fontId="23" fillId="0" borderId="10" xfId="0" applyFont="1" applyFill="1" applyBorder="1" applyAlignment="1">
      <alignment horizontal="justify" vertical="top"/>
    </xf>
    <xf numFmtId="164" fontId="22" fillId="0" borderId="10" xfId="0" applyNumberFormat="1" applyFont="1" applyFill="1" applyBorder="1" applyAlignment="1">
      <alignment horizontal="justify" vertical="top" wrapText="1"/>
    </xf>
    <xf numFmtId="0" fontId="35" fillId="5" borderId="10" xfId="0" applyFont="1" applyFill="1" applyBorder="1" applyAlignment="1">
      <alignment horizontal="center" vertical="top" wrapText="1"/>
    </xf>
    <xf numFmtId="0" fontId="21" fillId="5" borderId="10" xfId="0" applyFont="1" applyFill="1" applyBorder="1" applyAlignment="1">
      <alignment vertical="top" wrapText="1"/>
    </xf>
    <xf numFmtId="0" fontId="21" fillId="5" borderId="10" xfId="0" applyFont="1" applyFill="1" applyBorder="1" applyAlignment="1">
      <alignment horizontal="right" vertical="top" wrapText="1"/>
    </xf>
    <xf numFmtId="2" fontId="11" fillId="5" borderId="10" xfId="0" applyNumberFormat="1" applyFont="1" applyFill="1" applyBorder="1" applyAlignment="1">
      <alignment vertical="top" wrapText="1"/>
    </xf>
    <xf numFmtId="0" fontId="20" fillId="5" borderId="10" xfId="0" applyFont="1" applyFill="1" applyBorder="1" applyAlignment="1">
      <alignment horizontal="center" vertical="top" wrapText="1"/>
    </xf>
    <xf numFmtId="49" fontId="15" fillId="0" borderId="10" xfId="0" applyNumberFormat="1" applyFont="1" applyBorder="1" applyAlignment="1">
      <alignment horizontal="left" vertical="top" wrapText="1"/>
    </xf>
    <xf numFmtId="0" fontId="6" fillId="0" borderId="10" xfId="0" applyFont="1" applyBorder="1" applyAlignment="1">
      <alignment horizontal="left" vertical="top" wrapText="1"/>
    </xf>
    <xf numFmtId="166" fontId="5" fillId="0" borderId="10" xfId="0" applyNumberFormat="1" applyFont="1" applyBorder="1" applyAlignment="1">
      <alignment horizontal="center" vertical="top"/>
    </xf>
    <xf numFmtId="0" fontId="5" fillId="0" borderId="10" xfId="0" applyFont="1" applyBorder="1" applyAlignment="1">
      <alignment horizontal="center" vertical="top" wrapText="1"/>
    </xf>
    <xf numFmtId="0" fontId="5" fillId="0" borderId="10" xfId="0" applyFont="1" applyBorder="1" applyAlignment="1">
      <alignment horizontal="left" vertical="top" wrapText="1"/>
    </xf>
    <xf numFmtId="0" fontId="3" fillId="0" borderId="10" xfId="0" applyFont="1" applyBorder="1" applyAlignment="1">
      <alignment horizontal="left" vertical="top" wrapText="1"/>
    </xf>
    <xf numFmtId="0" fontId="3" fillId="0" borderId="10" xfId="0" applyFont="1" applyBorder="1" applyAlignment="1">
      <alignment horizontal="center" vertical="top" wrapText="1"/>
    </xf>
    <xf numFmtId="0" fontId="3" fillId="0" borderId="10" xfId="0" applyFont="1" applyBorder="1" applyAlignment="1">
      <alignment horizontal="left"/>
    </xf>
    <xf numFmtId="0" fontId="15" fillId="0" borderId="10" xfId="0" applyFont="1" applyBorder="1" applyAlignment="1">
      <alignment horizontal="center" vertical="top" wrapText="1"/>
    </xf>
    <xf numFmtId="166" fontId="5" fillId="0" borderId="10" xfId="0" applyNumberFormat="1" applyFont="1" applyBorder="1" applyAlignment="1">
      <alignment horizontal="left" vertical="top" wrapText="1"/>
    </xf>
    <xf numFmtId="0" fontId="15" fillId="0" borderId="10" xfId="0" applyFont="1" applyBorder="1" applyAlignment="1">
      <alignment horizontal="left" vertical="top" wrapText="1"/>
    </xf>
    <xf numFmtId="0" fontId="0" fillId="0" borderId="10" xfId="0" applyBorder="1" applyAlignment="1">
      <alignment horizontal="left"/>
    </xf>
    <xf numFmtId="0" fontId="6" fillId="0" borderId="11" xfId="0" applyFont="1" applyBorder="1" applyAlignment="1">
      <alignment horizontal="left" vertical="top" wrapText="1"/>
    </xf>
    <xf numFmtId="0" fontId="6" fillId="0" borderId="12" xfId="0" applyFont="1" applyBorder="1" applyAlignment="1">
      <alignment horizontal="left" vertical="top" wrapText="1"/>
    </xf>
    <xf numFmtId="0" fontId="6" fillId="0" borderId="6" xfId="0" applyFont="1" applyBorder="1" applyAlignment="1">
      <alignment horizontal="left" vertical="top" wrapText="1"/>
    </xf>
    <xf numFmtId="0" fontId="6" fillId="0" borderId="10" xfId="0" applyFont="1" applyBorder="1" applyAlignment="1">
      <alignment horizontal="center" vertical="top" wrapText="1"/>
    </xf>
    <xf numFmtId="0" fontId="6" fillId="0" borderId="10" xfId="0" applyFont="1" applyBorder="1" applyAlignment="1">
      <alignment horizontal="center" vertical="center" wrapText="1"/>
    </xf>
    <xf numFmtId="166" fontId="3" fillId="0" borderId="10" xfId="0" applyNumberFormat="1" applyFont="1" applyBorder="1" applyAlignment="1">
      <alignment horizontal="left" vertical="top" wrapText="1"/>
    </xf>
    <xf numFmtId="166" fontId="1" fillId="0" borderId="10" xfId="0" applyNumberFormat="1" applyFont="1" applyBorder="1" applyAlignment="1">
      <alignment horizontal="left" vertical="top" wrapText="1"/>
    </xf>
    <xf numFmtId="0" fontId="25" fillId="0" borderId="10" xfId="0" applyFont="1" applyBorder="1" applyAlignment="1">
      <alignment horizontal="left" vertical="top" wrapText="1"/>
    </xf>
    <xf numFmtId="0" fontId="24" fillId="0" borderId="10" xfId="0" applyFont="1" applyBorder="1" applyAlignment="1">
      <alignment horizontal="left" vertical="top"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5" xfId="0" applyFont="1" applyBorder="1" applyAlignment="1">
      <alignment horizontal="center" vertical="center" wrapText="1"/>
    </xf>
    <xf numFmtId="0" fontId="3" fillId="0" borderId="6" xfId="0" applyFont="1" applyBorder="1" applyAlignment="1">
      <alignment horizontal="center" vertical="center" wrapText="1"/>
    </xf>
    <xf numFmtId="0" fontId="3" fillId="0" borderId="7" xfId="0" applyFont="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6" fillId="0" borderId="11" xfId="0" applyFont="1" applyBorder="1" applyAlignment="1">
      <alignment horizontal="center" vertical="top" wrapText="1"/>
    </xf>
    <xf numFmtId="0" fontId="6" fillId="0" borderId="6" xfId="0" applyFont="1" applyBorder="1" applyAlignment="1">
      <alignment horizontal="center" vertical="top" wrapText="1"/>
    </xf>
    <xf numFmtId="0" fontId="5" fillId="0" borderId="7" xfId="0" applyFont="1" applyBorder="1" applyAlignment="1">
      <alignment horizontal="left" vertical="top" wrapText="1"/>
    </xf>
    <xf numFmtId="0" fontId="5" fillId="0" borderId="9" xfId="0" applyFont="1" applyBorder="1" applyAlignment="1">
      <alignment horizontal="left" vertical="top" wrapText="1"/>
    </xf>
    <xf numFmtId="0" fontId="5" fillId="0" borderId="7" xfId="0" applyFont="1" applyBorder="1" applyAlignment="1">
      <alignment horizontal="center" vertical="top" wrapText="1"/>
    </xf>
    <xf numFmtId="0" fontId="5" fillId="0" borderId="9" xfId="0" applyFont="1" applyBorder="1" applyAlignment="1">
      <alignment horizontal="center" vertical="top" wrapText="1"/>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3" fillId="0" borderId="9"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5" fillId="0" borderId="8" xfId="0" applyFont="1" applyBorder="1" applyAlignment="1">
      <alignment horizontal="left" vertical="top" wrapText="1"/>
    </xf>
    <xf numFmtId="0" fontId="5" fillId="0" borderId="10" xfId="0" applyFont="1" applyBorder="1" applyAlignment="1">
      <alignment horizontal="left" vertical="justify" wrapText="1"/>
    </xf>
    <xf numFmtId="0" fontId="5" fillId="0" borderId="8" xfId="0" applyFont="1" applyBorder="1" applyAlignment="1">
      <alignment horizontal="center" vertical="top" wrapText="1"/>
    </xf>
    <xf numFmtId="0" fontId="5" fillId="0" borderId="10" xfId="0" applyFont="1" applyBorder="1" applyAlignment="1">
      <alignment horizontal="left" vertical="top"/>
    </xf>
    <xf numFmtId="0" fontId="5" fillId="0" borderId="10" xfId="0" applyFont="1" applyBorder="1" applyAlignment="1">
      <alignment horizontal="left" wrapText="1"/>
    </xf>
    <xf numFmtId="0" fontId="2" fillId="0" borderId="4" xfId="0" applyFont="1" applyBorder="1" applyAlignment="1">
      <alignment horizontal="center" vertical="center" wrapText="1"/>
    </xf>
    <xf numFmtId="1" fontId="5" fillId="3" borderId="14" xfId="1" applyNumberFormat="1" applyFont="1" applyFill="1" applyBorder="1" applyAlignment="1">
      <alignment horizontal="center" vertical="center" wrapText="1"/>
    </xf>
    <xf numFmtId="1" fontId="5" fillId="3" borderId="12" xfId="1" applyNumberFormat="1" applyFont="1" applyFill="1" applyBorder="1" applyAlignment="1">
      <alignment horizontal="center" vertical="center" wrapText="1"/>
    </xf>
    <xf numFmtId="1" fontId="5" fillId="3" borderId="6" xfId="1" applyNumberFormat="1" applyFont="1" applyFill="1" applyBorder="1" applyAlignment="1">
      <alignment horizontal="center" vertical="center" wrapText="1"/>
    </xf>
    <xf numFmtId="1" fontId="5" fillId="3" borderId="18" xfId="1" applyNumberFormat="1" applyFont="1" applyFill="1" applyBorder="1" applyAlignment="1">
      <alignment horizontal="center" vertical="center" wrapText="1"/>
    </xf>
    <xf numFmtId="1" fontId="5" fillId="3" borderId="16" xfId="1" applyNumberFormat="1" applyFont="1" applyFill="1" applyBorder="1" applyAlignment="1">
      <alignment horizontal="center" vertical="center" wrapText="1"/>
    </xf>
    <xf numFmtId="1" fontId="5" fillId="3" borderId="19" xfId="1" applyNumberFormat="1" applyFont="1" applyFill="1" applyBorder="1" applyAlignment="1">
      <alignment horizontal="center" vertical="center" wrapText="1"/>
    </xf>
    <xf numFmtId="1" fontId="5" fillId="3" borderId="7" xfId="1" applyNumberFormat="1" applyFont="1" applyFill="1" applyBorder="1" applyAlignment="1">
      <alignment horizontal="center" vertical="center" wrapText="1"/>
    </xf>
    <xf numFmtId="1" fontId="5" fillId="3" borderId="9" xfId="1" applyNumberFormat="1" applyFont="1" applyFill="1" applyBorder="1" applyAlignment="1">
      <alignment horizontal="center" vertical="center" wrapText="1"/>
    </xf>
    <xf numFmtId="1" fontId="5" fillId="3" borderId="8" xfId="1" applyNumberFormat="1" applyFont="1" applyFill="1" applyBorder="1" applyAlignment="1">
      <alignment horizontal="center" vertical="center" wrapText="1"/>
    </xf>
    <xf numFmtId="1" fontId="5" fillId="3" borderId="11" xfId="1" applyNumberFormat="1" applyFont="1" applyFill="1" applyBorder="1" applyAlignment="1">
      <alignment horizontal="left" vertical="center" wrapText="1"/>
    </xf>
    <xf numFmtId="1" fontId="5" fillId="3" borderId="6" xfId="1" applyNumberFormat="1" applyFont="1" applyFill="1" applyBorder="1" applyAlignment="1">
      <alignment horizontal="left" vertical="center" wrapText="1"/>
    </xf>
    <xf numFmtId="0" fontId="33" fillId="3" borderId="10" xfId="1" applyFont="1" applyFill="1" applyBorder="1" applyAlignment="1">
      <alignment horizontal="center" vertical="top"/>
    </xf>
  </cellXfs>
  <cellStyles count="3">
    <cellStyle name="Normal" xfId="0" builtinId="0"/>
    <cellStyle name="Normal 2" xfId="1" xr:uid="{00000000-0005-0000-0000-000001000000}"/>
    <cellStyle name="Normal 7"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8"/>
  <sheetViews>
    <sheetView tabSelected="1" zoomScale="70" zoomScaleNormal="70" workbookViewId="0">
      <pane ySplit="6" topLeftCell="A578" activePane="bottomLeft" state="frozen"/>
      <selection pane="bottomLeft" activeCell="E585" sqref="E585"/>
    </sheetView>
  </sheetViews>
  <sheetFormatPr defaultRowHeight="17.5" x14ac:dyDescent="0.35"/>
  <cols>
    <col min="1" max="1" width="7.1796875" style="98" customWidth="1"/>
    <col min="2" max="2" width="35.7265625" bestFit="1" customWidth="1"/>
    <col min="3" max="3" width="22.1796875" style="2" customWidth="1"/>
    <col min="4" max="4" width="46" style="2" customWidth="1"/>
    <col min="5" max="5" width="46" style="196" customWidth="1"/>
    <col min="6" max="6" width="16" style="3" customWidth="1"/>
    <col min="7" max="7" width="14.7265625" style="100" customWidth="1"/>
    <col min="8" max="8" width="13" style="100" bestFit="1" customWidth="1"/>
    <col min="9" max="9" width="15" style="100" bestFit="1" customWidth="1"/>
    <col min="10" max="10" width="17" style="101" customWidth="1"/>
  </cols>
  <sheetData>
    <row r="1" spans="1:10" ht="18" thickBot="1" x14ac:dyDescent="0.4">
      <c r="A1" s="1"/>
      <c r="G1" s="3">
        <f>G586</f>
        <v>13541.67224</v>
      </c>
      <c r="H1" s="3"/>
      <c r="I1" s="3"/>
      <c r="J1" s="3"/>
    </row>
    <row r="2" spans="1:10" ht="25.5" thickBot="1" x14ac:dyDescent="0.4">
      <c r="A2" s="274" t="s">
        <v>1020</v>
      </c>
      <c r="B2" s="275"/>
      <c r="C2" s="275"/>
      <c r="D2" s="275"/>
      <c r="E2" s="275"/>
      <c r="F2" s="275"/>
      <c r="G2" s="275"/>
      <c r="H2" s="275"/>
      <c r="I2" s="275"/>
      <c r="J2" s="276"/>
    </row>
    <row r="3" spans="1:10" ht="18" customHeight="1" x14ac:dyDescent="0.35">
      <c r="A3" s="4"/>
      <c r="B3" s="277" t="s">
        <v>985</v>
      </c>
      <c r="C3" s="277"/>
      <c r="D3" s="277"/>
      <c r="E3" s="277"/>
      <c r="F3" s="277"/>
      <c r="G3" s="277"/>
      <c r="H3" s="277"/>
      <c r="I3" s="277"/>
      <c r="J3" s="6" t="s">
        <v>0</v>
      </c>
    </row>
    <row r="4" spans="1:10" ht="18" customHeight="1" x14ac:dyDescent="0.35">
      <c r="A4" s="4"/>
      <c r="B4" s="5"/>
      <c r="C4" s="5"/>
      <c r="D4" s="5"/>
      <c r="E4" s="197"/>
      <c r="F4" s="278" t="s">
        <v>506</v>
      </c>
      <c r="G4" s="279"/>
      <c r="H4" s="279"/>
      <c r="I4" s="280"/>
      <c r="J4" s="6"/>
    </row>
    <row r="5" spans="1:10" ht="54" x14ac:dyDescent="0.35">
      <c r="A5" s="7" t="s">
        <v>2</v>
      </c>
      <c r="B5" s="7" t="s">
        <v>3</v>
      </c>
      <c r="C5" s="7" t="s">
        <v>4</v>
      </c>
      <c r="D5" s="7" t="s">
        <v>5</v>
      </c>
      <c r="E5" s="189" t="s">
        <v>1065</v>
      </c>
      <c r="F5" s="155" t="s">
        <v>6</v>
      </c>
      <c r="G5" s="8" t="s">
        <v>7</v>
      </c>
      <c r="H5" s="8" t="s">
        <v>8</v>
      </c>
      <c r="I5" s="8" t="s">
        <v>9</v>
      </c>
      <c r="J5" s="7" t="s">
        <v>10</v>
      </c>
    </row>
    <row r="6" spans="1:10" ht="18" x14ac:dyDescent="0.35">
      <c r="A6" s="7">
        <v>1</v>
      </c>
      <c r="B6" s="9">
        <v>2</v>
      </c>
      <c r="C6" s="9">
        <v>3</v>
      </c>
      <c r="D6" s="9">
        <v>4</v>
      </c>
      <c r="E6" s="198"/>
      <c r="F6" s="106">
        <v>5</v>
      </c>
      <c r="G6" s="105">
        <v>6</v>
      </c>
      <c r="H6" s="105">
        <v>7</v>
      </c>
      <c r="I6" s="105">
        <v>8</v>
      </c>
      <c r="J6" s="9">
        <v>9</v>
      </c>
    </row>
    <row r="7" spans="1:10" ht="155" x14ac:dyDescent="0.35">
      <c r="A7" s="7">
        <v>1</v>
      </c>
      <c r="B7" s="26" t="s">
        <v>593</v>
      </c>
      <c r="C7" s="14" t="s">
        <v>559</v>
      </c>
      <c r="D7" s="14" t="s">
        <v>560</v>
      </c>
      <c r="E7" s="199"/>
      <c r="F7" s="16"/>
      <c r="G7" s="16">
        <f>F7*100*0.5</f>
        <v>0</v>
      </c>
      <c r="H7" s="16">
        <f>G7*0.6</f>
        <v>0</v>
      </c>
      <c r="I7" s="16">
        <f>G7*0.4</f>
        <v>0</v>
      </c>
      <c r="J7" s="24"/>
    </row>
    <row r="8" spans="1:10" x14ac:dyDescent="0.35">
      <c r="A8" s="7"/>
      <c r="B8" s="9"/>
      <c r="C8" s="9"/>
      <c r="D8" s="9"/>
      <c r="E8" s="198"/>
      <c r="F8" s="156"/>
      <c r="G8" s="10"/>
      <c r="H8" s="10"/>
      <c r="I8" s="10"/>
      <c r="J8" s="11"/>
    </row>
    <row r="9" spans="1:10" ht="18" x14ac:dyDescent="0.35">
      <c r="A9" s="7">
        <v>2</v>
      </c>
      <c r="B9" s="258" t="s">
        <v>594</v>
      </c>
      <c r="C9" s="258"/>
      <c r="D9" s="258"/>
      <c r="E9" s="200"/>
      <c r="F9" s="157"/>
      <c r="G9" s="56"/>
      <c r="H9" s="56"/>
      <c r="I9" s="56"/>
      <c r="J9" s="13"/>
    </row>
    <row r="10" spans="1:10" ht="18" x14ac:dyDescent="0.35">
      <c r="A10" s="7"/>
      <c r="B10" s="258" t="s">
        <v>13</v>
      </c>
      <c r="C10" s="258"/>
      <c r="D10" s="258"/>
      <c r="E10" s="200"/>
      <c r="F10" s="157"/>
      <c r="G10" s="56"/>
      <c r="H10" s="56"/>
      <c r="I10" s="56"/>
      <c r="J10" s="13"/>
    </row>
    <row r="11" spans="1:10" ht="18" x14ac:dyDescent="0.35">
      <c r="A11" s="7"/>
      <c r="B11" s="257" t="s">
        <v>574</v>
      </c>
      <c r="C11" s="257"/>
      <c r="D11" s="8"/>
      <c r="E11" s="200"/>
      <c r="F11" s="157"/>
      <c r="G11" s="56"/>
      <c r="H11" s="56"/>
      <c r="I11" s="56"/>
      <c r="J11" s="13"/>
    </row>
    <row r="12" spans="1:10" ht="201.5" x14ac:dyDescent="0.35">
      <c r="A12" s="11"/>
      <c r="B12" s="13" t="s">
        <v>15</v>
      </c>
      <c r="C12" s="14" t="s">
        <v>561</v>
      </c>
      <c r="D12" s="24" t="s">
        <v>562</v>
      </c>
      <c r="E12" s="199">
        <v>5</v>
      </c>
      <c r="F12" s="16">
        <v>6</v>
      </c>
      <c r="G12" s="16">
        <f>F12*30*1*2</f>
        <v>360</v>
      </c>
      <c r="H12" s="16">
        <f>G12*0.6</f>
        <v>216</v>
      </c>
      <c r="I12" s="16">
        <f>G12*0.4</f>
        <v>144</v>
      </c>
      <c r="J12" s="24"/>
    </row>
    <row r="13" spans="1:10" ht="168.75" customHeight="1" x14ac:dyDescent="0.35">
      <c r="A13" s="11"/>
      <c r="B13" s="13" t="s">
        <v>19</v>
      </c>
      <c r="C13" s="14" t="s">
        <v>561</v>
      </c>
      <c r="D13" s="24" t="s">
        <v>562</v>
      </c>
      <c r="E13" s="199">
        <v>6</v>
      </c>
      <c r="F13" s="16">
        <v>1</v>
      </c>
      <c r="G13" s="16">
        <f>F13*30*1*0.4*2</f>
        <v>24</v>
      </c>
      <c r="H13" s="16">
        <f>G13*0.6</f>
        <v>14.399999999999999</v>
      </c>
      <c r="I13" s="16">
        <f>G13*0.4</f>
        <v>9.6000000000000014</v>
      </c>
      <c r="J13" s="24"/>
    </row>
    <row r="14" spans="1:10" s="19" customFormat="1" ht="18" x14ac:dyDescent="0.3">
      <c r="A14" s="7"/>
      <c r="B14" s="258" t="s">
        <v>573</v>
      </c>
      <c r="C14" s="258"/>
      <c r="D14" s="258"/>
      <c r="E14" s="200"/>
      <c r="F14" s="16"/>
      <c r="G14" s="16"/>
      <c r="H14" s="16"/>
      <c r="I14" s="16"/>
      <c r="J14" s="18"/>
    </row>
    <row r="15" spans="1:10" s="19" customFormat="1" ht="217" x14ac:dyDescent="0.3">
      <c r="A15" s="7"/>
      <c r="B15" s="13" t="s">
        <v>15</v>
      </c>
      <c r="C15" s="14" t="s">
        <v>563</v>
      </c>
      <c r="D15" s="14" t="s">
        <v>564</v>
      </c>
      <c r="E15" s="199">
        <v>8</v>
      </c>
      <c r="F15" s="16">
        <v>2</v>
      </c>
      <c r="G15" s="16">
        <f>F15*20</f>
        <v>40</v>
      </c>
      <c r="H15" s="16">
        <f>G15*0.6</f>
        <v>24</v>
      </c>
      <c r="I15" s="16">
        <f>G15*0.4</f>
        <v>16</v>
      </c>
      <c r="J15" s="20"/>
    </row>
    <row r="16" spans="1:10" s="19" customFormat="1" ht="217" x14ac:dyDescent="0.3">
      <c r="A16" s="7"/>
      <c r="B16" s="13" t="s">
        <v>19</v>
      </c>
      <c r="C16" s="14" t="s">
        <v>563</v>
      </c>
      <c r="D16" s="14" t="s">
        <v>564</v>
      </c>
      <c r="E16" s="199">
        <v>9</v>
      </c>
      <c r="F16" s="16">
        <v>3</v>
      </c>
      <c r="G16" s="16">
        <f>F16*20*0.5</f>
        <v>30</v>
      </c>
      <c r="H16" s="16">
        <f>G16*0.6</f>
        <v>18</v>
      </c>
      <c r="I16" s="16">
        <f>G16*0.4</f>
        <v>12</v>
      </c>
      <c r="J16" s="24"/>
    </row>
    <row r="17" spans="1:10" s="19" customFormat="1" x14ac:dyDescent="0.3">
      <c r="A17" s="7"/>
      <c r="B17" s="257" t="s">
        <v>572</v>
      </c>
      <c r="C17" s="257"/>
      <c r="D17" s="257"/>
      <c r="E17" s="198"/>
      <c r="F17" s="16"/>
      <c r="G17" s="16"/>
      <c r="H17" s="16"/>
      <c r="I17" s="16"/>
      <c r="J17" s="21"/>
    </row>
    <row r="18" spans="1:10" s="19" customFormat="1" ht="170.5" x14ac:dyDescent="0.3">
      <c r="A18" s="7"/>
      <c r="B18" s="14" t="s">
        <v>15</v>
      </c>
      <c r="C18" s="281" t="s">
        <v>565</v>
      </c>
      <c r="D18" s="22" t="s">
        <v>566</v>
      </c>
      <c r="E18" s="199">
        <v>11</v>
      </c>
      <c r="F18" s="16">
        <v>20</v>
      </c>
      <c r="G18" s="16">
        <f>F18*4*2</f>
        <v>160</v>
      </c>
      <c r="H18" s="16">
        <f>G18*0.6</f>
        <v>96</v>
      </c>
      <c r="I18" s="16">
        <f>G18*0.4</f>
        <v>64</v>
      </c>
      <c r="J18" s="20"/>
    </row>
    <row r="19" spans="1:10" s="19" customFormat="1" x14ac:dyDescent="0.3">
      <c r="A19" s="7"/>
      <c r="B19" s="14" t="s">
        <v>27</v>
      </c>
      <c r="C19" s="282"/>
      <c r="D19" s="22" t="s">
        <v>567</v>
      </c>
      <c r="E19" s="199"/>
      <c r="F19" s="16"/>
      <c r="G19" s="16">
        <f>F19*4*0.5*0.5</f>
        <v>0</v>
      </c>
      <c r="H19" s="16">
        <f>G19*0.6</f>
        <v>0</v>
      </c>
      <c r="I19" s="16">
        <f>G19*0.4</f>
        <v>0</v>
      </c>
      <c r="J19" s="24"/>
    </row>
    <row r="20" spans="1:10" s="19" customFormat="1" x14ac:dyDescent="0.3">
      <c r="A20" s="7"/>
      <c r="B20" s="257" t="s">
        <v>571</v>
      </c>
      <c r="C20" s="257"/>
      <c r="D20" s="257"/>
      <c r="E20" s="198"/>
      <c r="F20" s="16"/>
      <c r="G20" s="16"/>
      <c r="H20" s="16"/>
      <c r="I20" s="16"/>
      <c r="J20" s="21"/>
    </row>
    <row r="21" spans="1:10" s="19" customFormat="1" ht="155" x14ac:dyDescent="0.3">
      <c r="A21" s="7"/>
      <c r="B21" s="14" t="s">
        <v>15</v>
      </c>
      <c r="C21" s="14" t="s">
        <v>568</v>
      </c>
      <c r="D21" s="14" t="s">
        <v>569</v>
      </c>
      <c r="E21" s="199">
        <v>14</v>
      </c>
      <c r="F21" s="16">
        <v>2</v>
      </c>
      <c r="G21" s="16">
        <f>F21*250</f>
        <v>500</v>
      </c>
      <c r="H21" s="16">
        <f>G21*0.6</f>
        <v>300</v>
      </c>
      <c r="I21" s="16">
        <f>G21*0.4</f>
        <v>200</v>
      </c>
      <c r="J21" s="24"/>
    </row>
    <row r="22" spans="1:10" s="19" customFormat="1" ht="155" x14ac:dyDescent="0.3">
      <c r="A22" s="7"/>
      <c r="B22" s="14" t="s">
        <v>27</v>
      </c>
      <c r="C22" s="14" t="s">
        <v>568</v>
      </c>
      <c r="D22" s="14" t="s">
        <v>569</v>
      </c>
      <c r="E22" s="199">
        <v>12</v>
      </c>
      <c r="F22" s="16">
        <v>2</v>
      </c>
      <c r="G22" s="16">
        <f>F22*250*0.4</f>
        <v>200</v>
      </c>
      <c r="H22" s="16">
        <f>G22*0.6</f>
        <v>120</v>
      </c>
      <c r="I22" s="16">
        <f>G22*0.4</f>
        <v>80</v>
      </c>
      <c r="J22" s="24"/>
    </row>
    <row r="23" spans="1:10" s="19" customFormat="1" x14ac:dyDescent="0.3">
      <c r="A23" s="7"/>
      <c r="B23" s="257" t="s">
        <v>570</v>
      </c>
      <c r="C23" s="257"/>
      <c r="D23" s="257"/>
      <c r="E23" s="198"/>
      <c r="F23" s="16"/>
      <c r="G23" s="16"/>
      <c r="H23" s="16"/>
      <c r="I23" s="16"/>
      <c r="J23" s="21"/>
    </row>
    <row r="24" spans="1:10" s="114" customFormat="1" ht="108.5" x14ac:dyDescent="0.3">
      <c r="A24" s="111"/>
      <c r="B24" s="112" t="s">
        <v>15</v>
      </c>
      <c r="C24" s="112" t="s">
        <v>575</v>
      </c>
      <c r="D24" s="112" t="s">
        <v>576</v>
      </c>
      <c r="E24" s="201">
        <v>17</v>
      </c>
      <c r="F24" s="40">
        <v>6</v>
      </c>
      <c r="G24" s="40">
        <f>F24*120*1</f>
        <v>720</v>
      </c>
      <c r="H24" s="40">
        <f>G24*0.6</f>
        <v>432</v>
      </c>
      <c r="I24" s="40">
        <f>G24*0.4</f>
        <v>288</v>
      </c>
      <c r="J24" s="113"/>
    </row>
    <row r="25" spans="1:10" s="114" customFormat="1" ht="108.5" x14ac:dyDescent="0.3">
      <c r="A25" s="111"/>
      <c r="B25" s="112" t="s">
        <v>27</v>
      </c>
      <c r="C25" s="112" t="s">
        <v>575</v>
      </c>
      <c r="D25" s="112" t="s">
        <v>576</v>
      </c>
      <c r="E25" s="201">
        <v>18</v>
      </c>
      <c r="F25" s="40">
        <v>2</v>
      </c>
      <c r="G25" s="40">
        <f>F25*120*0.5</f>
        <v>120</v>
      </c>
      <c r="H25" s="40">
        <f>G25*0.6</f>
        <v>72</v>
      </c>
      <c r="I25" s="40">
        <f>G25*0.4</f>
        <v>48</v>
      </c>
      <c r="J25" s="113"/>
    </row>
    <row r="26" spans="1:10" s="19" customFormat="1" x14ac:dyDescent="0.3">
      <c r="A26" s="7"/>
      <c r="B26" s="258" t="s">
        <v>577</v>
      </c>
      <c r="C26" s="254"/>
      <c r="D26" s="254"/>
      <c r="E26" s="199"/>
      <c r="F26" s="16"/>
      <c r="G26" s="16"/>
      <c r="H26" s="16"/>
      <c r="I26" s="16"/>
      <c r="J26" s="17"/>
    </row>
    <row r="27" spans="1:10" s="19" customFormat="1" x14ac:dyDescent="0.3">
      <c r="A27" s="7"/>
      <c r="B27" s="23" t="s">
        <v>580</v>
      </c>
      <c r="C27" s="24"/>
      <c r="D27" s="24"/>
      <c r="E27" s="199"/>
      <c r="F27" s="16"/>
      <c r="G27" s="16"/>
      <c r="H27" s="16"/>
      <c r="I27" s="16"/>
      <c r="J27" s="17"/>
    </row>
    <row r="28" spans="1:10" s="19" customFormat="1" ht="201.5" x14ac:dyDescent="0.3">
      <c r="A28" s="7"/>
      <c r="B28" s="14" t="s">
        <v>15</v>
      </c>
      <c r="C28" s="124" t="s">
        <v>578</v>
      </c>
      <c r="D28" s="14" t="s">
        <v>579</v>
      </c>
      <c r="E28" s="199"/>
      <c r="F28" s="16"/>
      <c r="G28" s="16">
        <f>F28*0.5</f>
        <v>0</v>
      </c>
      <c r="H28" s="16">
        <f>G28*0.6</f>
        <v>0</v>
      </c>
      <c r="I28" s="16">
        <f>G28*0.4</f>
        <v>0</v>
      </c>
      <c r="J28" s="17"/>
    </row>
    <row r="29" spans="1:10" s="19" customFormat="1" ht="201.5" x14ac:dyDescent="0.3">
      <c r="A29" s="7"/>
      <c r="B29" s="14" t="s">
        <v>42</v>
      </c>
      <c r="C29" s="124" t="s">
        <v>578</v>
      </c>
      <c r="D29" s="14" t="s">
        <v>579</v>
      </c>
      <c r="E29" s="199"/>
      <c r="F29" s="16"/>
      <c r="G29" s="16">
        <f>F29*0.5*0.35</f>
        <v>0</v>
      </c>
      <c r="H29" s="16">
        <f>G29*0.6</f>
        <v>0</v>
      </c>
      <c r="I29" s="16">
        <f>G29*0.4</f>
        <v>0</v>
      </c>
      <c r="J29" s="17"/>
    </row>
    <row r="30" spans="1:10" s="19" customFormat="1" x14ac:dyDescent="0.3">
      <c r="A30" s="7"/>
      <c r="B30" s="257" t="s">
        <v>581</v>
      </c>
      <c r="C30" s="257"/>
      <c r="D30" s="14"/>
      <c r="E30" s="199"/>
      <c r="F30" s="16"/>
      <c r="G30" s="16"/>
      <c r="H30" s="16"/>
      <c r="I30" s="16"/>
      <c r="J30" s="17"/>
    </row>
    <row r="31" spans="1:10" s="19" customFormat="1" ht="186" x14ac:dyDescent="0.3">
      <c r="A31" s="7"/>
      <c r="B31" s="14" t="s">
        <v>15</v>
      </c>
      <c r="C31" s="13" t="s">
        <v>584</v>
      </c>
      <c r="D31" s="14" t="s">
        <v>582</v>
      </c>
      <c r="E31" s="199"/>
      <c r="F31" s="16"/>
      <c r="G31" s="16">
        <f>F31*1.8</f>
        <v>0</v>
      </c>
      <c r="H31" s="16">
        <f>G31*0.6</f>
        <v>0</v>
      </c>
      <c r="I31" s="16">
        <f>G31*0.4</f>
        <v>0</v>
      </c>
      <c r="J31" s="17"/>
    </row>
    <row r="32" spans="1:10" s="19" customFormat="1" ht="170.5" x14ac:dyDescent="0.3">
      <c r="A32" s="7"/>
      <c r="B32" s="14" t="s">
        <v>42</v>
      </c>
      <c r="C32" s="13" t="s">
        <v>584</v>
      </c>
      <c r="D32" s="14" t="s">
        <v>583</v>
      </c>
      <c r="E32" s="199">
        <v>26</v>
      </c>
      <c r="F32" s="16">
        <v>50</v>
      </c>
      <c r="G32" s="16">
        <f>F32*1.8*0.35</f>
        <v>31.499999999999996</v>
      </c>
      <c r="H32" s="16">
        <f>G32*0.6</f>
        <v>18.899999999999999</v>
      </c>
      <c r="I32" s="16">
        <f>G32*0.4</f>
        <v>12.6</v>
      </c>
      <c r="J32" s="17"/>
    </row>
    <row r="33" spans="1:10" s="19" customFormat="1" x14ac:dyDescent="0.3">
      <c r="A33" s="7"/>
      <c r="B33" s="257" t="s">
        <v>585</v>
      </c>
      <c r="C33" s="257"/>
      <c r="D33" s="257"/>
      <c r="E33" s="198"/>
      <c r="F33" s="16"/>
      <c r="G33" s="16"/>
      <c r="H33" s="16"/>
      <c r="I33" s="16"/>
      <c r="J33" s="89"/>
    </row>
    <row r="34" spans="1:10" s="114" customFormat="1" ht="62" x14ac:dyDescent="0.3">
      <c r="A34" s="111"/>
      <c r="B34" s="115" t="s">
        <v>590</v>
      </c>
      <c r="C34" s="112" t="s">
        <v>587</v>
      </c>
      <c r="D34" s="112" t="s">
        <v>588</v>
      </c>
      <c r="E34" s="201"/>
      <c r="F34" s="40"/>
      <c r="G34" s="40">
        <f>F34*150*0.5</f>
        <v>0</v>
      </c>
      <c r="H34" s="40">
        <f>G34*0.6</f>
        <v>0</v>
      </c>
      <c r="I34" s="40">
        <f>G34*0.4</f>
        <v>0</v>
      </c>
      <c r="J34" s="24"/>
    </row>
    <row r="35" spans="1:10" s="114" customFormat="1" ht="62" x14ac:dyDescent="0.3">
      <c r="A35" s="111"/>
      <c r="B35" s="115" t="s">
        <v>586</v>
      </c>
      <c r="C35" s="112" t="s">
        <v>587</v>
      </c>
      <c r="D35" s="112" t="s">
        <v>588</v>
      </c>
      <c r="E35" s="201"/>
      <c r="F35" s="40">
        <v>0</v>
      </c>
      <c r="G35" s="40">
        <f>F35*150*0.5</f>
        <v>0</v>
      </c>
      <c r="H35" s="40">
        <f>G35*0.6</f>
        <v>0</v>
      </c>
      <c r="I35" s="40">
        <f>G35*0.4</f>
        <v>0</v>
      </c>
      <c r="J35" s="113"/>
    </row>
    <row r="36" spans="1:10" s="19" customFormat="1" ht="37.5" customHeight="1" x14ac:dyDescent="0.3">
      <c r="A36" s="7"/>
      <c r="B36" s="257" t="s">
        <v>589</v>
      </c>
      <c r="C36" s="257"/>
      <c r="D36" s="257"/>
      <c r="E36" s="198"/>
      <c r="F36" s="16"/>
      <c r="G36" s="16"/>
      <c r="H36" s="16"/>
      <c r="I36" s="16"/>
      <c r="J36" s="21"/>
    </row>
    <row r="37" spans="1:10" s="114" customFormat="1" ht="46.5" x14ac:dyDescent="0.3">
      <c r="A37" s="111"/>
      <c r="B37" s="115" t="s">
        <v>590</v>
      </c>
      <c r="C37" s="112" t="s">
        <v>591</v>
      </c>
      <c r="D37" s="116" t="s">
        <v>51</v>
      </c>
      <c r="E37" s="202"/>
      <c r="F37" s="40">
        <v>0</v>
      </c>
      <c r="G37" s="40">
        <f>F37*300*1</f>
        <v>0</v>
      </c>
      <c r="H37" s="40">
        <f>G37*0.6</f>
        <v>0</v>
      </c>
      <c r="I37" s="40">
        <f>G37*0.4</f>
        <v>0</v>
      </c>
      <c r="J37" s="24"/>
    </row>
    <row r="38" spans="1:10" s="114" customFormat="1" ht="46.5" x14ac:dyDescent="0.3">
      <c r="A38" s="111"/>
      <c r="B38" s="115" t="s">
        <v>586</v>
      </c>
      <c r="C38" s="112" t="s">
        <v>591</v>
      </c>
      <c r="D38" s="112" t="s">
        <v>52</v>
      </c>
      <c r="E38" s="201"/>
      <c r="F38" s="40"/>
      <c r="G38" s="40">
        <f>F38*300*0.5*0.5</f>
        <v>0</v>
      </c>
      <c r="H38" s="40">
        <f>G38*0.6</f>
        <v>0</v>
      </c>
      <c r="I38" s="40">
        <f>G38*0.4</f>
        <v>0</v>
      </c>
      <c r="J38" s="24"/>
    </row>
    <row r="39" spans="1:10" s="19" customFormat="1" ht="18" x14ac:dyDescent="0.3">
      <c r="A39" s="7"/>
      <c r="B39" s="26" t="s">
        <v>53</v>
      </c>
      <c r="C39" s="14"/>
      <c r="D39" s="14"/>
      <c r="E39" s="199"/>
      <c r="F39" s="28">
        <f t="shared" ref="F39:I39" si="0">SUM(F12:F38)</f>
        <v>94</v>
      </c>
      <c r="G39" s="28">
        <f t="shared" si="0"/>
        <v>2185.5</v>
      </c>
      <c r="H39" s="28">
        <f t="shared" si="0"/>
        <v>1311.3000000000002</v>
      </c>
      <c r="I39" s="28">
        <f t="shared" si="0"/>
        <v>874.2</v>
      </c>
      <c r="J39" s="18"/>
    </row>
    <row r="40" spans="1:10" ht="18" x14ac:dyDescent="0.35">
      <c r="A40" s="29">
        <v>3</v>
      </c>
      <c r="B40" s="258" t="s">
        <v>592</v>
      </c>
      <c r="C40" s="258"/>
      <c r="D40" s="258"/>
      <c r="E40" s="200"/>
      <c r="F40" s="16"/>
      <c r="G40" s="16"/>
      <c r="H40" s="16"/>
      <c r="I40" s="16"/>
      <c r="J40" s="18"/>
    </row>
    <row r="41" spans="1:10" ht="18" x14ac:dyDescent="0.35">
      <c r="A41" s="29"/>
      <c r="B41" s="259" t="s">
        <v>55</v>
      </c>
      <c r="C41" s="259"/>
      <c r="D41" s="259"/>
      <c r="E41" s="200"/>
      <c r="F41" s="16"/>
      <c r="G41" s="16"/>
      <c r="H41" s="16"/>
      <c r="I41" s="16"/>
      <c r="J41" s="18"/>
    </row>
    <row r="42" spans="1:10" ht="18" x14ac:dyDescent="0.35">
      <c r="A42" s="29"/>
      <c r="B42" s="258" t="s">
        <v>56</v>
      </c>
      <c r="C42" s="258"/>
      <c r="D42" s="258"/>
      <c r="E42" s="200"/>
      <c r="F42" s="16"/>
      <c r="G42" s="16"/>
      <c r="H42" s="16"/>
      <c r="I42" s="16"/>
      <c r="J42" s="18"/>
    </row>
    <row r="43" spans="1:10" ht="18" x14ac:dyDescent="0.35">
      <c r="A43" s="29"/>
      <c r="B43" s="258" t="s">
        <v>57</v>
      </c>
      <c r="C43" s="258"/>
      <c r="D43" s="258"/>
      <c r="E43" s="200"/>
      <c r="F43" s="16"/>
      <c r="G43" s="16"/>
      <c r="H43" s="16"/>
      <c r="I43" s="16"/>
      <c r="J43" s="18"/>
    </row>
    <row r="44" spans="1:10" x14ac:dyDescent="0.35">
      <c r="A44" s="29"/>
      <c r="B44" s="257" t="s">
        <v>595</v>
      </c>
      <c r="C44" s="257"/>
      <c r="D44" s="257"/>
      <c r="E44" s="198"/>
      <c r="F44" s="16"/>
      <c r="G44" s="16"/>
      <c r="H44" s="16"/>
      <c r="I44" s="16"/>
      <c r="J44" s="18"/>
    </row>
    <row r="45" spans="1:10" x14ac:dyDescent="0.35">
      <c r="A45" s="29"/>
      <c r="B45" s="38" t="s">
        <v>596</v>
      </c>
      <c r="C45" s="38"/>
      <c r="D45" s="38"/>
      <c r="E45" s="198"/>
      <c r="F45" s="16"/>
      <c r="G45" s="16"/>
      <c r="H45" s="16"/>
      <c r="I45" s="16"/>
      <c r="J45" s="18"/>
    </row>
    <row r="46" spans="1:10" ht="62" x14ac:dyDescent="0.35">
      <c r="A46" s="29"/>
      <c r="B46" s="117" t="s">
        <v>603</v>
      </c>
      <c r="C46" s="38"/>
      <c r="D46" s="38"/>
      <c r="E46" s="198"/>
      <c r="F46" s="16">
        <v>0</v>
      </c>
      <c r="G46" s="16"/>
      <c r="H46" s="16">
        <f t="shared" ref="H46" si="1">G46*0.6</f>
        <v>0</v>
      </c>
      <c r="I46" s="16">
        <f t="shared" ref="I46" si="2">G46*0.4</f>
        <v>0</v>
      </c>
      <c r="J46" s="18"/>
    </row>
    <row r="47" spans="1:10" ht="139.5" x14ac:dyDescent="0.35">
      <c r="A47" s="29"/>
      <c r="B47" s="22" t="s">
        <v>604</v>
      </c>
      <c r="C47" s="22" t="s">
        <v>598</v>
      </c>
      <c r="D47" s="24" t="s">
        <v>597</v>
      </c>
      <c r="E47" s="199">
        <v>40</v>
      </c>
      <c r="F47" s="16">
        <v>75</v>
      </c>
      <c r="G47" s="16">
        <f>F47*2*0.4</f>
        <v>60</v>
      </c>
      <c r="H47" s="16">
        <f t="shared" ref="H47" si="3">G47*0.6</f>
        <v>36</v>
      </c>
      <c r="I47" s="16">
        <f t="shared" ref="I47" si="4">G47*0.4</f>
        <v>24</v>
      </c>
      <c r="J47" s="31"/>
    </row>
    <row r="48" spans="1:10" ht="18" x14ac:dyDescent="0.35">
      <c r="A48" s="29"/>
      <c r="B48" s="256" t="s">
        <v>65</v>
      </c>
      <c r="C48" s="256"/>
      <c r="D48" s="26"/>
      <c r="E48" s="198"/>
      <c r="F48" s="28">
        <f>SUM(F46:F47)</f>
        <v>75</v>
      </c>
      <c r="G48" s="28">
        <f>SUM(G46:G47)</f>
        <v>60</v>
      </c>
      <c r="H48" s="28">
        <f t="shared" ref="H48:I48" si="5">SUM(H46:H47)</f>
        <v>36</v>
      </c>
      <c r="I48" s="28">
        <f t="shared" si="5"/>
        <v>24</v>
      </c>
      <c r="J48" s="31"/>
    </row>
    <row r="49" spans="1:10" ht="35.25" customHeight="1" x14ac:dyDescent="0.35">
      <c r="A49" s="29"/>
      <c r="B49" s="272" t="s">
        <v>600</v>
      </c>
      <c r="C49" s="272"/>
      <c r="D49" s="22"/>
      <c r="E49" s="199"/>
      <c r="F49" s="16"/>
      <c r="G49" s="16"/>
      <c r="H49" s="16"/>
      <c r="I49" s="16"/>
      <c r="J49" s="31"/>
    </row>
    <row r="50" spans="1:10" x14ac:dyDescent="0.35">
      <c r="A50" s="29"/>
      <c r="B50" s="112" t="s">
        <v>66</v>
      </c>
      <c r="C50" s="112"/>
      <c r="D50" s="22"/>
      <c r="E50" s="199"/>
      <c r="F50" s="16">
        <v>0</v>
      </c>
      <c r="G50" s="16"/>
      <c r="H50" s="16">
        <f>G50*0.6</f>
        <v>0</v>
      </c>
      <c r="I50" s="16">
        <f>G50*0.4</f>
        <v>0</v>
      </c>
      <c r="J50" s="31"/>
    </row>
    <row r="51" spans="1:10" x14ac:dyDescent="0.35">
      <c r="A51" s="29"/>
      <c r="B51" s="273" t="s">
        <v>601</v>
      </c>
      <c r="C51" s="273"/>
      <c r="D51" s="22"/>
      <c r="E51" s="199"/>
      <c r="F51" s="16"/>
      <c r="G51" s="16"/>
      <c r="H51" s="16"/>
      <c r="I51" s="16"/>
      <c r="J51" s="31"/>
    </row>
    <row r="52" spans="1:10" x14ac:dyDescent="0.35">
      <c r="A52" s="29"/>
      <c r="B52" s="14" t="s">
        <v>66</v>
      </c>
      <c r="C52" s="14"/>
      <c r="D52" s="22"/>
      <c r="E52" s="199"/>
      <c r="F52" s="16">
        <v>0</v>
      </c>
      <c r="G52" s="16">
        <f>F52*2*0.4*0.4</f>
        <v>0</v>
      </c>
      <c r="H52" s="16">
        <f>G52*0.6</f>
        <v>0</v>
      </c>
      <c r="I52" s="16">
        <f>G52*0.4</f>
        <v>0</v>
      </c>
      <c r="J52" s="31"/>
    </row>
    <row r="53" spans="1:10" ht="18" x14ac:dyDescent="0.35">
      <c r="A53" s="29"/>
      <c r="B53" s="256" t="s">
        <v>68</v>
      </c>
      <c r="C53" s="256"/>
      <c r="D53" s="14"/>
      <c r="E53" s="199"/>
      <c r="F53" s="28">
        <f t="shared" ref="F53:I53" si="6">SUM(F50:F52)</f>
        <v>0</v>
      </c>
      <c r="G53" s="28">
        <f t="shared" si="6"/>
        <v>0</v>
      </c>
      <c r="H53" s="28">
        <f t="shared" si="6"/>
        <v>0</v>
      </c>
      <c r="I53" s="28">
        <f t="shared" si="6"/>
        <v>0</v>
      </c>
      <c r="J53" s="31"/>
    </row>
    <row r="54" spans="1:10" x14ac:dyDescent="0.35">
      <c r="A54" s="29"/>
      <c r="B54" s="257" t="s">
        <v>599</v>
      </c>
      <c r="C54" s="257"/>
      <c r="D54" s="257"/>
      <c r="E54" s="198"/>
      <c r="F54" s="16"/>
      <c r="G54" s="16"/>
      <c r="H54" s="16"/>
      <c r="I54" s="16"/>
      <c r="J54" s="31"/>
    </row>
    <row r="55" spans="1:10" x14ac:dyDescent="0.35">
      <c r="A55" s="29"/>
      <c r="B55" s="38" t="s">
        <v>602</v>
      </c>
      <c r="C55" s="38"/>
      <c r="D55" s="38"/>
      <c r="E55" s="198"/>
      <c r="F55" s="16"/>
      <c r="G55" s="16"/>
      <c r="H55" s="16"/>
      <c r="I55" s="16"/>
      <c r="J55" s="31"/>
    </row>
    <row r="56" spans="1:10" ht="62" x14ac:dyDescent="0.35">
      <c r="A56" s="29"/>
      <c r="B56" s="117" t="s">
        <v>603</v>
      </c>
      <c r="C56" s="14"/>
      <c r="D56" s="14"/>
      <c r="E56" s="199"/>
      <c r="F56" s="16">
        <v>0</v>
      </c>
      <c r="G56" s="16">
        <v>0</v>
      </c>
      <c r="H56" s="16">
        <f>G56*0.6</f>
        <v>0</v>
      </c>
      <c r="I56" s="16">
        <f>G56*0.4</f>
        <v>0</v>
      </c>
      <c r="J56" s="31"/>
    </row>
    <row r="57" spans="1:10" ht="186" x14ac:dyDescent="0.35">
      <c r="A57" s="29"/>
      <c r="B57" s="22" t="s">
        <v>604</v>
      </c>
      <c r="C57" s="22" t="s">
        <v>605</v>
      </c>
      <c r="D57" s="22" t="s">
        <v>606</v>
      </c>
      <c r="E57" s="199">
        <v>79</v>
      </c>
      <c r="F57" s="16">
        <v>50</v>
      </c>
      <c r="G57" s="16">
        <f>F57*6.75*0.4*0.6</f>
        <v>81</v>
      </c>
      <c r="H57" s="16">
        <f>G57*0.6</f>
        <v>48.6</v>
      </c>
      <c r="I57" s="16">
        <f>G57*0.4</f>
        <v>32.4</v>
      </c>
      <c r="J57" s="31"/>
    </row>
    <row r="58" spans="1:10" x14ac:dyDescent="0.35">
      <c r="A58" s="29"/>
      <c r="B58" s="22"/>
      <c r="C58" s="22" t="s">
        <v>605</v>
      </c>
      <c r="D58" s="22"/>
      <c r="E58" s="199"/>
      <c r="F58" s="16">
        <v>0</v>
      </c>
      <c r="G58" s="16">
        <f>F58*6.75*0.4*0.6</f>
        <v>0</v>
      </c>
      <c r="H58" s="16">
        <f>G58*0.6</f>
        <v>0</v>
      </c>
      <c r="I58" s="16">
        <f>G58*0.4</f>
        <v>0</v>
      </c>
      <c r="J58" s="34"/>
    </row>
    <row r="59" spans="1:10" ht="18" x14ac:dyDescent="0.35">
      <c r="A59" s="29"/>
      <c r="B59" s="256" t="s">
        <v>65</v>
      </c>
      <c r="C59" s="256"/>
      <c r="D59" s="22"/>
      <c r="E59" s="199"/>
      <c r="F59" s="28">
        <f t="shared" ref="F59:I59" si="7">SUM(F56:F58)</f>
        <v>50</v>
      </c>
      <c r="G59" s="28">
        <f t="shared" si="7"/>
        <v>81</v>
      </c>
      <c r="H59" s="28">
        <f t="shared" si="7"/>
        <v>48.6</v>
      </c>
      <c r="I59" s="28">
        <f t="shared" si="7"/>
        <v>32.4</v>
      </c>
      <c r="J59" s="34"/>
    </row>
    <row r="60" spans="1:10" ht="35.25" customHeight="1" x14ac:dyDescent="0.35">
      <c r="A60" s="29"/>
      <c r="B60" s="272" t="s">
        <v>600</v>
      </c>
      <c r="C60" s="272"/>
      <c r="D60" s="22"/>
      <c r="E60" s="199"/>
      <c r="F60" s="16"/>
      <c r="G60" s="16"/>
      <c r="H60" s="16"/>
      <c r="I60" s="16"/>
      <c r="J60" s="31"/>
    </row>
    <row r="61" spans="1:10" x14ac:dyDescent="0.35">
      <c r="A61" s="29"/>
      <c r="B61" s="112" t="s">
        <v>66</v>
      </c>
      <c r="C61" s="112"/>
      <c r="D61" s="22"/>
      <c r="E61" s="199"/>
      <c r="F61" s="16"/>
      <c r="G61" s="16">
        <v>0</v>
      </c>
      <c r="H61" s="16">
        <f>G61*0.6</f>
        <v>0</v>
      </c>
      <c r="I61" s="16">
        <f>G61*0.4</f>
        <v>0</v>
      </c>
      <c r="J61" s="31"/>
    </row>
    <row r="62" spans="1:10" x14ac:dyDescent="0.35">
      <c r="A62" s="29"/>
      <c r="B62" s="273" t="s">
        <v>601</v>
      </c>
      <c r="C62" s="273"/>
      <c r="D62" s="22"/>
      <c r="E62" s="199"/>
      <c r="F62" s="16"/>
      <c r="G62" s="16"/>
      <c r="H62" s="16"/>
      <c r="I62" s="16"/>
      <c r="J62" s="31"/>
    </row>
    <row r="63" spans="1:10" x14ac:dyDescent="0.35">
      <c r="A63" s="29"/>
      <c r="B63" s="14" t="s">
        <v>66</v>
      </c>
      <c r="C63" s="14"/>
      <c r="D63" s="22"/>
      <c r="E63" s="199"/>
      <c r="F63" s="16">
        <v>0</v>
      </c>
      <c r="G63" s="16">
        <f>F63*6.75*0.4*0.4</f>
        <v>0</v>
      </c>
      <c r="H63" s="16">
        <f>G63*0.6</f>
        <v>0</v>
      </c>
      <c r="I63" s="16">
        <f>G63*0.4</f>
        <v>0</v>
      </c>
      <c r="J63" s="31"/>
    </row>
    <row r="64" spans="1:10" ht="18" x14ac:dyDescent="0.35">
      <c r="A64" s="29"/>
      <c r="B64" s="256" t="s">
        <v>68</v>
      </c>
      <c r="C64" s="256"/>
      <c r="D64" s="14"/>
      <c r="E64" s="199"/>
      <c r="F64" s="28">
        <f t="shared" ref="F64:I64" si="8">SUM(F61:F63)</f>
        <v>0</v>
      </c>
      <c r="G64" s="28">
        <f t="shared" si="8"/>
        <v>0</v>
      </c>
      <c r="H64" s="28">
        <f t="shared" si="8"/>
        <v>0</v>
      </c>
      <c r="I64" s="28">
        <f t="shared" si="8"/>
        <v>0</v>
      </c>
      <c r="J64" s="31"/>
    </row>
    <row r="65" spans="1:10" x14ac:dyDescent="0.35">
      <c r="A65" s="29"/>
      <c r="B65" s="38" t="s">
        <v>515</v>
      </c>
      <c r="C65" s="38"/>
      <c r="D65" s="38"/>
      <c r="E65" s="198"/>
      <c r="F65" s="16"/>
      <c r="G65" s="16"/>
      <c r="H65" s="16"/>
      <c r="I65" s="16"/>
      <c r="J65" s="31"/>
    </row>
    <row r="66" spans="1:10" ht="62" x14ac:dyDescent="0.35">
      <c r="A66" s="29"/>
      <c r="B66" s="117" t="s">
        <v>603</v>
      </c>
      <c r="C66" s="14"/>
      <c r="D66" s="14"/>
      <c r="E66" s="199"/>
      <c r="F66" s="16"/>
      <c r="G66" s="16">
        <v>0</v>
      </c>
      <c r="H66" s="16">
        <f>G66*0.6</f>
        <v>0</v>
      </c>
      <c r="I66" s="16">
        <f>G66*0.4</f>
        <v>0</v>
      </c>
      <c r="J66" s="31"/>
    </row>
    <row r="67" spans="1:10" ht="186" x14ac:dyDescent="0.35">
      <c r="A67" s="29"/>
      <c r="B67" s="22" t="s">
        <v>604</v>
      </c>
      <c r="C67" s="22" t="s">
        <v>607</v>
      </c>
      <c r="D67" s="22" t="s">
        <v>606</v>
      </c>
      <c r="E67" s="199"/>
      <c r="F67" s="16"/>
      <c r="G67" s="16">
        <f>F67*2.75*0.4*0.6</f>
        <v>0</v>
      </c>
      <c r="H67" s="16">
        <f>G67*0.6</f>
        <v>0</v>
      </c>
      <c r="I67" s="16">
        <f>G67*0.4</f>
        <v>0</v>
      </c>
      <c r="J67" s="34"/>
    </row>
    <row r="68" spans="1:10" ht="18" x14ac:dyDescent="0.35">
      <c r="A68" s="29"/>
      <c r="B68" s="256" t="s">
        <v>65</v>
      </c>
      <c r="C68" s="256"/>
      <c r="D68" s="22"/>
      <c r="E68" s="199"/>
      <c r="F68" s="28">
        <f t="shared" ref="F68:I68" si="9">SUM(F66:F67)</f>
        <v>0</v>
      </c>
      <c r="G68" s="28">
        <f t="shared" si="9"/>
        <v>0</v>
      </c>
      <c r="H68" s="28">
        <f t="shared" si="9"/>
        <v>0</v>
      </c>
      <c r="I68" s="28">
        <f t="shared" si="9"/>
        <v>0</v>
      </c>
      <c r="J68" s="34"/>
    </row>
    <row r="69" spans="1:10" ht="35.25" customHeight="1" x14ac:dyDescent="0.35">
      <c r="A69" s="29"/>
      <c r="B69" s="272" t="s">
        <v>600</v>
      </c>
      <c r="C69" s="272"/>
      <c r="D69" s="22"/>
      <c r="E69" s="199"/>
      <c r="F69" s="16"/>
      <c r="G69" s="16"/>
      <c r="H69" s="16"/>
      <c r="I69" s="16"/>
      <c r="J69" s="31"/>
    </row>
    <row r="70" spans="1:10" x14ac:dyDescent="0.35">
      <c r="A70" s="29"/>
      <c r="B70" s="112" t="s">
        <v>66</v>
      </c>
      <c r="C70" s="112"/>
      <c r="D70" s="22"/>
      <c r="E70" s="199"/>
      <c r="F70" s="16"/>
      <c r="G70" s="16">
        <v>0</v>
      </c>
      <c r="H70" s="16">
        <f>G70*0.6</f>
        <v>0</v>
      </c>
      <c r="I70" s="16">
        <f>G70*0.4</f>
        <v>0</v>
      </c>
      <c r="J70" s="31"/>
    </row>
    <row r="71" spans="1:10" x14ac:dyDescent="0.35">
      <c r="A71" s="29"/>
      <c r="B71" s="273" t="s">
        <v>601</v>
      </c>
      <c r="C71" s="273"/>
      <c r="D71" s="22"/>
      <c r="E71" s="199"/>
      <c r="F71" s="16"/>
      <c r="G71" s="16"/>
      <c r="H71" s="16"/>
      <c r="I71" s="16"/>
      <c r="J71" s="31"/>
    </row>
    <row r="72" spans="1:10" x14ac:dyDescent="0.35">
      <c r="A72" s="29"/>
      <c r="B72" s="14" t="s">
        <v>66</v>
      </c>
      <c r="C72" s="14"/>
      <c r="D72" s="22"/>
      <c r="E72" s="199"/>
      <c r="F72" s="16"/>
      <c r="G72" s="16">
        <f>F72*2.75*0.4*0.4</f>
        <v>0</v>
      </c>
      <c r="H72" s="16">
        <f>G72*0.6</f>
        <v>0</v>
      </c>
      <c r="I72" s="16">
        <f>G72*0.4</f>
        <v>0</v>
      </c>
      <c r="J72" s="31"/>
    </row>
    <row r="73" spans="1:10" ht="18" x14ac:dyDescent="0.35">
      <c r="A73" s="29"/>
      <c r="B73" s="256" t="s">
        <v>68</v>
      </c>
      <c r="C73" s="256"/>
      <c r="D73" s="14"/>
      <c r="E73" s="199"/>
      <c r="F73" s="28">
        <f t="shared" ref="F73:I73" si="10">SUM(F70:F72)</f>
        <v>0</v>
      </c>
      <c r="G73" s="28">
        <f t="shared" si="10"/>
        <v>0</v>
      </c>
      <c r="H73" s="28">
        <f t="shared" si="10"/>
        <v>0</v>
      </c>
      <c r="I73" s="28">
        <f t="shared" si="10"/>
        <v>0</v>
      </c>
      <c r="J73" s="31"/>
    </row>
    <row r="74" spans="1:10" x14ac:dyDescent="0.35">
      <c r="A74" s="29"/>
      <c r="B74" s="38" t="s">
        <v>516</v>
      </c>
      <c r="C74" s="38"/>
      <c r="D74" s="38"/>
      <c r="E74" s="198"/>
      <c r="F74" s="16"/>
      <c r="G74" s="16"/>
      <c r="H74" s="16"/>
      <c r="I74" s="16"/>
      <c r="J74" s="31"/>
    </row>
    <row r="75" spans="1:10" ht="62" x14ac:dyDescent="0.35">
      <c r="A75" s="29"/>
      <c r="B75" s="117" t="s">
        <v>603</v>
      </c>
      <c r="C75" s="14"/>
      <c r="D75" s="14"/>
      <c r="E75" s="199"/>
      <c r="F75" s="16"/>
      <c r="G75" s="16">
        <v>0</v>
      </c>
      <c r="H75" s="16">
        <f>G75*0.6</f>
        <v>0</v>
      </c>
      <c r="I75" s="16">
        <f>G75*0.4</f>
        <v>0</v>
      </c>
      <c r="J75" s="31"/>
    </row>
    <row r="76" spans="1:10" ht="186" x14ac:dyDescent="0.35">
      <c r="A76" s="29"/>
      <c r="B76" s="22" t="s">
        <v>604</v>
      </c>
      <c r="C76" s="22" t="s">
        <v>608</v>
      </c>
      <c r="D76" s="22" t="s">
        <v>606</v>
      </c>
      <c r="E76" s="199"/>
      <c r="F76" s="16"/>
      <c r="G76" s="16">
        <f>F76*2.5*0.4*0.6</f>
        <v>0</v>
      </c>
      <c r="H76" s="16">
        <f>G76*0.6</f>
        <v>0</v>
      </c>
      <c r="I76" s="16">
        <f>G76*0.4</f>
        <v>0</v>
      </c>
      <c r="J76" s="34"/>
    </row>
    <row r="77" spans="1:10" ht="18" x14ac:dyDescent="0.35">
      <c r="A77" s="29"/>
      <c r="B77" s="256" t="s">
        <v>65</v>
      </c>
      <c r="C77" s="256"/>
      <c r="D77" s="22"/>
      <c r="E77" s="199"/>
      <c r="F77" s="28">
        <f t="shared" ref="F77:I77" si="11">SUM(F75:F76)</f>
        <v>0</v>
      </c>
      <c r="G77" s="28">
        <f t="shared" si="11"/>
        <v>0</v>
      </c>
      <c r="H77" s="28">
        <f t="shared" si="11"/>
        <v>0</v>
      </c>
      <c r="I77" s="28">
        <f t="shared" si="11"/>
        <v>0</v>
      </c>
      <c r="J77" s="34"/>
    </row>
    <row r="78" spans="1:10" ht="35.25" customHeight="1" x14ac:dyDescent="0.35">
      <c r="A78" s="29"/>
      <c r="B78" s="272" t="s">
        <v>600</v>
      </c>
      <c r="C78" s="272"/>
      <c r="D78" s="22"/>
      <c r="E78" s="199"/>
      <c r="F78" s="16"/>
      <c r="G78" s="16"/>
      <c r="H78" s="16"/>
      <c r="I78" s="16"/>
      <c r="J78" s="31"/>
    </row>
    <row r="79" spans="1:10" x14ac:dyDescent="0.35">
      <c r="A79" s="29"/>
      <c r="B79" s="112" t="s">
        <v>66</v>
      </c>
      <c r="C79" s="112"/>
      <c r="D79" s="22"/>
      <c r="E79" s="199"/>
      <c r="F79" s="16"/>
      <c r="G79" s="16">
        <v>0</v>
      </c>
      <c r="H79" s="16">
        <f>G79*0.6</f>
        <v>0</v>
      </c>
      <c r="I79" s="16">
        <f>G79*0.4</f>
        <v>0</v>
      </c>
      <c r="J79" s="31"/>
    </row>
    <row r="80" spans="1:10" x14ac:dyDescent="0.35">
      <c r="A80" s="29"/>
      <c r="B80" s="273" t="s">
        <v>601</v>
      </c>
      <c r="C80" s="273"/>
      <c r="D80" s="22"/>
      <c r="E80" s="199"/>
      <c r="F80" s="16"/>
      <c r="G80" s="16"/>
      <c r="H80" s="16"/>
      <c r="I80" s="16"/>
      <c r="J80" s="31"/>
    </row>
    <row r="81" spans="1:10" x14ac:dyDescent="0.35">
      <c r="A81" s="29"/>
      <c r="B81" s="14" t="s">
        <v>66</v>
      </c>
      <c r="C81" s="14"/>
      <c r="D81" s="22"/>
      <c r="E81" s="199"/>
      <c r="F81" s="16"/>
      <c r="G81" s="16">
        <f>F81*2.5*0.4*0.4</f>
        <v>0</v>
      </c>
      <c r="H81" s="16">
        <f>G81*0.6</f>
        <v>0</v>
      </c>
      <c r="I81" s="16">
        <f>G81*0.4</f>
        <v>0</v>
      </c>
      <c r="J81" s="31"/>
    </row>
    <row r="82" spans="1:10" ht="18" x14ac:dyDescent="0.35">
      <c r="A82" s="29"/>
      <c r="B82" s="256" t="s">
        <v>68</v>
      </c>
      <c r="C82" s="256"/>
      <c r="D82" s="14"/>
      <c r="E82" s="199"/>
      <c r="F82" s="28">
        <f t="shared" ref="F82:I82" si="12">SUM(F79:F81)</f>
        <v>0</v>
      </c>
      <c r="G82" s="28">
        <f t="shared" si="12"/>
        <v>0</v>
      </c>
      <c r="H82" s="28">
        <f t="shared" si="12"/>
        <v>0</v>
      </c>
      <c r="I82" s="28">
        <f t="shared" si="12"/>
        <v>0</v>
      </c>
      <c r="J82" s="31"/>
    </row>
    <row r="83" spans="1:10" x14ac:dyDescent="0.35">
      <c r="A83" s="29"/>
      <c r="B83" s="38" t="s">
        <v>609</v>
      </c>
      <c r="C83" s="38"/>
      <c r="D83" s="38"/>
      <c r="E83" s="198"/>
      <c r="F83" s="16"/>
      <c r="G83" s="16"/>
      <c r="H83" s="16"/>
      <c r="I83" s="16"/>
      <c r="J83" s="31"/>
    </row>
    <row r="84" spans="1:10" ht="62" x14ac:dyDescent="0.35">
      <c r="A84" s="29"/>
      <c r="B84" s="117" t="s">
        <v>603</v>
      </c>
      <c r="C84" s="14"/>
      <c r="D84" s="14"/>
      <c r="E84" s="199"/>
      <c r="F84" s="16"/>
      <c r="G84" s="16">
        <v>0</v>
      </c>
      <c r="H84" s="16">
        <f>G84*0.6</f>
        <v>0</v>
      </c>
      <c r="I84" s="16">
        <f>G84*0.4</f>
        <v>0</v>
      </c>
      <c r="J84" s="31"/>
    </row>
    <row r="85" spans="1:10" ht="186" x14ac:dyDescent="0.35">
      <c r="A85" s="29"/>
      <c r="B85" s="22" t="s">
        <v>604</v>
      </c>
      <c r="C85" s="22" t="s">
        <v>610</v>
      </c>
      <c r="D85" s="22" t="s">
        <v>611</v>
      </c>
      <c r="E85" s="199"/>
      <c r="F85" s="16"/>
      <c r="G85" s="16">
        <f>F85*3*0.4*0.6</f>
        <v>0</v>
      </c>
      <c r="H85" s="16">
        <f>G85*0.6</f>
        <v>0</v>
      </c>
      <c r="I85" s="16">
        <f>G85*0.4</f>
        <v>0</v>
      </c>
      <c r="J85" s="34"/>
    </row>
    <row r="86" spans="1:10" ht="18" x14ac:dyDescent="0.35">
      <c r="A86" s="29"/>
      <c r="B86" s="256" t="s">
        <v>65</v>
      </c>
      <c r="C86" s="256"/>
      <c r="D86" s="22"/>
      <c r="E86" s="199"/>
      <c r="F86" s="28">
        <f t="shared" ref="F86:I86" si="13">SUM(F84:F85)</f>
        <v>0</v>
      </c>
      <c r="G86" s="28">
        <f t="shared" si="13"/>
        <v>0</v>
      </c>
      <c r="H86" s="28">
        <f t="shared" si="13"/>
        <v>0</v>
      </c>
      <c r="I86" s="28">
        <f t="shared" si="13"/>
        <v>0</v>
      </c>
      <c r="J86" s="34"/>
    </row>
    <row r="87" spans="1:10" ht="35.25" customHeight="1" x14ac:dyDescent="0.35">
      <c r="A87" s="29"/>
      <c r="B87" s="272" t="s">
        <v>600</v>
      </c>
      <c r="C87" s="272"/>
      <c r="D87" s="22"/>
      <c r="E87" s="199"/>
      <c r="F87" s="16"/>
      <c r="G87" s="16"/>
      <c r="H87" s="16"/>
      <c r="I87" s="16"/>
      <c r="J87" s="31"/>
    </row>
    <row r="88" spans="1:10" x14ac:dyDescent="0.35">
      <c r="A88" s="29"/>
      <c r="B88" s="112" t="s">
        <v>66</v>
      </c>
      <c r="C88" s="112"/>
      <c r="D88" s="22"/>
      <c r="E88" s="199"/>
      <c r="F88" s="16"/>
      <c r="G88" s="16">
        <v>0</v>
      </c>
      <c r="H88" s="16">
        <f>G88*0.6</f>
        <v>0</v>
      </c>
      <c r="I88" s="16">
        <f>G88*0.4</f>
        <v>0</v>
      </c>
      <c r="J88" s="31"/>
    </row>
    <row r="89" spans="1:10" x14ac:dyDescent="0.35">
      <c r="A89" s="29"/>
      <c r="B89" s="273" t="s">
        <v>601</v>
      </c>
      <c r="C89" s="273"/>
      <c r="D89" s="22"/>
      <c r="E89" s="199"/>
      <c r="F89" s="16"/>
      <c r="G89" s="16"/>
      <c r="H89" s="16"/>
      <c r="I89" s="16"/>
      <c r="J89" s="31"/>
    </row>
    <row r="90" spans="1:10" x14ac:dyDescent="0.35">
      <c r="A90" s="29"/>
      <c r="B90" s="14" t="s">
        <v>66</v>
      </c>
      <c r="C90" s="14"/>
      <c r="D90" s="22"/>
      <c r="E90" s="199"/>
      <c r="F90" s="16"/>
      <c r="G90" s="16">
        <f>F90*3*0.4*0.4</f>
        <v>0</v>
      </c>
      <c r="H90" s="16">
        <f>G90*0.6</f>
        <v>0</v>
      </c>
      <c r="I90" s="16">
        <f>G90*0.4</f>
        <v>0</v>
      </c>
      <c r="J90" s="31"/>
    </row>
    <row r="91" spans="1:10" ht="18" x14ac:dyDescent="0.35">
      <c r="A91" s="29"/>
      <c r="B91" s="256" t="s">
        <v>68</v>
      </c>
      <c r="C91" s="256"/>
      <c r="D91" s="14"/>
      <c r="E91" s="199"/>
      <c r="F91" s="28">
        <f t="shared" ref="F91:I91" si="14">SUM(F88:F90)</f>
        <v>0</v>
      </c>
      <c r="G91" s="28">
        <f t="shared" si="14"/>
        <v>0</v>
      </c>
      <c r="H91" s="28">
        <f t="shared" si="14"/>
        <v>0</v>
      </c>
      <c r="I91" s="28">
        <f t="shared" si="14"/>
        <v>0</v>
      </c>
      <c r="J91" s="31"/>
    </row>
    <row r="92" spans="1:10" x14ac:dyDescent="0.35">
      <c r="A92" s="29"/>
      <c r="B92" s="38" t="s">
        <v>612</v>
      </c>
      <c r="C92" s="38"/>
      <c r="D92" s="38"/>
      <c r="E92" s="198"/>
      <c r="F92" s="16"/>
      <c r="G92" s="16"/>
      <c r="H92" s="16"/>
      <c r="I92" s="16"/>
      <c r="J92" s="31"/>
    </row>
    <row r="93" spans="1:10" ht="46.5" x14ac:dyDescent="0.35">
      <c r="A93" s="29"/>
      <c r="B93" s="117" t="s">
        <v>616</v>
      </c>
      <c r="C93" s="14" t="s">
        <v>619</v>
      </c>
      <c r="D93" s="14"/>
      <c r="E93" s="199"/>
      <c r="F93" s="16"/>
      <c r="G93" s="16">
        <v>0</v>
      </c>
      <c r="H93" s="16">
        <f>G93*0.6</f>
        <v>0</v>
      </c>
      <c r="I93" s="16">
        <f>G93*0.4</f>
        <v>0</v>
      </c>
      <c r="J93" s="31"/>
    </row>
    <row r="94" spans="1:10" ht="325.5" x14ac:dyDescent="0.35">
      <c r="A94" s="29"/>
      <c r="B94" s="22" t="s">
        <v>604</v>
      </c>
      <c r="C94" s="22" t="s">
        <v>613</v>
      </c>
      <c r="D94" s="22" t="s">
        <v>614</v>
      </c>
      <c r="E94" s="199"/>
      <c r="F94" s="16">
        <v>0</v>
      </c>
      <c r="G94" s="16">
        <f>F94*4*0.4*0.6</f>
        <v>0</v>
      </c>
      <c r="H94" s="16">
        <f>G94*0.6</f>
        <v>0</v>
      </c>
      <c r="I94" s="16">
        <f>G94*0.4</f>
        <v>0</v>
      </c>
      <c r="J94" s="34"/>
    </row>
    <row r="95" spans="1:10" ht="18" x14ac:dyDescent="0.35">
      <c r="A95" s="29"/>
      <c r="B95" s="256" t="s">
        <v>65</v>
      </c>
      <c r="C95" s="256"/>
      <c r="D95" s="22"/>
      <c r="E95" s="199"/>
      <c r="F95" s="28">
        <f t="shared" ref="F95:I95" si="15">SUM(F93:F94)</f>
        <v>0</v>
      </c>
      <c r="G95" s="28">
        <f t="shared" si="15"/>
        <v>0</v>
      </c>
      <c r="H95" s="28">
        <f t="shared" si="15"/>
        <v>0</v>
      </c>
      <c r="I95" s="28">
        <f t="shared" si="15"/>
        <v>0</v>
      </c>
      <c r="J95" s="34"/>
    </row>
    <row r="96" spans="1:10" ht="35.25" customHeight="1" x14ac:dyDescent="0.35">
      <c r="A96" s="29"/>
      <c r="B96" s="272" t="s">
        <v>617</v>
      </c>
      <c r="C96" s="272"/>
      <c r="D96" s="22"/>
      <c r="E96" s="199"/>
      <c r="F96" s="16"/>
      <c r="G96" s="16"/>
      <c r="H96" s="16"/>
      <c r="I96" s="16"/>
      <c r="J96" s="31"/>
    </row>
    <row r="97" spans="1:10" x14ac:dyDescent="0.35">
      <c r="A97" s="29"/>
      <c r="B97" s="112" t="s">
        <v>66</v>
      </c>
      <c r="C97" s="112" t="s">
        <v>619</v>
      </c>
      <c r="D97" s="22"/>
      <c r="E97" s="199"/>
      <c r="F97" s="16"/>
      <c r="G97" s="16">
        <v>0</v>
      </c>
      <c r="H97" s="16">
        <f>G97*0.6</f>
        <v>0</v>
      </c>
      <c r="I97" s="16">
        <f>G97*0.4</f>
        <v>0</v>
      </c>
      <c r="J97" s="31"/>
    </row>
    <row r="98" spans="1:10" x14ac:dyDescent="0.35">
      <c r="A98" s="29"/>
      <c r="B98" s="273" t="s">
        <v>601</v>
      </c>
      <c r="C98" s="273"/>
      <c r="D98" s="22"/>
      <c r="E98" s="199"/>
      <c r="F98" s="16"/>
      <c r="G98" s="16"/>
      <c r="H98" s="16"/>
      <c r="I98" s="16"/>
      <c r="J98" s="31"/>
    </row>
    <row r="99" spans="1:10" x14ac:dyDescent="0.35">
      <c r="A99" s="29"/>
      <c r="B99" s="14" t="s">
        <v>66</v>
      </c>
      <c r="C99" s="14"/>
      <c r="D99" s="22"/>
      <c r="E99" s="199"/>
      <c r="F99" s="16"/>
      <c r="G99" s="16">
        <f>F99*4*0.4*0.4</f>
        <v>0</v>
      </c>
      <c r="H99" s="16">
        <f>G99*0.6</f>
        <v>0</v>
      </c>
      <c r="I99" s="16">
        <f>G99*0.4</f>
        <v>0</v>
      </c>
      <c r="J99" s="31"/>
    </row>
    <row r="100" spans="1:10" ht="18" x14ac:dyDescent="0.35">
      <c r="A100" s="29"/>
      <c r="B100" s="256" t="s">
        <v>68</v>
      </c>
      <c r="C100" s="256"/>
      <c r="D100" s="14"/>
      <c r="E100" s="199"/>
      <c r="F100" s="28">
        <f t="shared" ref="F100:I100" si="16">SUM(F97:F99)</f>
        <v>0</v>
      </c>
      <c r="G100" s="28">
        <f t="shared" si="16"/>
        <v>0</v>
      </c>
      <c r="H100" s="28">
        <f t="shared" si="16"/>
        <v>0</v>
      </c>
      <c r="I100" s="28">
        <f t="shared" si="16"/>
        <v>0</v>
      </c>
      <c r="J100" s="31"/>
    </row>
    <row r="101" spans="1:10" x14ac:dyDescent="0.35">
      <c r="A101" s="29"/>
      <c r="B101" s="257" t="s">
        <v>623</v>
      </c>
      <c r="C101" s="257"/>
      <c r="D101" s="257"/>
      <c r="E101" s="198"/>
      <c r="F101" s="16"/>
      <c r="G101" s="16"/>
      <c r="H101" s="16"/>
      <c r="I101" s="16"/>
      <c r="J101" s="18"/>
    </row>
    <row r="102" spans="1:10" ht="124" x14ac:dyDescent="0.35">
      <c r="A102" s="29"/>
      <c r="B102" s="117" t="s">
        <v>615</v>
      </c>
      <c r="C102" s="22" t="s">
        <v>619</v>
      </c>
      <c r="D102" s="14" t="s">
        <v>620</v>
      </c>
      <c r="E102" s="199"/>
      <c r="F102" s="16"/>
      <c r="G102" s="16">
        <v>0</v>
      </c>
      <c r="H102" s="16">
        <f>G102*0.6</f>
        <v>0</v>
      </c>
      <c r="I102" s="16">
        <f>G102*0.4</f>
        <v>0</v>
      </c>
      <c r="J102" s="18"/>
    </row>
    <row r="103" spans="1:10" ht="170.5" x14ac:dyDescent="0.35">
      <c r="A103" s="29"/>
      <c r="B103" s="14" t="s">
        <v>618</v>
      </c>
      <c r="C103" s="22" t="s">
        <v>621</v>
      </c>
      <c r="D103" s="22" t="s">
        <v>622</v>
      </c>
      <c r="E103" s="199"/>
      <c r="F103" s="16">
        <v>0</v>
      </c>
      <c r="G103" s="16">
        <f>F103*1.1*0.4*0.6</f>
        <v>0</v>
      </c>
      <c r="H103" s="16">
        <f>G103*0.6</f>
        <v>0</v>
      </c>
      <c r="I103" s="16">
        <f>G103*0.4</f>
        <v>0</v>
      </c>
      <c r="J103" s="18"/>
    </row>
    <row r="104" spans="1:10" ht="18" x14ac:dyDescent="0.35">
      <c r="A104" s="29"/>
      <c r="B104" s="256" t="s">
        <v>65</v>
      </c>
      <c r="C104" s="256"/>
      <c r="D104" s="22"/>
      <c r="E104" s="199"/>
      <c r="F104" s="28">
        <f t="shared" ref="F104:I104" si="17">SUM(F102:F103)</f>
        <v>0</v>
      </c>
      <c r="G104" s="28">
        <f t="shared" si="17"/>
        <v>0</v>
      </c>
      <c r="H104" s="28">
        <f t="shared" si="17"/>
        <v>0</v>
      </c>
      <c r="I104" s="28">
        <f t="shared" si="17"/>
        <v>0</v>
      </c>
      <c r="J104" s="18"/>
    </row>
    <row r="105" spans="1:10" ht="35.25" customHeight="1" x14ac:dyDescent="0.35">
      <c r="A105" s="29"/>
      <c r="B105" s="272" t="s">
        <v>600</v>
      </c>
      <c r="C105" s="272"/>
      <c r="D105" s="22"/>
      <c r="E105" s="199"/>
      <c r="F105" s="16"/>
      <c r="G105" s="16"/>
      <c r="H105" s="16"/>
      <c r="I105" s="16"/>
      <c r="J105" s="31"/>
    </row>
    <row r="106" spans="1:10" x14ac:dyDescent="0.35">
      <c r="A106" s="29"/>
      <c r="B106" s="112" t="s">
        <v>66</v>
      </c>
      <c r="C106" s="112" t="s">
        <v>619</v>
      </c>
      <c r="D106" s="22"/>
      <c r="E106" s="199"/>
      <c r="F106" s="16"/>
      <c r="G106" s="16">
        <v>0</v>
      </c>
      <c r="H106" s="16">
        <f>G106*0.6</f>
        <v>0</v>
      </c>
      <c r="I106" s="16">
        <f>G106*0.4</f>
        <v>0</v>
      </c>
      <c r="J106" s="31"/>
    </row>
    <row r="107" spans="1:10" x14ac:dyDescent="0.35">
      <c r="A107" s="29"/>
      <c r="B107" s="273" t="s">
        <v>601</v>
      </c>
      <c r="C107" s="273"/>
      <c r="D107" s="22"/>
      <c r="E107" s="199"/>
      <c r="F107" s="16"/>
      <c r="G107" s="16"/>
      <c r="H107" s="16"/>
      <c r="I107" s="16"/>
      <c r="J107" s="31"/>
    </row>
    <row r="108" spans="1:10" x14ac:dyDescent="0.35">
      <c r="A108" s="29"/>
      <c r="B108" s="14" t="s">
        <v>66</v>
      </c>
      <c r="C108" s="14"/>
      <c r="D108" s="22"/>
      <c r="E108" s="199"/>
      <c r="F108" s="16"/>
      <c r="G108" s="16">
        <f>F108*1.1*0.4*0.4</f>
        <v>0</v>
      </c>
      <c r="H108" s="16">
        <f>G108*0.6</f>
        <v>0</v>
      </c>
      <c r="I108" s="16">
        <f>G108*0.4</f>
        <v>0</v>
      </c>
      <c r="J108" s="31"/>
    </row>
    <row r="109" spans="1:10" ht="18" x14ac:dyDescent="0.35">
      <c r="A109" s="29"/>
      <c r="B109" s="256" t="s">
        <v>68</v>
      </c>
      <c r="C109" s="256"/>
      <c r="D109" s="14"/>
      <c r="E109" s="199"/>
      <c r="F109" s="28">
        <f t="shared" ref="F109:I109" si="18">SUM(F106:F108)</f>
        <v>0</v>
      </c>
      <c r="G109" s="28">
        <f t="shared" si="18"/>
        <v>0</v>
      </c>
      <c r="H109" s="28">
        <f t="shared" si="18"/>
        <v>0</v>
      </c>
      <c r="I109" s="28">
        <f t="shared" si="18"/>
        <v>0</v>
      </c>
      <c r="J109" s="31"/>
    </row>
    <row r="110" spans="1:10" x14ac:dyDescent="0.35">
      <c r="A110" s="29"/>
      <c r="B110" s="257" t="s">
        <v>624</v>
      </c>
      <c r="C110" s="257"/>
      <c r="D110" s="257"/>
      <c r="E110" s="198"/>
      <c r="F110" s="16"/>
      <c r="G110" s="16"/>
      <c r="H110" s="16"/>
      <c r="I110" s="16"/>
      <c r="J110" s="18"/>
    </row>
    <row r="111" spans="1:10" ht="124" x14ac:dyDescent="0.35">
      <c r="A111" s="29"/>
      <c r="B111" s="117" t="s">
        <v>615</v>
      </c>
      <c r="C111" s="22" t="s">
        <v>619</v>
      </c>
      <c r="D111" s="14" t="s">
        <v>620</v>
      </c>
      <c r="E111" s="199"/>
      <c r="F111" s="16"/>
      <c r="G111" s="16">
        <v>0</v>
      </c>
      <c r="H111" s="16">
        <f>G111*0.6</f>
        <v>0</v>
      </c>
      <c r="I111" s="16">
        <f>G111*0.4</f>
        <v>0</v>
      </c>
      <c r="J111" s="18"/>
    </row>
    <row r="112" spans="1:10" ht="170.5" x14ac:dyDescent="0.35">
      <c r="A112" s="29"/>
      <c r="B112" s="14" t="s">
        <v>618</v>
      </c>
      <c r="C112" s="22" t="s">
        <v>621</v>
      </c>
      <c r="D112" s="22" t="s">
        <v>622</v>
      </c>
      <c r="E112" s="199"/>
      <c r="F112" s="16"/>
      <c r="G112" s="16">
        <f>F112*1.1*0.4*0.6</f>
        <v>0</v>
      </c>
      <c r="H112" s="16">
        <f>G112*0.6</f>
        <v>0</v>
      </c>
      <c r="I112" s="16">
        <f>G112*0.4</f>
        <v>0</v>
      </c>
      <c r="J112" s="18"/>
    </row>
    <row r="113" spans="1:10" ht="18" x14ac:dyDescent="0.35">
      <c r="A113" s="29"/>
      <c r="B113" s="256" t="s">
        <v>65</v>
      </c>
      <c r="C113" s="256"/>
      <c r="D113" s="22"/>
      <c r="E113" s="199"/>
      <c r="F113" s="28">
        <f t="shared" ref="F113:I113" si="19">SUM(F111:F112)</f>
        <v>0</v>
      </c>
      <c r="G113" s="28">
        <f t="shared" si="19"/>
        <v>0</v>
      </c>
      <c r="H113" s="28">
        <f t="shared" si="19"/>
        <v>0</v>
      </c>
      <c r="I113" s="28">
        <f t="shared" si="19"/>
        <v>0</v>
      </c>
      <c r="J113" s="18"/>
    </row>
    <row r="114" spans="1:10" ht="35.25" customHeight="1" x14ac:dyDescent="0.35">
      <c r="A114" s="29"/>
      <c r="B114" s="272" t="s">
        <v>600</v>
      </c>
      <c r="C114" s="272"/>
      <c r="D114" s="22"/>
      <c r="E114" s="199"/>
      <c r="F114" s="16"/>
      <c r="G114" s="16"/>
      <c r="H114" s="16"/>
      <c r="I114" s="16"/>
      <c r="J114" s="31"/>
    </row>
    <row r="115" spans="1:10" x14ac:dyDescent="0.35">
      <c r="A115" s="29"/>
      <c r="B115" s="112" t="s">
        <v>66</v>
      </c>
      <c r="C115" s="112"/>
      <c r="D115" s="22"/>
      <c r="E115" s="199"/>
      <c r="F115" s="16"/>
      <c r="G115" s="16">
        <v>0</v>
      </c>
      <c r="H115" s="16">
        <f>G115*0.6</f>
        <v>0</v>
      </c>
      <c r="I115" s="16">
        <f>G115*0.4</f>
        <v>0</v>
      </c>
      <c r="J115" s="31"/>
    </row>
    <row r="116" spans="1:10" x14ac:dyDescent="0.35">
      <c r="A116" s="29"/>
      <c r="B116" s="273" t="s">
        <v>601</v>
      </c>
      <c r="C116" s="273"/>
      <c r="D116" s="22"/>
      <c r="E116" s="199"/>
      <c r="F116" s="16"/>
      <c r="G116" s="16"/>
      <c r="H116" s="16"/>
      <c r="I116" s="16"/>
      <c r="J116" s="31"/>
    </row>
    <row r="117" spans="1:10" x14ac:dyDescent="0.35">
      <c r="A117" s="29"/>
      <c r="B117" s="14" t="s">
        <v>66</v>
      </c>
      <c r="C117" s="14"/>
      <c r="D117" s="22"/>
      <c r="E117" s="199"/>
      <c r="F117" s="16"/>
      <c r="G117" s="16">
        <f>F117*1.1*0.4*0.4</f>
        <v>0</v>
      </c>
      <c r="H117" s="16">
        <f>G117*0.6</f>
        <v>0</v>
      </c>
      <c r="I117" s="16">
        <f>G117*0.4</f>
        <v>0</v>
      </c>
      <c r="J117" s="31"/>
    </row>
    <row r="118" spans="1:10" ht="18" x14ac:dyDescent="0.35">
      <c r="A118" s="29"/>
      <c r="B118" s="256" t="s">
        <v>68</v>
      </c>
      <c r="C118" s="256"/>
      <c r="D118" s="14"/>
      <c r="E118" s="199"/>
      <c r="F118" s="28">
        <f t="shared" ref="F118:I118" si="20">SUM(F115:F117)</f>
        <v>0</v>
      </c>
      <c r="G118" s="28">
        <f t="shared" si="20"/>
        <v>0</v>
      </c>
      <c r="H118" s="28">
        <f t="shared" si="20"/>
        <v>0</v>
      </c>
      <c r="I118" s="28">
        <f t="shared" si="20"/>
        <v>0</v>
      </c>
      <c r="J118" s="31"/>
    </row>
    <row r="119" spans="1:10" x14ac:dyDescent="0.35">
      <c r="A119" s="29"/>
      <c r="B119" s="257" t="s">
        <v>629</v>
      </c>
      <c r="C119" s="257"/>
      <c r="D119" s="257"/>
      <c r="E119" s="198"/>
      <c r="F119" s="16"/>
      <c r="G119" s="16"/>
      <c r="H119" s="16"/>
      <c r="I119" s="16"/>
      <c r="J119" s="18"/>
    </row>
    <row r="120" spans="1:10" ht="139.5" x14ac:dyDescent="0.35">
      <c r="A120" s="29"/>
      <c r="B120" s="117" t="s">
        <v>615</v>
      </c>
      <c r="C120" s="22" t="s">
        <v>619</v>
      </c>
      <c r="D120" s="24" t="s">
        <v>627</v>
      </c>
      <c r="E120" s="199"/>
      <c r="F120" s="16"/>
      <c r="G120" s="16">
        <v>0</v>
      </c>
      <c r="H120" s="16">
        <f>G120*0.6</f>
        <v>0</v>
      </c>
      <c r="I120" s="16">
        <f>G120*0.4</f>
        <v>0</v>
      </c>
      <c r="J120" s="37"/>
    </row>
    <row r="121" spans="1:10" ht="201.5" x14ac:dyDescent="0.35">
      <c r="A121" s="29"/>
      <c r="B121" s="14" t="s">
        <v>88</v>
      </c>
      <c r="C121" s="13" t="s">
        <v>625</v>
      </c>
      <c r="D121" s="22" t="s">
        <v>626</v>
      </c>
      <c r="E121" s="199">
        <v>151</v>
      </c>
      <c r="F121" s="16">
        <v>1000</v>
      </c>
      <c r="G121" s="16">
        <f>F121*1.75*0.4*0.6</f>
        <v>420</v>
      </c>
      <c r="H121" s="16">
        <f>G121*0.6</f>
        <v>252</v>
      </c>
      <c r="I121" s="16">
        <f>G121*0.4</f>
        <v>168</v>
      </c>
      <c r="J121" s="37"/>
    </row>
    <row r="122" spans="1:10" x14ac:dyDescent="0.35">
      <c r="A122" s="29"/>
      <c r="B122" s="14"/>
      <c r="C122" s="13" t="s">
        <v>625</v>
      </c>
      <c r="D122" s="22"/>
      <c r="E122" s="199"/>
      <c r="F122" s="16">
        <v>414.85000000000008</v>
      </c>
      <c r="G122" s="16">
        <f>F122*1.25*0.4*0.75</f>
        <v>155.56875000000005</v>
      </c>
      <c r="H122" s="16">
        <f>G122*0.6</f>
        <v>93.341250000000031</v>
      </c>
      <c r="I122" s="16">
        <f>G122*0.4</f>
        <v>62.22750000000002</v>
      </c>
      <c r="J122" s="37"/>
    </row>
    <row r="123" spans="1:10" s="19" customFormat="1" ht="18" x14ac:dyDescent="0.3">
      <c r="A123" s="7"/>
      <c r="B123" s="256" t="s">
        <v>65</v>
      </c>
      <c r="C123" s="256"/>
      <c r="D123" s="22"/>
      <c r="E123" s="199"/>
      <c r="F123" s="28">
        <f t="shared" ref="F123:I123" si="21">SUM(F120:F122)</f>
        <v>1414.8500000000001</v>
      </c>
      <c r="G123" s="28">
        <f t="shared" si="21"/>
        <v>575.56875000000002</v>
      </c>
      <c r="H123" s="28">
        <f t="shared" si="21"/>
        <v>345.34125000000006</v>
      </c>
      <c r="I123" s="28">
        <f t="shared" si="21"/>
        <v>230.22750000000002</v>
      </c>
      <c r="J123" s="14"/>
    </row>
    <row r="124" spans="1:10" ht="35.25" customHeight="1" x14ac:dyDescent="0.35">
      <c r="A124" s="29"/>
      <c r="B124" s="272" t="s">
        <v>600</v>
      </c>
      <c r="C124" s="272"/>
      <c r="D124" s="22"/>
      <c r="E124" s="199"/>
      <c r="F124" s="16"/>
      <c r="G124" s="16"/>
      <c r="H124" s="16"/>
      <c r="I124" s="16"/>
      <c r="J124" s="31"/>
    </row>
    <row r="125" spans="1:10" x14ac:dyDescent="0.35">
      <c r="A125" s="29"/>
      <c r="B125" s="112" t="s">
        <v>66</v>
      </c>
      <c r="C125" s="112" t="s">
        <v>619</v>
      </c>
      <c r="D125" s="22"/>
      <c r="E125" s="199"/>
      <c r="F125" s="16"/>
      <c r="G125" s="16">
        <v>0</v>
      </c>
      <c r="H125" s="16">
        <f>G125*0.6</f>
        <v>0</v>
      </c>
      <c r="I125" s="16">
        <f>G125*0.4</f>
        <v>0</v>
      </c>
      <c r="J125" s="31"/>
    </row>
    <row r="126" spans="1:10" x14ac:dyDescent="0.35">
      <c r="A126" s="29"/>
      <c r="B126" s="273" t="s">
        <v>601</v>
      </c>
      <c r="C126" s="273"/>
      <c r="D126" s="22"/>
      <c r="E126" s="199"/>
      <c r="F126" s="16"/>
      <c r="G126" s="16"/>
      <c r="H126" s="16"/>
      <c r="I126" s="16"/>
      <c r="J126" s="31"/>
    </row>
    <row r="127" spans="1:10" x14ac:dyDescent="0.35">
      <c r="A127" s="29"/>
      <c r="B127" s="14" t="s">
        <v>66</v>
      </c>
      <c r="C127" s="14"/>
      <c r="D127" s="22"/>
      <c r="E127" s="199"/>
      <c r="F127" s="16">
        <v>0</v>
      </c>
      <c r="G127" s="16">
        <f>F127*1.75*0.4*0.4*0.78572</f>
        <v>0</v>
      </c>
      <c r="H127" s="16">
        <f>G127*0.6</f>
        <v>0</v>
      </c>
      <c r="I127" s="16">
        <f>G127*0.4</f>
        <v>0</v>
      </c>
      <c r="J127" s="31"/>
    </row>
    <row r="128" spans="1:10" ht="18" x14ac:dyDescent="0.35">
      <c r="A128" s="29"/>
      <c r="B128" s="256" t="s">
        <v>68</v>
      </c>
      <c r="C128" s="256"/>
      <c r="D128" s="14"/>
      <c r="E128" s="199"/>
      <c r="F128" s="28">
        <f t="shared" ref="F128:I128" si="22">SUM(F125:F127)</f>
        <v>0</v>
      </c>
      <c r="G128" s="28">
        <f t="shared" si="22"/>
        <v>0</v>
      </c>
      <c r="H128" s="28">
        <f t="shared" si="22"/>
        <v>0</v>
      </c>
      <c r="I128" s="28">
        <f t="shared" si="22"/>
        <v>0</v>
      </c>
      <c r="J128" s="31"/>
    </row>
    <row r="129" spans="1:10" s="19" customFormat="1" x14ac:dyDescent="0.3">
      <c r="A129" s="7"/>
      <c r="B129" s="257" t="s">
        <v>628</v>
      </c>
      <c r="C129" s="257"/>
      <c r="D129" s="257"/>
      <c r="E129" s="198"/>
      <c r="F129" s="16"/>
      <c r="G129" s="16"/>
      <c r="H129" s="16"/>
      <c r="I129" s="16"/>
      <c r="J129" s="14"/>
    </row>
    <row r="130" spans="1:10" ht="139.5" x14ac:dyDescent="0.35">
      <c r="A130" s="29"/>
      <c r="B130" s="117" t="s">
        <v>615</v>
      </c>
      <c r="C130" s="22" t="s">
        <v>619</v>
      </c>
      <c r="D130" s="24" t="s">
        <v>627</v>
      </c>
      <c r="E130" s="199"/>
      <c r="F130" s="16"/>
      <c r="G130" s="16">
        <v>0</v>
      </c>
      <c r="H130" s="16">
        <f>G130*0.6</f>
        <v>0</v>
      </c>
      <c r="I130" s="16">
        <f>G130*0.4</f>
        <v>0</v>
      </c>
      <c r="J130" s="37"/>
    </row>
    <row r="131" spans="1:10" ht="201.5" x14ac:dyDescent="0.35">
      <c r="A131" s="29"/>
      <c r="B131" s="14" t="s">
        <v>88</v>
      </c>
      <c r="C131" s="13" t="s">
        <v>625</v>
      </c>
      <c r="D131" s="22" t="s">
        <v>626</v>
      </c>
      <c r="E131" s="199"/>
      <c r="F131" s="16"/>
      <c r="G131" s="16">
        <f>F131*1.75*0.4*0.6</f>
        <v>0</v>
      </c>
      <c r="H131" s="16">
        <f>G131*0.6</f>
        <v>0</v>
      </c>
      <c r="I131" s="16">
        <f>G131*0.4</f>
        <v>0</v>
      </c>
      <c r="J131" s="37"/>
    </row>
    <row r="132" spans="1:10" s="19" customFormat="1" ht="18" x14ac:dyDescent="0.3">
      <c r="A132" s="7"/>
      <c r="B132" s="256" t="s">
        <v>65</v>
      </c>
      <c r="C132" s="256"/>
      <c r="D132" s="22"/>
      <c r="E132" s="199"/>
      <c r="F132" s="28">
        <f t="shared" ref="F132:I132" si="23">SUM(F130:F131)</f>
        <v>0</v>
      </c>
      <c r="G132" s="28">
        <f t="shared" si="23"/>
        <v>0</v>
      </c>
      <c r="H132" s="28">
        <f t="shared" si="23"/>
        <v>0</v>
      </c>
      <c r="I132" s="28">
        <f t="shared" si="23"/>
        <v>0</v>
      </c>
      <c r="J132" s="14"/>
    </row>
    <row r="133" spans="1:10" ht="35.25" customHeight="1" x14ac:dyDescent="0.35">
      <c r="A133" s="29"/>
      <c r="B133" s="272" t="s">
        <v>600</v>
      </c>
      <c r="C133" s="272"/>
      <c r="D133" s="22"/>
      <c r="E133" s="199"/>
      <c r="F133" s="16"/>
      <c r="G133" s="16"/>
      <c r="H133" s="16"/>
      <c r="I133" s="16"/>
      <c r="J133" s="31"/>
    </row>
    <row r="134" spans="1:10" x14ac:dyDescent="0.35">
      <c r="A134" s="29"/>
      <c r="B134" s="112" t="s">
        <v>66</v>
      </c>
      <c r="C134" s="112" t="s">
        <v>619</v>
      </c>
      <c r="D134" s="22"/>
      <c r="E134" s="199"/>
      <c r="F134" s="16"/>
      <c r="G134" s="16"/>
      <c r="H134" s="16">
        <f>G134*0.6</f>
        <v>0</v>
      </c>
      <c r="I134" s="16">
        <f>G134*0.4</f>
        <v>0</v>
      </c>
      <c r="J134" s="31"/>
    </row>
    <row r="135" spans="1:10" x14ac:dyDescent="0.35">
      <c r="A135" s="29"/>
      <c r="B135" s="273" t="s">
        <v>601</v>
      </c>
      <c r="C135" s="273"/>
      <c r="D135" s="22"/>
      <c r="E135" s="199"/>
      <c r="F135" s="16"/>
      <c r="G135" s="16"/>
      <c r="H135" s="16"/>
      <c r="I135" s="16"/>
      <c r="J135" s="31"/>
    </row>
    <row r="136" spans="1:10" x14ac:dyDescent="0.35">
      <c r="A136" s="29"/>
      <c r="B136" s="14" t="s">
        <v>66</v>
      </c>
      <c r="C136" s="14"/>
      <c r="D136" s="22"/>
      <c r="E136" s="199"/>
      <c r="F136" s="16"/>
      <c r="G136" s="16">
        <f>F136*1.75*0.4*0.4</f>
        <v>0</v>
      </c>
      <c r="H136" s="16">
        <f>G136*0.6</f>
        <v>0</v>
      </c>
      <c r="I136" s="16">
        <f>G136*0.4</f>
        <v>0</v>
      </c>
      <c r="J136" s="31"/>
    </row>
    <row r="137" spans="1:10" ht="18" x14ac:dyDescent="0.35">
      <c r="A137" s="29"/>
      <c r="B137" s="256" t="s">
        <v>68</v>
      </c>
      <c r="C137" s="256"/>
      <c r="D137" s="14"/>
      <c r="E137" s="199"/>
      <c r="F137" s="28">
        <f t="shared" ref="F137:I137" si="24">SUM(F134:F136)</f>
        <v>0</v>
      </c>
      <c r="G137" s="28">
        <f t="shared" si="24"/>
        <v>0</v>
      </c>
      <c r="H137" s="28">
        <f t="shared" si="24"/>
        <v>0</v>
      </c>
      <c r="I137" s="28">
        <f t="shared" si="24"/>
        <v>0</v>
      </c>
      <c r="J137" s="31"/>
    </row>
    <row r="138" spans="1:10" ht="31.5" customHeight="1" x14ac:dyDescent="0.35">
      <c r="A138" s="29"/>
      <c r="B138" s="257" t="s">
        <v>630</v>
      </c>
      <c r="C138" s="257"/>
      <c r="D138" s="14"/>
      <c r="E138" s="199"/>
      <c r="F138" s="28"/>
      <c r="G138" s="28"/>
      <c r="H138" s="28"/>
      <c r="I138" s="28"/>
      <c r="J138" s="31"/>
    </row>
    <row r="139" spans="1:10" ht="50.25" customHeight="1" x14ac:dyDescent="0.35">
      <c r="A139" s="29"/>
      <c r="B139" s="254" t="s">
        <v>631</v>
      </c>
      <c r="C139" s="254"/>
      <c r="D139" s="14"/>
      <c r="E139" s="199"/>
      <c r="F139" s="28"/>
      <c r="G139" s="28"/>
      <c r="H139" s="28"/>
      <c r="I139" s="28"/>
      <c r="J139" s="31"/>
    </row>
    <row r="140" spans="1:10" ht="124" x14ac:dyDescent="0.35">
      <c r="A140" s="29"/>
      <c r="B140" s="117" t="s">
        <v>615</v>
      </c>
      <c r="C140" s="118" t="s">
        <v>619</v>
      </c>
      <c r="D140" s="24" t="s">
        <v>620</v>
      </c>
      <c r="E140" s="199"/>
      <c r="F140" s="16"/>
      <c r="G140" s="16"/>
      <c r="H140" s="16">
        <f>G140*0.6</f>
        <v>0</v>
      </c>
      <c r="I140" s="16">
        <f>G140*0.4</f>
        <v>0</v>
      </c>
      <c r="J140" s="37"/>
    </row>
    <row r="141" spans="1:10" ht="186" x14ac:dyDescent="0.35">
      <c r="A141" s="29"/>
      <c r="B141" s="14" t="s">
        <v>1037</v>
      </c>
      <c r="C141" s="118" t="s">
        <v>63</v>
      </c>
      <c r="D141" s="22" t="s">
        <v>632</v>
      </c>
      <c r="E141" s="199">
        <v>237</v>
      </c>
      <c r="F141" s="16">
        <v>150</v>
      </c>
      <c r="G141" s="16">
        <f>F141*1.25*0.4*0.6</f>
        <v>45</v>
      </c>
      <c r="H141" s="16">
        <f>G141*0.6</f>
        <v>27</v>
      </c>
      <c r="I141" s="16">
        <f>G141*0.4</f>
        <v>18</v>
      </c>
      <c r="J141" s="37"/>
    </row>
    <row r="142" spans="1:10" s="161" customFormat="1" x14ac:dyDescent="0.35">
      <c r="A142" s="158"/>
      <c r="B142" s="119" t="s">
        <v>1021</v>
      </c>
      <c r="C142" s="159"/>
      <c r="D142" s="120"/>
      <c r="E142" s="203">
        <v>237</v>
      </c>
      <c r="F142" s="122">
        <v>100</v>
      </c>
      <c r="G142" s="122">
        <v>11.4</v>
      </c>
      <c r="H142" s="122">
        <f t="shared" ref="H142:H143" si="25">G142*0.6</f>
        <v>6.84</v>
      </c>
      <c r="I142" s="122">
        <f t="shared" ref="I142:I143" si="26">G142*0.4</f>
        <v>4.5600000000000005</v>
      </c>
      <c r="J142" s="160"/>
    </row>
    <row r="143" spans="1:10" s="161" customFormat="1" x14ac:dyDescent="0.35">
      <c r="A143" s="158"/>
      <c r="B143" s="119" t="s">
        <v>1022</v>
      </c>
      <c r="C143" s="159"/>
      <c r="D143" s="120"/>
      <c r="E143" s="203">
        <v>587</v>
      </c>
      <c r="F143" s="122">
        <v>105</v>
      </c>
      <c r="G143" s="122">
        <v>11.135250000000001</v>
      </c>
      <c r="H143" s="122">
        <f t="shared" si="25"/>
        <v>6.6811500000000006</v>
      </c>
      <c r="I143" s="122">
        <f t="shared" si="26"/>
        <v>4.4541000000000004</v>
      </c>
      <c r="J143" s="160"/>
    </row>
    <row r="144" spans="1:10" s="161" customFormat="1" x14ac:dyDescent="0.35">
      <c r="A144" s="158"/>
      <c r="B144" s="119" t="s">
        <v>1023</v>
      </c>
      <c r="C144" s="162"/>
      <c r="D144" s="120"/>
      <c r="E144" s="203">
        <v>587</v>
      </c>
      <c r="F144" s="122">
        <v>87.718135976351945</v>
      </c>
      <c r="G144" s="122">
        <v>10.089340000000002</v>
      </c>
      <c r="H144" s="122">
        <f t="shared" ref="H144:H146" si="27">G144*0.6</f>
        <v>6.0536040000000009</v>
      </c>
      <c r="I144" s="122">
        <f t="shared" ref="I144:I146" si="28">G144*0.4</f>
        <v>4.0357360000000009</v>
      </c>
      <c r="J144" s="163"/>
    </row>
    <row r="145" spans="1:10" s="161" customFormat="1" x14ac:dyDescent="0.35">
      <c r="A145" s="158"/>
      <c r="B145" s="119" t="s">
        <v>1024</v>
      </c>
      <c r="C145" s="162"/>
      <c r="D145" s="120"/>
      <c r="E145" s="203">
        <v>79</v>
      </c>
      <c r="F145" s="122">
        <v>24.199999999999996</v>
      </c>
      <c r="G145" s="122">
        <v>2.5664099999999999</v>
      </c>
      <c r="H145" s="122">
        <f t="shared" si="27"/>
        <v>1.5398459999999998</v>
      </c>
      <c r="I145" s="122">
        <f t="shared" si="28"/>
        <v>1.026564</v>
      </c>
      <c r="J145" s="163"/>
    </row>
    <row r="146" spans="1:10" s="161" customFormat="1" x14ac:dyDescent="0.35">
      <c r="A146" s="158"/>
      <c r="B146" s="119" t="s">
        <v>1025</v>
      </c>
      <c r="C146" s="162"/>
      <c r="D146" s="120"/>
      <c r="E146" s="203">
        <v>587</v>
      </c>
      <c r="F146" s="122">
        <v>25.05699042075906</v>
      </c>
      <c r="G146" s="122">
        <v>4.1328999999999994</v>
      </c>
      <c r="H146" s="122">
        <f t="shared" si="27"/>
        <v>2.4797399999999996</v>
      </c>
      <c r="I146" s="122">
        <f t="shared" si="28"/>
        <v>1.6531599999999997</v>
      </c>
      <c r="J146" s="163"/>
    </row>
    <row r="147" spans="1:10" s="19" customFormat="1" ht="18" x14ac:dyDescent="0.3">
      <c r="A147" s="7"/>
      <c r="B147" s="256" t="s">
        <v>65</v>
      </c>
      <c r="C147" s="256"/>
      <c r="D147" s="22"/>
      <c r="E147" s="199"/>
      <c r="F147" s="28">
        <f>SUM(F140:F146)</f>
        <v>491.97512639711101</v>
      </c>
      <c r="G147" s="28">
        <f>SUM(G140:G146)</f>
        <v>84.323900000000009</v>
      </c>
      <c r="H147" s="28">
        <f>SUM(H140:H146)</f>
        <v>50.594340000000003</v>
      </c>
      <c r="I147" s="28">
        <f>SUM(I140:I146)</f>
        <v>33.729559999999999</v>
      </c>
      <c r="J147" s="14"/>
    </row>
    <row r="148" spans="1:10" ht="35.25" customHeight="1" x14ac:dyDescent="0.35">
      <c r="A148" s="29"/>
      <c r="B148" s="272" t="s">
        <v>600</v>
      </c>
      <c r="C148" s="272"/>
      <c r="D148" s="22"/>
      <c r="E148" s="199"/>
      <c r="F148" s="16"/>
      <c r="G148" s="16"/>
      <c r="H148" s="16"/>
      <c r="I148" s="16"/>
      <c r="J148" s="31"/>
    </row>
    <row r="149" spans="1:10" x14ac:dyDescent="0.35">
      <c r="A149" s="29"/>
      <c r="B149" s="112" t="s">
        <v>66</v>
      </c>
      <c r="C149" s="112" t="s">
        <v>619</v>
      </c>
      <c r="D149" s="22"/>
      <c r="E149" s="199"/>
      <c r="F149" s="16"/>
      <c r="G149" s="16"/>
      <c r="H149" s="16">
        <f>G149*0.6</f>
        <v>0</v>
      </c>
      <c r="I149" s="16">
        <f>G149*0.4</f>
        <v>0</v>
      </c>
      <c r="J149" s="31"/>
    </row>
    <row r="150" spans="1:10" x14ac:dyDescent="0.35">
      <c r="A150" s="29"/>
      <c r="B150" s="273" t="s">
        <v>601</v>
      </c>
      <c r="C150" s="273"/>
      <c r="D150" s="22"/>
      <c r="E150" s="199"/>
      <c r="F150" s="16"/>
      <c r="G150" s="16"/>
      <c r="H150" s="16"/>
      <c r="I150" s="16"/>
      <c r="J150" s="31"/>
    </row>
    <row r="151" spans="1:10" x14ac:dyDescent="0.35">
      <c r="A151" s="29"/>
      <c r="B151" s="14" t="s">
        <v>66</v>
      </c>
      <c r="C151" s="129"/>
      <c r="D151" s="22"/>
      <c r="E151" s="199"/>
      <c r="F151" s="16"/>
      <c r="G151" s="16"/>
      <c r="H151" s="16"/>
      <c r="I151" s="16"/>
      <c r="J151" s="31"/>
    </row>
    <row r="152" spans="1:10" x14ac:dyDescent="0.35">
      <c r="A152" s="29"/>
      <c r="B152" s="129" t="s">
        <v>1017</v>
      </c>
      <c r="C152" s="129"/>
      <c r="D152" s="22"/>
      <c r="E152" s="199"/>
      <c r="F152" s="16">
        <v>0</v>
      </c>
      <c r="G152" s="16">
        <f t="shared" ref="G152" si="29">F152*1.25*0.4*0.4</f>
        <v>0</v>
      </c>
      <c r="H152" s="16">
        <f t="shared" ref="H152" si="30">G152*0.6</f>
        <v>0</v>
      </c>
      <c r="I152" s="16">
        <f t="shared" ref="I152" si="31">G152*0.4</f>
        <v>0</v>
      </c>
      <c r="J152" s="31"/>
    </row>
    <row r="153" spans="1:10" ht="18" x14ac:dyDescent="0.35">
      <c r="A153" s="29"/>
      <c r="B153" s="256" t="s">
        <v>68</v>
      </c>
      <c r="C153" s="256"/>
      <c r="D153" s="14"/>
      <c r="E153" s="199"/>
      <c r="F153" s="28">
        <f>SUM(F149:F152)</f>
        <v>0</v>
      </c>
      <c r="G153" s="28">
        <f>SUM(G149:G152)</f>
        <v>0</v>
      </c>
      <c r="H153" s="28">
        <f>SUM(H149:H152)</f>
        <v>0</v>
      </c>
      <c r="I153" s="28">
        <f>SUM(I149:I152)</f>
        <v>0</v>
      </c>
      <c r="J153" s="31"/>
    </row>
    <row r="154" spans="1:10" ht="50.25" customHeight="1" x14ac:dyDescent="0.35">
      <c r="A154" s="29"/>
      <c r="B154" s="254" t="s">
        <v>633</v>
      </c>
      <c r="C154" s="254"/>
      <c r="D154" s="14"/>
      <c r="E154" s="199"/>
      <c r="F154" s="28"/>
      <c r="G154" s="28"/>
      <c r="H154" s="28"/>
      <c r="I154" s="28"/>
      <c r="J154" s="31"/>
    </row>
    <row r="155" spans="1:10" ht="108.5" x14ac:dyDescent="0.35">
      <c r="A155" s="29"/>
      <c r="B155" s="117" t="s">
        <v>615</v>
      </c>
      <c r="C155" s="118" t="s">
        <v>619</v>
      </c>
      <c r="D155" s="24" t="s">
        <v>635</v>
      </c>
      <c r="E155" s="199"/>
      <c r="F155" s="16"/>
      <c r="G155" s="16"/>
      <c r="H155" s="16">
        <f>G155*0.6</f>
        <v>0</v>
      </c>
      <c r="I155" s="16">
        <f>G155*0.4</f>
        <v>0</v>
      </c>
      <c r="J155" s="37"/>
    </row>
    <row r="156" spans="1:10" ht="170.5" x14ac:dyDescent="0.35">
      <c r="A156" s="29"/>
      <c r="B156" s="220" t="s">
        <v>88</v>
      </c>
      <c r="C156" s="221" t="s">
        <v>634</v>
      </c>
      <c r="D156" s="222" t="s">
        <v>636</v>
      </c>
      <c r="E156" s="223">
        <v>364</v>
      </c>
      <c r="F156" s="16">
        <v>600</v>
      </c>
      <c r="G156" s="16">
        <f>F156*0.75*0.4*0.6</f>
        <v>108</v>
      </c>
      <c r="H156" s="16">
        <f>G156*0.6</f>
        <v>64.8</v>
      </c>
      <c r="I156" s="16">
        <f>G156*0.4</f>
        <v>43.2</v>
      </c>
      <c r="J156" s="37"/>
    </row>
    <row r="157" spans="1:10" x14ac:dyDescent="0.35">
      <c r="A157" s="29"/>
      <c r="B157" s="129" t="s">
        <v>1018</v>
      </c>
      <c r="C157" s="129"/>
      <c r="D157" s="22"/>
      <c r="E157" s="199">
        <v>350</v>
      </c>
      <c r="F157" s="16">
        <v>296.10277777777776</v>
      </c>
      <c r="G157" s="16">
        <v>66.62</v>
      </c>
      <c r="H157" s="16">
        <f t="shared" ref="H157:H158" si="32">G157*0.6</f>
        <v>39.972000000000001</v>
      </c>
      <c r="I157" s="16">
        <f t="shared" ref="I157:I158" si="33">G157*0.4</f>
        <v>26.648000000000003</v>
      </c>
      <c r="J157" s="31"/>
    </row>
    <row r="158" spans="1:10" x14ac:dyDescent="0.35">
      <c r="A158" s="29"/>
      <c r="B158" s="129" t="s">
        <v>1019</v>
      </c>
      <c r="C158" s="129"/>
      <c r="D158" s="22"/>
      <c r="E158" s="199">
        <v>462</v>
      </c>
      <c r="F158" s="16">
        <v>150</v>
      </c>
      <c r="G158" s="16">
        <f t="shared" ref="G158" si="34">F158*0.75*0.4*0.6</f>
        <v>27</v>
      </c>
      <c r="H158" s="16">
        <f t="shared" si="32"/>
        <v>16.2</v>
      </c>
      <c r="I158" s="16">
        <f t="shared" si="33"/>
        <v>10.8</v>
      </c>
      <c r="J158" s="31"/>
    </row>
    <row r="159" spans="1:10" s="19" customFormat="1" ht="18" x14ac:dyDescent="0.3">
      <c r="A159" s="7"/>
      <c r="B159" s="256" t="s">
        <v>65</v>
      </c>
      <c r="C159" s="256"/>
      <c r="D159" s="22"/>
      <c r="E159" s="199"/>
      <c r="F159" s="28">
        <f>SUM(F155:F158)</f>
        <v>1046.1027777777776</v>
      </c>
      <c r="G159" s="28">
        <f>SUM(G155:G158)</f>
        <v>201.62</v>
      </c>
      <c r="H159" s="28">
        <f>SUM(H155:H158)</f>
        <v>120.97199999999999</v>
      </c>
      <c r="I159" s="28">
        <f>SUM(I155:I158)</f>
        <v>80.64800000000001</v>
      </c>
      <c r="J159" s="14"/>
    </row>
    <row r="160" spans="1:10" ht="35.25" customHeight="1" x14ac:dyDescent="0.35">
      <c r="A160" s="29"/>
      <c r="B160" s="272" t="s">
        <v>600</v>
      </c>
      <c r="C160" s="272"/>
      <c r="D160" s="22"/>
      <c r="E160" s="199"/>
      <c r="F160" s="16"/>
      <c r="G160" s="16"/>
      <c r="H160" s="16"/>
      <c r="I160" s="16"/>
      <c r="J160" s="31"/>
    </row>
    <row r="161" spans="1:10" x14ac:dyDescent="0.35">
      <c r="A161" s="29"/>
      <c r="B161" s="112" t="s">
        <v>66</v>
      </c>
      <c r="C161" s="112" t="s">
        <v>619</v>
      </c>
      <c r="D161" s="22"/>
      <c r="E161" s="199"/>
      <c r="F161" s="16"/>
      <c r="G161" s="16"/>
      <c r="H161" s="16">
        <f>G161*0.6</f>
        <v>0</v>
      </c>
      <c r="I161" s="16">
        <f>G161*0.4</f>
        <v>0</v>
      </c>
      <c r="J161" s="31"/>
    </row>
    <row r="162" spans="1:10" x14ac:dyDescent="0.35">
      <c r="A162" s="29"/>
      <c r="B162" s="273" t="s">
        <v>601</v>
      </c>
      <c r="C162" s="273"/>
      <c r="D162" s="22"/>
      <c r="E162" s="199"/>
      <c r="F162" s="16"/>
      <c r="G162" s="16"/>
      <c r="H162" s="16"/>
      <c r="I162" s="16"/>
      <c r="J162" s="31"/>
    </row>
    <row r="163" spans="1:10" x14ac:dyDescent="0.35">
      <c r="A163" s="29"/>
      <c r="B163" s="14" t="s">
        <v>66</v>
      </c>
      <c r="C163" s="129"/>
      <c r="D163" s="22"/>
      <c r="E163" s="199"/>
      <c r="F163" s="16"/>
      <c r="G163" s="16"/>
      <c r="H163" s="16"/>
      <c r="I163" s="16"/>
      <c r="J163" s="31"/>
    </row>
    <row r="164" spans="1:10" x14ac:dyDescent="0.35">
      <c r="A164" s="29"/>
      <c r="B164" s="224" t="s">
        <v>1039</v>
      </c>
      <c r="C164" s="224"/>
      <c r="D164" s="222"/>
      <c r="E164" s="223">
        <v>122</v>
      </c>
      <c r="F164" s="16">
        <v>525</v>
      </c>
      <c r="G164" s="16">
        <v>65.625</v>
      </c>
      <c r="H164" s="16">
        <f t="shared" ref="H164" si="35">G164*0.6</f>
        <v>39.375</v>
      </c>
      <c r="I164" s="16">
        <f t="shared" ref="I164" si="36">G164*0.4</f>
        <v>26.25</v>
      </c>
      <c r="J164" s="31"/>
    </row>
    <row r="165" spans="1:10" x14ac:dyDescent="0.35">
      <c r="A165" s="29"/>
      <c r="B165" s="129" t="s">
        <v>1040</v>
      </c>
      <c r="C165" s="129"/>
      <c r="D165" s="22"/>
      <c r="E165" s="199">
        <v>357</v>
      </c>
      <c r="F165" s="16">
        <v>303</v>
      </c>
      <c r="G165" s="16">
        <v>22.724999999999998</v>
      </c>
      <c r="H165" s="16">
        <f t="shared" ref="H165:H170" si="37">G165*0.6</f>
        <v>13.634999999999998</v>
      </c>
      <c r="I165" s="16">
        <f t="shared" ref="I165:I170" si="38">G165*0.4</f>
        <v>9.09</v>
      </c>
      <c r="J165" s="31"/>
    </row>
    <row r="166" spans="1:10" x14ac:dyDescent="0.35">
      <c r="A166" s="29"/>
      <c r="B166" s="129" t="s">
        <v>1041</v>
      </c>
      <c r="C166" s="129"/>
      <c r="D166" s="22"/>
      <c r="E166" s="199">
        <v>244</v>
      </c>
      <c r="F166" s="16">
        <v>80</v>
      </c>
      <c r="G166" s="16">
        <v>3.04</v>
      </c>
      <c r="H166" s="16">
        <f t="shared" si="37"/>
        <v>1.8239999999999998</v>
      </c>
      <c r="I166" s="16">
        <f t="shared" si="38"/>
        <v>1.2160000000000002</v>
      </c>
      <c r="J166" s="31"/>
    </row>
    <row r="167" spans="1:10" x14ac:dyDescent="0.35">
      <c r="A167" s="29"/>
      <c r="B167" s="129" t="s">
        <v>1042</v>
      </c>
      <c r="C167" s="129"/>
      <c r="D167" s="22"/>
      <c r="E167" s="199">
        <v>592</v>
      </c>
      <c r="F167" s="16">
        <v>84</v>
      </c>
      <c r="G167" s="16">
        <v>2.9693999999999998</v>
      </c>
      <c r="H167" s="16">
        <f t="shared" si="37"/>
        <v>1.7816399999999999</v>
      </c>
      <c r="I167" s="16">
        <f t="shared" si="38"/>
        <v>1.1877599999999999</v>
      </c>
      <c r="J167" s="31"/>
    </row>
    <row r="168" spans="1:10" x14ac:dyDescent="0.35">
      <c r="A168" s="29"/>
      <c r="B168" s="129" t="s">
        <v>1043</v>
      </c>
      <c r="C168" s="129"/>
      <c r="D168" s="22"/>
      <c r="E168" s="199">
        <v>592</v>
      </c>
      <c r="F168" s="16">
        <v>108</v>
      </c>
      <c r="G168" s="16">
        <v>4.14072</v>
      </c>
      <c r="H168" s="16">
        <f t="shared" si="37"/>
        <v>2.484432</v>
      </c>
      <c r="I168" s="16">
        <f t="shared" si="38"/>
        <v>1.656288</v>
      </c>
      <c r="J168" s="31"/>
    </row>
    <row r="169" spans="1:10" x14ac:dyDescent="0.35">
      <c r="A169" s="29"/>
      <c r="B169" s="129" t="s">
        <v>1044</v>
      </c>
      <c r="C169" s="129"/>
      <c r="D169" s="22"/>
      <c r="E169" s="199">
        <v>86</v>
      </c>
      <c r="F169" s="16">
        <v>19</v>
      </c>
      <c r="G169" s="16">
        <v>0.67164999999999997</v>
      </c>
      <c r="H169" s="16">
        <f t="shared" si="37"/>
        <v>0.40298999999999996</v>
      </c>
      <c r="I169" s="16">
        <f t="shared" si="38"/>
        <v>0.26866000000000001</v>
      </c>
      <c r="J169" s="31"/>
    </row>
    <row r="170" spans="1:10" x14ac:dyDescent="0.35">
      <c r="A170" s="29"/>
      <c r="B170" s="129" t="s">
        <v>1045</v>
      </c>
      <c r="C170" s="129"/>
      <c r="D170" s="22"/>
      <c r="E170" s="199">
        <v>592</v>
      </c>
      <c r="F170" s="16">
        <v>80</v>
      </c>
      <c r="G170" s="16">
        <v>4.3983999999999996</v>
      </c>
      <c r="H170" s="16">
        <f t="shared" si="37"/>
        <v>2.6390399999999996</v>
      </c>
      <c r="I170" s="16">
        <f t="shared" si="38"/>
        <v>1.75936</v>
      </c>
      <c r="J170" s="31"/>
    </row>
    <row r="171" spans="1:10" ht="18" x14ac:dyDescent="0.35">
      <c r="A171" s="29"/>
      <c r="B171" s="129" t="s">
        <v>1048</v>
      </c>
      <c r="C171" s="129"/>
      <c r="D171" s="22"/>
      <c r="E171" s="199"/>
      <c r="F171" s="28">
        <f>SUM(F164:F170)</f>
        <v>1199</v>
      </c>
      <c r="G171" s="28">
        <f t="shared" ref="G171:I171" si="39">SUM(G164:G170)</f>
        <v>103.57016999999999</v>
      </c>
      <c r="H171" s="28">
        <f t="shared" si="39"/>
        <v>62.142102000000001</v>
      </c>
      <c r="I171" s="28">
        <f t="shared" si="39"/>
        <v>41.428067999999996</v>
      </c>
      <c r="J171" s="31"/>
    </row>
    <row r="172" spans="1:10" x14ac:dyDescent="0.35">
      <c r="A172" s="29"/>
      <c r="B172" s="14" t="s">
        <v>67</v>
      </c>
      <c r="C172" s="129"/>
      <c r="D172" s="22"/>
      <c r="E172" s="199"/>
      <c r="F172" s="16"/>
      <c r="G172" s="16"/>
      <c r="H172" s="16"/>
      <c r="I172" s="16"/>
      <c r="J172" s="31"/>
    </row>
    <row r="173" spans="1:10" x14ac:dyDescent="0.35">
      <c r="A173" s="29"/>
      <c r="B173" s="129" t="s">
        <v>1021</v>
      </c>
      <c r="C173" s="129"/>
      <c r="D173" s="22"/>
      <c r="E173" s="199">
        <v>245</v>
      </c>
      <c r="F173" s="16">
        <v>100</v>
      </c>
      <c r="G173" s="16">
        <v>3.8</v>
      </c>
      <c r="H173" s="16">
        <f t="shared" ref="H173:H178" si="40">G173*0.6</f>
        <v>2.2799999999999998</v>
      </c>
      <c r="I173" s="16">
        <f t="shared" ref="I173:I178" si="41">G173*0.4</f>
        <v>1.52</v>
      </c>
      <c r="J173" s="31"/>
    </row>
    <row r="174" spans="1:10" x14ac:dyDescent="0.35">
      <c r="A174" s="29"/>
      <c r="B174" s="129" t="s">
        <v>1022</v>
      </c>
      <c r="C174" s="129"/>
      <c r="D174" s="22"/>
      <c r="E174" s="199">
        <v>592</v>
      </c>
      <c r="F174" s="16">
        <v>216</v>
      </c>
      <c r="G174" s="16">
        <v>7.6356000000000002</v>
      </c>
      <c r="H174" s="16">
        <f t="shared" si="40"/>
        <v>4.5813600000000001</v>
      </c>
      <c r="I174" s="16">
        <f t="shared" si="41"/>
        <v>3.0542400000000001</v>
      </c>
      <c r="J174" s="31"/>
    </row>
    <row r="175" spans="1:10" x14ac:dyDescent="0.35">
      <c r="A175" s="29"/>
      <c r="B175" s="129" t="s">
        <v>1023</v>
      </c>
      <c r="C175" s="129"/>
      <c r="D175" s="22"/>
      <c r="E175" s="199">
        <v>592</v>
      </c>
      <c r="F175" s="16">
        <v>200</v>
      </c>
      <c r="G175" s="16">
        <v>7.6680000000000001</v>
      </c>
      <c r="H175" s="16">
        <f t="shared" si="40"/>
        <v>4.6007999999999996</v>
      </c>
      <c r="I175" s="16">
        <f t="shared" si="41"/>
        <v>3.0672000000000001</v>
      </c>
      <c r="J175" s="31"/>
    </row>
    <row r="176" spans="1:10" x14ac:dyDescent="0.35">
      <c r="A176" s="29"/>
      <c r="B176" s="129" t="s">
        <v>1046</v>
      </c>
      <c r="C176" s="129"/>
      <c r="D176" s="22"/>
      <c r="E176" s="199">
        <v>86</v>
      </c>
      <c r="F176" s="16">
        <v>32</v>
      </c>
      <c r="G176" s="16">
        <v>1.1312</v>
      </c>
      <c r="H176" s="16">
        <f t="shared" si="40"/>
        <v>0.67871999999999999</v>
      </c>
      <c r="I176" s="16">
        <f t="shared" si="41"/>
        <v>0.45247999999999999</v>
      </c>
      <c r="J176" s="31"/>
    </row>
    <row r="177" spans="1:10" x14ac:dyDescent="0.35">
      <c r="A177" s="29"/>
      <c r="B177" s="129" t="s">
        <v>1025</v>
      </c>
      <c r="C177" s="129"/>
      <c r="D177" s="22"/>
      <c r="E177" s="199">
        <v>592</v>
      </c>
      <c r="F177" s="16">
        <v>79</v>
      </c>
      <c r="G177" s="16">
        <v>4.3434199999999992</v>
      </c>
      <c r="H177" s="16">
        <f t="shared" si="40"/>
        <v>2.6060519999999996</v>
      </c>
      <c r="I177" s="16">
        <f t="shared" si="41"/>
        <v>1.7373679999999998</v>
      </c>
      <c r="J177" s="31"/>
    </row>
    <row r="178" spans="1:10" x14ac:dyDescent="0.35">
      <c r="A178" s="29"/>
      <c r="B178" s="128" t="s">
        <v>1047</v>
      </c>
      <c r="C178" s="129"/>
      <c r="D178" s="22"/>
      <c r="E178" s="199">
        <v>470</v>
      </c>
      <c r="F178" s="16">
        <v>24</v>
      </c>
      <c r="G178" s="16">
        <v>1.7599199999999997</v>
      </c>
      <c r="H178" s="16">
        <f t="shared" si="40"/>
        <v>1.0559519999999998</v>
      </c>
      <c r="I178" s="16">
        <f t="shared" si="41"/>
        <v>0.70396799999999993</v>
      </c>
      <c r="J178" s="31"/>
    </row>
    <row r="179" spans="1:10" ht="18" x14ac:dyDescent="0.35">
      <c r="A179" s="29"/>
      <c r="B179" s="129" t="s">
        <v>1049</v>
      </c>
      <c r="C179" s="14"/>
      <c r="D179" s="22"/>
      <c r="E179" s="199"/>
      <c r="F179" s="28">
        <f>SUM(F173:F178)</f>
        <v>651</v>
      </c>
      <c r="G179" s="28">
        <f t="shared" ref="G179:I179" si="42">SUM(G173:G178)</f>
        <v>26.338139999999999</v>
      </c>
      <c r="H179" s="28">
        <f t="shared" si="42"/>
        <v>15.802883999999999</v>
      </c>
      <c r="I179" s="28">
        <f t="shared" si="42"/>
        <v>10.535255999999999</v>
      </c>
      <c r="J179" s="31"/>
    </row>
    <row r="180" spans="1:10" ht="18" x14ac:dyDescent="0.35">
      <c r="A180" s="29"/>
      <c r="B180" s="256" t="s">
        <v>68</v>
      </c>
      <c r="C180" s="256"/>
      <c r="D180" s="14"/>
      <c r="E180" s="199"/>
      <c r="F180" s="28">
        <f>F171+F179</f>
        <v>1850</v>
      </c>
      <c r="G180" s="28">
        <f t="shared" ref="G180:I180" si="43">G171+G179</f>
        <v>129.90831</v>
      </c>
      <c r="H180" s="28">
        <f t="shared" si="43"/>
        <v>77.944986</v>
      </c>
      <c r="I180" s="28">
        <f t="shared" si="43"/>
        <v>51.963323999999993</v>
      </c>
      <c r="J180" s="31"/>
    </row>
    <row r="181" spans="1:10" ht="31.5" customHeight="1" x14ac:dyDescent="0.35">
      <c r="A181" s="29"/>
      <c r="B181" s="257" t="s">
        <v>637</v>
      </c>
      <c r="C181" s="257"/>
      <c r="D181" s="14"/>
      <c r="E181" s="199"/>
      <c r="F181" s="28"/>
      <c r="G181" s="28"/>
      <c r="H181" s="28"/>
      <c r="I181" s="28"/>
      <c r="J181" s="31"/>
    </row>
    <row r="182" spans="1:10" ht="50.25" customHeight="1" x14ac:dyDescent="0.35">
      <c r="A182" s="29"/>
      <c r="B182" s="257" t="s">
        <v>638</v>
      </c>
      <c r="C182" s="257"/>
      <c r="D182" s="14"/>
      <c r="E182" s="199"/>
      <c r="F182" s="28"/>
      <c r="G182" s="28"/>
      <c r="H182" s="28"/>
      <c r="I182" s="28"/>
      <c r="J182" s="31"/>
    </row>
    <row r="183" spans="1:10" ht="124" x14ac:dyDescent="0.35">
      <c r="A183" s="29"/>
      <c r="B183" s="117" t="s">
        <v>615</v>
      </c>
      <c r="C183" s="118" t="s">
        <v>619</v>
      </c>
      <c r="D183" s="24" t="s">
        <v>620</v>
      </c>
      <c r="E183" s="199"/>
      <c r="F183" s="16"/>
      <c r="G183" s="16"/>
      <c r="H183" s="16">
        <f>G183*0.6</f>
        <v>0</v>
      </c>
      <c r="I183" s="16">
        <f>G183*0.4</f>
        <v>0</v>
      </c>
      <c r="J183" s="37"/>
    </row>
    <row r="184" spans="1:10" ht="186" x14ac:dyDescent="0.35">
      <c r="A184" s="29"/>
      <c r="B184" s="14" t="s">
        <v>88</v>
      </c>
      <c r="C184" s="118" t="s">
        <v>63</v>
      </c>
      <c r="D184" s="22" t="s">
        <v>639</v>
      </c>
      <c r="E184" s="199"/>
      <c r="F184" s="16">
        <v>0</v>
      </c>
      <c r="G184" s="16">
        <f>F184*1.25*0.4*0.6</f>
        <v>0</v>
      </c>
      <c r="H184" s="16">
        <f>G184*0.6</f>
        <v>0</v>
      </c>
      <c r="I184" s="16">
        <f>G184*0.4</f>
        <v>0</v>
      </c>
      <c r="J184" s="37"/>
    </row>
    <row r="185" spans="1:10" x14ac:dyDescent="0.35">
      <c r="A185" s="29"/>
      <c r="B185" s="14" t="s">
        <v>523</v>
      </c>
      <c r="C185" s="118"/>
      <c r="D185" s="24"/>
      <c r="E185" s="199">
        <v>592</v>
      </c>
      <c r="F185" s="16">
        <v>150</v>
      </c>
      <c r="G185" s="16">
        <f>F185*1.25*0.4*0.6</f>
        <v>45</v>
      </c>
      <c r="H185" s="16">
        <f>G185*0.6</f>
        <v>27</v>
      </c>
      <c r="I185" s="16">
        <f>G185*0.4</f>
        <v>18</v>
      </c>
      <c r="J185" s="37"/>
    </row>
    <row r="186" spans="1:10" x14ac:dyDescent="0.35">
      <c r="A186" s="29"/>
      <c r="B186" s="14" t="s">
        <v>1038</v>
      </c>
      <c r="C186" s="118"/>
      <c r="D186" s="22"/>
      <c r="E186" s="199">
        <v>592</v>
      </c>
      <c r="F186" s="16">
        <v>100</v>
      </c>
      <c r="G186" s="16">
        <f>F186*1.25*0.4*0.6</f>
        <v>30</v>
      </c>
      <c r="H186" s="16">
        <f>G186*0.6</f>
        <v>18</v>
      </c>
      <c r="I186" s="16">
        <f>G186*0.4</f>
        <v>12</v>
      </c>
      <c r="J186" s="37"/>
    </row>
    <row r="187" spans="1:10" s="19" customFormat="1" ht="18" x14ac:dyDescent="0.3">
      <c r="A187" s="7"/>
      <c r="B187" s="256" t="s">
        <v>65</v>
      </c>
      <c r="C187" s="256"/>
      <c r="D187" s="22"/>
      <c r="E187" s="199"/>
      <c r="F187" s="28">
        <f t="shared" ref="F187:I187" si="44">SUM(F183:F186)</f>
        <v>250</v>
      </c>
      <c r="G187" s="28">
        <f t="shared" si="44"/>
        <v>75</v>
      </c>
      <c r="H187" s="28">
        <f t="shared" si="44"/>
        <v>45</v>
      </c>
      <c r="I187" s="28">
        <f t="shared" si="44"/>
        <v>30</v>
      </c>
      <c r="J187" s="14"/>
    </row>
    <row r="188" spans="1:10" ht="35.25" customHeight="1" x14ac:dyDescent="0.35">
      <c r="A188" s="29"/>
      <c r="B188" s="272" t="s">
        <v>600</v>
      </c>
      <c r="C188" s="272"/>
      <c r="D188" s="22"/>
      <c r="E188" s="199"/>
      <c r="F188" s="16"/>
      <c r="G188" s="16"/>
      <c r="H188" s="16"/>
      <c r="I188" s="16"/>
      <c r="J188" s="31"/>
    </row>
    <row r="189" spans="1:10" x14ac:dyDescent="0.35">
      <c r="A189" s="29"/>
      <c r="B189" s="112" t="s">
        <v>66</v>
      </c>
      <c r="C189" s="112" t="s">
        <v>619</v>
      </c>
      <c r="D189" s="22"/>
      <c r="E189" s="199"/>
      <c r="F189" s="16"/>
      <c r="G189" s="16"/>
      <c r="H189" s="16">
        <f>G189*0.6</f>
        <v>0</v>
      </c>
      <c r="I189" s="16">
        <f>G189*0.4</f>
        <v>0</v>
      </c>
      <c r="J189" s="31"/>
    </row>
    <row r="190" spans="1:10" x14ac:dyDescent="0.35">
      <c r="A190" s="29"/>
      <c r="B190" s="273" t="s">
        <v>601</v>
      </c>
      <c r="C190" s="273"/>
      <c r="D190" s="22"/>
      <c r="E190" s="199"/>
      <c r="F190" s="16"/>
      <c r="G190" s="16"/>
      <c r="H190" s="16"/>
      <c r="I190" s="16"/>
      <c r="J190" s="31"/>
    </row>
    <row r="191" spans="1:10" x14ac:dyDescent="0.35">
      <c r="A191" s="29"/>
      <c r="B191" s="14" t="s">
        <v>66</v>
      </c>
      <c r="C191" s="14"/>
      <c r="D191" s="22"/>
      <c r="E191" s="199"/>
      <c r="F191" s="16"/>
      <c r="G191" s="16">
        <f>F191*1.25*0.4*0.4</f>
        <v>0</v>
      </c>
      <c r="H191" s="16">
        <f>G191*0.6</f>
        <v>0</v>
      </c>
      <c r="I191" s="16">
        <f>G191*0.4</f>
        <v>0</v>
      </c>
      <c r="J191" s="31"/>
    </row>
    <row r="192" spans="1:10" x14ac:dyDescent="0.35">
      <c r="A192" s="29"/>
      <c r="B192" s="129"/>
      <c r="C192" s="129"/>
      <c r="D192" s="22"/>
      <c r="E192" s="199"/>
      <c r="F192" s="16">
        <v>0</v>
      </c>
      <c r="G192" s="16">
        <f>F192*1.25*0.4*0.4</f>
        <v>0</v>
      </c>
      <c r="H192" s="16">
        <f>G192*0.6</f>
        <v>0</v>
      </c>
      <c r="I192" s="16">
        <f>G192*0.4</f>
        <v>0</v>
      </c>
      <c r="J192" s="31"/>
    </row>
    <row r="193" spans="1:10" ht="18" x14ac:dyDescent="0.35">
      <c r="A193" s="29"/>
      <c r="B193" s="256" t="s">
        <v>68</v>
      </c>
      <c r="C193" s="256"/>
      <c r="D193" s="14"/>
      <c r="E193" s="199"/>
      <c r="F193" s="28">
        <f>SUM(F189:F192)</f>
        <v>0</v>
      </c>
      <c r="G193" s="28">
        <f>SUM(G189:G192)</f>
        <v>0</v>
      </c>
      <c r="H193" s="28">
        <f>SUM(H189:H192)</f>
        <v>0</v>
      </c>
      <c r="I193" s="28">
        <f>SUM(I189:I192)</f>
        <v>0</v>
      </c>
      <c r="J193" s="31"/>
    </row>
    <row r="194" spans="1:10" ht="50.25" customHeight="1" x14ac:dyDescent="0.35">
      <c r="A194" s="29"/>
      <c r="B194" s="257" t="s">
        <v>641</v>
      </c>
      <c r="C194" s="257"/>
      <c r="D194" s="14"/>
      <c r="E194" s="199"/>
      <c r="F194" s="28"/>
      <c r="G194" s="28"/>
      <c r="H194" s="28"/>
      <c r="I194" s="28"/>
      <c r="J194" s="31"/>
    </row>
    <row r="195" spans="1:10" ht="124" x14ac:dyDescent="0.35">
      <c r="A195" s="29"/>
      <c r="B195" s="117" t="s">
        <v>615</v>
      </c>
      <c r="C195" s="118" t="s">
        <v>619</v>
      </c>
      <c r="D195" s="24" t="s">
        <v>620</v>
      </c>
      <c r="E195" s="199"/>
      <c r="F195" s="16"/>
      <c r="G195" s="16"/>
      <c r="H195" s="16">
        <f>G195*0.6</f>
        <v>0</v>
      </c>
      <c r="I195" s="16">
        <f>G195*0.4</f>
        <v>0</v>
      </c>
      <c r="J195" s="37"/>
    </row>
    <row r="196" spans="1:10" ht="186" x14ac:dyDescent="0.35">
      <c r="A196" s="29"/>
      <c r="B196" s="14" t="s">
        <v>88</v>
      </c>
      <c r="C196" s="118" t="s">
        <v>102</v>
      </c>
      <c r="D196" s="22" t="s">
        <v>639</v>
      </c>
      <c r="E196" s="199">
        <v>606</v>
      </c>
      <c r="F196" s="16">
        <v>150</v>
      </c>
      <c r="G196" s="16">
        <f>F196*2*0.4*0.6</f>
        <v>72</v>
      </c>
      <c r="H196" s="16">
        <f>G196*0.6</f>
        <v>43.199999999999996</v>
      </c>
      <c r="I196" s="16">
        <f>G196*0.4</f>
        <v>28.8</v>
      </c>
      <c r="J196" s="37"/>
    </row>
    <row r="197" spans="1:10" s="19" customFormat="1" ht="18" x14ac:dyDescent="0.3">
      <c r="A197" s="7"/>
      <c r="B197" s="256" t="s">
        <v>65</v>
      </c>
      <c r="C197" s="256"/>
      <c r="D197" s="22"/>
      <c r="E197" s="199"/>
      <c r="F197" s="28">
        <f t="shared" ref="F197:I197" si="45">SUM(F195:F196)</f>
        <v>150</v>
      </c>
      <c r="G197" s="28">
        <f t="shared" si="45"/>
        <v>72</v>
      </c>
      <c r="H197" s="28">
        <f t="shared" si="45"/>
        <v>43.199999999999996</v>
      </c>
      <c r="I197" s="28">
        <f t="shared" si="45"/>
        <v>28.8</v>
      </c>
      <c r="J197" s="14"/>
    </row>
    <row r="198" spans="1:10" ht="35.25" customHeight="1" x14ac:dyDescent="0.35">
      <c r="A198" s="29"/>
      <c r="B198" s="272" t="s">
        <v>600</v>
      </c>
      <c r="C198" s="272"/>
      <c r="D198" s="22"/>
      <c r="E198" s="199"/>
      <c r="F198" s="16"/>
      <c r="G198" s="16"/>
      <c r="H198" s="16"/>
      <c r="I198" s="16"/>
      <c r="J198" s="31"/>
    </row>
    <row r="199" spans="1:10" x14ac:dyDescent="0.35">
      <c r="A199" s="29"/>
      <c r="B199" s="112" t="s">
        <v>66</v>
      </c>
      <c r="C199" s="112" t="s">
        <v>619</v>
      </c>
      <c r="D199" s="22"/>
      <c r="E199" s="199"/>
      <c r="F199" s="16"/>
      <c r="G199" s="16"/>
      <c r="H199" s="16">
        <f>G199*0.6</f>
        <v>0</v>
      </c>
      <c r="I199" s="16">
        <f>G199*0.4</f>
        <v>0</v>
      </c>
      <c r="J199" s="31"/>
    </row>
    <row r="200" spans="1:10" x14ac:dyDescent="0.35">
      <c r="A200" s="29"/>
      <c r="B200" s="273" t="s">
        <v>601</v>
      </c>
      <c r="C200" s="273"/>
      <c r="D200" s="22"/>
      <c r="E200" s="199"/>
      <c r="F200" s="16"/>
      <c r="G200" s="16"/>
      <c r="H200" s="16"/>
      <c r="I200" s="16"/>
      <c r="J200" s="31"/>
    </row>
    <row r="201" spans="1:10" x14ac:dyDescent="0.35">
      <c r="A201" s="29"/>
      <c r="B201" s="14" t="s">
        <v>66</v>
      </c>
      <c r="C201" s="14"/>
      <c r="D201" s="22"/>
      <c r="E201" s="199"/>
      <c r="F201" s="16"/>
      <c r="G201" s="16">
        <f>F201*2*0.4*0.4</f>
        <v>0</v>
      </c>
      <c r="H201" s="16">
        <f>G201*0.6</f>
        <v>0</v>
      </c>
      <c r="I201" s="16">
        <f>G201*0.4</f>
        <v>0</v>
      </c>
      <c r="J201" s="31"/>
    </row>
    <row r="202" spans="1:10" ht="18" x14ac:dyDescent="0.35">
      <c r="A202" s="29"/>
      <c r="B202" s="256" t="s">
        <v>68</v>
      </c>
      <c r="C202" s="256"/>
      <c r="D202" s="14"/>
      <c r="E202" s="199"/>
      <c r="F202" s="28">
        <f t="shared" ref="F202" si="46">SUM(F199:F201)</f>
        <v>0</v>
      </c>
      <c r="G202" s="28">
        <f t="shared" ref="G202" si="47">SUM(G199:G201)</f>
        <v>0</v>
      </c>
      <c r="H202" s="28">
        <f t="shared" ref="H202" si="48">SUM(H199:H201)</f>
        <v>0</v>
      </c>
      <c r="I202" s="28">
        <f t="shared" ref="I202" si="49">SUM(I199:I201)</f>
        <v>0</v>
      </c>
      <c r="J202" s="31"/>
    </row>
    <row r="203" spans="1:10" ht="50.25" customHeight="1" x14ac:dyDescent="0.35">
      <c r="A203" s="29"/>
      <c r="B203" s="257" t="s">
        <v>640</v>
      </c>
      <c r="C203" s="257"/>
      <c r="D203" s="14"/>
      <c r="E203" s="199"/>
      <c r="F203" s="28"/>
      <c r="G203" s="28"/>
      <c r="H203" s="28"/>
      <c r="I203" s="28"/>
      <c r="J203" s="31"/>
    </row>
    <row r="204" spans="1:10" ht="124" x14ac:dyDescent="0.35">
      <c r="A204" s="29"/>
      <c r="B204" s="117" t="s">
        <v>615</v>
      </c>
      <c r="C204" s="118" t="s">
        <v>619</v>
      </c>
      <c r="D204" s="24" t="s">
        <v>620</v>
      </c>
      <c r="E204" s="199"/>
      <c r="F204" s="16"/>
      <c r="G204" s="16"/>
      <c r="H204" s="16">
        <f>G204*0.6</f>
        <v>0</v>
      </c>
      <c r="I204" s="16">
        <f>G204*0.4</f>
        <v>0</v>
      </c>
      <c r="J204" s="37"/>
    </row>
    <row r="205" spans="1:10" ht="186" x14ac:dyDescent="0.35">
      <c r="A205" s="29"/>
      <c r="B205" s="14" t="s">
        <v>88</v>
      </c>
      <c r="C205" s="118" t="s">
        <v>642</v>
      </c>
      <c r="D205" s="22" t="s">
        <v>639</v>
      </c>
      <c r="E205" s="199"/>
      <c r="F205" s="16">
        <v>0</v>
      </c>
      <c r="G205" s="16">
        <f>F205*5*0.4*0.6</f>
        <v>0</v>
      </c>
      <c r="H205" s="16">
        <f>G205*0.6</f>
        <v>0</v>
      </c>
      <c r="I205" s="16">
        <f>G205*0.4</f>
        <v>0</v>
      </c>
      <c r="J205" s="37"/>
    </row>
    <row r="206" spans="1:10" s="19" customFormat="1" ht="18" x14ac:dyDescent="0.3">
      <c r="A206" s="7"/>
      <c r="B206" s="256" t="s">
        <v>65</v>
      </c>
      <c r="C206" s="256"/>
      <c r="D206" s="22"/>
      <c r="E206" s="199"/>
      <c r="F206" s="28">
        <f t="shared" ref="F206:I206" si="50">SUM(F204:F205)</f>
        <v>0</v>
      </c>
      <c r="G206" s="28">
        <f t="shared" si="50"/>
        <v>0</v>
      </c>
      <c r="H206" s="28">
        <f t="shared" si="50"/>
        <v>0</v>
      </c>
      <c r="I206" s="28">
        <f t="shared" si="50"/>
        <v>0</v>
      </c>
      <c r="J206" s="14"/>
    </row>
    <row r="207" spans="1:10" ht="35.25" customHeight="1" x14ac:dyDescent="0.35">
      <c r="A207" s="29"/>
      <c r="B207" s="272" t="s">
        <v>600</v>
      </c>
      <c r="C207" s="272"/>
      <c r="D207" s="22"/>
      <c r="E207" s="199"/>
      <c r="F207" s="16"/>
      <c r="G207" s="16"/>
      <c r="H207" s="16"/>
      <c r="I207" s="16"/>
      <c r="J207" s="31"/>
    </row>
    <row r="208" spans="1:10" x14ac:dyDescent="0.35">
      <c r="A208" s="29"/>
      <c r="B208" s="112" t="s">
        <v>66</v>
      </c>
      <c r="C208" s="112" t="s">
        <v>619</v>
      </c>
      <c r="D208" s="22"/>
      <c r="E208" s="199"/>
      <c r="F208" s="16"/>
      <c r="G208" s="16"/>
      <c r="H208" s="16">
        <f>G208*0.6</f>
        <v>0</v>
      </c>
      <c r="I208" s="16">
        <f>G208*0.4</f>
        <v>0</v>
      </c>
      <c r="J208" s="31"/>
    </row>
    <row r="209" spans="1:10" x14ac:dyDescent="0.35">
      <c r="A209" s="29"/>
      <c r="B209" s="273" t="s">
        <v>601</v>
      </c>
      <c r="C209" s="273"/>
      <c r="D209" s="22"/>
      <c r="E209" s="199"/>
      <c r="F209" s="16"/>
      <c r="G209" s="16"/>
      <c r="H209" s="16"/>
      <c r="I209" s="16"/>
      <c r="J209" s="31"/>
    </row>
    <row r="210" spans="1:10" x14ac:dyDescent="0.35">
      <c r="A210" s="29"/>
      <c r="B210" s="14" t="s">
        <v>66</v>
      </c>
      <c r="C210" s="14"/>
      <c r="D210" s="22"/>
      <c r="E210" s="199"/>
      <c r="F210" s="16"/>
      <c r="G210" s="16">
        <f>F210*5*0.4*0.4</f>
        <v>0</v>
      </c>
      <c r="H210" s="16">
        <f>G210*0.6</f>
        <v>0</v>
      </c>
      <c r="I210" s="16">
        <f>G210*0.4</f>
        <v>0</v>
      </c>
      <c r="J210" s="31"/>
    </row>
    <row r="211" spans="1:10" ht="18" x14ac:dyDescent="0.35">
      <c r="A211" s="29"/>
      <c r="B211" s="256" t="s">
        <v>68</v>
      </c>
      <c r="C211" s="256"/>
      <c r="D211" s="14"/>
      <c r="E211" s="199"/>
      <c r="F211" s="28">
        <f t="shared" ref="F211" si="51">SUM(F208:F210)</f>
        <v>0</v>
      </c>
      <c r="G211" s="28">
        <f t="shared" ref="G211" si="52">SUM(G208:G210)</f>
        <v>0</v>
      </c>
      <c r="H211" s="28">
        <f t="shared" ref="H211" si="53">SUM(H208:H210)</f>
        <v>0</v>
      </c>
      <c r="I211" s="28">
        <f t="shared" ref="I211" si="54">SUM(I208:I210)</f>
        <v>0</v>
      </c>
      <c r="J211" s="31"/>
    </row>
    <row r="212" spans="1:10" ht="50.25" customHeight="1" x14ac:dyDescent="0.35">
      <c r="A212" s="29"/>
      <c r="B212" s="257" t="s">
        <v>643</v>
      </c>
      <c r="C212" s="257"/>
      <c r="D212" s="14"/>
      <c r="E212" s="199"/>
      <c r="F212" s="28"/>
      <c r="G212" s="28"/>
      <c r="H212" s="28"/>
      <c r="I212" s="28"/>
      <c r="J212" s="31"/>
    </row>
    <row r="213" spans="1:10" ht="124" x14ac:dyDescent="0.35">
      <c r="A213" s="29"/>
      <c r="B213" s="117" t="s">
        <v>615</v>
      </c>
      <c r="C213" s="118" t="s">
        <v>619</v>
      </c>
      <c r="D213" s="24" t="s">
        <v>620</v>
      </c>
      <c r="E213" s="199"/>
      <c r="F213" s="16"/>
      <c r="G213" s="16"/>
      <c r="H213" s="16">
        <f>G213*0.6</f>
        <v>0</v>
      </c>
      <c r="I213" s="16">
        <f>G213*0.4</f>
        <v>0</v>
      </c>
      <c r="J213" s="37"/>
    </row>
    <row r="214" spans="1:10" ht="186" x14ac:dyDescent="0.35">
      <c r="A214" s="29"/>
      <c r="B214" s="14" t="s">
        <v>88</v>
      </c>
      <c r="C214" s="118" t="s">
        <v>644</v>
      </c>
      <c r="D214" s="22" t="s">
        <v>639</v>
      </c>
      <c r="E214" s="199"/>
      <c r="F214" s="40">
        <v>0</v>
      </c>
      <c r="G214" s="153">
        <f>F214*3*0.4*6</f>
        <v>0</v>
      </c>
      <c r="H214" s="16">
        <f>G214*0.6</f>
        <v>0</v>
      </c>
      <c r="I214" s="16">
        <f>G214*0.4</f>
        <v>0</v>
      </c>
      <c r="J214" s="37"/>
    </row>
    <row r="215" spans="1:10" s="19" customFormat="1" ht="18" x14ac:dyDescent="0.3">
      <c r="A215" s="7"/>
      <c r="B215" s="256" t="s">
        <v>65</v>
      </c>
      <c r="C215" s="256"/>
      <c r="D215" s="22"/>
      <c r="E215" s="199"/>
      <c r="F215" s="28">
        <f t="shared" ref="F215:I215" si="55">SUM(F213:F214)</f>
        <v>0</v>
      </c>
      <c r="G215" s="28">
        <f t="shared" si="55"/>
        <v>0</v>
      </c>
      <c r="H215" s="28">
        <f t="shared" si="55"/>
        <v>0</v>
      </c>
      <c r="I215" s="28">
        <f t="shared" si="55"/>
        <v>0</v>
      </c>
      <c r="J215" s="14"/>
    </row>
    <row r="216" spans="1:10" ht="35.25" customHeight="1" x14ac:dyDescent="0.35">
      <c r="A216" s="29"/>
      <c r="B216" s="272" t="s">
        <v>600</v>
      </c>
      <c r="C216" s="272"/>
      <c r="D216" s="22"/>
      <c r="E216" s="199"/>
      <c r="F216" s="16"/>
      <c r="G216" s="16"/>
      <c r="H216" s="16"/>
      <c r="I216" s="16"/>
      <c r="J216" s="31"/>
    </row>
    <row r="217" spans="1:10" x14ac:dyDescent="0.35">
      <c r="A217" s="29"/>
      <c r="B217" s="112" t="s">
        <v>66</v>
      </c>
      <c r="C217" s="112" t="s">
        <v>619</v>
      </c>
      <c r="D217" s="22"/>
      <c r="E217" s="199"/>
      <c r="F217" s="16"/>
      <c r="G217" s="16"/>
      <c r="H217" s="16">
        <f>G217*0.6</f>
        <v>0</v>
      </c>
      <c r="I217" s="16">
        <f>G217*0.4</f>
        <v>0</v>
      </c>
      <c r="J217" s="31"/>
    </row>
    <row r="218" spans="1:10" x14ac:dyDescent="0.35">
      <c r="A218" s="29"/>
      <c r="B218" s="273" t="s">
        <v>601</v>
      </c>
      <c r="C218" s="273"/>
      <c r="D218" s="22"/>
      <c r="E218" s="199"/>
      <c r="F218" s="16"/>
      <c r="G218" s="16"/>
      <c r="H218" s="16"/>
      <c r="I218" s="16"/>
      <c r="J218" s="31"/>
    </row>
    <row r="219" spans="1:10" x14ac:dyDescent="0.35">
      <c r="A219" s="29"/>
      <c r="B219" s="14" t="s">
        <v>66</v>
      </c>
      <c r="C219" s="14"/>
      <c r="D219" s="22"/>
      <c r="E219" s="199"/>
      <c r="F219" s="16"/>
      <c r="G219" s="16">
        <f>F219*3*0.4*0.4</f>
        <v>0</v>
      </c>
      <c r="H219" s="16">
        <f>G219*0.6</f>
        <v>0</v>
      </c>
      <c r="I219" s="16">
        <f>G219*0.4</f>
        <v>0</v>
      </c>
      <c r="J219" s="31"/>
    </row>
    <row r="220" spans="1:10" ht="18" x14ac:dyDescent="0.35">
      <c r="A220" s="29"/>
      <c r="B220" s="256" t="s">
        <v>68</v>
      </c>
      <c r="C220" s="256"/>
      <c r="D220" s="14"/>
      <c r="E220" s="199"/>
      <c r="F220" s="28">
        <f t="shared" ref="F220" si="56">SUM(F217:F219)</f>
        <v>0</v>
      </c>
      <c r="G220" s="28">
        <f t="shared" ref="G220" si="57">SUM(G217:G219)</f>
        <v>0</v>
      </c>
      <c r="H220" s="28">
        <f t="shared" ref="H220" si="58">SUM(H217:H219)</f>
        <v>0</v>
      </c>
      <c r="I220" s="28">
        <f t="shared" ref="I220" si="59">SUM(I217:I219)</f>
        <v>0</v>
      </c>
      <c r="J220" s="31"/>
    </row>
    <row r="221" spans="1:10" ht="50.25" customHeight="1" x14ac:dyDescent="0.35">
      <c r="A221" s="29"/>
      <c r="B221" s="257" t="s">
        <v>645</v>
      </c>
      <c r="C221" s="257"/>
      <c r="D221" s="14"/>
      <c r="E221" s="199"/>
      <c r="F221" s="28"/>
      <c r="G221" s="28"/>
      <c r="H221" s="28"/>
      <c r="I221" s="28"/>
      <c r="J221" s="31"/>
    </row>
    <row r="222" spans="1:10" ht="124" x14ac:dyDescent="0.35">
      <c r="A222" s="29"/>
      <c r="B222" s="117" t="s">
        <v>615</v>
      </c>
      <c r="C222" s="118" t="s">
        <v>619</v>
      </c>
      <c r="D222" s="24" t="s">
        <v>620</v>
      </c>
      <c r="E222" s="199"/>
      <c r="F222" s="16"/>
      <c r="G222" s="16"/>
      <c r="H222" s="16">
        <f>G222*0.6</f>
        <v>0</v>
      </c>
      <c r="I222" s="16">
        <f>G222*0.4</f>
        <v>0</v>
      </c>
      <c r="J222" s="37"/>
    </row>
    <row r="223" spans="1:10" ht="186" x14ac:dyDescent="0.35">
      <c r="A223" s="29"/>
      <c r="B223" s="14" t="s">
        <v>88</v>
      </c>
      <c r="C223" s="118" t="s">
        <v>646</v>
      </c>
      <c r="D223" s="22" t="s">
        <v>639</v>
      </c>
      <c r="E223" s="199"/>
      <c r="F223" s="16"/>
      <c r="G223" s="16">
        <f>F223*7.5*0.4*0.6</f>
        <v>0</v>
      </c>
      <c r="H223" s="16">
        <f>G223*0.6</f>
        <v>0</v>
      </c>
      <c r="I223" s="16">
        <f>G223*0.4</f>
        <v>0</v>
      </c>
      <c r="J223" s="37"/>
    </row>
    <row r="224" spans="1:10" s="19" customFormat="1" ht="18" x14ac:dyDescent="0.3">
      <c r="A224" s="7"/>
      <c r="B224" s="256" t="s">
        <v>65</v>
      </c>
      <c r="C224" s="256"/>
      <c r="D224" s="22"/>
      <c r="E224" s="199"/>
      <c r="F224" s="28">
        <f t="shared" ref="F224:I224" si="60">SUM(F222:F223)</f>
        <v>0</v>
      </c>
      <c r="G224" s="28">
        <f t="shared" si="60"/>
        <v>0</v>
      </c>
      <c r="H224" s="28">
        <f t="shared" si="60"/>
        <v>0</v>
      </c>
      <c r="I224" s="28">
        <f t="shared" si="60"/>
        <v>0</v>
      </c>
      <c r="J224" s="14"/>
    </row>
    <row r="225" spans="1:10" ht="35.25" customHeight="1" x14ac:dyDescent="0.35">
      <c r="A225" s="29"/>
      <c r="B225" s="272" t="s">
        <v>600</v>
      </c>
      <c r="C225" s="272"/>
      <c r="D225" s="22"/>
      <c r="E225" s="199"/>
      <c r="F225" s="16"/>
      <c r="G225" s="16"/>
      <c r="H225" s="16"/>
      <c r="I225" s="16"/>
      <c r="J225" s="31"/>
    </row>
    <row r="226" spans="1:10" x14ac:dyDescent="0.35">
      <c r="A226" s="29"/>
      <c r="B226" s="112" t="s">
        <v>66</v>
      </c>
      <c r="C226" s="112" t="s">
        <v>619</v>
      </c>
      <c r="D226" s="22"/>
      <c r="E226" s="199"/>
      <c r="F226" s="16"/>
      <c r="G226" s="16"/>
      <c r="H226" s="16">
        <f>G226*0.6</f>
        <v>0</v>
      </c>
      <c r="I226" s="16">
        <f>G226*0.4</f>
        <v>0</v>
      </c>
      <c r="J226" s="31"/>
    </row>
    <row r="227" spans="1:10" x14ac:dyDescent="0.35">
      <c r="A227" s="29"/>
      <c r="B227" s="273" t="s">
        <v>601</v>
      </c>
      <c r="C227" s="273"/>
      <c r="D227" s="22"/>
      <c r="E227" s="199"/>
      <c r="F227" s="16"/>
      <c r="G227" s="16"/>
      <c r="H227" s="16"/>
      <c r="I227" s="16"/>
      <c r="J227" s="31"/>
    </row>
    <row r="228" spans="1:10" x14ac:dyDescent="0.35">
      <c r="A228" s="29"/>
      <c r="B228" s="14" t="s">
        <v>66</v>
      </c>
      <c r="C228" s="14"/>
      <c r="D228" s="22"/>
      <c r="E228" s="199"/>
      <c r="F228" s="16"/>
      <c r="G228" s="16">
        <f>F228*7.5*0.4*0.4</f>
        <v>0</v>
      </c>
      <c r="H228" s="16">
        <f>G228*0.6</f>
        <v>0</v>
      </c>
      <c r="I228" s="16">
        <f>G228*0.4</f>
        <v>0</v>
      </c>
      <c r="J228" s="31"/>
    </row>
    <row r="229" spans="1:10" ht="18" x14ac:dyDescent="0.35">
      <c r="A229" s="29"/>
      <c r="B229" s="256" t="s">
        <v>68</v>
      </c>
      <c r="C229" s="256"/>
      <c r="D229" s="14"/>
      <c r="E229" s="199"/>
      <c r="F229" s="28">
        <f t="shared" ref="F229" si="61">SUM(F226:F228)</f>
        <v>0</v>
      </c>
      <c r="G229" s="28">
        <f t="shared" ref="G229" si="62">SUM(G226:G228)</f>
        <v>0</v>
      </c>
      <c r="H229" s="28">
        <f t="shared" ref="H229" si="63">SUM(H226:H228)</f>
        <v>0</v>
      </c>
      <c r="I229" s="28">
        <f t="shared" ref="I229" si="64">SUM(I226:I228)</f>
        <v>0</v>
      </c>
      <c r="J229" s="31"/>
    </row>
    <row r="230" spans="1:10" s="19" customFormat="1" x14ac:dyDescent="0.3">
      <c r="A230" s="41">
        <v>3</v>
      </c>
      <c r="B230" s="257" t="s">
        <v>118</v>
      </c>
      <c r="C230" s="257"/>
      <c r="D230" s="257"/>
      <c r="E230" s="198"/>
      <c r="F230" s="16"/>
      <c r="G230" s="16"/>
      <c r="H230" s="16"/>
      <c r="I230" s="16"/>
      <c r="J230" s="18"/>
    </row>
    <row r="231" spans="1:10" s="19" customFormat="1" ht="201.5" x14ac:dyDescent="0.3">
      <c r="A231" s="41"/>
      <c r="B231" s="14" t="s">
        <v>647</v>
      </c>
      <c r="C231" s="13" t="s">
        <v>648</v>
      </c>
      <c r="D231" s="14" t="s">
        <v>649</v>
      </c>
      <c r="E231" s="199">
        <v>624</v>
      </c>
      <c r="F231" s="16">
        <v>1250</v>
      </c>
      <c r="G231" s="16">
        <f>F231*0.6*0.4</f>
        <v>300</v>
      </c>
      <c r="H231" s="16">
        <f>G231*0.6</f>
        <v>180</v>
      </c>
      <c r="I231" s="16">
        <f>G231*0.4</f>
        <v>120</v>
      </c>
      <c r="J231" s="18"/>
    </row>
    <row r="232" spans="1:10" s="170" customFormat="1" x14ac:dyDescent="0.3">
      <c r="A232" s="164"/>
      <c r="B232" s="119"/>
      <c r="C232" s="167"/>
      <c r="D232" s="119"/>
      <c r="E232" s="203"/>
      <c r="F232" s="122"/>
      <c r="G232" s="122">
        <f>F232*0.5*0.4</f>
        <v>0</v>
      </c>
      <c r="H232" s="122">
        <f>G232*0.6</f>
        <v>0</v>
      </c>
      <c r="I232" s="122">
        <f>G232*0.4</f>
        <v>0</v>
      </c>
      <c r="J232" s="165"/>
    </row>
    <row r="233" spans="1:10" s="19" customFormat="1" x14ac:dyDescent="0.3">
      <c r="A233" s="41"/>
      <c r="B233" s="14"/>
      <c r="C233" s="13"/>
      <c r="D233" s="14"/>
      <c r="E233" s="199"/>
      <c r="F233" s="16"/>
      <c r="G233" s="16"/>
      <c r="H233" s="16"/>
      <c r="I233" s="16"/>
      <c r="J233" s="18"/>
    </row>
    <row r="234" spans="1:10" s="19" customFormat="1" ht="201.5" x14ac:dyDescent="0.3">
      <c r="A234" s="41"/>
      <c r="B234" s="14" t="s">
        <v>650</v>
      </c>
      <c r="C234" s="125" t="s">
        <v>651</v>
      </c>
      <c r="D234" s="14" t="s">
        <v>652</v>
      </c>
      <c r="E234" s="199">
        <v>628</v>
      </c>
      <c r="F234" s="16">
        <v>2200</v>
      </c>
      <c r="G234" s="16">
        <f>F234*0.5*0.4</f>
        <v>440</v>
      </c>
      <c r="H234" s="16">
        <f>G234*0.6</f>
        <v>264</v>
      </c>
      <c r="I234" s="16">
        <f>G234*0.4</f>
        <v>176</v>
      </c>
      <c r="J234" s="18"/>
    </row>
    <row r="235" spans="1:10" s="19" customFormat="1" ht="18" x14ac:dyDescent="0.3">
      <c r="A235" s="41"/>
      <c r="B235" s="26" t="s">
        <v>122</v>
      </c>
      <c r="C235" s="26"/>
      <c r="D235" s="42"/>
      <c r="E235" s="204"/>
      <c r="F235" s="28">
        <f>SUM(F231:F234)</f>
        <v>3450</v>
      </c>
      <c r="G235" s="28">
        <f>SUM(G231:G234)</f>
        <v>740</v>
      </c>
      <c r="H235" s="28">
        <f t="shared" ref="H235:I235" si="65">SUM(H231:H234)</f>
        <v>444</v>
      </c>
      <c r="I235" s="28">
        <f t="shared" si="65"/>
        <v>296</v>
      </c>
      <c r="J235" s="18"/>
    </row>
    <row r="236" spans="1:10" s="43" customFormat="1" ht="18" x14ac:dyDescent="0.35">
      <c r="A236" s="41"/>
      <c r="B236" s="258" t="s">
        <v>705</v>
      </c>
      <c r="C236" s="258"/>
      <c r="D236" s="258"/>
      <c r="E236" s="200"/>
      <c r="F236" s="16"/>
      <c r="G236" s="16"/>
      <c r="H236" s="16"/>
      <c r="I236" s="16"/>
      <c r="J236" s="18"/>
    </row>
    <row r="237" spans="1:10" s="43" customFormat="1" ht="18" x14ac:dyDescent="0.35">
      <c r="A237" s="41"/>
      <c r="B237" s="258" t="s">
        <v>700</v>
      </c>
      <c r="C237" s="258"/>
      <c r="D237" s="258"/>
      <c r="E237" s="200"/>
      <c r="F237" s="16"/>
      <c r="G237" s="16"/>
      <c r="H237" s="16"/>
      <c r="I237" s="16"/>
      <c r="J237" s="18"/>
    </row>
    <row r="238" spans="1:10" s="43" customFormat="1" ht="155" x14ac:dyDescent="0.35">
      <c r="A238" s="41"/>
      <c r="B238" s="14" t="s">
        <v>124</v>
      </c>
      <c r="C238" s="22" t="s">
        <v>63</v>
      </c>
      <c r="D238" s="14" t="s">
        <v>699</v>
      </c>
      <c r="E238" s="199"/>
      <c r="F238" s="16">
        <v>0</v>
      </c>
      <c r="G238" s="16">
        <f>F238*1.25*0.4*0.6</f>
        <v>0</v>
      </c>
      <c r="H238" s="16">
        <f>G238*0.6</f>
        <v>0</v>
      </c>
      <c r="I238" s="16">
        <f>G238*0.4</f>
        <v>0</v>
      </c>
      <c r="J238" s="18"/>
    </row>
    <row r="239" spans="1:10" s="166" customFormat="1" x14ac:dyDescent="0.35">
      <c r="A239" s="164"/>
      <c r="B239" s="119"/>
      <c r="C239" s="120"/>
      <c r="D239" s="119"/>
      <c r="E239" s="203">
        <v>647</v>
      </c>
      <c r="F239" s="122">
        <v>35</v>
      </c>
      <c r="G239" s="122">
        <v>8.75</v>
      </c>
      <c r="H239" s="122">
        <f>G239*0.6</f>
        <v>5.25</v>
      </c>
      <c r="I239" s="122">
        <f>G239*0.4</f>
        <v>3.5</v>
      </c>
      <c r="J239" s="165"/>
    </row>
    <row r="240" spans="1:10" s="43" customFormat="1" ht="30.75" customHeight="1" x14ac:dyDescent="0.35">
      <c r="A240" s="41"/>
      <c r="B240" s="257" t="s">
        <v>701</v>
      </c>
      <c r="C240" s="257"/>
      <c r="D240" s="257"/>
      <c r="E240" s="198"/>
      <c r="F240" s="16"/>
      <c r="G240" s="16"/>
      <c r="H240" s="16"/>
      <c r="I240" s="16"/>
      <c r="J240" s="18"/>
    </row>
    <row r="241" spans="1:10" s="43" customFormat="1" ht="155" x14ac:dyDescent="0.35">
      <c r="A241" s="41"/>
      <c r="B241" s="14" t="s">
        <v>130</v>
      </c>
      <c r="C241" s="22" t="s">
        <v>660</v>
      </c>
      <c r="D241" s="14" t="s">
        <v>703</v>
      </c>
      <c r="E241" s="199">
        <v>650</v>
      </c>
      <c r="F241" s="16">
        <v>175</v>
      </c>
      <c r="G241" s="16">
        <f>F241*2.5*0.4</f>
        <v>175</v>
      </c>
      <c r="H241" s="16">
        <f>G241*0.6</f>
        <v>105</v>
      </c>
      <c r="I241" s="16">
        <f>G241*0.4</f>
        <v>70</v>
      </c>
      <c r="J241" s="18"/>
    </row>
    <row r="242" spans="1:10" s="228" customFormat="1" x14ac:dyDescent="0.35">
      <c r="A242" s="225"/>
      <c r="B242" s="220"/>
      <c r="C242" s="222"/>
      <c r="D242" s="220"/>
      <c r="E242" s="223">
        <v>650</v>
      </c>
      <c r="F242" s="226">
        <v>144.74</v>
      </c>
      <c r="G242" s="226">
        <v>54.28</v>
      </c>
      <c r="H242" s="226">
        <f>G242*0.6</f>
        <v>32.567999999999998</v>
      </c>
      <c r="I242" s="226">
        <f>G242*0.4</f>
        <v>21.712000000000003</v>
      </c>
      <c r="J242" s="227"/>
    </row>
    <row r="243" spans="1:10" s="43" customFormat="1" ht="39" customHeight="1" x14ac:dyDescent="0.35">
      <c r="A243" s="41"/>
      <c r="B243" s="257" t="s">
        <v>702</v>
      </c>
      <c r="C243" s="257"/>
      <c r="D243" s="257"/>
      <c r="E243" s="198"/>
      <c r="F243" s="16"/>
      <c r="G243" s="16"/>
      <c r="H243" s="16"/>
      <c r="I243" s="16"/>
      <c r="J243" s="18"/>
    </row>
    <row r="244" spans="1:10" s="43" customFormat="1" ht="39" customHeight="1" x14ac:dyDescent="0.35">
      <c r="A244" s="41"/>
      <c r="B244" s="14" t="s">
        <v>134</v>
      </c>
      <c r="C244" s="13" t="s">
        <v>661</v>
      </c>
      <c r="D244" s="14" t="s">
        <v>704</v>
      </c>
      <c r="E244" s="199">
        <v>653</v>
      </c>
      <c r="F244" s="16">
        <v>1200</v>
      </c>
      <c r="G244" s="16">
        <f>F244*0.5*0.4</f>
        <v>240</v>
      </c>
      <c r="H244" s="16">
        <f>G244*0.6</f>
        <v>144</v>
      </c>
      <c r="I244" s="16">
        <f>G244*0.4</f>
        <v>96</v>
      </c>
      <c r="J244" s="18"/>
    </row>
    <row r="245" spans="1:10" s="228" customFormat="1" x14ac:dyDescent="0.35">
      <c r="A245" s="225"/>
      <c r="B245" s="220"/>
      <c r="C245" s="229"/>
      <c r="D245" s="220"/>
      <c r="E245" s="223">
        <v>653</v>
      </c>
      <c r="F245" s="226">
        <v>528.20000000000005</v>
      </c>
      <c r="G245" s="226">
        <f>F245*0.4*0.4</f>
        <v>84.512000000000015</v>
      </c>
      <c r="H245" s="226">
        <f>G245*0.6</f>
        <v>50.707200000000007</v>
      </c>
      <c r="I245" s="226">
        <f>G245*0.4</f>
        <v>33.804800000000007</v>
      </c>
      <c r="J245" s="227"/>
    </row>
    <row r="246" spans="1:10" ht="18" x14ac:dyDescent="0.35">
      <c r="A246" s="7"/>
      <c r="B246" s="26" t="s">
        <v>136</v>
      </c>
      <c r="C246" s="26"/>
      <c r="D246" s="46"/>
      <c r="E246" s="204"/>
      <c r="F246" s="28">
        <f>SUM(F238:F245)</f>
        <v>2082.94</v>
      </c>
      <c r="G246" s="28">
        <f t="shared" ref="G246:I246" si="66">SUM(G238:G245)</f>
        <v>562.54200000000003</v>
      </c>
      <c r="H246" s="28">
        <f t="shared" si="66"/>
        <v>337.52519999999998</v>
      </c>
      <c r="I246" s="28">
        <f t="shared" si="66"/>
        <v>225.01679999999999</v>
      </c>
      <c r="J246" s="18"/>
    </row>
    <row r="247" spans="1:10" ht="18" x14ac:dyDescent="0.35">
      <c r="A247" s="41"/>
      <c r="B247" s="258" t="s">
        <v>662</v>
      </c>
      <c r="C247" s="258"/>
      <c r="D247" s="258"/>
      <c r="E247" s="200"/>
      <c r="F247" s="16"/>
      <c r="G247" s="16"/>
      <c r="H247" s="16"/>
      <c r="I247" s="16"/>
      <c r="J247" s="18"/>
    </row>
    <row r="248" spans="1:10" ht="18" x14ac:dyDescent="0.35">
      <c r="A248" s="41"/>
      <c r="B248" s="8"/>
      <c r="C248" s="8"/>
      <c r="D248" s="8"/>
      <c r="E248" s="200"/>
      <c r="F248" s="16"/>
      <c r="G248" s="16"/>
      <c r="H248" s="16"/>
      <c r="I248" s="16"/>
      <c r="J248" s="18"/>
    </row>
    <row r="249" spans="1:10" ht="186" x14ac:dyDescent="0.35">
      <c r="A249" s="41"/>
      <c r="B249" s="14" t="s">
        <v>666</v>
      </c>
      <c r="C249" s="13" t="s">
        <v>142</v>
      </c>
      <c r="D249" s="24" t="s">
        <v>663</v>
      </c>
      <c r="E249" s="199">
        <v>657</v>
      </c>
      <c r="F249" s="16">
        <v>700</v>
      </c>
      <c r="G249" s="16">
        <f>F249*0.5*0.4</f>
        <v>140</v>
      </c>
      <c r="H249" s="16">
        <f>G249*0.6</f>
        <v>84</v>
      </c>
      <c r="I249" s="16">
        <f>G249*0.4</f>
        <v>56</v>
      </c>
      <c r="J249" s="18"/>
    </row>
    <row r="250" spans="1:10" x14ac:dyDescent="0.35">
      <c r="A250" s="41"/>
      <c r="B250" s="14"/>
      <c r="C250" s="13"/>
      <c r="D250" s="24"/>
      <c r="E250" s="199">
        <v>657</v>
      </c>
      <c r="F250" s="16">
        <v>451.55</v>
      </c>
      <c r="G250" s="16">
        <f>F250*0.5*0.4*0.6</f>
        <v>54.186</v>
      </c>
      <c r="H250" s="16">
        <f>G250*0.6</f>
        <v>32.511600000000001</v>
      </c>
      <c r="I250" s="16">
        <f>G250*0.4</f>
        <v>21.674400000000002</v>
      </c>
      <c r="J250" s="18"/>
    </row>
    <row r="251" spans="1:10" x14ac:dyDescent="0.35">
      <c r="A251" s="41"/>
      <c r="B251" s="14"/>
      <c r="C251" s="11"/>
      <c r="D251" s="11"/>
      <c r="E251" s="199"/>
      <c r="F251" s="16">
        <v>0</v>
      </c>
      <c r="G251" s="16"/>
      <c r="H251" s="16"/>
      <c r="I251" s="16"/>
      <c r="J251" s="18"/>
    </row>
    <row r="252" spans="1:10" ht="170.5" x14ac:dyDescent="0.35">
      <c r="A252" s="41"/>
      <c r="B252" s="14" t="s">
        <v>665</v>
      </c>
      <c r="C252" s="13" t="s">
        <v>667</v>
      </c>
      <c r="D252" s="24" t="s">
        <v>668</v>
      </c>
      <c r="E252" s="199"/>
      <c r="F252" s="16">
        <v>0</v>
      </c>
      <c r="G252" s="16">
        <f>F252*1*0.4*0.6</f>
        <v>0</v>
      </c>
      <c r="H252" s="16">
        <f>G252*0.6</f>
        <v>0</v>
      </c>
      <c r="I252" s="16">
        <f>G252*0.4</f>
        <v>0</v>
      </c>
      <c r="J252" s="18"/>
    </row>
    <row r="253" spans="1:10" x14ac:dyDescent="0.35">
      <c r="A253" s="41"/>
      <c r="B253" s="14"/>
      <c r="C253" s="11"/>
      <c r="D253" s="11"/>
      <c r="E253" s="199"/>
      <c r="F253" s="16">
        <v>0</v>
      </c>
      <c r="G253" s="16"/>
      <c r="H253" s="16"/>
      <c r="I253" s="16"/>
      <c r="J253" s="18"/>
    </row>
    <row r="254" spans="1:10" ht="186" x14ac:dyDescent="0.35">
      <c r="A254" s="41"/>
      <c r="B254" s="14" t="s">
        <v>669</v>
      </c>
      <c r="C254" s="13" t="s">
        <v>667</v>
      </c>
      <c r="D254" s="24" t="s">
        <v>670</v>
      </c>
      <c r="E254" s="199">
        <v>665</v>
      </c>
      <c r="F254" s="16">
        <v>10</v>
      </c>
      <c r="G254" s="16">
        <f>F254*1*0.4</f>
        <v>4</v>
      </c>
      <c r="H254" s="16">
        <f>G254*0.6</f>
        <v>2.4</v>
      </c>
      <c r="I254" s="16">
        <f>G254*0.4</f>
        <v>1.6</v>
      </c>
      <c r="J254" s="18"/>
    </row>
    <row r="255" spans="1:10" x14ac:dyDescent="0.35">
      <c r="A255" s="41"/>
      <c r="B255" s="14"/>
      <c r="C255" s="13"/>
      <c r="D255" s="24"/>
      <c r="E255" s="199">
        <v>665</v>
      </c>
      <c r="F255" s="16">
        <v>10</v>
      </c>
      <c r="G255" s="16">
        <v>2</v>
      </c>
      <c r="H255" s="16">
        <f>G255*0.6</f>
        <v>1.2</v>
      </c>
      <c r="I255" s="16">
        <f>G255*0.4</f>
        <v>0.8</v>
      </c>
      <c r="J255" s="18"/>
    </row>
    <row r="256" spans="1:10" s="19" customFormat="1" ht="18" x14ac:dyDescent="0.3">
      <c r="A256" s="7"/>
      <c r="B256" s="26" t="s">
        <v>144</v>
      </c>
      <c r="C256" s="26"/>
      <c r="D256" s="46"/>
      <c r="E256" s="204"/>
      <c r="F256" s="28">
        <f>SUM(F249:F255)</f>
        <v>1171.55</v>
      </c>
      <c r="G256" s="28">
        <f t="shared" ref="G256:I256" si="67">SUM(G249:G255)</f>
        <v>200.18600000000001</v>
      </c>
      <c r="H256" s="28">
        <f t="shared" si="67"/>
        <v>120.11160000000001</v>
      </c>
      <c r="I256" s="28">
        <f t="shared" si="67"/>
        <v>80.074399999999997</v>
      </c>
      <c r="J256" s="11"/>
    </row>
    <row r="257" spans="1:10" x14ac:dyDescent="0.35">
      <c r="A257" s="41"/>
      <c r="B257" s="26" t="s">
        <v>1026</v>
      </c>
      <c r="C257" s="11" t="s">
        <v>25</v>
      </c>
      <c r="D257" s="11" t="s">
        <v>25</v>
      </c>
      <c r="E257" s="199"/>
      <c r="F257" s="16"/>
      <c r="G257" s="16">
        <f>F257*0.5*0.4*0.4</f>
        <v>0</v>
      </c>
      <c r="H257" s="16">
        <f>G257*0.6</f>
        <v>0</v>
      </c>
      <c r="I257" s="16">
        <f>G257*0.4</f>
        <v>0</v>
      </c>
      <c r="J257" s="18"/>
    </row>
    <row r="258" spans="1:10" ht="31" x14ac:dyDescent="0.35">
      <c r="A258" s="41"/>
      <c r="B258" s="26" t="s">
        <v>1028</v>
      </c>
      <c r="C258" s="11" t="s">
        <v>25</v>
      </c>
      <c r="D258" s="11" t="s">
        <v>25</v>
      </c>
      <c r="E258" s="199"/>
      <c r="F258" s="16"/>
      <c r="G258" s="16">
        <f>F258*1*0.4*0.4</f>
        <v>0</v>
      </c>
      <c r="H258" s="16">
        <f>G258*0.6</f>
        <v>0</v>
      </c>
      <c r="I258" s="16">
        <f>G258*0.4</f>
        <v>0</v>
      </c>
      <c r="J258" s="18"/>
    </row>
    <row r="259" spans="1:10" x14ac:dyDescent="0.35">
      <c r="A259" s="7"/>
      <c r="B259" s="26" t="s">
        <v>1027</v>
      </c>
      <c r="C259" s="11" t="s">
        <v>25</v>
      </c>
      <c r="D259" s="11" t="s">
        <v>25</v>
      </c>
      <c r="E259" s="199"/>
      <c r="F259" s="16"/>
      <c r="G259" s="16">
        <f>F259*1*0.4*0.4</f>
        <v>0</v>
      </c>
      <c r="H259" s="16">
        <f>G259*0.6</f>
        <v>0</v>
      </c>
      <c r="I259" s="16">
        <f>G259*0.4</f>
        <v>0</v>
      </c>
      <c r="J259" s="11"/>
    </row>
    <row r="260" spans="1:10" s="19" customFormat="1" ht="18" x14ac:dyDescent="0.3">
      <c r="A260" s="7"/>
      <c r="B260" s="26" t="s">
        <v>982</v>
      </c>
      <c r="C260" s="26"/>
      <c r="D260" s="46"/>
      <c r="E260" s="204"/>
      <c r="F260" s="28">
        <f>F259+F258+F257</f>
        <v>0</v>
      </c>
      <c r="G260" s="28">
        <f>G259+G258+G257</f>
        <v>0</v>
      </c>
      <c r="H260" s="28">
        <f>H259+H258+H257</f>
        <v>0</v>
      </c>
      <c r="I260" s="28">
        <f>I259+I258+I257</f>
        <v>0</v>
      </c>
      <c r="J260" s="11"/>
    </row>
    <row r="261" spans="1:10" s="19" customFormat="1" ht="18" x14ac:dyDescent="0.3">
      <c r="A261" s="7"/>
      <c r="B261" s="258" t="s">
        <v>671</v>
      </c>
      <c r="C261" s="258"/>
      <c r="D261" s="258"/>
      <c r="E261" s="200"/>
      <c r="F261" s="16"/>
      <c r="G261" s="16"/>
      <c r="H261" s="16"/>
      <c r="I261" s="16"/>
      <c r="J261" s="11"/>
    </row>
    <row r="262" spans="1:10" s="19" customFormat="1" ht="186" x14ac:dyDescent="0.3">
      <c r="A262" s="7"/>
      <c r="B262" s="14" t="s">
        <v>673</v>
      </c>
      <c r="C262" s="13" t="s">
        <v>672</v>
      </c>
      <c r="D262" s="24" t="s">
        <v>674</v>
      </c>
      <c r="E262" s="199"/>
      <c r="F262" s="16">
        <v>0</v>
      </c>
      <c r="G262" s="16">
        <f>F262*1.25*0.4</f>
        <v>0</v>
      </c>
      <c r="H262" s="16">
        <f t="shared" ref="H262:H267" si="68">G262*0.6</f>
        <v>0</v>
      </c>
      <c r="I262" s="16">
        <f t="shared" ref="I262:I267" si="69">G262*0.4</f>
        <v>0</v>
      </c>
      <c r="J262" s="11"/>
    </row>
    <row r="263" spans="1:10" s="19" customFormat="1" x14ac:dyDescent="0.3">
      <c r="A263" s="7"/>
      <c r="B263" s="14" t="s">
        <v>664</v>
      </c>
      <c r="C263" s="11" t="s">
        <v>25</v>
      </c>
      <c r="D263" s="11" t="s">
        <v>25</v>
      </c>
      <c r="E263" s="199"/>
      <c r="F263" s="16"/>
      <c r="G263" s="16">
        <f>F263*1.25*0.4*0.4</f>
        <v>0</v>
      </c>
      <c r="H263" s="16">
        <f t="shared" si="68"/>
        <v>0</v>
      </c>
      <c r="I263" s="16">
        <f t="shared" si="69"/>
        <v>0</v>
      </c>
      <c r="J263" s="11"/>
    </row>
    <row r="264" spans="1:10" s="19" customFormat="1" ht="139.5" x14ac:dyDescent="0.3">
      <c r="A264" s="7"/>
      <c r="B264" s="14" t="s">
        <v>149</v>
      </c>
      <c r="C264" s="13" t="s">
        <v>675</v>
      </c>
      <c r="D264" s="24" t="s">
        <v>151</v>
      </c>
      <c r="E264" s="199">
        <v>674</v>
      </c>
      <c r="F264" s="16">
        <v>75</v>
      </c>
      <c r="G264" s="16">
        <f>F264*0.5*0.4</f>
        <v>15</v>
      </c>
      <c r="H264" s="16">
        <f t="shared" si="68"/>
        <v>9</v>
      </c>
      <c r="I264" s="16">
        <f t="shared" si="69"/>
        <v>6</v>
      </c>
      <c r="J264" s="18"/>
    </row>
    <row r="265" spans="1:10" s="19" customFormat="1" x14ac:dyDescent="0.3">
      <c r="A265" s="7"/>
      <c r="B265" s="14" t="s">
        <v>664</v>
      </c>
      <c r="C265" s="13"/>
      <c r="D265" s="24"/>
      <c r="E265" s="199"/>
      <c r="F265" s="16"/>
      <c r="G265" s="16">
        <f>F265*0.5*0.4*0.4</f>
        <v>0</v>
      </c>
      <c r="H265" s="16">
        <f t="shared" si="68"/>
        <v>0</v>
      </c>
      <c r="I265" s="16">
        <f t="shared" si="69"/>
        <v>0</v>
      </c>
      <c r="J265" s="18"/>
    </row>
    <row r="266" spans="1:10" s="19" customFormat="1" ht="186" x14ac:dyDescent="0.3">
      <c r="A266" s="7"/>
      <c r="B266" s="14" t="s">
        <v>677</v>
      </c>
      <c r="C266" s="13" t="s">
        <v>676</v>
      </c>
      <c r="D266" s="24" t="s">
        <v>678</v>
      </c>
      <c r="E266" s="199"/>
      <c r="F266" s="16">
        <v>0</v>
      </c>
      <c r="G266" s="16">
        <f>F266*1.5*0.4*0.6</f>
        <v>0</v>
      </c>
      <c r="H266" s="16">
        <f t="shared" si="68"/>
        <v>0</v>
      </c>
      <c r="I266" s="16">
        <f t="shared" si="69"/>
        <v>0</v>
      </c>
      <c r="J266" s="11"/>
    </row>
    <row r="267" spans="1:10" s="19" customFormat="1" x14ac:dyDescent="0.3">
      <c r="A267" s="7"/>
      <c r="B267" s="14" t="s">
        <v>664</v>
      </c>
      <c r="C267" s="11" t="s">
        <v>25</v>
      </c>
      <c r="D267" s="24"/>
      <c r="E267" s="199"/>
      <c r="F267" s="16"/>
      <c r="G267" s="16">
        <f>F267*1.5*0.4*0.4</f>
        <v>0</v>
      </c>
      <c r="H267" s="16">
        <f t="shared" si="68"/>
        <v>0</v>
      </c>
      <c r="I267" s="16">
        <f t="shared" si="69"/>
        <v>0</v>
      </c>
      <c r="J267" s="11"/>
    </row>
    <row r="268" spans="1:10" s="19" customFormat="1" ht="18" x14ac:dyDescent="0.3">
      <c r="A268" s="7"/>
      <c r="B268" s="128" t="s">
        <v>981</v>
      </c>
      <c r="C268" s="26"/>
      <c r="D268" s="46"/>
      <c r="E268" s="204"/>
      <c r="F268" s="28">
        <f>F267+F265+F263</f>
        <v>0</v>
      </c>
      <c r="G268" s="28">
        <f t="shared" ref="G268:I268" si="70">G267+G265+G263</f>
        <v>0</v>
      </c>
      <c r="H268" s="28">
        <f t="shared" si="70"/>
        <v>0</v>
      </c>
      <c r="I268" s="28">
        <f t="shared" si="70"/>
        <v>0</v>
      </c>
      <c r="J268" s="18"/>
    </row>
    <row r="269" spans="1:10" s="19" customFormat="1" ht="18" x14ac:dyDescent="0.3">
      <c r="A269" s="7"/>
      <c r="B269" s="26" t="s">
        <v>152</v>
      </c>
      <c r="C269" s="26"/>
      <c r="D269" s="46"/>
      <c r="E269" s="204"/>
      <c r="F269" s="28">
        <f>F266+F264+F262</f>
        <v>75</v>
      </c>
      <c r="G269" s="28">
        <f t="shared" ref="G269:I269" si="71">G266+G264+G262</f>
        <v>15</v>
      </c>
      <c r="H269" s="28">
        <f t="shared" si="71"/>
        <v>9</v>
      </c>
      <c r="I269" s="28">
        <f t="shared" si="71"/>
        <v>6</v>
      </c>
      <c r="J269" s="18"/>
    </row>
    <row r="270" spans="1:10" s="19" customFormat="1" ht="57.75" customHeight="1" x14ac:dyDescent="0.3">
      <c r="A270" s="41"/>
      <c r="B270" s="257" t="s">
        <v>706</v>
      </c>
      <c r="C270" s="257"/>
      <c r="D270" s="257"/>
      <c r="E270" s="198"/>
      <c r="F270" s="16"/>
      <c r="G270" s="16"/>
      <c r="H270" s="16"/>
      <c r="I270" s="16"/>
      <c r="J270" s="48"/>
    </row>
    <row r="271" spans="1:10" s="19" customFormat="1" ht="18" x14ac:dyDescent="0.3">
      <c r="A271" s="41"/>
      <c r="B271" s="258" t="s">
        <v>154</v>
      </c>
      <c r="C271" s="258"/>
      <c r="D271" s="8"/>
      <c r="E271" s="200"/>
      <c r="F271" s="16"/>
      <c r="G271" s="16"/>
      <c r="H271" s="16"/>
      <c r="I271" s="16"/>
      <c r="J271" s="48"/>
    </row>
    <row r="272" spans="1:10" s="19" customFormat="1" ht="70" x14ac:dyDescent="0.3">
      <c r="A272" s="41"/>
      <c r="B272" s="49" t="s">
        <v>679</v>
      </c>
      <c r="C272" s="14"/>
      <c r="D272" s="14"/>
      <c r="E272" s="199"/>
      <c r="F272" s="16"/>
      <c r="G272" s="16">
        <v>0</v>
      </c>
      <c r="H272" s="16">
        <f>G272*0.6</f>
        <v>0</v>
      </c>
      <c r="I272" s="16">
        <f>G272*0.4</f>
        <v>0</v>
      </c>
      <c r="J272" s="48"/>
    </row>
    <row r="273" spans="1:10" s="19" customFormat="1" ht="186" x14ac:dyDescent="0.3">
      <c r="A273" s="41"/>
      <c r="B273" s="49" t="s">
        <v>62</v>
      </c>
      <c r="C273" s="14" t="s">
        <v>680</v>
      </c>
      <c r="D273" s="14" t="s">
        <v>681</v>
      </c>
      <c r="E273" s="199">
        <v>699</v>
      </c>
      <c r="F273" s="16">
        <v>150</v>
      </c>
      <c r="G273" s="16">
        <f>F273*0.75*0.4*0.6</f>
        <v>27</v>
      </c>
      <c r="H273" s="16">
        <f>G273*0.6</f>
        <v>16.2</v>
      </c>
      <c r="I273" s="16">
        <f>G273*0.4</f>
        <v>10.8</v>
      </c>
      <c r="J273" s="48"/>
    </row>
    <row r="274" spans="1:10" s="19" customFormat="1" ht="186" x14ac:dyDescent="0.3">
      <c r="A274" s="41"/>
      <c r="B274" s="49" t="s">
        <v>1029</v>
      </c>
      <c r="C274" s="14" t="s">
        <v>578</v>
      </c>
      <c r="D274" s="14" t="s">
        <v>681</v>
      </c>
      <c r="E274" s="199">
        <v>694</v>
      </c>
      <c r="F274" s="16">
        <v>129.13</v>
      </c>
      <c r="G274" s="16">
        <f>F274*0.5*0.4*0.6</f>
        <v>15.4956</v>
      </c>
      <c r="H274" s="16">
        <f>G274*0.6</f>
        <v>9.2973599999999994</v>
      </c>
      <c r="I274" s="16">
        <f>G274*0.4</f>
        <v>6.1982400000000002</v>
      </c>
      <c r="J274" s="48"/>
    </row>
    <row r="275" spans="1:10" s="19" customFormat="1" ht="30" customHeight="1" x14ac:dyDescent="0.3">
      <c r="A275" s="41"/>
      <c r="B275" s="257" t="s">
        <v>686</v>
      </c>
      <c r="C275" s="257"/>
      <c r="D275" s="8"/>
      <c r="E275" s="200"/>
      <c r="F275" s="16"/>
      <c r="G275" s="16"/>
      <c r="H275" s="16"/>
      <c r="I275" s="16"/>
      <c r="J275" s="48"/>
    </row>
    <row r="276" spans="1:10" s="19" customFormat="1" ht="70" x14ac:dyDescent="0.3">
      <c r="A276" s="41"/>
      <c r="B276" s="49" t="s">
        <v>679</v>
      </c>
      <c r="C276" s="14" t="s">
        <v>619</v>
      </c>
      <c r="D276" s="14"/>
      <c r="E276" s="199"/>
      <c r="F276" s="16"/>
      <c r="G276" s="16">
        <v>0</v>
      </c>
      <c r="H276" s="16">
        <f>G276*0.6</f>
        <v>0</v>
      </c>
      <c r="I276" s="16">
        <f>G276*0.4</f>
        <v>0</v>
      </c>
      <c r="J276" s="48"/>
    </row>
    <row r="277" spans="1:10" s="19" customFormat="1" ht="186" x14ac:dyDescent="0.3">
      <c r="A277" s="41"/>
      <c r="B277" s="49" t="s">
        <v>62</v>
      </c>
      <c r="C277" s="14" t="s">
        <v>676</v>
      </c>
      <c r="D277" s="14" t="s">
        <v>687</v>
      </c>
      <c r="E277" s="199"/>
      <c r="F277" s="16"/>
      <c r="G277" s="16">
        <f>F277*1.5*0.4*0.6</f>
        <v>0</v>
      </c>
      <c r="H277" s="16">
        <f>G277*0.6</f>
        <v>0</v>
      </c>
      <c r="I277" s="16">
        <f>G277*0.4</f>
        <v>0</v>
      </c>
      <c r="J277" s="48"/>
    </row>
    <row r="278" spans="1:10" s="19" customFormat="1" x14ac:dyDescent="0.3">
      <c r="A278" s="41"/>
      <c r="B278" s="270" t="s">
        <v>158</v>
      </c>
      <c r="C278" s="271"/>
      <c r="D278" s="271"/>
      <c r="E278" s="205"/>
      <c r="F278" s="16"/>
      <c r="G278" s="16"/>
      <c r="H278" s="16"/>
      <c r="I278" s="16"/>
      <c r="J278" s="48"/>
    </row>
    <row r="279" spans="1:10" s="19" customFormat="1" ht="70" x14ac:dyDescent="0.3">
      <c r="A279" s="41"/>
      <c r="B279" s="49" t="s">
        <v>679</v>
      </c>
      <c r="C279" s="14" t="s">
        <v>619</v>
      </c>
      <c r="D279" s="14"/>
      <c r="E279" s="199"/>
      <c r="F279" s="16"/>
      <c r="G279" s="16">
        <v>0</v>
      </c>
      <c r="H279" s="16">
        <f>G279*0.6</f>
        <v>0</v>
      </c>
      <c r="I279" s="16">
        <f>G279*0.4</f>
        <v>0</v>
      </c>
      <c r="J279" s="48"/>
    </row>
    <row r="280" spans="1:10" s="19" customFormat="1" ht="186" x14ac:dyDescent="0.3">
      <c r="A280" s="41"/>
      <c r="B280" s="49" t="s">
        <v>685</v>
      </c>
      <c r="C280" s="14" t="s">
        <v>680</v>
      </c>
      <c r="D280" s="14" t="s">
        <v>681</v>
      </c>
      <c r="E280" s="199"/>
      <c r="F280" s="16"/>
      <c r="G280" s="16">
        <f>F280*0.75*0.4*0.6</f>
        <v>0</v>
      </c>
      <c r="H280" s="16">
        <f>G280*0.6</f>
        <v>0</v>
      </c>
      <c r="I280" s="16">
        <f>G280*0.4</f>
        <v>0</v>
      </c>
      <c r="J280" s="48"/>
    </row>
    <row r="281" spans="1:10" s="19" customFormat="1" ht="186" x14ac:dyDescent="0.3">
      <c r="A281" s="41"/>
      <c r="B281" s="49" t="s">
        <v>682</v>
      </c>
      <c r="C281" s="14" t="s">
        <v>578</v>
      </c>
      <c r="D281" s="14" t="s">
        <v>681</v>
      </c>
      <c r="E281" s="199"/>
      <c r="F281" s="16"/>
      <c r="G281" s="16">
        <f>F281*0.5*0.4*0.6</f>
        <v>0</v>
      </c>
      <c r="H281" s="16">
        <f>G281*0.6</f>
        <v>0</v>
      </c>
      <c r="I281" s="16">
        <f>G281*0.4</f>
        <v>0</v>
      </c>
      <c r="J281" s="48"/>
    </row>
    <row r="282" spans="1:10" s="19" customFormat="1" ht="18" x14ac:dyDescent="0.3">
      <c r="A282" s="41"/>
      <c r="B282" s="26" t="s">
        <v>122</v>
      </c>
      <c r="C282" s="26"/>
      <c r="D282" s="42"/>
      <c r="E282" s="204"/>
      <c r="F282" s="28">
        <f t="shared" ref="F282:I282" si="72">SUM(F272:F280)</f>
        <v>279.13</v>
      </c>
      <c r="G282" s="28">
        <f t="shared" si="72"/>
        <v>42.495599999999996</v>
      </c>
      <c r="H282" s="28">
        <f t="shared" si="72"/>
        <v>25.49736</v>
      </c>
      <c r="I282" s="28">
        <f t="shared" si="72"/>
        <v>16.998240000000003</v>
      </c>
      <c r="J282" s="48"/>
    </row>
    <row r="283" spans="1:10" s="19" customFormat="1" x14ac:dyDescent="0.3">
      <c r="A283" s="41"/>
      <c r="B283" s="257" t="s">
        <v>1050</v>
      </c>
      <c r="C283" s="257"/>
      <c r="D283" s="257"/>
      <c r="E283" s="198"/>
      <c r="F283" s="16"/>
      <c r="G283" s="16"/>
      <c r="H283" s="16"/>
      <c r="I283" s="16"/>
      <c r="J283" s="30"/>
    </row>
    <row r="284" spans="1:10" s="19" customFormat="1" ht="186" x14ac:dyDescent="0.3">
      <c r="A284" s="41"/>
      <c r="B284" s="49" t="s">
        <v>685</v>
      </c>
      <c r="C284" s="14" t="s">
        <v>680</v>
      </c>
      <c r="D284" s="14" t="s">
        <v>681</v>
      </c>
      <c r="E284" s="199">
        <v>696</v>
      </c>
      <c r="F284" s="16">
        <v>120</v>
      </c>
      <c r="G284" s="16">
        <f>F284*0.5*0.4*0.2</f>
        <v>4.8000000000000007</v>
      </c>
      <c r="H284" s="16">
        <f>G284*0.6</f>
        <v>2.8800000000000003</v>
      </c>
      <c r="I284" s="16">
        <f>G284*0.4</f>
        <v>1.9200000000000004</v>
      </c>
      <c r="J284" s="15"/>
    </row>
    <row r="285" spans="1:10" s="19" customFormat="1" x14ac:dyDescent="0.3">
      <c r="A285" s="41"/>
      <c r="B285" s="49" t="s">
        <v>1051</v>
      </c>
      <c r="C285" s="14"/>
      <c r="D285" s="14"/>
      <c r="E285" s="199">
        <v>696</v>
      </c>
      <c r="F285" s="16">
        <v>115</v>
      </c>
      <c r="G285" s="16">
        <f>F285*0.5*0.4*0.2</f>
        <v>4.6000000000000005</v>
      </c>
      <c r="H285" s="16">
        <f>G285*0.6</f>
        <v>2.7600000000000002</v>
      </c>
      <c r="I285" s="16">
        <f>G285*0.4</f>
        <v>1.8400000000000003</v>
      </c>
      <c r="J285" s="15"/>
    </row>
    <row r="286" spans="1:10" s="19" customFormat="1" ht="186" x14ac:dyDescent="0.3">
      <c r="A286" s="41"/>
      <c r="B286" s="49" t="s">
        <v>682</v>
      </c>
      <c r="C286" s="14" t="s">
        <v>578</v>
      </c>
      <c r="D286" s="14" t="s">
        <v>681</v>
      </c>
      <c r="E286" s="199">
        <v>696</v>
      </c>
      <c r="F286" s="16"/>
      <c r="G286" s="16">
        <f>F286*0.5*0.4*0.4</f>
        <v>0</v>
      </c>
      <c r="H286" s="16">
        <f>G286*0.6</f>
        <v>0</v>
      </c>
      <c r="I286" s="16">
        <f>G286*0.4</f>
        <v>0</v>
      </c>
      <c r="J286" s="15"/>
    </row>
    <row r="287" spans="1:10" s="19" customFormat="1" ht="30" customHeight="1" x14ac:dyDescent="0.3">
      <c r="A287" s="41"/>
      <c r="B287" s="257" t="s">
        <v>688</v>
      </c>
      <c r="C287" s="257"/>
      <c r="D287" s="8"/>
      <c r="E287" s="200"/>
      <c r="F287" s="16"/>
      <c r="G287" s="16"/>
      <c r="H287" s="16"/>
      <c r="I287" s="16"/>
      <c r="J287" s="48"/>
    </row>
    <row r="288" spans="1:10" s="19" customFormat="1" ht="186" x14ac:dyDescent="0.3">
      <c r="A288" s="41"/>
      <c r="B288" s="49" t="s">
        <v>685</v>
      </c>
      <c r="C288" s="14" t="s">
        <v>676</v>
      </c>
      <c r="D288" s="14" t="s">
        <v>687</v>
      </c>
      <c r="E288" s="199"/>
      <c r="F288" s="16"/>
      <c r="G288" s="16">
        <f>F288*1.5*0.4*0.4</f>
        <v>0</v>
      </c>
      <c r="H288" s="16">
        <f>G288*0.6</f>
        <v>0</v>
      </c>
      <c r="I288" s="16">
        <f>G288*0.4</f>
        <v>0</v>
      </c>
      <c r="J288" s="48"/>
    </row>
    <row r="289" spans="1:10" s="19" customFormat="1" ht="18" x14ac:dyDescent="0.3">
      <c r="A289" s="41"/>
      <c r="B289" s="255" t="s">
        <v>684</v>
      </c>
      <c r="C289" s="255"/>
      <c r="D289" s="255"/>
      <c r="E289" s="206"/>
      <c r="F289" s="28">
        <f>SUM(F284:F288)</f>
        <v>235</v>
      </c>
      <c r="G289" s="28">
        <f>SUM(G284:G288)</f>
        <v>9.4000000000000021</v>
      </c>
      <c r="H289" s="28">
        <f>SUM(H284:H288)</f>
        <v>5.6400000000000006</v>
      </c>
      <c r="I289" s="28">
        <f>SUM(I284:I288)</f>
        <v>3.7600000000000007</v>
      </c>
      <c r="J289" s="15"/>
    </row>
    <row r="290" spans="1:10" s="19" customFormat="1" x14ac:dyDescent="0.3">
      <c r="A290" s="41"/>
      <c r="B290" s="256" t="s">
        <v>683</v>
      </c>
      <c r="C290" s="256"/>
      <c r="D290" s="256"/>
      <c r="E290" s="198"/>
      <c r="F290" s="16"/>
      <c r="G290" s="16"/>
      <c r="H290" s="16"/>
      <c r="I290" s="16"/>
      <c r="J290" s="30"/>
    </row>
    <row r="291" spans="1:10" s="19" customFormat="1" ht="186" x14ac:dyDescent="0.3">
      <c r="A291" s="41"/>
      <c r="B291" s="49" t="s">
        <v>685</v>
      </c>
      <c r="C291" s="14" t="s">
        <v>680</v>
      </c>
      <c r="D291" s="14" t="s">
        <v>681</v>
      </c>
      <c r="E291" s="199"/>
      <c r="F291" s="16"/>
      <c r="G291" s="16">
        <f>F291*0.75*0.4*0.4</f>
        <v>0</v>
      </c>
      <c r="H291" s="16">
        <f>G291*0.6</f>
        <v>0</v>
      </c>
      <c r="I291" s="16">
        <f>G291*0.4</f>
        <v>0</v>
      </c>
      <c r="J291" s="15"/>
    </row>
    <row r="292" spans="1:10" s="19" customFormat="1" ht="186" x14ac:dyDescent="0.3">
      <c r="A292" s="41"/>
      <c r="B292" s="49" t="s">
        <v>682</v>
      </c>
      <c r="C292" s="14" t="s">
        <v>578</v>
      </c>
      <c r="D292" s="14" t="s">
        <v>681</v>
      </c>
      <c r="E292" s="199"/>
      <c r="F292" s="16"/>
      <c r="G292" s="16">
        <f>F292*0.5*0.4*0.4</f>
        <v>0</v>
      </c>
      <c r="H292" s="16">
        <f>G292*0.6</f>
        <v>0</v>
      </c>
      <c r="I292" s="16">
        <f>G292*0.4</f>
        <v>0</v>
      </c>
      <c r="J292" s="15"/>
    </row>
    <row r="293" spans="1:10" s="19" customFormat="1" ht="18" x14ac:dyDescent="0.3">
      <c r="A293" s="41"/>
      <c r="B293" s="255" t="s">
        <v>697</v>
      </c>
      <c r="C293" s="255"/>
      <c r="D293" s="255"/>
      <c r="E293" s="206"/>
      <c r="F293" s="28">
        <f>SUM(F291:F292)</f>
        <v>0</v>
      </c>
      <c r="G293" s="28">
        <f t="shared" ref="G293:I293" si="73">SUM(G291:G292)</f>
        <v>0</v>
      </c>
      <c r="H293" s="28">
        <f t="shared" si="73"/>
        <v>0</v>
      </c>
      <c r="I293" s="28">
        <f t="shared" si="73"/>
        <v>0</v>
      </c>
      <c r="J293" s="48"/>
    </row>
    <row r="294" spans="1:10" s="19" customFormat="1" ht="18" customHeight="1" x14ac:dyDescent="0.3">
      <c r="A294" s="41"/>
      <c r="B294" s="257" t="s">
        <v>689</v>
      </c>
      <c r="C294" s="257"/>
      <c r="D294" s="257"/>
      <c r="E294" s="198"/>
      <c r="F294" s="16"/>
      <c r="G294" s="16"/>
      <c r="H294" s="16"/>
      <c r="I294" s="16"/>
      <c r="J294" s="30"/>
    </row>
    <row r="295" spans="1:10" s="19" customFormat="1" ht="186" x14ac:dyDescent="0.3">
      <c r="A295" s="41"/>
      <c r="B295" s="49" t="s">
        <v>690</v>
      </c>
      <c r="C295" s="14" t="s">
        <v>644</v>
      </c>
      <c r="D295" s="14" t="s">
        <v>694</v>
      </c>
      <c r="E295" s="199"/>
      <c r="F295" s="16"/>
      <c r="G295" s="16">
        <f>F295*3*0.4*0.6</f>
        <v>0</v>
      </c>
      <c r="H295" s="16">
        <f>G295*0.6</f>
        <v>0</v>
      </c>
      <c r="I295" s="16">
        <f>G295*0.4</f>
        <v>0</v>
      </c>
      <c r="J295" s="15"/>
    </row>
    <row r="296" spans="1:10" s="19" customFormat="1" x14ac:dyDescent="0.3">
      <c r="A296" s="41"/>
      <c r="B296" s="34" t="s">
        <v>691</v>
      </c>
      <c r="C296" s="14" t="s">
        <v>60</v>
      </c>
      <c r="D296" s="11" t="s">
        <v>25</v>
      </c>
      <c r="E296" s="199"/>
      <c r="F296" s="16"/>
      <c r="G296" s="16">
        <f>F296*4*0.4*0.6</f>
        <v>0</v>
      </c>
      <c r="H296" s="16">
        <f>G296*0.6</f>
        <v>0</v>
      </c>
      <c r="I296" s="16">
        <f>G296*0.4</f>
        <v>0</v>
      </c>
      <c r="J296" s="15"/>
    </row>
    <row r="297" spans="1:10" s="19" customFormat="1" ht="124" x14ac:dyDescent="0.3">
      <c r="A297" s="41"/>
      <c r="B297" s="34" t="s">
        <v>692</v>
      </c>
      <c r="C297" s="14" t="s">
        <v>693</v>
      </c>
      <c r="D297" s="14" t="s">
        <v>695</v>
      </c>
      <c r="E297" s="199"/>
      <c r="F297" s="16"/>
      <c r="G297" s="16"/>
      <c r="H297" s="16">
        <f>G297*0.6</f>
        <v>0</v>
      </c>
      <c r="I297" s="16">
        <f>G297*0.4</f>
        <v>0</v>
      </c>
      <c r="J297" s="15"/>
    </row>
    <row r="298" spans="1:10" s="19" customFormat="1" ht="18" x14ac:dyDescent="0.3">
      <c r="A298" s="41"/>
      <c r="B298" s="26" t="s">
        <v>122</v>
      </c>
      <c r="C298" s="26"/>
      <c r="D298" s="42"/>
      <c r="E298" s="204"/>
      <c r="F298" s="28">
        <f>SUM(F295:F297)</f>
        <v>0</v>
      </c>
      <c r="G298" s="28">
        <f t="shared" ref="G298:I298" si="74">SUM(G295:G297)</f>
        <v>0</v>
      </c>
      <c r="H298" s="28">
        <f t="shared" si="74"/>
        <v>0</v>
      </c>
      <c r="I298" s="28">
        <f t="shared" si="74"/>
        <v>0</v>
      </c>
      <c r="J298" s="48"/>
    </row>
    <row r="299" spans="1:10" s="19" customFormat="1" ht="18" customHeight="1" x14ac:dyDescent="0.3">
      <c r="A299" s="41"/>
      <c r="B299" s="257" t="s">
        <v>696</v>
      </c>
      <c r="C299" s="257"/>
      <c r="D299" s="257"/>
      <c r="E299" s="198"/>
      <c r="F299" s="16"/>
      <c r="G299" s="16"/>
      <c r="H299" s="16"/>
      <c r="I299" s="16"/>
      <c r="J299" s="30"/>
    </row>
    <row r="300" spans="1:10" s="19" customFormat="1" ht="186" x14ac:dyDescent="0.3">
      <c r="A300" s="41"/>
      <c r="B300" s="49" t="s">
        <v>690</v>
      </c>
      <c r="C300" s="14" t="s">
        <v>644</v>
      </c>
      <c r="D300" s="14" t="s">
        <v>694</v>
      </c>
      <c r="E300" s="199"/>
      <c r="F300" s="16"/>
      <c r="G300" s="16">
        <f>F300*3*0.4*0.4</f>
        <v>0</v>
      </c>
      <c r="H300" s="16">
        <f>G300*0.6</f>
        <v>0</v>
      </c>
      <c r="I300" s="16">
        <f>G300*0.4</f>
        <v>0</v>
      </c>
      <c r="J300" s="15"/>
    </row>
    <row r="301" spans="1:10" s="19" customFormat="1" x14ac:dyDescent="0.3">
      <c r="A301" s="41"/>
      <c r="B301" s="34" t="s">
        <v>691</v>
      </c>
      <c r="C301" s="14" t="s">
        <v>60</v>
      </c>
      <c r="D301" s="11" t="s">
        <v>25</v>
      </c>
      <c r="E301" s="199"/>
      <c r="F301" s="16"/>
      <c r="G301" s="16">
        <f>F301*4*0.4*0.4</f>
        <v>0</v>
      </c>
      <c r="H301" s="16">
        <f>G301*0.6</f>
        <v>0</v>
      </c>
      <c r="I301" s="16">
        <f>G301*0.4</f>
        <v>0</v>
      </c>
      <c r="J301" s="15"/>
    </row>
    <row r="302" spans="1:10" s="19" customFormat="1" ht="124" x14ac:dyDescent="0.3">
      <c r="A302" s="41"/>
      <c r="B302" s="34" t="s">
        <v>692</v>
      </c>
      <c r="C302" s="14" t="s">
        <v>693</v>
      </c>
      <c r="D302" s="14" t="s">
        <v>695</v>
      </c>
      <c r="E302" s="199"/>
      <c r="F302" s="16"/>
      <c r="G302" s="16"/>
      <c r="H302" s="16">
        <f>G302*0.6</f>
        <v>0</v>
      </c>
      <c r="I302" s="16">
        <f>G302*0.4</f>
        <v>0</v>
      </c>
      <c r="J302" s="15"/>
    </row>
    <row r="303" spans="1:10" s="19" customFormat="1" ht="18" x14ac:dyDescent="0.3">
      <c r="A303" s="41"/>
      <c r="B303" s="262" t="s">
        <v>698</v>
      </c>
      <c r="C303" s="262"/>
      <c r="D303" s="262"/>
      <c r="E303" s="207"/>
      <c r="F303" s="28">
        <f>SUM(F300:F302)</f>
        <v>0</v>
      </c>
      <c r="G303" s="28">
        <f t="shared" ref="G303:I303" si="75">SUM(G300:G302)</f>
        <v>0</v>
      </c>
      <c r="H303" s="28">
        <f t="shared" si="75"/>
        <v>0</v>
      </c>
      <c r="I303" s="28">
        <f t="shared" si="75"/>
        <v>0</v>
      </c>
      <c r="J303" s="15"/>
    </row>
    <row r="304" spans="1:10" s="55" customFormat="1" ht="18" x14ac:dyDescent="0.4">
      <c r="A304" s="41"/>
      <c r="B304" s="258" t="s">
        <v>161</v>
      </c>
      <c r="C304" s="258"/>
      <c r="D304" s="53"/>
      <c r="E304" s="200"/>
      <c r="F304" s="28">
        <f>F48+F59+F68+F77+F86+F95+F104+F113+F123+F132+F147+F159+F187+F197+F206+F215+F224+F235+F246+F256+F269+F282+F295</f>
        <v>10536.547904174888</v>
      </c>
      <c r="G304" s="28">
        <f>G48+G59+G68+G77+G86+G95+G104+G113+G123+G132+G147+G159+G187+G197+G206+G215+G224+G235+G246+G256+G269+G282+G295</f>
        <v>2709.7362500000004</v>
      </c>
      <c r="H304" s="28">
        <f>H48+H59+H68+H77+H86+H95+H104+H113+H123+H132+H147+H159+H187+H197+H206+H215+H224+H235+H246+H256+H269+H282+H295</f>
        <v>1625.84175</v>
      </c>
      <c r="I304" s="28">
        <f>I48+I59+I68+I77+I86+I95+I104+I113+I123+I132+I147+I159+I187+I197+I206+I215+I224+I235+I246+I256+I269+I282+I295</f>
        <v>1083.8944999999999</v>
      </c>
      <c r="J304" s="47"/>
    </row>
    <row r="305" spans="1:10" s="55" customFormat="1" ht="18" x14ac:dyDescent="0.4">
      <c r="A305" s="41">
        <v>4</v>
      </c>
      <c r="B305" s="258" t="s">
        <v>162</v>
      </c>
      <c r="C305" s="258"/>
      <c r="D305" s="53"/>
      <c r="E305" s="200"/>
      <c r="F305" s="28">
        <f>F53+F64+F73+F82+F91+F100+F109+F118+F128+F137+F153+F180+F193+F202+F211+F220+F229+F260+F268+F289+F293+F303</f>
        <v>2085</v>
      </c>
      <c r="G305" s="28">
        <f>G53+G64+G73+G82+G91+G100+G109+G118+G128+G137+G153+G180+G193+G202+G211+G220+G229+G260+G268+G289+G293+G303</f>
        <v>139.30831000000001</v>
      </c>
      <c r="H305" s="28">
        <f>H53+H64+H73+H82+H91+H100+H109+H118+H128+H137+H153+H180+H193+H202+H211+H220+H229+H260+H268+H289+H293+H303</f>
        <v>83.584986000000001</v>
      </c>
      <c r="I305" s="28">
        <f>I53+I64+I73+I82+I91+I100+I109+I118+I128+I137+I153+I180+I193+I202+I211+I220+I229+I260+I268+I289+I293+I303</f>
        <v>55.723323999999991</v>
      </c>
      <c r="J305" s="47"/>
    </row>
    <row r="306" spans="1:10" s="55" customFormat="1" ht="18" x14ac:dyDescent="0.4">
      <c r="A306" s="41">
        <v>5</v>
      </c>
      <c r="B306" s="258" t="s">
        <v>163</v>
      </c>
      <c r="C306" s="258"/>
      <c r="D306" s="258"/>
      <c r="E306" s="200"/>
      <c r="F306" s="16"/>
      <c r="G306" s="16"/>
      <c r="H306" s="16"/>
      <c r="I306" s="16"/>
      <c r="J306" s="56"/>
    </row>
    <row r="307" spans="1:10" s="55" customFormat="1" ht="18" x14ac:dyDescent="0.4">
      <c r="A307" s="41"/>
      <c r="B307" s="260" t="s">
        <v>164</v>
      </c>
      <c r="C307" s="260"/>
      <c r="D307" s="260"/>
      <c r="E307" s="208"/>
      <c r="F307" s="16"/>
      <c r="G307" s="16"/>
      <c r="H307" s="16"/>
      <c r="I307" s="16"/>
      <c r="J307" s="56"/>
    </row>
    <row r="308" spans="1:10" s="55" customFormat="1" ht="186" x14ac:dyDescent="0.4">
      <c r="A308" s="41"/>
      <c r="B308" s="14" t="s">
        <v>165</v>
      </c>
      <c r="C308" s="14" t="s">
        <v>653</v>
      </c>
      <c r="D308" s="22" t="s">
        <v>654</v>
      </c>
      <c r="E308" s="199">
        <v>633</v>
      </c>
      <c r="F308" s="16">
        <v>3</v>
      </c>
      <c r="G308" s="16">
        <f>F308*30</f>
        <v>90</v>
      </c>
      <c r="H308" s="16">
        <f>G308*0.6</f>
        <v>54</v>
      </c>
      <c r="I308" s="16">
        <f>G308*0.4</f>
        <v>36</v>
      </c>
      <c r="J308" s="56"/>
    </row>
    <row r="309" spans="1:10" s="55" customFormat="1" ht="46.5" x14ac:dyDescent="0.4">
      <c r="A309" s="41"/>
      <c r="B309" s="14" t="s">
        <v>168</v>
      </c>
      <c r="C309" s="14" t="s">
        <v>653</v>
      </c>
      <c r="D309" s="22" t="s">
        <v>169</v>
      </c>
      <c r="E309" s="199">
        <v>634</v>
      </c>
      <c r="F309" s="16">
        <v>2</v>
      </c>
      <c r="G309" s="16">
        <f>F309*30*0.4</f>
        <v>24</v>
      </c>
      <c r="H309" s="16">
        <f>G309*0.6</f>
        <v>14.399999999999999</v>
      </c>
      <c r="I309" s="16">
        <f>G309*0.4</f>
        <v>9.6000000000000014</v>
      </c>
      <c r="J309" s="56"/>
    </row>
    <row r="310" spans="1:10" s="55" customFormat="1" ht="18" x14ac:dyDescent="0.4">
      <c r="A310" s="41"/>
      <c r="B310" s="258" t="s">
        <v>170</v>
      </c>
      <c r="C310" s="258"/>
      <c r="D310" s="258"/>
      <c r="E310" s="200"/>
      <c r="F310" s="16"/>
      <c r="G310" s="57"/>
      <c r="H310" s="57"/>
      <c r="I310" s="58"/>
      <c r="J310" s="56"/>
    </row>
    <row r="311" spans="1:10" s="55" customFormat="1" ht="155" x14ac:dyDescent="0.4">
      <c r="A311" s="41"/>
      <c r="B311" s="14" t="s">
        <v>165</v>
      </c>
      <c r="C311" s="14" t="s">
        <v>166</v>
      </c>
      <c r="D311" s="22" t="s">
        <v>655</v>
      </c>
      <c r="E311" s="199">
        <v>637</v>
      </c>
      <c r="F311" s="16">
        <v>2</v>
      </c>
      <c r="G311" s="16">
        <f>F311*20</f>
        <v>40</v>
      </c>
      <c r="H311" s="16">
        <f>G311*0.6</f>
        <v>24</v>
      </c>
      <c r="I311" s="16">
        <f>G311*0.4</f>
        <v>16</v>
      </c>
      <c r="J311" s="56"/>
    </row>
    <row r="312" spans="1:10" s="55" customFormat="1" ht="46.5" x14ac:dyDescent="0.4">
      <c r="A312" s="41"/>
      <c r="B312" s="14" t="s">
        <v>172</v>
      </c>
      <c r="C312" s="14" t="s">
        <v>166</v>
      </c>
      <c r="D312" s="22" t="s">
        <v>169</v>
      </c>
      <c r="E312" s="199">
        <v>638</v>
      </c>
      <c r="F312" s="16">
        <v>1</v>
      </c>
      <c r="G312" s="16">
        <f>F312*20*0.4</f>
        <v>8</v>
      </c>
      <c r="H312" s="16">
        <f>G312*0.6</f>
        <v>4.8</v>
      </c>
      <c r="I312" s="16">
        <f>G312*0.4</f>
        <v>3.2</v>
      </c>
      <c r="J312" s="56"/>
    </row>
    <row r="313" spans="1:10" s="55" customFormat="1" ht="18" x14ac:dyDescent="0.4">
      <c r="A313" s="41"/>
      <c r="B313" s="258" t="s">
        <v>173</v>
      </c>
      <c r="C313" s="258"/>
      <c r="D313" s="258"/>
      <c r="E313" s="200"/>
      <c r="F313" s="16"/>
      <c r="G313" s="58"/>
      <c r="H313" s="58"/>
      <c r="I313" s="58"/>
      <c r="J313" s="56"/>
    </row>
    <row r="314" spans="1:10" s="55" customFormat="1" ht="124" x14ac:dyDescent="0.4">
      <c r="A314" s="41"/>
      <c r="B314" s="14" t="s">
        <v>165</v>
      </c>
      <c r="C314" s="14" t="s">
        <v>653</v>
      </c>
      <c r="D314" s="22" t="s">
        <v>656</v>
      </c>
      <c r="E314" s="199"/>
      <c r="F314" s="16"/>
      <c r="G314" s="16">
        <f>F314*30</f>
        <v>0</v>
      </c>
      <c r="H314" s="16">
        <f>G314*0.6</f>
        <v>0</v>
      </c>
      <c r="I314" s="16">
        <f>G314*0.4</f>
        <v>0</v>
      </c>
      <c r="J314" s="56"/>
    </row>
    <row r="315" spans="1:10" s="55" customFormat="1" ht="46.5" x14ac:dyDescent="0.4">
      <c r="A315" s="41"/>
      <c r="B315" s="14" t="s">
        <v>168</v>
      </c>
      <c r="C315" s="14" t="s">
        <v>653</v>
      </c>
      <c r="D315" s="22" t="s">
        <v>169</v>
      </c>
      <c r="E315" s="199"/>
      <c r="F315" s="16"/>
      <c r="G315" s="16">
        <f>F315*30*0.4</f>
        <v>0</v>
      </c>
      <c r="H315" s="16">
        <f>G315*0.6</f>
        <v>0</v>
      </c>
      <c r="I315" s="16">
        <f>G315*0.4</f>
        <v>0</v>
      </c>
      <c r="J315" s="56"/>
    </row>
    <row r="316" spans="1:10" s="55" customFormat="1" ht="62" x14ac:dyDescent="0.4">
      <c r="A316" s="41"/>
      <c r="B316" s="26" t="s">
        <v>657</v>
      </c>
      <c r="C316" s="14" t="s">
        <v>658</v>
      </c>
      <c r="D316" s="22" t="s">
        <v>659</v>
      </c>
      <c r="E316" s="199"/>
      <c r="F316" s="16"/>
      <c r="G316" s="16">
        <f>F316*2*0.5</f>
        <v>0</v>
      </c>
      <c r="H316" s="16">
        <f>G316*0.6</f>
        <v>0</v>
      </c>
      <c r="I316" s="16">
        <f>G316*0.4</f>
        <v>0</v>
      </c>
      <c r="J316" s="56"/>
    </row>
    <row r="317" spans="1:10" s="55" customFormat="1" ht="18" x14ac:dyDescent="0.4">
      <c r="A317" s="41"/>
      <c r="B317" s="26" t="s">
        <v>174</v>
      </c>
      <c r="C317" s="26"/>
      <c r="D317" s="42"/>
      <c r="E317" s="204"/>
      <c r="F317" s="28">
        <f>SUM(F308:F316)</f>
        <v>8</v>
      </c>
      <c r="G317" s="28">
        <f t="shared" ref="G317:I317" si="76">SUM(G308:G316)</f>
        <v>162</v>
      </c>
      <c r="H317" s="28">
        <f t="shared" si="76"/>
        <v>97.2</v>
      </c>
      <c r="I317" s="28">
        <f t="shared" si="76"/>
        <v>64.8</v>
      </c>
      <c r="J317" s="56"/>
    </row>
    <row r="318" spans="1:10" s="55" customFormat="1" ht="40.5" customHeight="1" x14ac:dyDescent="0.4">
      <c r="A318" s="41">
        <v>6</v>
      </c>
      <c r="B318" s="257" t="s">
        <v>707</v>
      </c>
      <c r="C318" s="257"/>
      <c r="D318" s="42"/>
      <c r="E318" s="204"/>
      <c r="F318" s="28"/>
      <c r="G318" s="28"/>
      <c r="H318" s="28"/>
      <c r="I318" s="28"/>
      <c r="J318" s="56"/>
    </row>
    <row r="319" spans="1:10" s="19" customFormat="1" ht="31" x14ac:dyDescent="0.3">
      <c r="A319" s="41"/>
      <c r="B319" s="14" t="s">
        <v>708</v>
      </c>
      <c r="C319" s="14" t="s">
        <v>709</v>
      </c>
      <c r="D319" s="254" t="s">
        <v>712</v>
      </c>
      <c r="E319" s="199"/>
      <c r="F319" s="16"/>
      <c r="G319" s="16">
        <f>F319*0.1*0.4</f>
        <v>0</v>
      </c>
      <c r="H319" s="16">
        <f>G319*0.6</f>
        <v>0</v>
      </c>
      <c r="I319" s="16">
        <f>G319*0.4</f>
        <v>0</v>
      </c>
      <c r="J319" s="48"/>
    </row>
    <row r="320" spans="1:10" s="19" customFormat="1" ht="31" x14ac:dyDescent="0.3">
      <c r="A320" s="41"/>
      <c r="B320" s="14" t="s">
        <v>710</v>
      </c>
      <c r="C320" s="14" t="s">
        <v>709</v>
      </c>
      <c r="D320" s="254"/>
      <c r="E320" s="199"/>
      <c r="F320" s="16"/>
      <c r="G320" s="16">
        <f>F320*0.1*0.4</f>
        <v>0</v>
      </c>
      <c r="H320" s="16">
        <f>G320*0.6</f>
        <v>0</v>
      </c>
      <c r="I320" s="16">
        <f>G320*0.4</f>
        <v>0</v>
      </c>
      <c r="J320" s="48"/>
    </row>
    <row r="321" spans="1:10" s="19" customFormat="1" ht="46.5" x14ac:dyDescent="0.3">
      <c r="A321" s="41"/>
      <c r="B321" s="14" t="s">
        <v>711</v>
      </c>
      <c r="C321" s="14" t="s">
        <v>135</v>
      </c>
      <c r="D321" s="254"/>
      <c r="E321" s="199"/>
      <c r="F321" s="16"/>
      <c r="G321" s="16">
        <f>F321*0.4*0.4</f>
        <v>0</v>
      </c>
      <c r="H321" s="16">
        <f>G321*0.6</f>
        <v>0</v>
      </c>
      <c r="I321" s="16">
        <f>G321*0.4</f>
        <v>0</v>
      </c>
      <c r="J321" s="48"/>
    </row>
    <row r="322" spans="1:10" s="19" customFormat="1" ht="18" x14ac:dyDescent="0.3">
      <c r="A322" s="41"/>
      <c r="B322" s="26" t="s">
        <v>122</v>
      </c>
      <c r="C322" s="7"/>
      <c r="D322" s="7"/>
      <c r="E322" s="198"/>
      <c r="F322" s="28">
        <f>SUM(F319:F321)</f>
        <v>0</v>
      </c>
      <c r="G322" s="28">
        <f t="shared" ref="G322:I322" si="77">SUM(G319:G321)</f>
        <v>0</v>
      </c>
      <c r="H322" s="28">
        <f t="shared" si="77"/>
        <v>0</v>
      </c>
      <c r="I322" s="28">
        <f t="shared" si="77"/>
        <v>0</v>
      </c>
      <c r="J322" s="18"/>
    </row>
    <row r="323" spans="1:10" s="19" customFormat="1" ht="18" x14ac:dyDescent="0.3">
      <c r="A323" s="41">
        <v>7</v>
      </c>
      <c r="B323" s="258" t="s">
        <v>713</v>
      </c>
      <c r="C323" s="258"/>
      <c r="D323" s="258"/>
      <c r="E323" s="200"/>
      <c r="F323" s="16"/>
      <c r="G323" s="16"/>
      <c r="H323" s="16"/>
      <c r="I323" s="16"/>
      <c r="J323" s="18"/>
    </row>
    <row r="324" spans="1:10" s="19" customFormat="1" ht="32.25" customHeight="1" x14ac:dyDescent="0.3">
      <c r="A324" s="41"/>
      <c r="B324" s="257" t="s">
        <v>714</v>
      </c>
      <c r="C324" s="257"/>
      <c r="D324" s="257"/>
      <c r="E324" s="198"/>
      <c r="F324" s="16"/>
      <c r="G324" s="30"/>
      <c r="H324" s="30"/>
      <c r="I324" s="30"/>
      <c r="J324" s="59"/>
    </row>
    <row r="325" spans="1:10" s="19" customFormat="1" ht="18" x14ac:dyDescent="0.3">
      <c r="A325" s="41"/>
      <c r="B325" s="258"/>
      <c r="C325" s="258"/>
      <c r="D325" s="258"/>
      <c r="E325" s="200"/>
      <c r="F325" s="16"/>
      <c r="G325" s="30"/>
      <c r="H325" s="30"/>
      <c r="I325" s="30"/>
      <c r="J325" s="59"/>
    </row>
    <row r="326" spans="1:10" s="19" customFormat="1" ht="225" customHeight="1" x14ac:dyDescent="0.3">
      <c r="A326" s="41"/>
      <c r="B326" s="14" t="s">
        <v>715</v>
      </c>
      <c r="C326" s="268" t="s">
        <v>716</v>
      </c>
      <c r="D326" s="254" t="s">
        <v>717</v>
      </c>
      <c r="E326" s="199"/>
      <c r="F326" s="16"/>
      <c r="G326" s="16">
        <f>F326*24*0.75</f>
        <v>0</v>
      </c>
      <c r="H326" s="16">
        <f>G326*0.6</f>
        <v>0</v>
      </c>
      <c r="I326" s="16">
        <f>G326*0.4</f>
        <v>0</v>
      </c>
      <c r="J326" s="60"/>
    </row>
    <row r="327" spans="1:10" s="19" customFormat="1" ht="49.5" customHeight="1" x14ac:dyDescent="0.3">
      <c r="A327" s="41"/>
      <c r="B327" s="14" t="s">
        <v>184</v>
      </c>
      <c r="C327" s="268"/>
      <c r="D327" s="254"/>
      <c r="E327" s="199"/>
      <c r="F327" s="16"/>
      <c r="G327" s="16">
        <f>F327*30</f>
        <v>0</v>
      </c>
      <c r="H327" s="16">
        <f>G327*0.6</f>
        <v>0</v>
      </c>
      <c r="I327" s="16">
        <f>G327*0.4</f>
        <v>0</v>
      </c>
      <c r="J327" s="48"/>
    </row>
    <row r="328" spans="1:10" s="19" customFormat="1" ht="30.75" customHeight="1" x14ac:dyDescent="0.3">
      <c r="A328" s="41"/>
      <c r="B328" s="257" t="s">
        <v>718</v>
      </c>
      <c r="C328" s="257"/>
      <c r="D328" s="257"/>
      <c r="E328" s="198"/>
      <c r="F328" s="16"/>
      <c r="G328" s="16"/>
      <c r="H328" s="16"/>
      <c r="I328" s="16"/>
      <c r="J328" s="48"/>
    </row>
    <row r="329" spans="1:10" s="19" customFormat="1" ht="31" x14ac:dyDescent="0.3">
      <c r="A329" s="41"/>
      <c r="B329" s="14" t="s">
        <v>719</v>
      </c>
      <c r="C329" s="14" t="s">
        <v>619</v>
      </c>
      <c r="D329" s="14" t="s">
        <v>619</v>
      </c>
      <c r="E329" s="199"/>
      <c r="F329" s="16"/>
      <c r="G329" s="16"/>
      <c r="H329" s="16">
        <f>G329*0.6</f>
        <v>0</v>
      </c>
      <c r="I329" s="16">
        <f>G329*0.4</f>
        <v>0</v>
      </c>
      <c r="J329" s="48"/>
    </row>
    <row r="330" spans="1:10" s="19" customFormat="1" ht="33.75" customHeight="1" x14ac:dyDescent="0.3">
      <c r="A330" s="41"/>
      <c r="B330" s="257" t="s">
        <v>720</v>
      </c>
      <c r="C330" s="257"/>
      <c r="D330" s="257"/>
      <c r="E330" s="198"/>
      <c r="F330" s="16"/>
      <c r="G330" s="16"/>
      <c r="H330" s="16"/>
      <c r="I330" s="16"/>
      <c r="J330" s="48"/>
    </row>
    <row r="331" spans="1:10" s="19" customFormat="1" ht="31" x14ac:dyDescent="0.3">
      <c r="A331" s="41"/>
      <c r="B331" s="14" t="s">
        <v>721</v>
      </c>
      <c r="C331" s="14" t="s">
        <v>619</v>
      </c>
      <c r="D331" s="14" t="s">
        <v>619</v>
      </c>
      <c r="E331" s="199"/>
      <c r="F331" s="16"/>
      <c r="G331" s="16"/>
      <c r="H331" s="16">
        <f>G331*0.6</f>
        <v>0</v>
      </c>
      <c r="I331" s="16">
        <f>G331*0.4</f>
        <v>0</v>
      </c>
      <c r="J331" s="48"/>
    </row>
    <row r="332" spans="1:10" s="19" customFormat="1" ht="30.75" customHeight="1" x14ac:dyDescent="0.3">
      <c r="A332" s="41"/>
      <c r="B332" s="257" t="s">
        <v>722</v>
      </c>
      <c r="C332" s="257"/>
      <c r="D332" s="257"/>
      <c r="E332" s="198"/>
      <c r="F332" s="16"/>
      <c r="G332" s="16"/>
      <c r="H332" s="16"/>
      <c r="I332" s="16"/>
      <c r="J332" s="48"/>
    </row>
    <row r="333" spans="1:10" s="19" customFormat="1" ht="93" x14ac:dyDescent="0.3">
      <c r="A333" s="41"/>
      <c r="B333" s="14" t="s">
        <v>181</v>
      </c>
      <c r="C333" s="120" t="s">
        <v>723</v>
      </c>
      <c r="D333" s="119" t="s">
        <v>724</v>
      </c>
      <c r="E333" s="203"/>
      <c r="F333" s="16"/>
      <c r="G333" s="16">
        <f>F333*0.08*0.5</f>
        <v>0</v>
      </c>
      <c r="H333" s="16">
        <f>G333*0.6</f>
        <v>0</v>
      </c>
      <c r="I333" s="16">
        <f>G333*0.4</f>
        <v>0</v>
      </c>
      <c r="J333" s="48"/>
    </row>
    <row r="334" spans="1:10" s="19" customFormat="1" x14ac:dyDescent="0.3">
      <c r="A334" s="41"/>
      <c r="B334" s="14" t="s">
        <v>184</v>
      </c>
      <c r="C334" s="11" t="s">
        <v>25</v>
      </c>
      <c r="D334" s="11" t="s">
        <v>25</v>
      </c>
      <c r="E334" s="199"/>
      <c r="F334" s="16"/>
      <c r="G334" s="16">
        <f>F334*1.8*0.5</f>
        <v>0</v>
      </c>
      <c r="H334" s="16">
        <f>G334*0.6</f>
        <v>0</v>
      </c>
      <c r="I334" s="16">
        <f>G334*0.4</f>
        <v>0</v>
      </c>
      <c r="J334" s="48"/>
    </row>
    <row r="335" spans="1:10" s="19" customFormat="1" ht="18" x14ac:dyDescent="0.3">
      <c r="A335" s="41"/>
      <c r="B335" s="26" t="s">
        <v>122</v>
      </c>
      <c r="C335" s="7"/>
      <c r="D335" s="7"/>
      <c r="E335" s="198"/>
      <c r="F335" s="28">
        <f>SUM(F326:F334)</f>
        <v>0</v>
      </c>
      <c r="G335" s="28">
        <f t="shared" ref="G335:I335" si="78">SUM(G326:G334)</f>
        <v>0</v>
      </c>
      <c r="H335" s="28">
        <f t="shared" si="78"/>
        <v>0</v>
      </c>
      <c r="I335" s="28">
        <f t="shared" si="78"/>
        <v>0</v>
      </c>
      <c r="J335" s="61"/>
    </row>
    <row r="336" spans="1:10" s="19" customFormat="1" ht="18" x14ac:dyDescent="0.3">
      <c r="A336" s="8">
        <v>8</v>
      </c>
      <c r="B336" s="259" t="s">
        <v>725</v>
      </c>
      <c r="C336" s="259"/>
      <c r="D336" s="259"/>
      <c r="E336" s="200"/>
      <c r="F336" s="16"/>
      <c r="G336" s="16"/>
      <c r="H336" s="16"/>
      <c r="I336" s="16"/>
      <c r="J336" s="18"/>
    </row>
    <row r="337" spans="1:10" s="19" customFormat="1" ht="18" x14ac:dyDescent="0.3">
      <c r="A337" s="8"/>
      <c r="B337" s="258" t="s">
        <v>726</v>
      </c>
      <c r="C337" s="258"/>
      <c r="D337" s="258"/>
      <c r="E337" s="200"/>
      <c r="F337" s="16"/>
      <c r="G337" s="16"/>
      <c r="H337" s="16"/>
      <c r="I337" s="16"/>
      <c r="J337" s="18"/>
    </row>
    <row r="338" spans="1:10" s="19" customFormat="1" ht="18" x14ac:dyDescent="0.3">
      <c r="A338" s="7"/>
      <c r="B338" s="258" t="s">
        <v>727</v>
      </c>
      <c r="C338" s="258"/>
      <c r="D338" s="258"/>
      <c r="E338" s="200"/>
      <c r="F338" s="16"/>
      <c r="G338" s="16"/>
      <c r="H338" s="16"/>
      <c r="I338" s="16"/>
      <c r="J338" s="18"/>
    </row>
    <row r="339" spans="1:10" s="19" customFormat="1" ht="47.25" customHeight="1" x14ac:dyDescent="0.3">
      <c r="A339" s="7"/>
      <c r="B339" s="14" t="s">
        <v>191</v>
      </c>
      <c r="C339" s="35" t="s">
        <v>728</v>
      </c>
      <c r="D339" s="254" t="s">
        <v>731</v>
      </c>
      <c r="E339" s="199">
        <v>764</v>
      </c>
      <c r="F339" s="16">
        <v>0.8</v>
      </c>
      <c r="G339" s="16">
        <f>F339*180*0.5</f>
        <v>72</v>
      </c>
      <c r="H339" s="16">
        <f>G339*0.6</f>
        <v>43.199999999999996</v>
      </c>
      <c r="I339" s="16">
        <f>G339*0.4</f>
        <v>28.8</v>
      </c>
      <c r="J339" s="20"/>
    </row>
    <row r="340" spans="1:10" s="170" customFormat="1" ht="47.25" customHeight="1" x14ac:dyDescent="0.3">
      <c r="A340" s="231"/>
      <c r="B340" s="220"/>
      <c r="C340" s="230" t="s">
        <v>1030</v>
      </c>
      <c r="D340" s="254"/>
      <c r="E340" s="199">
        <v>764</v>
      </c>
      <c r="F340" s="226">
        <v>0.2</v>
      </c>
      <c r="G340" s="226">
        <f>F340*165*0.5</f>
        <v>16.5</v>
      </c>
      <c r="H340" s="226">
        <f>G340*0.6</f>
        <v>9.9</v>
      </c>
      <c r="I340" s="226">
        <f>G340*0.4</f>
        <v>6.6000000000000005</v>
      </c>
      <c r="J340" s="232"/>
    </row>
    <row r="341" spans="1:10" s="19" customFormat="1" ht="42.75" customHeight="1" x14ac:dyDescent="0.3">
      <c r="A341" s="7"/>
      <c r="B341" s="14" t="s">
        <v>191</v>
      </c>
      <c r="C341" s="22" t="s">
        <v>729</v>
      </c>
      <c r="D341" s="254"/>
      <c r="E341" s="199"/>
      <c r="F341" s="16"/>
      <c r="G341" s="16">
        <f>F341*160*0.5</f>
        <v>0</v>
      </c>
      <c r="H341" s="16">
        <f>G341*0.6</f>
        <v>0</v>
      </c>
      <c r="I341" s="16">
        <f>G341*0.4</f>
        <v>0</v>
      </c>
      <c r="J341" s="20"/>
    </row>
    <row r="342" spans="1:10" s="19" customFormat="1" ht="46.5" x14ac:dyDescent="0.3">
      <c r="A342" s="7"/>
      <c r="B342" s="14" t="s">
        <v>191</v>
      </c>
      <c r="C342" s="22" t="s">
        <v>730</v>
      </c>
      <c r="D342" s="254"/>
      <c r="E342" s="199"/>
      <c r="F342" s="16"/>
      <c r="G342" s="16">
        <f>F342*150*0.5</f>
        <v>0</v>
      </c>
      <c r="H342" s="16">
        <f>G342*0.6</f>
        <v>0</v>
      </c>
      <c r="I342" s="16">
        <f>G342*0.4</f>
        <v>0</v>
      </c>
      <c r="J342" s="20"/>
    </row>
    <row r="343" spans="1:10" s="19" customFormat="1" ht="18" x14ac:dyDescent="0.3">
      <c r="A343" s="7"/>
      <c r="B343" s="258" t="s">
        <v>197</v>
      </c>
      <c r="C343" s="258"/>
      <c r="D343" s="258"/>
      <c r="E343" s="200"/>
      <c r="F343" s="16"/>
      <c r="G343" s="16"/>
      <c r="H343" s="16"/>
      <c r="I343" s="16"/>
      <c r="J343" s="20"/>
    </row>
    <row r="344" spans="1:10" s="19" customFormat="1" ht="105" customHeight="1" x14ac:dyDescent="0.3">
      <c r="A344" s="7"/>
      <c r="B344" s="14" t="s">
        <v>732</v>
      </c>
      <c r="C344" s="22" t="s">
        <v>733</v>
      </c>
      <c r="D344" s="254" t="s">
        <v>736</v>
      </c>
      <c r="E344" s="199">
        <v>774</v>
      </c>
      <c r="F344" s="16">
        <v>1</v>
      </c>
      <c r="G344" s="16">
        <f>F344*120*0.5</f>
        <v>60</v>
      </c>
      <c r="H344" s="16">
        <f t="shared" ref="H344:H359" si="79">G344*0.6</f>
        <v>36</v>
      </c>
      <c r="I344" s="16">
        <f t="shared" ref="I344:I359" si="80">G344*0.4</f>
        <v>24</v>
      </c>
      <c r="J344" s="62"/>
    </row>
    <row r="345" spans="1:10" s="19" customFormat="1" ht="105" customHeight="1" x14ac:dyDescent="0.3">
      <c r="A345" s="7"/>
      <c r="B345" s="14"/>
      <c r="C345" s="22" t="s">
        <v>1030</v>
      </c>
      <c r="D345" s="254"/>
      <c r="E345" s="199">
        <v>774</v>
      </c>
      <c r="F345" s="16">
        <v>2.9135</v>
      </c>
      <c r="G345" s="16">
        <f>F345*106*0.5</f>
        <v>154.41550000000001</v>
      </c>
      <c r="H345" s="16">
        <f t="shared" ref="H345" si="81">G345*0.6</f>
        <v>92.649299999999997</v>
      </c>
      <c r="I345" s="16">
        <f t="shared" ref="I345" si="82">G345*0.4</f>
        <v>61.766200000000005</v>
      </c>
      <c r="J345" s="62"/>
    </row>
    <row r="346" spans="1:10" s="19" customFormat="1" ht="46.5" x14ac:dyDescent="0.3">
      <c r="A346" s="7"/>
      <c r="B346" s="14" t="s">
        <v>198</v>
      </c>
      <c r="C346" s="14" t="s">
        <v>734</v>
      </c>
      <c r="D346" s="254"/>
      <c r="E346" s="199"/>
      <c r="F346" s="16"/>
      <c r="G346" s="16">
        <f>F346*105*0.5</f>
        <v>0</v>
      </c>
      <c r="H346" s="16">
        <f t="shared" si="79"/>
        <v>0</v>
      </c>
      <c r="I346" s="16">
        <f t="shared" si="80"/>
        <v>0</v>
      </c>
      <c r="J346" s="20"/>
    </row>
    <row r="347" spans="1:10" s="19" customFormat="1" ht="46.5" x14ac:dyDescent="0.3">
      <c r="A347" s="7"/>
      <c r="B347" s="14" t="s">
        <v>198</v>
      </c>
      <c r="C347" s="24" t="s">
        <v>735</v>
      </c>
      <c r="D347" s="254"/>
      <c r="E347" s="199"/>
      <c r="F347" s="63"/>
      <c r="G347" s="63">
        <f>F347*100*0.5</f>
        <v>0</v>
      </c>
      <c r="H347" s="16">
        <f t="shared" si="79"/>
        <v>0</v>
      </c>
      <c r="I347" s="16">
        <f t="shared" si="80"/>
        <v>0</v>
      </c>
      <c r="J347" s="20"/>
    </row>
    <row r="348" spans="1:10" s="19" customFormat="1" ht="170.5" x14ac:dyDescent="0.3">
      <c r="A348" s="7"/>
      <c r="B348" s="22" t="s">
        <v>737</v>
      </c>
      <c r="C348" s="24" t="s">
        <v>738</v>
      </c>
      <c r="D348" s="22" t="s">
        <v>739</v>
      </c>
      <c r="E348" s="199"/>
      <c r="F348" s="16"/>
      <c r="G348" s="16">
        <f>F348*45*0.5</f>
        <v>0</v>
      </c>
      <c r="H348" s="16">
        <f t="shared" si="79"/>
        <v>0</v>
      </c>
      <c r="I348" s="16">
        <f t="shared" si="80"/>
        <v>0</v>
      </c>
      <c r="J348" s="20"/>
    </row>
    <row r="349" spans="1:10" s="19" customFormat="1" ht="18" x14ac:dyDescent="0.3">
      <c r="A349" s="7"/>
      <c r="B349" s="258" t="s">
        <v>740</v>
      </c>
      <c r="C349" s="258"/>
      <c r="D349" s="258"/>
      <c r="E349" s="200"/>
      <c r="F349" s="16"/>
      <c r="G349" s="16"/>
      <c r="H349" s="16"/>
      <c r="I349" s="16"/>
      <c r="J349" s="18"/>
    </row>
    <row r="350" spans="1:10" s="19" customFormat="1" ht="108.5" x14ac:dyDescent="0.3">
      <c r="A350" s="7"/>
      <c r="B350" s="14" t="s">
        <v>741</v>
      </c>
      <c r="C350" s="14" t="s">
        <v>219</v>
      </c>
      <c r="D350" s="14" t="s">
        <v>743</v>
      </c>
      <c r="E350" s="199">
        <v>787</v>
      </c>
      <c r="F350" s="16">
        <v>15</v>
      </c>
      <c r="G350" s="16">
        <f>F350*71*0.5</f>
        <v>532.5</v>
      </c>
      <c r="H350" s="16">
        <f t="shared" si="79"/>
        <v>319.5</v>
      </c>
      <c r="I350" s="16">
        <f t="shared" si="80"/>
        <v>213</v>
      </c>
      <c r="J350" s="20"/>
    </row>
    <row r="351" spans="1:10" s="170" customFormat="1" x14ac:dyDescent="0.3">
      <c r="A351" s="168"/>
      <c r="B351" s="119"/>
      <c r="C351" s="119"/>
      <c r="D351" s="119"/>
      <c r="E351" s="203"/>
      <c r="F351" s="122"/>
      <c r="G351" s="122">
        <f>F351*71*0.5</f>
        <v>0</v>
      </c>
      <c r="H351" s="122">
        <f t="shared" ref="H351" si="83">G351*0.6</f>
        <v>0</v>
      </c>
      <c r="I351" s="122">
        <f t="shared" ref="I351" si="84">G351*0.4</f>
        <v>0</v>
      </c>
      <c r="J351" s="169"/>
    </row>
    <row r="352" spans="1:10" s="19" customFormat="1" ht="31" x14ac:dyDescent="0.3">
      <c r="A352" s="7"/>
      <c r="B352" s="14" t="s">
        <v>741</v>
      </c>
      <c r="C352" s="14" t="s">
        <v>222</v>
      </c>
      <c r="D352" s="14"/>
      <c r="E352" s="199"/>
      <c r="F352" s="16"/>
      <c r="G352" s="16">
        <f>F352*81.6*0.5</f>
        <v>0</v>
      </c>
      <c r="H352" s="16">
        <f t="shared" si="79"/>
        <v>0</v>
      </c>
      <c r="I352" s="16">
        <f t="shared" si="80"/>
        <v>0</v>
      </c>
      <c r="J352" s="20"/>
    </row>
    <row r="353" spans="1:10" s="19" customFormat="1" ht="124" x14ac:dyDescent="0.3">
      <c r="A353" s="7"/>
      <c r="B353" s="22" t="s">
        <v>742</v>
      </c>
      <c r="C353" s="24" t="s">
        <v>738</v>
      </c>
      <c r="D353" s="14" t="s">
        <v>744</v>
      </c>
      <c r="E353" s="199"/>
      <c r="F353" s="16"/>
      <c r="G353" s="16">
        <f>F353*45*0.5</f>
        <v>0</v>
      </c>
      <c r="H353" s="16">
        <f t="shared" si="79"/>
        <v>0</v>
      </c>
      <c r="I353" s="16">
        <f t="shared" si="80"/>
        <v>0</v>
      </c>
      <c r="J353" s="20"/>
    </row>
    <row r="354" spans="1:10" s="19" customFormat="1" ht="46.5" x14ac:dyDescent="0.3">
      <c r="A354" s="7"/>
      <c r="B354" s="26" t="s">
        <v>746</v>
      </c>
      <c r="C354" s="14" t="s">
        <v>745</v>
      </c>
      <c r="D354" s="14" t="s">
        <v>747</v>
      </c>
      <c r="E354" s="199"/>
      <c r="F354" s="16"/>
      <c r="G354" s="16">
        <f>F354*8*0.5</f>
        <v>0</v>
      </c>
      <c r="H354" s="16">
        <f t="shared" si="79"/>
        <v>0</v>
      </c>
      <c r="I354" s="16">
        <f t="shared" si="80"/>
        <v>0</v>
      </c>
      <c r="J354" s="18"/>
    </row>
    <row r="355" spans="1:10" s="19" customFormat="1" ht="46.5" x14ac:dyDescent="0.3">
      <c r="A355" s="7"/>
      <c r="B355" s="23" t="s">
        <v>748</v>
      </c>
      <c r="C355" s="14" t="s">
        <v>749</v>
      </c>
      <c r="D355" s="14" t="s">
        <v>750</v>
      </c>
      <c r="E355" s="199">
        <v>796</v>
      </c>
      <c r="F355" s="16">
        <v>17</v>
      </c>
      <c r="G355" s="16">
        <f>F355*72*0.5</f>
        <v>612</v>
      </c>
      <c r="H355" s="16">
        <f t="shared" si="79"/>
        <v>367.2</v>
      </c>
      <c r="I355" s="16">
        <f t="shared" si="80"/>
        <v>244.8</v>
      </c>
      <c r="J355" s="18"/>
    </row>
    <row r="356" spans="1:10" s="19" customFormat="1" ht="46.5" x14ac:dyDescent="0.3">
      <c r="A356" s="7"/>
      <c r="B356" s="26" t="s">
        <v>751</v>
      </c>
      <c r="C356" s="14" t="s">
        <v>752</v>
      </c>
      <c r="D356" s="14" t="s">
        <v>758</v>
      </c>
      <c r="E356" s="199"/>
      <c r="F356" s="16"/>
      <c r="G356" s="16">
        <f>F356*5*0.5</f>
        <v>0</v>
      </c>
      <c r="H356" s="16">
        <f t="shared" si="79"/>
        <v>0</v>
      </c>
      <c r="I356" s="16">
        <f t="shared" si="80"/>
        <v>0</v>
      </c>
      <c r="J356" s="18"/>
    </row>
    <row r="357" spans="1:10" s="19" customFormat="1" ht="135.75" customHeight="1" x14ac:dyDescent="0.3">
      <c r="A357" s="7"/>
      <c r="B357" s="14" t="s">
        <v>753</v>
      </c>
      <c r="C357" s="14" t="s">
        <v>757</v>
      </c>
      <c r="D357" s="14" t="s">
        <v>759</v>
      </c>
      <c r="E357" s="199">
        <v>802</v>
      </c>
      <c r="F357" s="16">
        <v>40</v>
      </c>
      <c r="G357" s="16">
        <f>F357*15*0.5</f>
        <v>300</v>
      </c>
      <c r="H357" s="16">
        <f t="shared" si="79"/>
        <v>180</v>
      </c>
      <c r="I357" s="16">
        <f t="shared" si="80"/>
        <v>120</v>
      </c>
      <c r="J357" s="18"/>
    </row>
    <row r="358" spans="1:10" s="19" customFormat="1" ht="62" x14ac:dyDescent="0.3">
      <c r="A358" s="7"/>
      <c r="B358" s="14" t="s">
        <v>754</v>
      </c>
      <c r="C358" s="14" t="s">
        <v>243</v>
      </c>
      <c r="D358" s="14" t="s">
        <v>760</v>
      </c>
      <c r="E358" s="199">
        <v>804</v>
      </c>
      <c r="F358" s="16">
        <v>2</v>
      </c>
      <c r="G358" s="16">
        <f>F358*70*0.5</f>
        <v>70</v>
      </c>
      <c r="H358" s="16">
        <f t="shared" si="79"/>
        <v>42</v>
      </c>
      <c r="I358" s="16">
        <f t="shared" si="80"/>
        <v>28</v>
      </c>
      <c r="J358" s="18"/>
    </row>
    <row r="359" spans="1:10" s="19" customFormat="1" ht="46.5" x14ac:dyDescent="0.35">
      <c r="A359" s="7"/>
      <c r="B359" s="64" t="s">
        <v>755</v>
      </c>
      <c r="C359" s="14" t="s">
        <v>762</v>
      </c>
      <c r="D359" s="14" t="s">
        <v>760</v>
      </c>
      <c r="E359" s="199">
        <v>808</v>
      </c>
      <c r="F359" s="16">
        <v>2</v>
      </c>
      <c r="G359" s="16">
        <f>F359*60*0.5</f>
        <v>60</v>
      </c>
      <c r="H359" s="16">
        <f t="shared" si="79"/>
        <v>36</v>
      </c>
      <c r="I359" s="16">
        <f t="shared" si="80"/>
        <v>24</v>
      </c>
      <c r="J359" s="18"/>
    </row>
    <row r="360" spans="1:10" s="19" customFormat="1" ht="62" x14ac:dyDescent="0.35">
      <c r="A360" s="7"/>
      <c r="B360" s="64" t="s">
        <v>756</v>
      </c>
      <c r="C360" s="14" t="s">
        <v>761</v>
      </c>
      <c r="D360" s="14" t="s">
        <v>760</v>
      </c>
      <c r="E360" s="199">
        <v>811</v>
      </c>
      <c r="F360" s="16">
        <v>2</v>
      </c>
      <c r="G360" s="16">
        <f>F360*45*0.5</f>
        <v>45</v>
      </c>
      <c r="H360" s="16">
        <f t="shared" ref="H360" si="85">G360*0.6</f>
        <v>27</v>
      </c>
      <c r="I360" s="16">
        <f t="shared" ref="I360" si="86">G360*0.4</f>
        <v>18</v>
      </c>
      <c r="J360" s="18"/>
    </row>
    <row r="361" spans="1:10" s="19" customFormat="1" ht="46.5" x14ac:dyDescent="0.35">
      <c r="A361" s="7"/>
      <c r="B361" s="64" t="s">
        <v>763</v>
      </c>
      <c r="C361" s="14" t="s">
        <v>764</v>
      </c>
      <c r="D361" s="14" t="s">
        <v>765</v>
      </c>
      <c r="E361" s="199">
        <v>814</v>
      </c>
      <c r="F361" s="16">
        <v>400</v>
      </c>
      <c r="G361" s="16">
        <f>F361*0.4*0.5</f>
        <v>80</v>
      </c>
      <c r="H361" s="16">
        <f t="shared" ref="H361" si="87">G361*0.6</f>
        <v>48</v>
      </c>
      <c r="I361" s="16">
        <f t="shared" ref="I361" si="88">G361*0.4</f>
        <v>32</v>
      </c>
      <c r="J361" s="18"/>
    </row>
    <row r="362" spans="1:10" s="19" customFormat="1" ht="18" x14ac:dyDescent="0.3">
      <c r="A362" s="7"/>
      <c r="B362" s="258" t="s">
        <v>766</v>
      </c>
      <c r="C362" s="258"/>
      <c r="D362" s="258"/>
      <c r="E362" s="200"/>
      <c r="F362" s="16"/>
      <c r="G362" s="16"/>
      <c r="H362" s="16"/>
      <c r="I362" s="16"/>
      <c r="J362" s="18"/>
    </row>
    <row r="363" spans="1:10" s="19" customFormat="1" ht="108.5" x14ac:dyDescent="0.3">
      <c r="A363" s="7"/>
      <c r="B363" s="123" t="s">
        <v>767</v>
      </c>
      <c r="C363" s="14" t="s">
        <v>768</v>
      </c>
      <c r="D363" s="14" t="s">
        <v>771</v>
      </c>
      <c r="E363" s="199"/>
      <c r="F363" s="16"/>
      <c r="G363" s="16">
        <f>F363*35*0.5</f>
        <v>0</v>
      </c>
      <c r="H363" s="16">
        <f t="shared" ref="H363:H370" si="89">G363*0.6</f>
        <v>0</v>
      </c>
      <c r="I363" s="16">
        <f t="shared" ref="I363:I370" si="90">G363*0.4</f>
        <v>0</v>
      </c>
      <c r="J363" s="18"/>
    </row>
    <row r="364" spans="1:10" s="19" customFormat="1" ht="124" x14ac:dyDescent="0.3">
      <c r="A364" s="7"/>
      <c r="B364" s="123" t="s">
        <v>769</v>
      </c>
      <c r="C364" s="119" t="s">
        <v>770</v>
      </c>
      <c r="D364" s="119" t="s">
        <v>772</v>
      </c>
      <c r="E364" s="203"/>
      <c r="F364" s="122"/>
      <c r="G364" s="122">
        <f>F364*0.3*0.5</f>
        <v>0</v>
      </c>
      <c r="H364" s="16">
        <f t="shared" si="89"/>
        <v>0</v>
      </c>
      <c r="I364" s="16">
        <f t="shared" si="90"/>
        <v>0</v>
      </c>
      <c r="J364" s="18"/>
    </row>
    <row r="365" spans="1:10" s="19" customFormat="1" ht="108.5" x14ac:dyDescent="0.3">
      <c r="A365" s="7"/>
      <c r="B365" s="123" t="s">
        <v>773</v>
      </c>
      <c r="C365" s="123" t="s">
        <v>774</v>
      </c>
      <c r="D365" s="14" t="s">
        <v>775</v>
      </c>
      <c r="E365" s="199"/>
      <c r="F365" s="16"/>
      <c r="G365" s="16">
        <f>F365*4*0.5</f>
        <v>0</v>
      </c>
      <c r="H365" s="16">
        <f t="shared" si="89"/>
        <v>0</v>
      </c>
      <c r="I365" s="16">
        <f t="shared" si="90"/>
        <v>0</v>
      </c>
      <c r="J365" s="18"/>
    </row>
    <row r="366" spans="1:10" s="19" customFormat="1" ht="108.5" x14ac:dyDescent="0.3">
      <c r="A366" s="7"/>
      <c r="B366" s="123" t="s">
        <v>776</v>
      </c>
      <c r="C366" s="123" t="s">
        <v>777</v>
      </c>
      <c r="D366" s="14" t="s">
        <v>778</v>
      </c>
      <c r="E366" s="199">
        <v>827</v>
      </c>
      <c r="F366" s="16">
        <v>4000</v>
      </c>
      <c r="G366" s="16">
        <f>F366*0.2*0.5</f>
        <v>400</v>
      </c>
      <c r="H366" s="16">
        <f t="shared" si="89"/>
        <v>240</v>
      </c>
      <c r="I366" s="16">
        <f t="shared" si="90"/>
        <v>160</v>
      </c>
      <c r="J366" s="18"/>
    </row>
    <row r="367" spans="1:10" s="19" customFormat="1" ht="108.5" x14ac:dyDescent="0.3">
      <c r="A367" s="7"/>
      <c r="B367" s="123" t="s">
        <v>779</v>
      </c>
      <c r="C367" s="14" t="s">
        <v>780</v>
      </c>
      <c r="D367" s="14" t="s">
        <v>781</v>
      </c>
      <c r="E367" s="199"/>
      <c r="F367" s="16"/>
      <c r="G367" s="16">
        <f>F367*2*0.5</f>
        <v>0</v>
      </c>
      <c r="H367" s="16">
        <f t="shared" si="89"/>
        <v>0</v>
      </c>
      <c r="I367" s="16">
        <f t="shared" si="90"/>
        <v>0</v>
      </c>
      <c r="J367" s="18"/>
    </row>
    <row r="368" spans="1:10" s="19" customFormat="1" ht="139.5" x14ac:dyDescent="0.3">
      <c r="A368" s="7"/>
      <c r="B368" s="123" t="s">
        <v>782</v>
      </c>
      <c r="C368" s="119" t="s">
        <v>783</v>
      </c>
      <c r="D368" s="119" t="s">
        <v>784</v>
      </c>
      <c r="E368" s="203">
        <v>833</v>
      </c>
      <c r="F368" s="122">
        <v>20</v>
      </c>
      <c r="G368" s="122">
        <f>F368*30*0.5</f>
        <v>300</v>
      </c>
      <c r="H368" s="16">
        <f t="shared" si="89"/>
        <v>180</v>
      </c>
      <c r="I368" s="16">
        <f t="shared" si="90"/>
        <v>120</v>
      </c>
      <c r="J368" s="18"/>
    </row>
    <row r="369" spans="1:10" s="19" customFormat="1" ht="108.5" x14ac:dyDescent="0.3">
      <c r="A369" s="7"/>
      <c r="B369" s="123" t="s">
        <v>785</v>
      </c>
      <c r="C369" s="14" t="s">
        <v>786</v>
      </c>
      <c r="D369" s="14" t="s">
        <v>787</v>
      </c>
      <c r="E369" s="199"/>
      <c r="F369" s="16"/>
      <c r="G369" s="16">
        <f>F369*0.5*0.5</f>
        <v>0</v>
      </c>
      <c r="H369" s="16">
        <f t="shared" si="89"/>
        <v>0</v>
      </c>
      <c r="I369" s="16">
        <f t="shared" si="90"/>
        <v>0</v>
      </c>
      <c r="J369" s="18"/>
    </row>
    <row r="370" spans="1:10" s="114" customFormat="1" ht="124" x14ac:dyDescent="0.3">
      <c r="A370" s="111"/>
      <c r="B370" s="123" t="s">
        <v>788</v>
      </c>
      <c r="C370" s="14" t="s">
        <v>789</v>
      </c>
      <c r="D370" s="14" t="s">
        <v>790</v>
      </c>
      <c r="E370" s="199">
        <v>839</v>
      </c>
      <c r="F370" s="16">
        <v>3.3</v>
      </c>
      <c r="G370" s="16">
        <f>F370*5*0.5</f>
        <v>8.25</v>
      </c>
      <c r="H370" s="16">
        <f t="shared" si="89"/>
        <v>4.95</v>
      </c>
      <c r="I370" s="16">
        <f t="shared" si="90"/>
        <v>3.3000000000000003</v>
      </c>
      <c r="J370" s="121"/>
    </row>
    <row r="371" spans="1:10" s="19" customFormat="1" ht="18" x14ac:dyDescent="0.3">
      <c r="A371" s="7"/>
      <c r="B371" s="257" t="s">
        <v>249</v>
      </c>
      <c r="C371" s="257"/>
      <c r="D371" s="26"/>
      <c r="E371" s="198"/>
      <c r="F371" s="28">
        <f>SUM(F339:F370)</f>
        <v>4506.2134999999998</v>
      </c>
      <c r="G371" s="28">
        <f>SUM(G339:G370)</f>
        <v>2710.6655000000001</v>
      </c>
      <c r="H371" s="28">
        <f>SUM(H339:H370)</f>
        <v>1626.3993</v>
      </c>
      <c r="I371" s="28">
        <f>SUM(I339:I370)</f>
        <v>1084.2662</v>
      </c>
      <c r="J371" s="18"/>
    </row>
    <row r="372" spans="1:10" s="19" customFormat="1" ht="18" x14ac:dyDescent="0.35">
      <c r="A372" s="7"/>
      <c r="B372" s="126" t="s">
        <v>791</v>
      </c>
      <c r="C372" s="38" t="s">
        <v>273</v>
      </c>
      <c r="D372" s="127" t="s">
        <v>792</v>
      </c>
      <c r="E372" s="209"/>
      <c r="F372" s="28"/>
      <c r="G372" s="28"/>
      <c r="H372" s="28"/>
      <c r="I372" s="28"/>
      <c r="J372" s="18"/>
    </row>
    <row r="373" spans="1:10" s="19" customFormat="1" ht="18" x14ac:dyDescent="0.3">
      <c r="A373" s="7"/>
      <c r="B373" s="38"/>
      <c r="C373" s="38"/>
      <c r="D373" s="26"/>
      <c r="E373" s="198"/>
      <c r="F373" s="28"/>
      <c r="G373" s="28"/>
      <c r="H373" s="28"/>
      <c r="I373" s="28"/>
      <c r="J373" s="18"/>
    </row>
    <row r="374" spans="1:10" s="19" customFormat="1" ht="26.25" customHeight="1" x14ac:dyDescent="0.3">
      <c r="A374" s="41">
        <v>9</v>
      </c>
      <c r="B374" s="257" t="s">
        <v>793</v>
      </c>
      <c r="C374" s="257"/>
      <c r="D374" s="257"/>
      <c r="E374" s="198"/>
      <c r="F374" s="16"/>
      <c r="G374" s="16"/>
      <c r="H374" s="16"/>
      <c r="I374" s="16"/>
      <c r="J374" s="17"/>
    </row>
    <row r="375" spans="1:10" s="19" customFormat="1" ht="45" customHeight="1" x14ac:dyDescent="0.3">
      <c r="A375" s="7"/>
      <c r="B375" s="14" t="s">
        <v>251</v>
      </c>
      <c r="C375" s="14" t="s">
        <v>794</v>
      </c>
      <c r="D375" s="269" t="s">
        <v>795</v>
      </c>
      <c r="E375" s="199"/>
      <c r="F375" s="16"/>
      <c r="G375" s="16">
        <f>F375*0.05*0.3</f>
        <v>0</v>
      </c>
      <c r="H375" s="16">
        <f t="shared" ref="H375:H379" si="91">G375*0.6</f>
        <v>0</v>
      </c>
      <c r="I375" s="16">
        <f t="shared" ref="I375:I379" si="92">G375*0.4</f>
        <v>0</v>
      </c>
      <c r="J375" s="17"/>
    </row>
    <row r="376" spans="1:10" s="19" customFormat="1" ht="30" customHeight="1" x14ac:dyDescent="0.3">
      <c r="A376" s="7"/>
      <c r="B376" s="14" t="s">
        <v>254</v>
      </c>
      <c r="C376" s="14" t="s">
        <v>794</v>
      </c>
      <c r="D376" s="269"/>
      <c r="E376" s="199"/>
      <c r="F376" s="16"/>
      <c r="G376" s="16">
        <f>F376*0.05*0.3</f>
        <v>0</v>
      </c>
      <c r="H376" s="16">
        <f t="shared" si="91"/>
        <v>0</v>
      </c>
      <c r="I376" s="16">
        <f t="shared" si="92"/>
        <v>0</v>
      </c>
      <c r="J376" s="17"/>
    </row>
    <row r="377" spans="1:10" s="19" customFormat="1" x14ac:dyDescent="0.3">
      <c r="A377" s="7"/>
      <c r="B377" s="257" t="s">
        <v>262</v>
      </c>
      <c r="C377" s="257"/>
      <c r="D377" s="24"/>
      <c r="E377" s="199"/>
      <c r="F377" s="16"/>
      <c r="G377" s="16"/>
      <c r="H377" s="16">
        <f t="shared" si="91"/>
        <v>0</v>
      </c>
      <c r="I377" s="16">
        <f t="shared" si="92"/>
        <v>0</v>
      </c>
      <c r="J377" s="17"/>
    </row>
    <row r="378" spans="1:10" s="19" customFormat="1" x14ac:dyDescent="0.3">
      <c r="A378" s="7"/>
      <c r="B378" s="14" t="s">
        <v>15</v>
      </c>
      <c r="C378" s="14" t="s">
        <v>263</v>
      </c>
      <c r="D378" s="254" t="s">
        <v>797</v>
      </c>
      <c r="E378" s="199"/>
      <c r="F378" s="16"/>
      <c r="G378" s="16">
        <f>F378*25</f>
        <v>0</v>
      </c>
      <c r="H378" s="16">
        <f t="shared" si="91"/>
        <v>0</v>
      </c>
      <c r="I378" s="16">
        <f t="shared" si="92"/>
        <v>0</v>
      </c>
      <c r="J378" s="20"/>
    </row>
    <row r="379" spans="1:10" s="19" customFormat="1" x14ac:dyDescent="0.3">
      <c r="A379" s="7"/>
      <c r="B379" s="14" t="s">
        <v>19</v>
      </c>
      <c r="C379" s="14" t="s">
        <v>263</v>
      </c>
      <c r="D379" s="254"/>
      <c r="E379" s="199"/>
      <c r="F379" s="16"/>
      <c r="G379" s="16">
        <f>F379*25*0.5</f>
        <v>0</v>
      </c>
      <c r="H379" s="16">
        <f t="shared" si="91"/>
        <v>0</v>
      </c>
      <c r="I379" s="16">
        <f t="shared" si="92"/>
        <v>0</v>
      </c>
      <c r="J379" s="17"/>
    </row>
    <row r="380" spans="1:10" s="19" customFormat="1" ht="18" x14ac:dyDescent="0.3">
      <c r="A380" s="7"/>
      <c r="B380" s="257" t="s">
        <v>265</v>
      </c>
      <c r="C380" s="257"/>
      <c r="D380" s="26"/>
      <c r="E380" s="198"/>
      <c r="F380" s="28">
        <f>SUM(F375:F379)</f>
        <v>0</v>
      </c>
      <c r="G380" s="28">
        <f>SUM(G375:G379)</f>
        <v>0</v>
      </c>
      <c r="H380" s="28">
        <f>SUM(H375:H379)</f>
        <v>0</v>
      </c>
      <c r="I380" s="28">
        <f>SUM(I375:I379)</f>
        <v>0</v>
      </c>
      <c r="J380" s="18"/>
    </row>
    <row r="381" spans="1:10" s="19" customFormat="1" ht="18" x14ac:dyDescent="0.3">
      <c r="A381" s="176">
        <v>10</v>
      </c>
      <c r="B381" s="258" t="s">
        <v>796</v>
      </c>
      <c r="C381" s="258"/>
      <c r="D381" s="258"/>
      <c r="E381" s="200"/>
      <c r="F381" s="16"/>
      <c r="G381" s="16"/>
      <c r="H381" s="16"/>
      <c r="I381" s="16"/>
      <c r="J381" s="17"/>
    </row>
    <row r="382" spans="1:10" s="19" customFormat="1" ht="108.5" x14ac:dyDescent="0.3">
      <c r="A382" s="176"/>
      <c r="B382" s="14" t="s">
        <v>800</v>
      </c>
      <c r="C382" s="14" t="s">
        <v>799</v>
      </c>
      <c r="D382" s="14" t="s">
        <v>798</v>
      </c>
      <c r="E382" s="199"/>
      <c r="F382" s="16"/>
      <c r="G382" s="16">
        <v>0</v>
      </c>
      <c r="H382" s="16">
        <f>G382*0.6</f>
        <v>0</v>
      </c>
      <c r="I382" s="16">
        <f>G382*0.4</f>
        <v>0</v>
      </c>
      <c r="J382" s="17"/>
    </row>
    <row r="383" spans="1:10" s="19" customFormat="1" ht="77.5" x14ac:dyDescent="0.3">
      <c r="A383" s="176"/>
      <c r="B383" s="14" t="s">
        <v>801</v>
      </c>
      <c r="C383" s="14" t="s">
        <v>799</v>
      </c>
      <c r="D383" s="14" t="s">
        <v>802</v>
      </c>
      <c r="E383" s="199"/>
      <c r="F383" s="16"/>
      <c r="G383" s="16">
        <v>0</v>
      </c>
      <c r="H383" s="16">
        <f>G383*0.6</f>
        <v>0</v>
      </c>
      <c r="I383" s="16">
        <f>G383*0.4</f>
        <v>0</v>
      </c>
      <c r="J383" s="17"/>
    </row>
    <row r="384" spans="1:10" s="19" customFormat="1" ht="30" customHeight="1" x14ac:dyDescent="0.3">
      <c r="A384" s="176"/>
      <c r="B384" s="257" t="s">
        <v>803</v>
      </c>
      <c r="C384" s="257"/>
      <c r="D384" s="14"/>
      <c r="E384" s="199"/>
      <c r="F384" s="16"/>
      <c r="G384" s="16"/>
      <c r="H384" s="16"/>
      <c r="I384" s="16"/>
      <c r="J384" s="17"/>
    </row>
    <row r="385" spans="1:10" s="19" customFormat="1" ht="108.5" x14ac:dyDescent="0.3">
      <c r="A385" s="7"/>
      <c r="B385" s="14" t="s">
        <v>276</v>
      </c>
      <c r="C385" s="14" t="s">
        <v>277</v>
      </c>
      <c r="D385" s="14" t="s">
        <v>804</v>
      </c>
      <c r="E385" s="199">
        <v>851</v>
      </c>
      <c r="F385" s="16">
        <v>500</v>
      </c>
      <c r="G385" s="16">
        <f>F385*1*0.5</f>
        <v>250</v>
      </c>
      <c r="H385" s="16">
        <f>G385*0.6</f>
        <v>150</v>
      </c>
      <c r="I385" s="16">
        <f>G385*0.4</f>
        <v>100</v>
      </c>
      <c r="J385" s="48"/>
    </row>
    <row r="386" spans="1:10" s="19" customFormat="1" x14ac:dyDescent="0.3">
      <c r="A386" s="7"/>
      <c r="B386" s="14" t="s">
        <v>279</v>
      </c>
      <c r="C386" s="11" t="s">
        <v>25</v>
      </c>
      <c r="D386" s="11" t="s">
        <v>25</v>
      </c>
      <c r="E386" s="199"/>
      <c r="F386" s="16"/>
      <c r="G386" s="16">
        <f>F386*0.16*0.5</f>
        <v>0</v>
      </c>
      <c r="H386" s="16">
        <f>G386*0.6</f>
        <v>0</v>
      </c>
      <c r="I386" s="16">
        <f>G386*0.4</f>
        <v>0</v>
      </c>
      <c r="J386" s="18"/>
    </row>
    <row r="387" spans="1:10" s="19" customFormat="1" ht="18" x14ac:dyDescent="0.3">
      <c r="A387" s="7"/>
      <c r="B387" s="26" t="s">
        <v>122</v>
      </c>
      <c r="C387" s="26"/>
      <c r="D387" s="26"/>
      <c r="E387" s="198"/>
      <c r="F387" s="28">
        <f>SUM(F382:F386)</f>
        <v>500</v>
      </c>
      <c r="G387" s="28">
        <f>SUM(G382:G386)</f>
        <v>250</v>
      </c>
      <c r="H387" s="28">
        <f>G387*0.6</f>
        <v>150</v>
      </c>
      <c r="I387" s="28">
        <f>G387*0.4</f>
        <v>100</v>
      </c>
      <c r="J387" s="18"/>
    </row>
    <row r="388" spans="1:10" s="19" customFormat="1" ht="46.5" x14ac:dyDescent="0.3">
      <c r="A388" s="7"/>
      <c r="B388" s="26" t="s">
        <v>805</v>
      </c>
      <c r="C388" s="26" t="s">
        <v>806</v>
      </c>
      <c r="D388" s="26" t="s">
        <v>807</v>
      </c>
      <c r="E388" s="198"/>
      <c r="F388" s="16"/>
      <c r="G388" s="16">
        <f>F388*0.2*0.5</f>
        <v>0</v>
      </c>
      <c r="H388" s="16">
        <f>G388*0.6</f>
        <v>0</v>
      </c>
      <c r="I388" s="16">
        <f>G388*0.4</f>
        <v>0</v>
      </c>
      <c r="J388" s="18"/>
    </row>
    <row r="389" spans="1:10" s="19" customFormat="1" ht="62" x14ac:dyDescent="0.3">
      <c r="A389" s="7"/>
      <c r="B389" s="26" t="s">
        <v>808</v>
      </c>
      <c r="C389" s="26" t="s">
        <v>809</v>
      </c>
      <c r="D389" s="26" t="s">
        <v>810</v>
      </c>
      <c r="E389" s="199">
        <v>854</v>
      </c>
      <c r="F389" s="16">
        <v>1</v>
      </c>
      <c r="G389" s="16">
        <v>250</v>
      </c>
      <c r="H389" s="16">
        <f>G389*0.6</f>
        <v>150</v>
      </c>
      <c r="I389" s="16">
        <f>G389*0.4</f>
        <v>100</v>
      </c>
      <c r="J389" s="18"/>
    </row>
    <row r="390" spans="1:10" s="19" customFormat="1" ht="18" x14ac:dyDescent="0.3">
      <c r="A390" s="176">
        <v>11</v>
      </c>
      <c r="B390" s="258" t="s">
        <v>811</v>
      </c>
      <c r="C390" s="258"/>
      <c r="D390" s="258"/>
      <c r="E390" s="200"/>
      <c r="F390" s="16"/>
      <c r="G390" s="16"/>
      <c r="H390" s="16"/>
      <c r="I390" s="16"/>
      <c r="J390" s="17"/>
    </row>
    <row r="391" spans="1:10" s="19" customFormat="1" ht="31" x14ac:dyDescent="0.3">
      <c r="A391" s="176"/>
      <c r="B391" s="14" t="s">
        <v>812</v>
      </c>
      <c r="C391" s="14" t="s">
        <v>34</v>
      </c>
      <c r="D391" s="14" t="s">
        <v>167</v>
      </c>
      <c r="E391" s="199"/>
      <c r="F391" s="16"/>
      <c r="G391" s="16">
        <f>F391*20</f>
        <v>0</v>
      </c>
      <c r="H391" s="16">
        <f t="shared" ref="H391:H398" si="93">G391*0.6</f>
        <v>0</v>
      </c>
      <c r="I391" s="16">
        <f t="shared" ref="I391:I398" si="94">G391*0.4</f>
        <v>0</v>
      </c>
      <c r="J391" s="17"/>
    </row>
    <row r="392" spans="1:10" s="19" customFormat="1" ht="31" x14ac:dyDescent="0.3">
      <c r="A392" s="176"/>
      <c r="B392" s="14" t="s">
        <v>813</v>
      </c>
      <c r="C392" s="14" t="s">
        <v>283</v>
      </c>
      <c r="D392" s="14" t="s">
        <v>284</v>
      </c>
      <c r="E392" s="199"/>
      <c r="F392" s="16"/>
      <c r="G392" s="16">
        <f>F392*10*0.4</f>
        <v>0</v>
      </c>
      <c r="H392" s="16">
        <f t="shared" si="93"/>
        <v>0</v>
      </c>
      <c r="I392" s="16">
        <f t="shared" si="94"/>
        <v>0</v>
      </c>
      <c r="J392" s="17"/>
    </row>
    <row r="393" spans="1:10" s="19" customFormat="1" ht="31" x14ac:dyDescent="0.3">
      <c r="A393" s="7"/>
      <c r="B393" s="14" t="s">
        <v>814</v>
      </c>
      <c r="C393" s="14" t="s">
        <v>815</v>
      </c>
      <c r="D393" s="14" t="s">
        <v>287</v>
      </c>
      <c r="E393" s="199">
        <v>858</v>
      </c>
      <c r="F393" s="16">
        <v>4000</v>
      </c>
      <c r="G393" s="16">
        <f>F393*0.04*0.4</f>
        <v>64</v>
      </c>
      <c r="H393" s="16">
        <f t="shared" si="93"/>
        <v>38.4</v>
      </c>
      <c r="I393" s="16">
        <f t="shared" si="94"/>
        <v>25.6</v>
      </c>
      <c r="J393" s="21"/>
    </row>
    <row r="394" spans="1:10" s="19" customFormat="1" ht="31" x14ac:dyDescent="0.3">
      <c r="A394" s="7"/>
      <c r="B394" s="14" t="s">
        <v>816</v>
      </c>
      <c r="C394" s="14" t="s">
        <v>289</v>
      </c>
      <c r="D394" s="14" t="s">
        <v>287</v>
      </c>
      <c r="E394" s="199">
        <v>859</v>
      </c>
      <c r="F394" s="16">
        <v>4000</v>
      </c>
      <c r="G394" s="16">
        <f>F394*0.008</f>
        <v>32</v>
      </c>
      <c r="H394" s="16">
        <f t="shared" si="93"/>
        <v>19.2</v>
      </c>
      <c r="I394" s="16">
        <f t="shared" si="94"/>
        <v>12.8</v>
      </c>
      <c r="J394" s="21"/>
    </row>
    <row r="395" spans="1:10" s="238" customFormat="1" x14ac:dyDescent="0.3">
      <c r="A395" s="233"/>
      <c r="B395" s="234" t="s">
        <v>1031</v>
      </c>
      <c r="C395" s="234"/>
      <c r="D395" s="234"/>
      <c r="E395" s="235">
        <v>857</v>
      </c>
      <c r="F395" s="236">
        <v>1000</v>
      </c>
      <c r="G395" s="236">
        <f>F395*0.008</f>
        <v>8</v>
      </c>
      <c r="H395" s="236">
        <f t="shared" si="93"/>
        <v>4.8</v>
      </c>
      <c r="I395" s="236">
        <f t="shared" si="94"/>
        <v>3.2</v>
      </c>
      <c r="J395" s="237"/>
    </row>
    <row r="396" spans="1:10" s="239" customFormat="1" x14ac:dyDescent="0.3">
      <c r="A396" s="231"/>
      <c r="B396" s="220" t="s">
        <v>1032</v>
      </c>
      <c r="C396" s="220"/>
      <c r="D396" s="220"/>
      <c r="E396" s="223">
        <v>859</v>
      </c>
      <c r="F396" s="226">
        <v>1000</v>
      </c>
      <c r="G396" s="226">
        <f>F396*0.008</f>
        <v>8</v>
      </c>
      <c r="H396" s="226">
        <f t="shared" si="93"/>
        <v>4.8</v>
      </c>
      <c r="I396" s="226">
        <f t="shared" si="94"/>
        <v>3.2</v>
      </c>
      <c r="J396" s="240"/>
    </row>
    <row r="397" spans="1:10" s="19" customFormat="1" ht="77.5" x14ac:dyDescent="0.3">
      <c r="A397" s="7"/>
      <c r="B397" s="14" t="s">
        <v>817</v>
      </c>
      <c r="C397" s="22" t="s">
        <v>291</v>
      </c>
      <c r="D397" s="22" t="s">
        <v>292</v>
      </c>
      <c r="E397" s="199">
        <v>860</v>
      </c>
      <c r="F397" s="16">
        <v>182</v>
      </c>
      <c r="G397" s="16">
        <f>F397*0.08</f>
        <v>14.56</v>
      </c>
      <c r="H397" s="16">
        <f t="shared" si="93"/>
        <v>8.7360000000000007</v>
      </c>
      <c r="I397" s="16">
        <f t="shared" si="94"/>
        <v>5.8240000000000007</v>
      </c>
      <c r="J397" s="21"/>
    </row>
    <row r="398" spans="1:10" s="239" customFormat="1" x14ac:dyDescent="0.3">
      <c r="A398" s="231"/>
      <c r="B398" s="220"/>
      <c r="C398" s="222"/>
      <c r="D398" s="222"/>
      <c r="E398" s="223">
        <v>860</v>
      </c>
      <c r="F398" s="226">
        <v>45</v>
      </c>
      <c r="G398" s="226">
        <f>F398*0.08</f>
        <v>3.6</v>
      </c>
      <c r="H398" s="226">
        <f t="shared" si="93"/>
        <v>2.16</v>
      </c>
      <c r="I398" s="226">
        <f t="shared" si="94"/>
        <v>1.4400000000000002</v>
      </c>
      <c r="J398" s="241"/>
    </row>
    <row r="399" spans="1:10" s="19" customFormat="1" ht="18" x14ac:dyDescent="0.3">
      <c r="A399" s="7"/>
      <c r="B399" s="26" t="s">
        <v>122</v>
      </c>
      <c r="C399" s="26"/>
      <c r="D399" s="26"/>
      <c r="E399" s="198"/>
      <c r="F399" s="28">
        <f t="shared" ref="F399:I399" si="95">SUM(F391:F398)</f>
        <v>10227</v>
      </c>
      <c r="G399" s="28">
        <f t="shared" si="95"/>
        <v>130.16</v>
      </c>
      <c r="H399" s="28">
        <f t="shared" si="95"/>
        <v>78.095999999999989</v>
      </c>
      <c r="I399" s="28">
        <f t="shared" si="95"/>
        <v>52.064000000000007</v>
      </c>
      <c r="J399" s="18"/>
    </row>
    <row r="400" spans="1:10" s="19" customFormat="1" ht="34.5" customHeight="1" x14ac:dyDescent="0.3">
      <c r="A400" s="176">
        <v>12</v>
      </c>
      <c r="B400" s="257" t="s">
        <v>818</v>
      </c>
      <c r="C400" s="257"/>
      <c r="D400" s="257"/>
      <c r="E400" s="198"/>
      <c r="F400" s="16"/>
      <c r="G400" s="16"/>
      <c r="H400" s="16"/>
      <c r="I400" s="16"/>
      <c r="J400" s="48"/>
    </row>
    <row r="401" spans="1:10" s="19" customFormat="1" ht="34.5" customHeight="1" x14ac:dyDescent="0.3">
      <c r="A401" s="176"/>
      <c r="B401" s="38" t="s">
        <v>819</v>
      </c>
      <c r="C401" s="38"/>
      <c r="D401" s="38"/>
      <c r="E401" s="198"/>
      <c r="F401" s="16"/>
      <c r="G401" s="16"/>
      <c r="H401" s="16"/>
      <c r="I401" s="16"/>
      <c r="J401" s="48"/>
    </row>
    <row r="402" spans="1:10" s="19" customFormat="1" x14ac:dyDescent="0.3">
      <c r="A402" s="176"/>
      <c r="B402" s="14" t="s">
        <v>820</v>
      </c>
      <c r="C402" s="66" t="s">
        <v>821</v>
      </c>
      <c r="D402" s="66" t="s">
        <v>821</v>
      </c>
      <c r="E402" s="211"/>
      <c r="F402" s="16"/>
      <c r="G402" s="16">
        <f>F402*1</f>
        <v>0</v>
      </c>
      <c r="H402" s="16">
        <f>G402*0.6</f>
        <v>0</v>
      </c>
      <c r="I402" s="16">
        <f>G402*0.4</f>
        <v>0</v>
      </c>
      <c r="J402" s="48"/>
    </row>
    <row r="403" spans="1:10" s="19" customFormat="1" x14ac:dyDescent="0.3">
      <c r="A403" s="176"/>
      <c r="B403" s="14" t="s">
        <v>822</v>
      </c>
      <c r="C403" s="66" t="s">
        <v>821</v>
      </c>
      <c r="D403" s="66" t="s">
        <v>821</v>
      </c>
      <c r="E403" s="211"/>
      <c r="F403" s="16"/>
      <c r="G403" s="16">
        <f>F403*1.225</f>
        <v>0</v>
      </c>
      <c r="H403" s="16">
        <f>G403*0.6</f>
        <v>0</v>
      </c>
      <c r="I403" s="16">
        <f>G403*0.4</f>
        <v>0</v>
      </c>
      <c r="J403" s="48"/>
    </row>
    <row r="404" spans="1:10" s="19" customFormat="1" x14ac:dyDescent="0.3">
      <c r="A404" s="176"/>
      <c r="B404" s="254" t="s">
        <v>298</v>
      </c>
      <c r="C404" s="254"/>
      <c r="D404" s="67"/>
      <c r="E404" s="212"/>
      <c r="F404" s="16"/>
      <c r="G404" s="16"/>
      <c r="H404" s="16"/>
      <c r="I404" s="16"/>
      <c r="J404" s="48"/>
    </row>
    <row r="405" spans="1:10" s="19" customFormat="1" x14ac:dyDescent="0.3">
      <c r="A405" s="176"/>
      <c r="B405" s="22" t="s">
        <v>823</v>
      </c>
      <c r="C405" s="66" t="s">
        <v>821</v>
      </c>
      <c r="D405" s="66" t="s">
        <v>821</v>
      </c>
      <c r="E405" s="211"/>
      <c r="F405" s="16"/>
      <c r="G405" s="16">
        <f>F405*0.5</f>
        <v>0</v>
      </c>
      <c r="H405" s="16">
        <f>G405*0.6</f>
        <v>0</v>
      </c>
      <c r="I405" s="16">
        <f>G405*0.4</f>
        <v>0</v>
      </c>
      <c r="J405" s="48"/>
    </row>
    <row r="406" spans="1:10" s="19" customFormat="1" x14ac:dyDescent="0.3">
      <c r="A406" s="176"/>
      <c r="B406" s="22" t="s">
        <v>824</v>
      </c>
      <c r="C406" s="66" t="s">
        <v>821</v>
      </c>
      <c r="D406" s="66" t="s">
        <v>821</v>
      </c>
      <c r="E406" s="211"/>
      <c r="F406" s="16"/>
      <c r="G406" s="16">
        <f>F406*0.75</f>
        <v>0</v>
      </c>
      <c r="H406" s="16">
        <f>G406*0.6</f>
        <v>0</v>
      </c>
      <c r="I406" s="16">
        <f>G406*0.4</f>
        <v>0</v>
      </c>
      <c r="J406" s="48"/>
    </row>
    <row r="407" spans="1:10" s="19" customFormat="1" x14ac:dyDescent="0.3">
      <c r="A407" s="14"/>
      <c r="B407" s="257" t="s">
        <v>825</v>
      </c>
      <c r="C407" s="257"/>
      <c r="D407" s="257"/>
      <c r="E407" s="198"/>
      <c r="F407" s="16"/>
      <c r="G407" s="16"/>
      <c r="H407" s="16"/>
      <c r="I407" s="16"/>
      <c r="J407" s="77"/>
    </row>
    <row r="408" spans="1:10" s="19" customFormat="1" ht="31" x14ac:dyDescent="0.3">
      <c r="A408" s="14"/>
      <c r="B408" s="22" t="s">
        <v>826</v>
      </c>
      <c r="C408" s="66" t="s">
        <v>821</v>
      </c>
      <c r="D408" s="66" t="s">
        <v>821</v>
      </c>
      <c r="E408" s="211"/>
      <c r="F408" s="16"/>
      <c r="G408" s="16">
        <f>F408*0.006</f>
        <v>0</v>
      </c>
      <c r="H408" s="16">
        <f t="shared" ref="H408:H409" si="96">G408*0.6</f>
        <v>0</v>
      </c>
      <c r="I408" s="16">
        <f t="shared" ref="I408:I409" si="97">G408*0.4</f>
        <v>0</v>
      </c>
      <c r="J408" s="77"/>
    </row>
    <row r="409" spans="1:10" s="19" customFormat="1" ht="46.5" x14ac:dyDescent="0.3">
      <c r="A409" s="14"/>
      <c r="B409" s="22" t="s">
        <v>827</v>
      </c>
      <c r="C409" s="66" t="s">
        <v>821</v>
      </c>
      <c r="D409" s="66" t="s">
        <v>821</v>
      </c>
      <c r="E409" s="211"/>
      <c r="F409" s="16"/>
      <c r="G409" s="16">
        <f>F409*0.031</f>
        <v>0</v>
      </c>
      <c r="H409" s="16">
        <f t="shared" si="96"/>
        <v>0</v>
      </c>
      <c r="I409" s="16">
        <f t="shared" si="97"/>
        <v>0</v>
      </c>
      <c r="J409" s="77"/>
    </row>
    <row r="410" spans="1:10" s="19" customFormat="1" ht="77.5" x14ac:dyDescent="0.3">
      <c r="A410" s="14"/>
      <c r="B410" s="22" t="s">
        <v>828</v>
      </c>
      <c r="C410" s="66" t="s">
        <v>821</v>
      </c>
      <c r="D410" s="66" t="s">
        <v>821</v>
      </c>
      <c r="E410" s="211"/>
      <c r="F410" s="16"/>
      <c r="G410" s="16">
        <f>F410*0.038</f>
        <v>0</v>
      </c>
      <c r="H410" s="16">
        <f t="shared" ref="H410" si="98">G410*0.6</f>
        <v>0</v>
      </c>
      <c r="I410" s="16">
        <f t="shared" ref="I410" si="99">G410*0.4</f>
        <v>0</v>
      </c>
      <c r="J410" s="77"/>
    </row>
    <row r="411" spans="1:10" s="19" customFormat="1" ht="77.5" x14ac:dyDescent="0.3">
      <c r="A411" s="14"/>
      <c r="B411" s="22" t="s">
        <v>829</v>
      </c>
      <c r="C411" s="66" t="s">
        <v>821</v>
      </c>
      <c r="D411" s="66" t="s">
        <v>821</v>
      </c>
      <c r="E411" s="211"/>
      <c r="F411" s="16"/>
      <c r="G411" s="16">
        <f>F411*0.1</f>
        <v>0</v>
      </c>
      <c r="H411" s="16">
        <f>G411*0.6</f>
        <v>0</v>
      </c>
      <c r="I411" s="16">
        <f>G411*0.4</f>
        <v>0</v>
      </c>
      <c r="J411" s="77"/>
    </row>
    <row r="412" spans="1:10" s="19" customFormat="1" ht="31" x14ac:dyDescent="0.3">
      <c r="A412" s="14"/>
      <c r="B412" s="22" t="s">
        <v>830</v>
      </c>
      <c r="C412" s="66" t="s">
        <v>821</v>
      </c>
      <c r="D412" s="66" t="s">
        <v>821</v>
      </c>
      <c r="E412" s="211"/>
      <c r="F412" s="16"/>
      <c r="G412" s="16">
        <f>F412*0.038</f>
        <v>0</v>
      </c>
      <c r="H412" s="16">
        <f>G412*0.6</f>
        <v>0</v>
      </c>
      <c r="I412" s="16">
        <f>G412*0.4</f>
        <v>0</v>
      </c>
      <c r="J412" s="77"/>
    </row>
    <row r="413" spans="1:10" s="19" customFormat="1" ht="46.5" x14ac:dyDescent="0.3">
      <c r="A413" s="14"/>
      <c r="B413" s="22" t="s">
        <v>831</v>
      </c>
      <c r="C413" s="66" t="s">
        <v>821</v>
      </c>
      <c r="D413" s="66" t="s">
        <v>821</v>
      </c>
      <c r="E413" s="211"/>
      <c r="F413" s="16"/>
      <c r="G413" s="16">
        <f>F413*0.038</f>
        <v>0</v>
      </c>
      <c r="H413" s="16">
        <f>G413*0.6</f>
        <v>0</v>
      </c>
      <c r="I413" s="16">
        <f>G413*0.4</f>
        <v>0</v>
      </c>
      <c r="J413" s="77"/>
    </row>
    <row r="414" spans="1:10" s="19" customFormat="1" ht="31" x14ac:dyDescent="0.3">
      <c r="A414" s="14"/>
      <c r="B414" s="22" t="s">
        <v>832</v>
      </c>
      <c r="C414" s="66" t="s">
        <v>821</v>
      </c>
      <c r="D414" s="66" t="s">
        <v>821</v>
      </c>
      <c r="E414" s="211"/>
      <c r="F414" s="16"/>
      <c r="G414" s="16">
        <f>F414*0.63</f>
        <v>0</v>
      </c>
      <c r="H414" s="16">
        <f>G414*0.6</f>
        <v>0</v>
      </c>
      <c r="I414" s="16">
        <f>G414*0.4</f>
        <v>0</v>
      </c>
      <c r="J414" s="77"/>
    </row>
    <row r="415" spans="1:10" s="19" customFormat="1" x14ac:dyDescent="0.3">
      <c r="A415" s="14"/>
      <c r="B415" s="22" t="s">
        <v>833</v>
      </c>
      <c r="C415" s="66" t="s">
        <v>821</v>
      </c>
      <c r="D415" s="66" t="s">
        <v>821</v>
      </c>
      <c r="E415" s="211"/>
      <c r="F415" s="16"/>
      <c r="G415" s="16">
        <f>F415*0.014</f>
        <v>0</v>
      </c>
      <c r="H415" s="16">
        <f>G415*0.6</f>
        <v>0</v>
      </c>
      <c r="I415" s="16">
        <f>G415*0.4</f>
        <v>0</v>
      </c>
      <c r="J415" s="77"/>
    </row>
    <row r="416" spans="1:10" s="19" customFormat="1" ht="45" customHeight="1" x14ac:dyDescent="0.3">
      <c r="A416" s="14"/>
      <c r="B416" s="254" t="s">
        <v>834</v>
      </c>
      <c r="C416" s="254"/>
      <c r="D416" s="78"/>
      <c r="E416" s="213"/>
      <c r="F416" s="16"/>
      <c r="G416" s="16"/>
      <c r="H416" s="16"/>
      <c r="I416" s="16"/>
      <c r="J416" s="77"/>
    </row>
    <row r="417" spans="1:10" s="19" customFormat="1" ht="34.5" customHeight="1" x14ac:dyDescent="0.3">
      <c r="A417" s="14"/>
      <c r="B417" s="22" t="s">
        <v>836</v>
      </c>
      <c r="C417" s="253" t="s">
        <v>837</v>
      </c>
      <c r="D417" s="253" t="s">
        <v>838</v>
      </c>
      <c r="E417" s="213"/>
      <c r="F417" s="16"/>
      <c r="G417" s="16">
        <f>F417*100*0.5</f>
        <v>0</v>
      </c>
      <c r="H417" s="16">
        <f t="shared" ref="H417:H418" si="100">G417*0.6</f>
        <v>0</v>
      </c>
      <c r="I417" s="16">
        <f t="shared" ref="I417:I418" si="101">G417*0.4</f>
        <v>0</v>
      </c>
      <c r="J417" s="24"/>
    </row>
    <row r="418" spans="1:10" s="19" customFormat="1" ht="22.5" customHeight="1" x14ac:dyDescent="0.3">
      <c r="A418" s="14"/>
      <c r="B418" s="22" t="s">
        <v>835</v>
      </c>
      <c r="C418" s="253"/>
      <c r="D418" s="253" t="s">
        <v>111</v>
      </c>
      <c r="E418" s="213"/>
      <c r="F418" s="16"/>
      <c r="G418" s="16">
        <f>F418*25*0.5</f>
        <v>0</v>
      </c>
      <c r="H418" s="16">
        <f t="shared" si="100"/>
        <v>0</v>
      </c>
      <c r="I418" s="16">
        <f t="shared" si="101"/>
        <v>0</v>
      </c>
      <c r="J418" s="77"/>
    </row>
    <row r="419" spans="1:10" s="238" customFormat="1" ht="36" customHeight="1" x14ac:dyDescent="0.3">
      <c r="A419" s="234"/>
      <c r="B419" s="242" t="s">
        <v>1033</v>
      </c>
      <c r="C419" s="243"/>
      <c r="D419" s="244"/>
      <c r="E419" s="245" t="s">
        <v>1066</v>
      </c>
      <c r="F419" s="236">
        <v>35</v>
      </c>
      <c r="G419" s="236">
        <v>24.8</v>
      </c>
      <c r="H419" s="236">
        <f t="shared" ref="H419" si="102">G419*0.6</f>
        <v>14.879999999999999</v>
      </c>
      <c r="I419" s="236">
        <f t="shared" ref="I419" si="103">G419*0.4</f>
        <v>9.9200000000000017</v>
      </c>
      <c r="J419" s="246"/>
    </row>
    <row r="420" spans="1:10" s="19" customFormat="1" x14ac:dyDescent="0.3">
      <c r="A420" s="14"/>
      <c r="B420" s="22"/>
      <c r="C420" s="22"/>
      <c r="D420" s="14"/>
      <c r="E420" s="199"/>
      <c r="F420" s="16"/>
      <c r="G420" s="16"/>
      <c r="H420" s="16"/>
      <c r="I420" s="16"/>
      <c r="J420" s="77"/>
    </row>
    <row r="421" spans="1:10" s="19" customFormat="1" ht="18" x14ac:dyDescent="0.3">
      <c r="A421" s="26"/>
      <c r="B421" s="26" t="s">
        <v>122</v>
      </c>
      <c r="C421" s="26"/>
      <c r="D421" s="26"/>
      <c r="E421" s="198"/>
      <c r="F421" s="28">
        <f>SUM(F402:F420)</f>
        <v>35</v>
      </c>
      <c r="G421" s="28">
        <f>SUM(G402:G420)</f>
        <v>24.8</v>
      </c>
      <c r="H421" s="28">
        <f>SUM(H402:H420)</f>
        <v>14.879999999999999</v>
      </c>
      <c r="I421" s="28">
        <f>SUM(I402:I420)</f>
        <v>9.9200000000000017</v>
      </c>
      <c r="J421" s="17"/>
    </row>
    <row r="422" spans="1:10" s="19" customFormat="1" ht="45" customHeight="1" x14ac:dyDescent="0.3">
      <c r="A422" s="26">
        <v>13</v>
      </c>
      <c r="B422" s="257" t="s">
        <v>839</v>
      </c>
      <c r="C422" s="257"/>
      <c r="D422" s="26"/>
      <c r="E422" s="198"/>
      <c r="F422" s="28"/>
      <c r="G422" s="28"/>
      <c r="H422" s="28"/>
      <c r="I422" s="28"/>
      <c r="J422" s="17"/>
    </row>
    <row r="423" spans="1:10" s="19" customFormat="1" ht="23.25" customHeight="1" x14ac:dyDescent="0.3">
      <c r="A423" s="26"/>
      <c r="B423" s="26" t="s">
        <v>841</v>
      </c>
      <c r="C423" s="254" t="s">
        <v>344</v>
      </c>
      <c r="D423" s="254" t="s">
        <v>345</v>
      </c>
      <c r="E423" s="199">
        <v>881</v>
      </c>
      <c r="F423" s="16">
        <v>5</v>
      </c>
      <c r="G423" s="16">
        <f>F423*25</f>
        <v>125</v>
      </c>
      <c r="H423" s="16">
        <f t="shared" ref="H423:H424" si="104">G423*0.6</f>
        <v>75</v>
      </c>
      <c r="I423" s="16">
        <f t="shared" ref="I423:I424" si="105">G423*0.4</f>
        <v>50</v>
      </c>
      <c r="J423" s="17"/>
    </row>
    <row r="424" spans="1:10" s="19" customFormat="1" ht="22.5" customHeight="1" x14ac:dyDescent="0.3">
      <c r="A424" s="26"/>
      <c r="B424" s="26" t="s">
        <v>840</v>
      </c>
      <c r="C424" s="254"/>
      <c r="D424" s="254"/>
      <c r="E424" s="199"/>
      <c r="F424" s="16"/>
      <c r="G424" s="16">
        <f>F424*25*0.75</f>
        <v>0</v>
      </c>
      <c r="H424" s="16">
        <f t="shared" si="104"/>
        <v>0</v>
      </c>
      <c r="I424" s="16">
        <f t="shared" si="105"/>
        <v>0</v>
      </c>
      <c r="J424" s="17"/>
    </row>
    <row r="425" spans="1:10" s="19" customFormat="1" ht="18" x14ac:dyDescent="0.3">
      <c r="A425" s="26"/>
      <c r="B425" s="26" t="s">
        <v>122</v>
      </c>
      <c r="C425" s="14"/>
      <c r="D425" s="14"/>
      <c r="E425" s="199"/>
      <c r="F425" s="28">
        <f>SUM(F423:F424)</f>
        <v>5</v>
      </c>
      <c r="G425" s="28">
        <f t="shared" ref="G425:I425" si="106">SUM(G423:G424)</f>
        <v>125</v>
      </c>
      <c r="H425" s="28">
        <f t="shared" si="106"/>
        <v>75</v>
      </c>
      <c r="I425" s="28">
        <f t="shared" si="106"/>
        <v>50</v>
      </c>
      <c r="J425" s="17"/>
    </row>
    <row r="426" spans="1:10" s="19" customFormat="1" ht="18" x14ac:dyDescent="0.3">
      <c r="A426" s="41">
        <v>14</v>
      </c>
      <c r="B426" s="258" t="s">
        <v>842</v>
      </c>
      <c r="C426" s="258"/>
      <c r="D426" s="258"/>
      <c r="E426" s="200"/>
      <c r="F426" s="16"/>
      <c r="G426" s="16"/>
      <c r="H426" s="16"/>
      <c r="I426" s="16"/>
      <c r="J426" s="20"/>
    </row>
    <row r="427" spans="1:10" s="19" customFormat="1" x14ac:dyDescent="0.3">
      <c r="A427" s="41"/>
      <c r="B427" s="14" t="s">
        <v>843</v>
      </c>
      <c r="C427" s="14" t="s">
        <v>844</v>
      </c>
      <c r="D427" s="14" t="s">
        <v>167</v>
      </c>
      <c r="E427" s="199"/>
      <c r="F427" s="16"/>
      <c r="G427" s="16">
        <f>F427*15</f>
        <v>0</v>
      </c>
      <c r="H427" s="16">
        <f>G427*0.6</f>
        <v>0</v>
      </c>
      <c r="I427" s="16">
        <f>G427*0.4</f>
        <v>0</v>
      </c>
      <c r="J427" s="20"/>
    </row>
    <row r="428" spans="1:10" s="238" customFormat="1" ht="31" x14ac:dyDescent="0.3">
      <c r="A428" s="248"/>
      <c r="B428" s="249" t="s">
        <v>1034</v>
      </c>
      <c r="C428" s="249"/>
      <c r="D428" s="249"/>
      <c r="E428" s="250">
        <v>884</v>
      </c>
      <c r="F428" s="251">
        <v>103</v>
      </c>
      <c r="G428" s="251">
        <v>16.97</v>
      </c>
      <c r="H428" s="251">
        <f>G428*0.6</f>
        <v>10.181999999999999</v>
      </c>
      <c r="I428" s="251">
        <f>G428*0.4</f>
        <v>6.7880000000000003</v>
      </c>
      <c r="J428" s="247"/>
    </row>
    <row r="429" spans="1:10" s="19" customFormat="1" ht="18" x14ac:dyDescent="0.3">
      <c r="A429" s="41"/>
      <c r="B429" s="123"/>
      <c r="C429" s="123"/>
      <c r="D429" s="123"/>
      <c r="E429" s="200"/>
      <c r="F429" s="16"/>
      <c r="G429" s="16"/>
      <c r="H429" s="16"/>
      <c r="I429" s="16"/>
      <c r="J429" s="20"/>
    </row>
    <row r="430" spans="1:10" s="81" customFormat="1" ht="93" x14ac:dyDescent="0.25">
      <c r="A430" s="7"/>
      <c r="B430" s="14" t="s">
        <v>845</v>
      </c>
      <c r="C430" s="14" t="s">
        <v>846</v>
      </c>
      <c r="D430" s="14" t="s">
        <v>847</v>
      </c>
      <c r="E430" s="199">
        <v>885</v>
      </c>
      <c r="F430" s="16">
        <v>1000</v>
      </c>
      <c r="G430" s="16">
        <v>164.2</v>
      </c>
      <c r="H430" s="16">
        <f>G430*0.6</f>
        <v>98.52</v>
      </c>
      <c r="I430" s="16">
        <f t="shared" ref="I430:I450" si="107">G430*0.4</f>
        <v>65.679999999999993</v>
      </c>
      <c r="J430" s="80"/>
    </row>
    <row r="431" spans="1:10" s="81" customFormat="1" ht="21.75" customHeight="1" x14ac:dyDescent="0.25">
      <c r="A431" s="7"/>
      <c r="B431" s="254" t="s">
        <v>848</v>
      </c>
      <c r="C431" s="254"/>
      <c r="D431" s="14"/>
      <c r="E431" s="199"/>
      <c r="F431" s="16"/>
      <c r="G431" s="16"/>
      <c r="H431" s="16"/>
      <c r="I431" s="16"/>
      <c r="J431" s="80"/>
    </row>
    <row r="432" spans="1:10" s="81" customFormat="1" ht="46.5" x14ac:dyDescent="0.25">
      <c r="A432" s="7"/>
      <c r="B432" s="14" t="s">
        <v>849</v>
      </c>
      <c r="C432" s="14" t="s">
        <v>424</v>
      </c>
      <c r="D432" s="14" t="s">
        <v>425</v>
      </c>
      <c r="E432" s="199"/>
      <c r="F432" s="16"/>
      <c r="G432" s="16">
        <f>F432*0.01</f>
        <v>0</v>
      </c>
      <c r="H432" s="16">
        <f>G432*0.6</f>
        <v>0</v>
      </c>
      <c r="I432" s="16">
        <f>G432*0.4</f>
        <v>0</v>
      </c>
      <c r="J432" s="17"/>
    </row>
    <row r="433" spans="1:10" s="174" customFormat="1" x14ac:dyDescent="0.25">
      <c r="A433" s="252"/>
      <c r="B433" s="249">
        <v>3</v>
      </c>
      <c r="C433" s="249"/>
      <c r="D433" s="249"/>
      <c r="E433" s="250">
        <v>887</v>
      </c>
      <c r="F433" s="251">
        <v>782</v>
      </c>
      <c r="G433" s="251">
        <f>F433*0.01*2.999</f>
        <v>23.452180000000002</v>
      </c>
      <c r="H433" s="251">
        <f t="shared" ref="H433:H434" si="108">G433*0.6</f>
        <v>14.071308</v>
      </c>
      <c r="I433" s="251">
        <f t="shared" ref="I433:I434" si="109">G433*0.4</f>
        <v>9.3808720000000019</v>
      </c>
      <c r="J433" s="173"/>
    </row>
    <row r="434" spans="1:10" s="81" customFormat="1" ht="16.5" customHeight="1" x14ac:dyDescent="0.25">
      <c r="A434" s="231"/>
      <c r="B434" s="220">
        <v>5</v>
      </c>
      <c r="C434" s="220"/>
      <c r="D434" s="220"/>
      <c r="E434" s="223">
        <v>887</v>
      </c>
      <c r="F434" s="226">
        <v>3000</v>
      </c>
      <c r="G434" s="226">
        <f>F434*0.01*5</f>
        <v>150</v>
      </c>
      <c r="H434" s="226">
        <f t="shared" si="108"/>
        <v>90</v>
      </c>
      <c r="I434" s="226">
        <f t="shared" si="109"/>
        <v>60</v>
      </c>
      <c r="J434" s="17"/>
    </row>
    <row r="435" spans="1:10" s="81" customFormat="1" ht="31" x14ac:dyDescent="0.25">
      <c r="A435" s="7"/>
      <c r="B435" s="14" t="s">
        <v>850</v>
      </c>
      <c r="C435" s="14" t="s">
        <v>852</v>
      </c>
      <c r="D435" s="14" t="s">
        <v>432</v>
      </c>
      <c r="E435" s="199">
        <v>888</v>
      </c>
      <c r="F435" s="16">
        <v>400</v>
      </c>
      <c r="G435" s="16">
        <f>F435*0.07</f>
        <v>28.000000000000004</v>
      </c>
      <c r="H435" s="16">
        <f>G435*0.6</f>
        <v>16.8</v>
      </c>
      <c r="I435" s="16">
        <f>G435*0.4</f>
        <v>11.200000000000003</v>
      </c>
      <c r="J435" s="17"/>
    </row>
    <row r="436" spans="1:10" s="81" customFormat="1" ht="46.5" x14ac:dyDescent="0.25">
      <c r="A436" s="7"/>
      <c r="B436" s="14" t="s">
        <v>851</v>
      </c>
      <c r="C436" s="14" t="s">
        <v>853</v>
      </c>
      <c r="D436" s="14" t="s">
        <v>432</v>
      </c>
      <c r="E436" s="199"/>
      <c r="F436" s="16"/>
      <c r="G436" s="16">
        <f>F436*1.5</f>
        <v>0</v>
      </c>
      <c r="H436" s="16">
        <f>G436*0.6</f>
        <v>0</v>
      </c>
      <c r="I436" s="16">
        <f>G436*0.4</f>
        <v>0</v>
      </c>
      <c r="J436" s="17"/>
    </row>
    <row r="437" spans="1:10" s="81" customFormat="1" ht="18" x14ac:dyDescent="0.25">
      <c r="A437" s="7"/>
      <c r="B437" s="258" t="s">
        <v>854</v>
      </c>
      <c r="C437" s="258"/>
      <c r="D437" s="258"/>
      <c r="E437" s="200"/>
      <c r="F437" s="16"/>
      <c r="G437" s="16"/>
      <c r="H437" s="16">
        <f t="shared" ref="H437:H440" si="110">G437*0.6</f>
        <v>0</v>
      </c>
      <c r="I437" s="16">
        <f t="shared" ref="I437:I440" si="111">G437*0.4</f>
        <v>0</v>
      </c>
      <c r="J437" s="18"/>
    </row>
    <row r="438" spans="1:10" s="81" customFormat="1" ht="62" x14ac:dyDescent="0.25">
      <c r="A438" s="7"/>
      <c r="B438" s="14" t="s">
        <v>423</v>
      </c>
      <c r="C438" s="14" t="s">
        <v>434</v>
      </c>
      <c r="D438" s="14" t="s">
        <v>855</v>
      </c>
      <c r="E438" s="199">
        <v>891</v>
      </c>
      <c r="F438" s="16">
        <v>100</v>
      </c>
      <c r="G438" s="16">
        <f>F438*0.003</f>
        <v>0.3</v>
      </c>
      <c r="H438" s="16">
        <f t="shared" si="110"/>
        <v>0.18</v>
      </c>
      <c r="I438" s="16">
        <f t="shared" si="111"/>
        <v>0.12</v>
      </c>
      <c r="J438" s="59"/>
    </row>
    <row r="439" spans="1:10" s="81" customFormat="1" ht="46.5" x14ac:dyDescent="0.25">
      <c r="A439" s="7"/>
      <c r="B439" s="14" t="s">
        <v>435</v>
      </c>
      <c r="C439" s="14" t="s">
        <v>856</v>
      </c>
      <c r="D439" s="14" t="s">
        <v>855</v>
      </c>
      <c r="E439" s="199">
        <v>892</v>
      </c>
      <c r="F439" s="16">
        <v>50</v>
      </c>
      <c r="G439" s="16">
        <f>F439*0.01</f>
        <v>0.5</v>
      </c>
      <c r="H439" s="16">
        <f t="shared" si="110"/>
        <v>0.3</v>
      </c>
      <c r="I439" s="16">
        <f t="shared" si="111"/>
        <v>0.2</v>
      </c>
      <c r="J439" s="17"/>
    </row>
    <row r="440" spans="1:10" s="81" customFormat="1" ht="77.5" x14ac:dyDescent="0.25">
      <c r="A440" s="7"/>
      <c r="B440" s="14" t="s">
        <v>430</v>
      </c>
      <c r="C440" s="14" t="s">
        <v>857</v>
      </c>
      <c r="D440" s="14" t="s">
        <v>858</v>
      </c>
      <c r="E440" s="199"/>
      <c r="F440" s="16"/>
      <c r="G440" s="16">
        <f>F440*1.5</f>
        <v>0</v>
      </c>
      <c r="H440" s="16">
        <f t="shared" si="110"/>
        <v>0</v>
      </c>
      <c r="I440" s="16">
        <f t="shared" si="111"/>
        <v>0</v>
      </c>
      <c r="J440" s="17"/>
    </row>
    <row r="441" spans="1:10" s="81" customFormat="1" ht="18" x14ac:dyDescent="0.25">
      <c r="A441" s="7"/>
      <c r="B441" s="26" t="s">
        <v>122</v>
      </c>
      <c r="C441" s="14"/>
      <c r="D441" s="14"/>
      <c r="E441" s="199"/>
      <c r="F441" s="28">
        <f>SUM(F427:F440)</f>
        <v>5435</v>
      </c>
      <c r="G441" s="28">
        <f>SUM(G427:G440)</f>
        <v>383.42217999999997</v>
      </c>
      <c r="H441" s="28">
        <f>SUM(H427:H440)</f>
        <v>230.05330800000002</v>
      </c>
      <c r="I441" s="28">
        <f>SUM(I427:I440)</f>
        <v>153.36887199999995</v>
      </c>
      <c r="J441" s="18"/>
    </row>
    <row r="442" spans="1:10" s="81" customFormat="1" ht="30" customHeight="1" x14ac:dyDescent="0.25">
      <c r="A442" s="7"/>
      <c r="B442" s="257" t="s">
        <v>859</v>
      </c>
      <c r="C442" s="257"/>
      <c r="D442" s="14"/>
      <c r="E442" s="199"/>
      <c r="F442" s="16"/>
      <c r="G442" s="16"/>
      <c r="H442" s="16"/>
      <c r="I442" s="16"/>
      <c r="J442" s="80"/>
    </row>
    <row r="443" spans="1:10" s="81" customFormat="1" ht="69" customHeight="1" x14ac:dyDescent="0.25">
      <c r="A443" s="7"/>
      <c r="B443" s="14" t="s">
        <v>860</v>
      </c>
      <c r="C443" s="14" t="s">
        <v>861</v>
      </c>
      <c r="D443" s="14" t="s">
        <v>862</v>
      </c>
      <c r="E443" s="199">
        <v>895</v>
      </c>
      <c r="F443" s="16">
        <v>28</v>
      </c>
      <c r="G443" s="16">
        <f>F443*25*0.5</f>
        <v>350</v>
      </c>
      <c r="H443" s="16">
        <f t="shared" ref="H443:H446" si="112">G443*0.6</f>
        <v>210</v>
      </c>
      <c r="I443" s="16">
        <f t="shared" ref="I443:I446" si="113">G443*0.4</f>
        <v>140</v>
      </c>
      <c r="J443" s="80"/>
    </row>
    <row r="444" spans="1:10" s="174" customFormat="1" ht="27" customHeight="1" x14ac:dyDescent="0.25">
      <c r="A444" s="172"/>
      <c r="B444" s="171" t="s">
        <v>1035</v>
      </c>
      <c r="C444" s="171"/>
      <c r="D444" s="171"/>
      <c r="E444" s="210"/>
      <c r="F444" s="153"/>
      <c r="G444" s="153">
        <f>F444*4*0.5</f>
        <v>0</v>
      </c>
      <c r="H444" s="153">
        <f t="shared" ref="H444" si="114">G444*0.6</f>
        <v>0</v>
      </c>
      <c r="I444" s="153">
        <f t="shared" ref="I444" si="115">G444*0.4</f>
        <v>0</v>
      </c>
      <c r="J444" s="175"/>
    </row>
    <row r="445" spans="1:10" s="81" customFormat="1" ht="73.5" customHeight="1" x14ac:dyDescent="0.25">
      <c r="A445" s="7"/>
      <c r="B445" s="14" t="s">
        <v>863</v>
      </c>
      <c r="C445" s="14" t="s">
        <v>864</v>
      </c>
      <c r="D445" s="14" t="s">
        <v>865</v>
      </c>
      <c r="E445" s="199">
        <v>896</v>
      </c>
      <c r="F445" s="16">
        <v>5</v>
      </c>
      <c r="G445" s="16">
        <f>F445*160*0.35</f>
        <v>280</v>
      </c>
      <c r="H445" s="16">
        <f t="shared" si="112"/>
        <v>168</v>
      </c>
      <c r="I445" s="16">
        <f t="shared" si="113"/>
        <v>112</v>
      </c>
      <c r="J445" s="80"/>
    </row>
    <row r="446" spans="1:10" s="81" customFormat="1" ht="73.5" customHeight="1" x14ac:dyDescent="0.25">
      <c r="A446" s="7"/>
      <c r="B446" s="14" t="s">
        <v>866</v>
      </c>
      <c r="C446" s="14" t="s">
        <v>867</v>
      </c>
      <c r="D446" s="14" t="s">
        <v>865</v>
      </c>
      <c r="E446" s="199"/>
      <c r="F446" s="16"/>
      <c r="G446" s="16">
        <f>F446*320*0.35</f>
        <v>0</v>
      </c>
      <c r="H446" s="16">
        <f t="shared" si="112"/>
        <v>0</v>
      </c>
      <c r="I446" s="16">
        <f t="shared" si="113"/>
        <v>0</v>
      </c>
      <c r="J446" s="80"/>
    </row>
    <row r="447" spans="1:10" s="81" customFormat="1" ht="53.25" customHeight="1" x14ac:dyDescent="0.25">
      <c r="A447" s="7"/>
      <c r="B447" s="22" t="s">
        <v>980</v>
      </c>
      <c r="C447" s="254" t="s">
        <v>868</v>
      </c>
      <c r="D447" s="254" t="s">
        <v>869</v>
      </c>
      <c r="E447" s="199"/>
      <c r="F447" s="16"/>
      <c r="G447" s="16">
        <f>F447*5*0.35</f>
        <v>0</v>
      </c>
      <c r="H447" s="16">
        <f t="shared" ref="H447:H450" si="116">G447*0.6</f>
        <v>0</v>
      </c>
      <c r="I447" s="16">
        <f t="shared" si="107"/>
        <v>0</v>
      </c>
      <c r="J447" s="80"/>
    </row>
    <row r="448" spans="1:10" s="81" customFormat="1" ht="66.75" customHeight="1" x14ac:dyDescent="0.25">
      <c r="A448" s="7"/>
      <c r="B448" s="22" t="s">
        <v>870</v>
      </c>
      <c r="C448" s="254"/>
      <c r="D448" s="254"/>
      <c r="E448" s="199"/>
      <c r="F448" s="16"/>
      <c r="G448" s="16">
        <f>F448*5*0.5</f>
        <v>0</v>
      </c>
      <c r="H448" s="16">
        <f t="shared" si="116"/>
        <v>0</v>
      </c>
      <c r="I448" s="16">
        <f t="shared" si="107"/>
        <v>0</v>
      </c>
      <c r="J448" s="80"/>
    </row>
    <row r="449" spans="1:10" s="81" customFormat="1" ht="62" x14ac:dyDescent="0.25">
      <c r="A449" s="7"/>
      <c r="B449" s="14" t="s">
        <v>979</v>
      </c>
      <c r="C449" s="14" t="s">
        <v>872</v>
      </c>
      <c r="D449" s="14" t="s">
        <v>363</v>
      </c>
      <c r="E449" s="199"/>
      <c r="F449" s="16"/>
      <c r="G449" s="16">
        <f>F449*30*0.35</f>
        <v>0</v>
      </c>
      <c r="H449" s="16">
        <f t="shared" si="116"/>
        <v>0</v>
      </c>
      <c r="I449" s="16">
        <f t="shared" si="107"/>
        <v>0</v>
      </c>
      <c r="J449" s="80"/>
    </row>
    <row r="450" spans="1:10" s="81" customFormat="1" ht="62" x14ac:dyDescent="0.25">
      <c r="A450" s="7"/>
      <c r="B450" s="14" t="s">
        <v>871</v>
      </c>
      <c r="C450" s="14" t="s">
        <v>872</v>
      </c>
      <c r="D450" s="14" t="s">
        <v>363</v>
      </c>
      <c r="E450" s="199"/>
      <c r="F450" s="16"/>
      <c r="G450" s="16">
        <f>F450*30*0.5</f>
        <v>0</v>
      </c>
      <c r="H450" s="16">
        <f t="shared" si="116"/>
        <v>0</v>
      </c>
      <c r="I450" s="16">
        <f t="shared" si="107"/>
        <v>0</v>
      </c>
      <c r="J450" s="80"/>
    </row>
    <row r="451" spans="1:10" s="81" customFormat="1" x14ac:dyDescent="0.25">
      <c r="A451" s="7"/>
      <c r="B451" s="14" t="s">
        <v>873</v>
      </c>
      <c r="C451" s="14"/>
      <c r="D451" s="14"/>
      <c r="E451" s="199"/>
      <c r="F451" s="16"/>
      <c r="G451" s="16"/>
      <c r="H451" s="16"/>
      <c r="I451" s="16"/>
      <c r="J451" s="80"/>
    </row>
    <row r="452" spans="1:10" s="81" customFormat="1" ht="77.5" x14ac:dyDescent="0.25">
      <c r="A452" s="7"/>
      <c r="B452" s="14" t="s">
        <v>978</v>
      </c>
      <c r="C452" s="14" t="s">
        <v>874</v>
      </c>
      <c r="D452" s="14" t="s">
        <v>875</v>
      </c>
      <c r="E452" s="199"/>
      <c r="F452" s="16"/>
      <c r="G452" s="16">
        <f>F452*52*0.35</f>
        <v>0</v>
      </c>
      <c r="H452" s="16">
        <f>G452*0.6</f>
        <v>0</v>
      </c>
      <c r="I452" s="16">
        <f>G452*0.4</f>
        <v>0</v>
      </c>
      <c r="J452" s="80"/>
    </row>
    <row r="453" spans="1:10" s="81" customFormat="1" ht="46.5" x14ac:dyDescent="0.25">
      <c r="A453" s="7"/>
      <c r="B453" s="14" t="s">
        <v>877</v>
      </c>
      <c r="C453" s="14" t="s">
        <v>874</v>
      </c>
      <c r="D453" s="14"/>
      <c r="E453" s="199"/>
      <c r="F453" s="16"/>
      <c r="G453" s="16">
        <f>F453*52*0.5</f>
        <v>0</v>
      </c>
      <c r="H453" s="16">
        <f>G453*0.6</f>
        <v>0</v>
      </c>
      <c r="I453" s="16">
        <f>G453*0.4</f>
        <v>0</v>
      </c>
      <c r="J453" s="80"/>
    </row>
    <row r="454" spans="1:10" s="81" customFormat="1" ht="77.5" x14ac:dyDescent="0.25">
      <c r="A454" s="7"/>
      <c r="B454" s="14" t="s">
        <v>977</v>
      </c>
      <c r="C454" s="14" t="s">
        <v>878</v>
      </c>
      <c r="D454" s="14" t="s">
        <v>875</v>
      </c>
      <c r="E454" s="199">
        <v>913</v>
      </c>
      <c r="F454" s="16">
        <v>20</v>
      </c>
      <c r="G454" s="16">
        <f>F454*20*0.35</f>
        <v>140</v>
      </c>
      <c r="H454" s="16">
        <f>G454*0.6</f>
        <v>84</v>
      </c>
      <c r="I454" s="16">
        <f>G454*0.4</f>
        <v>56</v>
      </c>
      <c r="J454" s="80"/>
    </row>
    <row r="455" spans="1:10" s="81" customFormat="1" ht="31" x14ac:dyDescent="0.25">
      <c r="A455" s="7"/>
      <c r="B455" s="14" t="s">
        <v>876</v>
      </c>
      <c r="C455" s="14"/>
      <c r="D455" s="14"/>
      <c r="E455" s="199">
        <v>914</v>
      </c>
      <c r="F455" s="16">
        <v>25</v>
      </c>
      <c r="G455" s="16">
        <f>F455*20*0.5</f>
        <v>250</v>
      </c>
      <c r="H455" s="16">
        <f>G455*0.6</f>
        <v>150</v>
      </c>
      <c r="I455" s="16">
        <f>G455*0.4</f>
        <v>100</v>
      </c>
      <c r="J455" s="80"/>
    </row>
    <row r="456" spans="1:10" s="81" customFormat="1" x14ac:dyDescent="0.25">
      <c r="A456" s="7"/>
      <c r="B456" s="257" t="s">
        <v>879</v>
      </c>
      <c r="C456" s="257"/>
      <c r="D456" s="257"/>
      <c r="E456" s="198"/>
      <c r="F456" s="16"/>
      <c r="G456" s="16"/>
      <c r="H456" s="16"/>
      <c r="I456" s="16"/>
      <c r="J456" s="80"/>
    </row>
    <row r="457" spans="1:10" s="81" customFormat="1" ht="45.75" customHeight="1" x14ac:dyDescent="0.25">
      <c r="A457" s="7"/>
      <c r="B457" s="254" t="s">
        <v>880</v>
      </c>
      <c r="C457" s="254"/>
      <c r="D457" s="254"/>
      <c r="E457" s="199"/>
      <c r="F457" s="16"/>
      <c r="G457" s="16"/>
      <c r="H457" s="16"/>
      <c r="I457" s="16"/>
      <c r="J457" s="80"/>
    </row>
    <row r="458" spans="1:10" s="81" customFormat="1" ht="139.5" x14ac:dyDescent="0.25">
      <c r="A458" s="7"/>
      <c r="B458" s="14" t="s">
        <v>353</v>
      </c>
      <c r="C458" s="67" t="s">
        <v>881</v>
      </c>
      <c r="D458" s="14" t="s">
        <v>884</v>
      </c>
      <c r="E458" s="199"/>
      <c r="F458" s="16"/>
      <c r="G458" s="16">
        <f>F458*480*0.35</f>
        <v>0</v>
      </c>
      <c r="H458" s="16">
        <f>G458*0.9</f>
        <v>0</v>
      </c>
      <c r="I458" s="16">
        <f>G458*0.1</f>
        <v>0</v>
      </c>
      <c r="J458" s="80"/>
    </row>
    <row r="459" spans="1:10" s="81" customFormat="1" ht="31" x14ac:dyDescent="0.25">
      <c r="A459" s="7"/>
      <c r="B459" s="14" t="s">
        <v>354</v>
      </c>
      <c r="C459" s="67" t="s">
        <v>881</v>
      </c>
      <c r="D459" s="14"/>
      <c r="E459" s="199"/>
      <c r="F459" s="16"/>
      <c r="G459" s="16">
        <f>F459*480*0.5</f>
        <v>0</v>
      </c>
      <c r="H459" s="16">
        <f>G459*0.6</f>
        <v>0</v>
      </c>
      <c r="I459" s="16">
        <f>G459*0.4</f>
        <v>0</v>
      </c>
      <c r="J459" s="80"/>
    </row>
    <row r="460" spans="1:10" s="81" customFormat="1" ht="36" customHeight="1" x14ac:dyDescent="0.25">
      <c r="A460" s="7"/>
      <c r="B460" s="257" t="s">
        <v>882</v>
      </c>
      <c r="C460" s="257"/>
      <c r="D460" s="257"/>
      <c r="E460" s="198"/>
      <c r="F460" s="16"/>
      <c r="G460" s="16"/>
      <c r="H460" s="16"/>
      <c r="I460" s="16"/>
      <c r="J460" s="20"/>
    </row>
    <row r="461" spans="1:10" s="81" customFormat="1" ht="124" x14ac:dyDescent="0.25">
      <c r="A461" s="7"/>
      <c r="B461" s="14" t="s">
        <v>353</v>
      </c>
      <c r="C461" s="67" t="s">
        <v>883</v>
      </c>
      <c r="D461" s="14" t="s">
        <v>885</v>
      </c>
      <c r="E461" s="199">
        <v>920</v>
      </c>
      <c r="F461" s="16">
        <v>1</v>
      </c>
      <c r="G461" s="16">
        <f>F461*600*0.35</f>
        <v>210</v>
      </c>
      <c r="H461" s="16">
        <f>G461*0.6</f>
        <v>126</v>
      </c>
      <c r="I461" s="16">
        <f>G461*0.4</f>
        <v>84</v>
      </c>
      <c r="J461" s="20"/>
    </row>
    <row r="462" spans="1:10" s="81" customFormat="1" ht="31" x14ac:dyDescent="0.25">
      <c r="A462" s="7"/>
      <c r="B462" s="14" t="s">
        <v>354</v>
      </c>
      <c r="C462" s="67" t="s">
        <v>883</v>
      </c>
      <c r="D462" s="14"/>
      <c r="E462" s="199">
        <v>921</v>
      </c>
      <c r="F462" s="16">
        <v>3</v>
      </c>
      <c r="G462" s="16">
        <f>F462*600*0.5</f>
        <v>900</v>
      </c>
      <c r="H462" s="16">
        <f>G462*0.6</f>
        <v>540</v>
      </c>
      <c r="I462" s="16">
        <f>G462*0.4</f>
        <v>360</v>
      </c>
      <c r="J462" s="20"/>
    </row>
    <row r="463" spans="1:10" s="81" customFormat="1" ht="51" hidden="1" customHeight="1" x14ac:dyDescent="0.25">
      <c r="A463" s="7"/>
      <c r="B463" s="257" t="s">
        <v>886</v>
      </c>
      <c r="C463" s="257"/>
      <c r="D463" s="257"/>
      <c r="E463" s="198"/>
      <c r="F463" s="16"/>
      <c r="G463" s="16"/>
      <c r="H463" s="16"/>
      <c r="I463" s="16"/>
      <c r="J463" s="20"/>
    </row>
    <row r="464" spans="1:10" s="81" customFormat="1" ht="170.5" hidden="1" x14ac:dyDescent="0.25">
      <c r="A464" s="7"/>
      <c r="B464" s="14" t="s">
        <v>353</v>
      </c>
      <c r="C464" s="67" t="s">
        <v>887</v>
      </c>
      <c r="D464" s="14" t="s">
        <v>884</v>
      </c>
      <c r="E464" s="199"/>
      <c r="F464" s="16"/>
      <c r="G464" s="16">
        <f>F464*50*0.35</f>
        <v>0</v>
      </c>
      <c r="H464" s="16">
        <f>G464*0.6</f>
        <v>0</v>
      </c>
      <c r="I464" s="16">
        <f>G464*0.4</f>
        <v>0</v>
      </c>
      <c r="J464" s="20"/>
    </row>
    <row r="465" spans="1:10" s="81" customFormat="1" ht="170.5" hidden="1" x14ac:dyDescent="0.25">
      <c r="A465" s="7"/>
      <c r="B465" s="14" t="s">
        <v>354</v>
      </c>
      <c r="C465" s="67" t="s">
        <v>888</v>
      </c>
      <c r="D465" s="14"/>
      <c r="E465" s="199"/>
      <c r="F465" s="16"/>
      <c r="G465" s="16">
        <f>F465*50*0.5</f>
        <v>0</v>
      </c>
      <c r="H465" s="16">
        <f>G465*0.6</f>
        <v>0</v>
      </c>
      <c r="I465" s="16">
        <f>G465*0.4</f>
        <v>0</v>
      </c>
      <c r="J465" s="20"/>
    </row>
    <row r="466" spans="1:10" s="81" customFormat="1" hidden="1" x14ac:dyDescent="0.25">
      <c r="A466" s="7"/>
      <c r="B466" s="257" t="s">
        <v>889</v>
      </c>
      <c r="C466" s="257"/>
      <c r="D466" s="257"/>
      <c r="E466" s="198"/>
      <c r="F466" s="16"/>
      <c r="G466" s="16"/>
      <c r="H466" s="16"/>
      <c r="I466" s="16"/>
      <c r="J466" s="82"/>
    </row>
    <row r="467" spans="1:10" s="81" customFormat="1" ht="99" hidden="1" customHeight="1" x14ac:dyDescent="0.25">
      <c r="A467" s="7"/>
      <c r="B467" s="257" t="s">
        <v>984</v>
      </c>
      <c r="C467" s="257"/>
      <c r="D467" s="257"/>
      <c r="E467" s="198"/>
      <c r="F467" s="16"/>
      <c r="G467" s="16"/>
      <c r="H467" s="16"/>
      <c r="I467" s="16"/>
      <c r="J467" s="82"/>
    </row>
    <row r="468" spans="1:10" s="81" customFormat="1" ht="120" hidden="1" customHeight="1" x14ac:dyDescent="0.25">
      <c r="A468" s="7"/>
      <c r="B468" s="14" t="s">
        <v>353</v>
      </c>
      <c r="C468" s="261" t="s">
        <v>881</v>
      </c>
      <c r="D468" s="254" t="s">
        <v>885</v>
      </c>
      <c r="E468" s="199"/>
      <c r="F468" s="16"/>
      <c r="G468" s="16">
        <f>F468*480*0.35</f>
        <v>0</v>
      </c>
      <c r="H468" s="16">
        <f>G468*0.9</f>
        <v>0</v>
      </c>
      <c r="I468" s="16">
        <f>G468*0.1</f>
        <v>0</v>
      </c>
      <c r="J468" s="20"/>
    </row>
    <row r="469" spans="1:10" s="81" customFormat="1" hidden="1" x14ac:dyDescent="0.25">
      <c r="A469" s="7"/>
      <c r="B469" s="14" t="s">
        <v>354</v>
      </c>
      <c r="C469" s="261"/>
      <c r="D469" s="254"/>
      <c r="E469" s="199"/>
      <c r="F469" s="16"/>
      <c r="G469" s="16">
        <f>F469*480*0.5</f>
        <v>0</v>
      </c>
      <c r="H469" s="16">
        <f>G469*0.6</f>
        <v>0</v>
      </c>
      <c r="I469" s="16">
        <f>G469*0.4</f>
        <v>0</v>
      </c>
      <c r="J469" s="20"/>
    </row>
    <row r="470" spans="1:10" s="81" customFormat="1" ht="99" hidden="1" customHeight="1" x14ac:dyDescent="0.25">
      <c r="A470" s="7"/>
      <c r="B470" s="257" t="s">
        <v>890</v>
      </c>
      <c r="C470" s="257"/>
      <c r="D470" s="257"/>
      <c r="E470" s="198"/>
      <c r="F470" s="16"/>
      <c r="G470" s="16"/>
      <c r="H470" s="16"/>
      <c r="I470" s="16"/>
      <c r="J470" s="82"/>
    </row>
    <row r="471" spans="1:10" s="81" customFormat="1" ht="120" hidden="1" customHeight="1" x14ac:dyDescent="0.25">
      <c r="A471" s="7"/>
      <c r="B471" s="14" t="s">
        <v>353</v>
      </c>
      <c r="C471" s="261" t="s">
        <v>883</v>
      </c>
      <c r="D471" s="254" t="s">
        <v>884</v>
      </c>
      <c r="E471" s="199"/>
      <c r="F471" s="16"/>
      <c r="G471" s="16">
        <f>F471*600*0.35</f>
        <v>0</v>
      </c>
      <c r="H471" s="16">
        <f>G471*0.6</f>
        <v>0</v>
      </c>
      <c r="I471" s="16">
        <f>G471*0.4</f>
        <v>0</v>
      </c>
      <c r="J471" s="20"/>
    </row>
    <row r="472" spans="1:10" s="81" customFormat="1" hidden="1" x14ac:dyDescent="0.25">
      <c r="A472" s="7"/>
      <c r="B472" s="14" t="s">
        <v>354</v>
      </c>
      <c r="C472" s="261"/>
      <c r="D472" s="254"/>
      <c r="E472" s="199"/>
      <c r="F472" s="16"/>
      <c r="G472" s="16">
        <f>F472*600*0.5</f>
        <v>0</v>
      </c>
      <c r="H472" s="16">
        <f>G472*0.6</f>
        <v>0</v>
      </c>
      <c r="I472" s="16">
        <f>G472*0.4</f>
        <v>0</v>
      </c>
      <c r="J472" s="20"/>
    </row>
    <row r="473" spans="1:10" s="81" customFormat="1" ht="99" hidden="1" customHeight="1" x14ac:dyDescent="0.25">
      <c r="A473" s="7"/>
      <c r="B473" s="257" t="s">
        <v>891</v>
      </c>
      <c r="C473" s="257"/>
      <c r="D473" s="257"/>
      <c r="E473" s="198"/>
      <c r="F473" s="16"/>
      <c r="G473" s="16"/>
      <c r="H473" s="16"/>
      <c r="I473" s="16"/>
      <c r="J473" s="82"/>
    </row>
    <row r="474" spans="1:10" s="81" customFormat="1" ht="120" hidden="1" customHeight="1" x14ac:dyDescent="0.25">
      <c r="A474" s="7"/>
      <c r="B474" s="14" t="s">
        <v>353</v>
      </c>
      <c r="C474" s="263" t="s">
        <v>892</v>
      </c>
      <c r="D474" s="254" t="s">
        <v>884</v>
      </c>
      <c r="E474" s="199"/>
      <c r="F474" s="16"/>
      <c r="G474" s="16">
        <f>F474*278*0.35</f>
        <v>0</v>
      </c>
      <c r="H474" s="16">
        <f>G474*0.6</f>
        <v>0</v>
      </c>
      <c r="I474" s="16">
        <f>G474*0.4</f>
        <v>0</v>
      </c>
      <c r="J474" s="20"/>
    </row>
    <row r="475" spans="1:10" s="81" customFormat="1" ht="38.25" hidden="1" customHeight="1" x14ac:dyDescent="0.25">
      <c r="A475" s="7"/>
      <c r="B475" s="14" t="s">
        <v>354</v>
      </c>
      <c r="C475" s="263"/>
      <c r="D475" s="254"/>
      <c r="E475" s="199"/>
      <c r="F475" s="16"/>
      <c r="G475" s="16">
        <f>F475*278*0.5</f>
        <v>0</v>
      </c>
      <c r="H475" s="16">
        <f>G475*0.6</f>
        <v>0</v>
      </c>
      <c r="I475" s="16">
        <f>G475*0.4</f>
        <v>0</v>
      </c>
      <c r="J475" s="20"/>
    </row>
    <row r="476" spans="1:10" s="81" customFormat="1" hidden="1" x14ac:dyDescent="0.25">
      <c r="A476" s="7"/>
      <c r="B476" s="257" t="s">
        <v>893</v>
      </c>
      <c r="C476" s="257"/>
      <c r="D476" s="257"/>
      <c r="E476" s="198"/>
      <c r="F476" s="16"/>
      <c r="G476" s="16"/>
      <c r="H476" s="16"/>
      <c r="I476" s="16"/>
      <c r="J476" s="20"/>
    </row>
    <row r="477" spans="1:10" s="81" customFormat="1" ht="65.25" hidden="1" customHeight="1" x14ac:dyDescent="0.25">
      <c r="A477" s="7"/>
      <c r="B477" s="257" t="s">
        <v>895</v>
      </c>
      <c r="C477" s="257"/>
      <c r="D477" s="257"/>
      <c r="E477" s="198"/>
      <c r="F477" s="16"/>
      <c r="G477" s="16"/>
      <c r="H477" s="16"/>
      <c r="I477" s="16"/>
      <c r="J477" s="82"/>
    </row>
    <row r="478" spans="1:10" s="81" customFormat="1" ht="120" hidden="1" customHeight="1" x14ac:dyDescent="0.25">
      <c r="A478" s="7"/>
      <c r="B478" s="14" t="s">
        <v>353</v>
      </c>
      <c r="C478" s="261" t="s">
        <v>883</v>
      </c>
      <c r="D478" s="254" t="s">
        <v>884</v>
      </c>
      <c r="E478" s="199"/>
      <c r="F478" s="16"/>
      <c r="G478" s="16">
        <f>F478*600*0.35</f>
        <v>0</v>
      </c>
      <c r="H478" s="16">
        <f>G478*0.6</f>
        <v>0</v>
      </c>
      <c r="I478" s="16">
        <f>G478*0.4</f>
        <v>0</v>
      </c>
      <c r="J478" s="20"/>
    </row>
    <row r="479" spans="1:10" s="81" customFormat="1" hidden="1" x14ac:dyDescent="0.25">
      <c r="A479" s="7"/>
      <c r="B479" s="14" t="s">
        <v>354</v>
      </c>
      <c r="C479" s="261"/>
      <c r="D479" s="254"/>
      <c r="E479" s="199"/>
      <c r="F479" s="16"/>
      <c r="G479" s="16">
        <f>F479*600*0.5</f>
        <v>0</v>
      </c>
      <c r="H479" s="16">
        <f>G479*0.6</f>
        <v>0</v>
      </c>
      <c r="I479" s="16">
        <f>G479*0.4</f>
        <v>0</v>
      </c>
      <c r="J479" s="20"/>
    </row>
    <row r="480" spans="1:10" s="81" customFormat="1" ht="99" hidden="1" customHeight="1" x14ac:dyDescent="0.25">
      <c r="A480" s="7"/>
      <c r="B480" s="257" t="s">
        <v>894</v>
      </c>
      <c r="C480" s="257"/>
      <c r="D480" s="257"/>
      <c r="E480" s="198"/>
      <c r="F480" s="16"/>
      <c r="G480" s="16"/>
      <c r="H480" s="16"/>
      <c r="I480" s="16"/>
      <c r="J480" s="82"/>
    </row>
    <row r="481" spans="1:10" s="81" customFormat="1" ht="120" hidden="1" customHeight="1" x14ac:dyDescent="0.25">
      <c r="A481" s="7"/>
      <c r="B481" s="14" t="s">
        <v>353</v>
      </c>
      <c r="C481" s="263" t="s">
        <v>896</v>
      </c>
      <c r="D481" s="254" t="s">
        <v>884</v>
      </c>
      <c r="E481" s="199"/>
      <c r="F481" s="16"/>
      <c r="G481" s="16">
        <f>F481*49*0.35</f>
        <v>0</v>
      </c>
      <c r="H481" s="16">
        <f>G481*0.6</f>
        <v>0</v>
      </c>
      <c r="I481" s="16">
        <f>G481*0.4</f>
        <v>0</v>
      </c>
      <c r="J481" s="20"/>
    </row>
    <row r="482" spans="1:10" s="81" customFormat="1" hidden="1" x14ac:dyDescent="0.25">
      <c r="A482" s="7"/>
      <c r="B482" s="14" t="s">
        <v>354</v>
      </c>
      <c r="C482" s="263"/>
      <c r="D482" s="254"/>
      <c r="E482" s="199"/>
      <c r="F482" s="16"/>
      <c r="G482" s="16">
        <f>F482*49*0.5</f>
        <v>0</v>
      </c>
      <c r="H482" s="16">
        <f>G482*0.6</f>
        <v>0</v>
      </c>
      <c r="I482" s="16">
        <f>G482*0.4</f>
        <v>0</v>
      </c>
      <c r="J482" s="20"/>
    </row>
    <row r="483" spans="1:10" s="81" customFormat="1" hidden="1" x14ac:dyDescent="0.25">
      <c r="A483" s="7"/>
      <c r="B483" s="257" t="s">
        <v>897</v>
      </c>
      <c r="C483" s="257"/>
      <c r="D483" s="257"/>
      <c r="E483" s="198"/>
      <c r="F483" s="16"/>
      <c r="G483" s="16"/>
      <c r="H483" s="16"/>
      <c r="I483" s="16"/>
      <c r="J483" s="20"/>
    </row>
    <row r="484" spans="1:10" s="81" customFormat="1" ht="97.5" hidden="1" customHeight="1" x14ac:dyDescent="0.25">
      <c r="A484" s="7"/>
      <c r="B484" s="257" t="s">
        <v>898</v>
      </c>
      <c r="C484" s="257"/>
      <c r="D484" s="257"/>
      <c r="E484" s="198"/>
      <c r="F484" s="16"/>
      <c r="G484" s="16"/>
      <c r="H484" s="16"/>
      <c r="I484" s="16"/>
      <c r="J484" s="82"/>
    </row>
    <row r="485" spans="1:10" s="81" customFormat="1" ht="120" hidden="1" customHeight="1" x14ac:dyDescent="0.25">
      <c r="A485" s="7"/>
      <c r="B485" s="14" t="s">
        <v>353</v>
      </c>
      <c r="C485" s="263" t="s">
        <v>899</v>
      </c>
      <c r="D485" s="254" t="s">
        <v>900</v>
      </c>
      <c r="E485" s="199"/>
      <c r="F485" s="16"/>
      <c r="G485" s="16">
        <f>F485*600*0.35</f>
        <v>0</v>
      </c>
      <c r="H485" s="16">
        <f>G485*0.6</f>
        <v>0</v>
      </c>
      <c r="I485" s="16">
        <f>G485*0.4</f>
        <v>0</v>
      </c>
      <c r="J485" s="20"/>
    </row>
    <row r="486" spans="1:10" s="81" customFormat="1" hidden="1" x14ac:dyDescent="0.25">
      <c r="A486" s="7"/>
      <c r="B486" s="14" t="s">
        <v>354</v>
      </c>
      <c r="C486" s="263"/>
      <c r="D486" s="254"/>
      <c r="E486" s="199"/>
      <c r="F486" s="16"/>
      <c r="G486" s="16">
        <f>F486*600*0.5</f>
        <v>0</v>
      </c>
      <c r="H486" s="16">
        <f>G486*0.6</f>
        <v>0</v>
      </c>
      <c r="I486" s="16">
        <f>G486*0.4</f>
        <v>0</v>
      </c>
      <c r="J486" s="20"/>
    </row>
    <row r="487" spans="1:10" s="81" customFormat="1" ht="99" hidden="1" customHeight="1" x14ac:dyDescent="0.25">
      <c r="A487" s="7"/>
      <c r="B487" s="257" t="s">
        <v>901</v>
      </c>
      <c r="C487" s="257"/>
      <c r="D487" s="257"/>
      <c r="E487" s="198"/>
      <c r="F487" s="16"/>
      <c r="G487" s="16"/>
      <c r="H487" s="16"/>
      <c r="I487" s="16"/>
      <c r="J487" s="82"/>
    </row>
    <row r="488" spans="1:10" s="81" customFormat="1" ht="120" hidden="1" customHeight="1" x14ac:dyDescent="0.25">
      <c r="A488" s="7"/>
      <c r="B488" s="14" t="s">
        <v>353</v>
      </c>
      <c r="C488" s="263" t="s">
        <v>902</v>
      </c>
      <c r="D488" s="254" t="s">
        <v>884</v>
      </c>
      <c r="E488" s="199"/>
      <c r="F488" s="16"/>
      <c r="G488" s="16">
        <f>F488*1345*0.35</f>
        <v>0</v>
      </c>
      <c r="H488" s="16">
        <f>G488*0.6</f>
        <v>0</v>
      </c>
      <c r="I488" s="16">
        <f>G488*0.4</f>
        <v>0</v>
      </c>
      <c r="J488" s="20"/>
    </row>
    <row r="489" spans="1:10" s="81" customFormat="1" hidden="1" x14ac:dyDescent="0.25">
      <c r="A489" s="7"/>
      <c r="B489" s="14" t="s">
        <v>354</v>
      </c>
      <c r="C489" s="263"/>
      <c r="D489" s="254"/>
      <c r="E489" s="199"/>
      <c r="F489" s="16"/>
      <c r="G489" s="16">
        <f>F489*1345*0.5</f>
        <v>0</v>
      </c>
      <c r="H489" s="16">
        <f>G489*0.6</f>
        <v>0</v>
      </c>
      <c r="I489" s="16">
        <f>G489*0.4</f>
        <v>0</v>
      </c>
      <c r="J489" s="20"/>
    </row>
    <row r="490" spans="1:10" s="81" customFormat="1" hidden="1" x14ac:dyDescent="0.25">
      <c r="A490" s="7"/>
      <c r="B490" s="257" t="s">
        <v>903</v>
      </c>
      <c r="C490" s="257"/>
      <c r="D490" s="257"/>
      <c r="E490" s="198"/>
      <c r="F490" s="16"/>
      <c r="G490" s="16"/>
      <c r="H490" s="16"/>
      <c r="I490" s="16"/>
      <c r="J490" s="82"/>
    </row>
    <row r="491" spans="1:10" s="81" customFormat="1" ht="99" hidden="1" customHeight="1" x14ac:dyDescent="0.25">
      <c r="A491" s="7"/>
      <c r="B491" s="257" t="s">
        <v>904</v>
      </c>
      <c r="C491" s="257"/>
      <c r="D491" s="257"/>
      <c r="E491" s="198"/>
      <c r="F491" s="16"/>
      <c r="G491" s="16"/>
      <c r="H491" s="16"/>
      <c r="I491" s="16"/>
      <c r="J491" s="82"/>
    </row>
    <row r="492" spans="1:10" s="81" customFormat="1" ht="120" hidden="1" customHeight="1" x14ac:dyDescent="0.25">
      <c r="A492" s="7"/>
      <c r="B492" s="14" t="s">
        <v>353</v>
      </c>
      <c r="C492" s="261" t="s">
        <v>881</v>
      </c>
      <c r="D492" s="254" t="s">
        <v>885</v>
      </c>
      <c r="E492" s="199"/>
      <c r="F492" s="16"/>
      <c r="G492" s="16">
        <f>F492*480*0.35</f>
        <v>0</v>
      </c>
      <c r="H492" s="16">
        <f>G492*0.9</f>
        <v>0</v>
      </c>
      <c r="I492" s="16">
        <f>G492*0.1</f>
        <v>0</v>
      </c>
      <c r="J492" s="20"/>
    </row>
    <row r="493" spans="1:10" s="81" customFormat="1" hidden="1" x14ac:dyDescent="0.25">
      <c r="A493" s="7"/>
      <c r="B493" s="14" t="s">
        <v>354</v>
      </c>
      <c r="C493" s="261"/>
      <c r="D493" s="254"/>
      <c r="E493" s="199"/>
      <c r="F493" s="16"/>
      <c r="G493" s="16">
        <f>F493*480*0.5</f>
        <v>0</v>
      </c>
      <c r="H493" s="16">
        <f>G493*0.6</f>
        <v>0</v>
      </c>
      <c r="I493" s="16">
        <f>G493*0.4</f>
        <v>0</v>
      </c>
      <c r="J493" s="20"/>
    </row>
    <row r="494" spans="1:10" s="81" customFormat="1" ht="99" hidden="1" customHeight="1" x14ac:dyDescent="0.25">
      <c r="A494" s="7"/>
      <c r="B494" s="257" t="s">
        <v>905</v>
      </c>
      <c r="C494" s="257"/>
      <c r="D494" s="257"/>
      <c r="E494" s="198"/>
      <c r="F494" s="16"/>
      <c r="G494" s="16"/>
      <c r="H494" s="16"/>
      <c r="I494" s="16"/>
      <c r="J494" s="82"/>
    </row>
    <row r="495" spans="1:10" s="81" customFormat="1" ht="120" hidden="1" customHeight="1" x14ac:dyDescent="0.25">
      <c r="A495" s="7"/>
      <c r="B495" s="14" t="s">
        <v>353</v>
      </c>
      <c r="C495" s="261" t="s">
        <v>883</v>
      </c>
      <c r="D495" s="254" t="s">
        <v>884</v>
      </c>
      <c r="E495" s="199"/>
      <c r="F495" s="16"/>
      <c r="G495" s="16">
        <f>F495*600*0.35</f>
        <v>0</v>
      </c>
      <c r="H495" s="16">
        <f>G495*0.6</f>
        <v>0</v>
      </c>
      <c r="I495" s="16">
        <f>G495*0.4</f>
        <v>0</v>
      </c>
      <c r="J495" s="20"/>
    </row>
    <row r="496" spans="1:10" s="81" customFormat="1" hidden="1" x14ac:dyDescent="0.25">
      <c r="A496" s="7"/>
      <c r="B496" s="14" t="s">
        <v>354</v>
      </c>
      <c r="C496" s="261"/>
      <c r="D496" s="254"/>
      <c r="E496" s="199"/>
      <c r="F496" s="16"/>
      <c r="G496" s="16">
        <f>F496*600*0.5</f>
        <v>0</v>
      </c>
      <c r="H496" s="16">
        <f>G496*0.6</f>
        <v>0</v>
      </c>
      <c r="I496" s="16">
        <f>G496*0.4</f>
        <v>0</v>
      </c>
      <c r="J496" s="20"/>
    </row>
    <row r="497" spans="1:10" s="81" customFormat="1" ht="99" hidden="1" customHeight="1" x14ac:dyDescent="0.25">
      <c r="A497" s="7"/>
      <c r="B497" s="257" t="s">
        <v>906</v>
      </c>
      <c r="C497" s="257"/>
      <c r="D497" s="257"/>
      <c r="E497" s="198"/>
      <c r="F497" s="16"/>
      <c r="G497" s="16"/>
      <c r="H497" s="16"/>
      <c r="I497" s="16"/>
      <c r="J497" s="82"/>
    </row>
    <row r="498" spans="1:10" s="81" customFormat="1" ht="120" hidden="1" customHeight="1" x14ac:dyDescent="0.25">
      <c r="A498" s="7"/>
      <c r="B498" s="14" t="s">
        <v>353</v>
      </c>
      <c r="C498" s="263" t="s">
        <v>907</v>
      </c>
      <c r="D498" s="254" t="s">
        <v>884</v>
      </c>
      <c r="E498" s="199"/>
      <c r="F498" s="16"/>
      <c r="G498" s="16">
        <f>F498*31*0.35</f>
        <v>0</v>
      </c>
      <c r="H498" s="16">
        <f>G498*0.6</f>
        <v>0</v>
      </c>
      <c r="I498" s="16">
        <f>G498*0.4</f>
        <v>0</v>
      </c>
      <c r="J498" s="20"/>
    </row>
    <row r="499" spans="1:10" s="81" customFormat="1" ht="38.25" hidden="1" customHeight="1" x14ac:dyDescent="0.25">
      <c r="A499" s="7"/>
      <c r="B499" s="14" t="s">
        <v>354</v>
      </c>
      <c r="C499" s="263"/>
      <c r="D499" s="254"/>
      <c r="E499" s="199"/>
      <c r="F499" s="16"/>
      <c r="G499" s="16">
        <f>F499*31*0.5</f>
        <v>0</v>
      </c>
      <c r="H499" s="16">
        <f>G499*0.6</f>
        <v>0</v>
      </c>
      <c r="I499" s="16">
        <f>G499*0.4</f>
        <v>0</v>
      </c>
      <c r="J499" s="20"/>
    </row>
    <row r="500" spans="1:10" s="81" customFormat="1" ht="23.25" customHeight="1" x14ac:dyDescent="0.25">
      <c r="A500" s="7"/>
      <c r="B500" s="257" t="s">
        <v>909</v>
      </c>
      <c r="C500" s="257"/>
      <c r="D500" s="257"/>
      <c r="E500" s="198"/>
      <c r="F500" s="16"/>
      <c r="G500" s="16"/>
      <c r="H500" s="16"/>
      <c r="I500" s="16"/>
      <c r="J500" s="82"/>
    </row>
    <row r="501" spans="1:10" s="81" customFormat="1" ht="120" customHeight="1" x14ac:dyDescent="0.25">
      <c r="A501" s="7"/>
      <c r="B501" s="14" t="s">
        <v>353</v>
      </c>
      <c r="C501" s="263" t="s">
        <v>908</v>
      </c>
      <c r="D501" s="254" t="s">
        <v>884</v>
      </c>
      <c r="E501" s="199">
        <v>961</v>
      </c>
      <c r="F501" s="16">
        <v>5</v>
      </c>
      <c r="G501" s="16">
        <f>F501*125*0.35</f>
        <v>218.75</v>
      </c>
      <c r="H501" s="16">
        <f>G501*0.6</f>
        <v>131.25</v>
      </c>
      <c r="I501" s="16">
        <f>G501*0.4</f>
        <v>87.5</v>
      </c>
      <c r="J501" s="20"/>
    </row>
    <row r="502" spans="1:10" s="81" customFormat="1" ht="38.25" customHeight="1" x14ac:dyDescent="0.25">
      <c r="A502" s="7"/>
      <c r="B502" s="14" t="s">
        <v>354</v>
      </c>
      <c r="C502" s="263"/>
      <c r="D502" s="254"/>
      <c r="E502" s="199">
        <v>962</v>
      </c>
      <c r="F502" s="16">
        <v>5</v>
      </c>
      <c r="G502" s="16">
        <f>F502*125*0.5</f>
        <v>312.5</v>
      </c>
      <c r="H502" s="16">
        <f>G502*0.6</f>
        <v>187.5</v>
      </c>
      <c r="I502" s="16">
        <f>G502*0.4</f>
        <v>125</v>
      </c>
      <c r="J502" s="20"/>
    </row>
    <row r="503" spans="1:10" s="19" customFormat="1" x14ac:dyDescent="0.3">
      <c r="A503" s="7"/>
      <c r="B503" s="257" t="s">
        <v>910</v>
      </c>
      <c r="C503" s="257"/>
      <c r="D503" s="257"/>
      <c r="E503" s="198"/>
      <c r="F503" s="16"/>
      <c r="G503" s="16"/>
      <c r="H503" s="16"/>
      <c r="I503" s="16"/>
      <c r="J503" s="20"/>
    </row>
    <row r="504" spans="1:10" s="81" customFormat="1" ht="232.5" x14ac:dyDescent="0.25">
      <c r="A504" s="7"/>
      <c r="B504" s="14" t="s">
        <v>353</v>
      </c>
      <c r="C504" s="14" t="s">
        <v>911</v>
      </c>
      <c r="D504" s="14" t="s">
        <v>912</v>
      </c>
      <c r="E504" s="199">
        <v>967</v>
      </c>
      <c r="F504" s="16">
        <v>5</v>
      </c>
      <c r="G504" s="16">
        <f>F504*31*0.35</f>
        <v>54.25</v>
      </c>
      <c r="H504" s="16">
        <f>G504*0.6</f>
        <v>32.549999999999997</v>
      </c>
      <c r="I504" s="16">
        <f>G504*0.4</f>
        <v>21.700000000000003</v>
      </c>
      <c r="J504" s="20"/>
    </row>
    <row r="505" spans="1:10" s="81" customFormat="1" x14ac:dyDescent="0.25">
      <c r="A505" s="7"/>
      <c r="B505" s="14" t="s">
        <v>354</v>
      </c>
      <c r="C505" s="14"/>
      <c r="D505" s="14"/>
      <c r="E505" s="199">
        <v>968</v>
      </c>
      <c r="F505" s="16">
        <v>5</v>
      </c>
      <c r="G505" s="16">
        <f>F505*31*0.5</f>
        <v>77.5</v>
      </c>
      <c r="H505" s="16">
        <f>G505*0.6</f>
        <v>46.5</v>
      </c>
      <c r="I505" s="16">
        <f>G505*0.4</f>
        <v>31</v>
      </c>
      <c r="J505" s="20"/>
    </row>
    <row r="506" spans="1:10" s="19" customFormat="1" ht="45.75" customHeight="1" x14ac:dyDescent="0.3">
      <c r="A506" s="7"/>
      <c r="B506" s="257" t="s">
        <v>913</v>
      </c>
      <c r="C506" s="257"/>
      <c r="D506" s="257"/>
      <c r="E506" s="198"/>
      <c r="F506" s="16"/>
      <c r="G506" s="16"/>
      <c r="H506" s="16"/>
      <c r="I506" s="16"/>
      <c r="J506" s="20"/>
    </row>
    <row r="507" spans="1:10" s="81" customFormat="1" ht="77.5" x14ac:dyDescent="0.25">
      <c r="A507" s="7"/>
      <c r="B507" s="14" t="s">
        <v>353</v>
      </c>
      <c r="C507" s="14" t="s">
        <v>914</v>
      </c>
      <c r="D507" s="14" t="s">
        <v>915</v>
      </c>
      <c r="E507" s="199"/>
      <c r="F507" s="16"/>
      <c r="G507" s="16">
        <f>F507*35*0.35</f>
        <v>0</v>
      </c>
      <c r="H507" s="16">
        <f>G507*0.6</f>
        <v>0</v>
      </c>
      <c r="I507" s="16">
        <f>G507*0.4</f>
        <v>0</v>
      </c>
      <c r="J507" s="20"/>
    </row>
    <row r="508" spans="1:10" s="81" customFormat="1" x14ac:dyDescent="0.25">
      <c r="A508" s="7"/>
      <c r="B508" s="14" t="s">
        <v>354</v>
      </c>
      <c r="C508" s="14" t="s">
        <v>914</v>
      </c>
      <c r="D508" s="14"/>
      <c r="E508" s="199">
        <v>971</v>
      </c>
      <c r="F508" s="16">
        <v>2</v>
      </c>
      <c r="G508" s="16">
        <f>F508*35*0.5</f>
        <v>35</v>
      </c>
      <c r="H508" s="16">
        <f>G508*0.6</f>
        <v>21</v>
      </c>
      <c r="I508" s="16">
        <f>G508*0.4</f>
        <v>14</v>
      </c>
      <c r="J508" s="20"/>
    </row>
    <row r="509" spans="1:10" s="81" customFormat="1" ht="30" customHeight="1" x14ac:dyDescent="0.25">
      <c r="A509" s="7"/>
      <c r="B509" s="257" t="s">
        <v>916</v>
      </c>
      <c r="C509" s="257"/>
      <c r="D509" s="257"/>
      <c r="E509" s="198"/>
      <c r="F509" s="16"/>
      <c r="G509" s="16"/>
      <c r="H509" s="16"/>
      <c r="I509" s="16"/>
      <c r="J509" s="20"/>
    </row>
    <row r="510" spans="1:10" s="81" customFormat="1" ht="30" customHeight="1" x14ac:dyDescent="0.25">
      <c r="A510" s="7"/>
      <c r="B510" s="254" t="s">
        <v>919</v>
      </c>
      <c r="C510" s="254"/>
      <c r="D510" s="38"/>
      <c r="E510" s="198"/>
      <c r="F510" s="16"/>
      <c r="G510" s="16"/>
      <c r="H510" s="16"/>
      <c r="I510" s="16"/>
      <c r="J510" s="20"/>
    </row>
    <row r="511" spans="1:10" s="19" customFormat="1" ht="77.5" x14ac:dyDescent="0.3">
      <c r="A511" s="7"/>
      <c r="B511" s="14" t="s">
        <v>917</v>
      </c>
      <c r="C511" s="14" t="s">
        <v>382</v>
      </c>
      <c r="D511" s="24" t="s">
        <v>920</v>
      </c>
      <c r="E511" s="199"/>
      <c r="F511" s="16"/>
      <c r="G511" s="16">
        <f>F511*1*0.35</f>
        <v>0</v>
      </c>
      <c r="H511" s="16">
        <f>G511*0.6</f>
        <v>0</v>
      </c>
      <c r="I511" s="16">
        <f>G511*0.4</f>
        <v>0</v>
      </c>
      <c r="J511" s="20"/>
    </row>
    <row r="512" spans="1:10" s="19" customFormat="1" x14ac:dyDescent="0.3">
      <c r="A512" s="7"/>
      <c r="B512" s="14" t="s">
        <v>918</v>
      </c>
      <c r="C512" s="14" t="s">
        <v>382</v>
      </c>
      <c r="D512" s="11" t="s">
        <v>111</v>
      </c>
      <c r="E512" s="199"/>
      <c r="F512" s="16"/>
      <c r="G512" s="16">
        <f>F512*1*0.5</f>
        <v>0</v>
      </c>
      <c r="H512" s="16">
        <f>G512*0.6</f>
        <v>0</v>
      </c>
      <c r="I512" s="16">
        <f>G512*0.4</f>
        <v>0</v>
      </c>
      <c r="J512" s="20"/>
    </row>
    <row r="513" spans="1:10" s="81" customFormat="1" ht="30" customHeight="1" x14ac:dyDescent="0.25">
      <c r="A513" s="7"/>
      <c r="B513" s="254" t="s">
        <v>921</v>
      </c>
      <c r="C513" s="254"/>
      <c r="D513" s="38"/>
      <c r="E513" s="198"/>
      <c r="F513" s="16"/>
      <c r="G513" s="16"/>
      <c r="H513" s="16"/>
      <c r="I513" s="16"/>
      <c r="J513" s="20"/>
    </row>
    <row r="514" spans="1:10" s="19" customFormat="1" ht="77.5" x14ac:dyDescent="0.3">
      <c r="A514" s="7"/>
      <c r="B514" s="14" t="s">
        <v>917</v>
      </c>
      <c r="C514" s="14" t="s">
        <v>922</v>
      </c>
      <c r="D514" s="24" t="s">
        <v>920</v>
      </c>
      <c r="E514" s="199"/>
      <c r="F514" s="16"/>
      <c r="G514" s="16">
        <f>F514*1.2*0.35</f>
        <v>0</v>
      </c>
      <c r="H514" s="16">
        <f>G514*0.6</f>
        <v>0</v>
      </c>
      <c r="I514" s="16">
        <f>G514*0.4</f>
        <v>0</v>
      </c>
      <c r="J514" s="20"/>
    </row>
    <row r="515" spans="1:10" s="19" customFormat="1" x14ac:dyDescent="0.3">
      <c r="A515" s="7"/>
      <c r="B515" s="14" t="s">
        <v>918</v>
      </c>
      <c r="C515" s="14" t="s">
        <v>922</v>
      </c>
      <c r="D515" s="11" t="s">
        <v>111</v>
      </c>
      <c r="E515" s="199"/>
      <c r="F515" s="16"/>
      <c r="G515" s="16">
        <f>F515*1.2*0.5</f>
        <v>0</v>
      </c>
      <c r="H515" s="16">
        <f>G515*0.6</f>
        <v>0</v>
      </c>
      <c r="I515" s="16">
        <f>G515*0.4</f>
        <v>0</v>
      </c>
      <c r="J515" s="20"/>
    </row>
    <row r="516" spans="1:10" s="19" customFormat="1" ht="186" x14ac:dyDescent="0.3">
      <c r="A516" s="7"/>
      <c r="B516" s="14" t="s">
        <v>923</v>
      </c>
      <c r="C516" s="14" t="s">
        <v>924</v>
      </c>
      <c r="D516" s="14" t="s">
        <v>925</v>
      </c>
      <c r="E516" s="199"/>
      <c r="F516" s="16"/>
      <c r="G516" s="16">
        <f>F516*70*0.5</f>
        <v>0</v>
      </c>
      <c r="H516" s="16">
        <f>G516*0.6</f>
        <v>0</v>
      </c>
      <c r="I516" s="16">
        <f>G516*0.4</f>
        <v>0</v>
      </c>
      <c r="J516" s="20"/>
    </row>
    <row r="517" spans="1:10" s="19" customFormat="1" ht="31" x14ac:dyDescent="0.3">
      <c r="A517" s="7"/>
      <c r="B517" s="14" t="s">
        <v>926</v>
      </c>
      <c r="C517" s="13" t="s">
        <v>399</v>
      </c>
      <c r="D517" s="13" t="s">
        <v>386</v>
      </c>
      <c r="E517" s="214"/>
      <c r="F517" s="16"/>
      <c r="G517" s="16">
        <f>F517*0.04*0.5</f>
        <v>0</v>
      </c>
      <c r="H517" s="16">
        <f>G517*0.6</f>
        <v>0</v>
      </c>
      <c r="I517" s="16">
        <f>G517*0.4</f>
        <v>0</v>
      </c>
      <c r="J517" s="20"/>
    </row>
    <row r="518" spans="1:10" s="81" customFormat="1" ht="60" customHeight="1" x14ac:dyDescent="0.25">
      <c r="A518" s="7"/>
      <c r="B518" s="14" t="s">
        <v>390</v>
      </c>
      <c r="C518" s="265" t="s">
        <v>391</v>
      </c>
      <c r="D518" s="265" t="s">
        <v>386</v>
      </c>
      <c r="E518" s="215"/>
      <c r="F518" s="16"/>
      <c r="G518" s="16"/>
      <c r="H518" s="16"/>
      <c r="I518" s="16"/>
      <c r="J518" s="20"/>
    </row>
    <row r="519" spans="1:10" s="81" customFormat="1" x14ac:dyDescent="0.25">
      <c r="A519" s="7"/>
      <c r="B519" s="14" t="s">
        <v>392</v>
      </c>
      <c r="C519" s="266"/>
      <c r="D519" s="266"/>
      <c r="E519" s="216"/>
      <c r="F519" s="16"/>
      <c r="G519" s="16">
        <f t="shared" ref="G519" si="117">F519*2*0.5</f>
        <v>0</v>
      </c>
      <c r="H519" s="16">
        <f t="shared" ref="H519:H520" si="118">G519*0.6</f>
        <v>0</v>
      </c>
      <c r="I519" s="16">
        <f t="shared" ref="I519:I520" si="119">G519*0.4</f>
        <v>0</v>
      </c>
      <c r="J519" s="20"/>
    </row>
    <row r="520" spans="1:10" s="81" customFormat="1" x14ac:dyDescent="0.25">
      <c r="A520" s="7"/>
      <c r="B520" s="14" t="s">
        <v>983</v>
      </c>
      <c r="C520" s="267"/>
      <c r="D520" s="267"/>
      <c r="E520" s="217"/>
      <c r="F520" s="16"/>
      <c r="G520" s="16">
        <f>F520*1*0.5</f>
        <v>0</v>
      </c>
      <c r="H520" s="16">
        <f t="shared" si="118"/>
        <v>0</v>
      </c>
      <c r="I520" s="16">
        <f t="shared" si="119"/>
        <v>0</v>
      </c>
      <c r="J520" s="20"/>
    </row>
    <row r="521" spans="1:10" s="81" customFormat="1" ht="30" customHeight="1" x14ac:dyDescent="0.25">
      <c r="A521" s="7"/>
      <c r="B521" s="254" t="s">
        <v>927</v>
      </c>
      <c r="C521" s="254"/>
      <c r="D521" s="38"/>
      <c r="E521" s="198"/>
      <c r="F521" s="16"/>
      <c r="G521" s="16"/>
      <c r="H521" s="16"/>
      <c r="I521" s="16"/>
      <c r="J521" s="20"/>
    </row>
    <row r="522" spans="1:10" s="19" customFormat="1" ht="93" x14ac:dyDescent="0.3">
      <c r="A522" s="7"/>
      <c r="B522" s="14" t="s">
        <v>917</v>
      </c>
      <c r="C522" s="14" t="s">
        <v>928</v>
      </c>
      <c r="D522" s="24" t="s">
        <v>929</v>
      </c>
      <c r="E522" s="199">
        <v>986</v>
      </c>
      <c r="F522" s="16">
        <v>250</v>
      </c>
      <c r="G522" s="16">
        <f>F522*3.5*0.4</f>
        <v>350</v>
      </c>
      <c r="H522" s="16">
        <f>G522*0.6</f>
        <v>210</v>
      </c>
      <c r="I522" s="16">
        <f>G522*0.4</f>
        <v>140</v>
      </c>
      <c r="J522" s="20"/>
    </row>
    <row r="523" spans="1:10" s="19" customFormat="1" x14ac:dyDescent="0.3">
      <c r="A523" s="7"/>
      <c r="B523" s="14" t="s">
        <v>918</v>
      </c>
      <c r="C523" s="14"/>
      <c r="D523" s="11" t="s">
        <v>111</v>
      </c>
      <c r="E523" s="199">
        <v>987</v>
      </c>
      <c r="F523" s="16">
        <v>250</v>
      </c>
      <c r="G523" s="16">
        <f>F523*3.5*0.55</f>
        <v>481.25000000000006</v>
      </c>
      <c r="H523" s="16">
        <f>G523*0.6</f>
        <v>288.75</v>
      </c>
      <c r="I523" s="16">
        <f>G523*0.4</f>
        <v>192.50000000000003</v>
      </c>
      <c r="J523" s="20"/>
    </row>
    <row r="524" spans="1:10" s="19" customFormat="1" hidden="1" x14ac:dyDescent="0.3">
      <c r="A524" s="7"/>
      <c r="B524" s="254" t="s">
        <v>930</v>
      </c>
      <c r="C524" s="254"/>
      <c r="D524" s="13"/>
      <c r="E524" s="214"/>
      <c r="F524" s="16"/>
      <c r="G524" s="16"/>
      <c r="H524" s="16"/>
      <c r="I524" s="16"/>
      <c r="J524" s="20"/>
    </row>
    <row r="525" spans="1:10" s="19" customFormat="1" ht="124" hidden="1" x14ac:dyDescent="0.3">
      <c r="A525" s="7"/>
      <c r="B525" s="14" t="s">
        <v>353</v>
      </c>
      <c r="C525" s="24" t="s">
        <v>931</v>
      </c>
      <c r="D525" s="24" t="s">
        <v>920</v>
      </c>
      <c r="E525" s="199"/>
      <c r="F525" s="16"/>
      <c r="G525" s="16">
        <f>F525*1000*0.35</f>
        <v>0</v>
      </c>
      <c r="H525" s="16">
        <f>G525*0.6</f>
        <v>0</v>
      </c>
      <c r="I525" s="16">
        <f>G525*0.4</f>
        <v>0</v>
      </c>
      <c r="J525" s="20"/>
    </row>
    <row r="526" spans="1:10" s="19" customFormat="1" hidden="1" x14ac:dyDescent="0.3">
      <c r="A526" s="7"/>
      <c r="B526" s="14" t="s">
        <v>354</v>
      </c>
      <c r="C526" s="24" t="s">
        <v>25</v>
      </c>
      <c r="D526" s="24"/>
      <c r="E526" s="199"/>
      <c r="F526" s="16"/>
      <c r="G526" s="16">
        <f>F526*1000*0.5</f>
        <v>0</v>
      </c>
      <c r="H526" s="16">
        <f>G526*0.6</f>
        <v>0</v>
      </c>
      <c r="I526" s="16">
        <f>G526*0.4</f>
        <v>0</v>
      </c>
      <c r="J526" s="20"/>
    </row>
    <row r="527" spans="1:10" s="81" customFormat="1" ht="30" hidden="1" customHeight="1" x14ac:dyDescent="0.25">
      <c r="A527" s="7"/>
      <c r="B527" s="254" t="s">
        <v>932</v>
      </c>
      <c r="C527" s="254"/>
      <c r="D527" s="38"/>
      <c r="E527" s="198"/>
      <c r="F527" s="16"/>
      <c r="G527" s="16"/>
      <c r="H527" s="16"/>
      <c r="I527" s="16"/>
      <c r="J527" s="20"/>
    </row>
    <row r="528" spans="1:10" s="19" customFormat="1" ht="77.5" hidden="1" x14ac:dyDescent="0.3">
      <c r="A528" s="7"/>
      <c r="B528" s="14" t="s">
        <v>917</v>
      </c>
      <c r="C528" s="24" t="s">
        <v>933</v>
      </c>
      <c r="D528" s="24" t="s">
        <v>929</v>
      </c>
      <c r="E528" s="199"/>
      <c r="F528" s="16"/>
      <c r="G528" s="16">
        <f>F528*2000*0.4</f>
        <v>0</v>
      </c>
      <c r="H528" s="16">
        <f>G528*0.6</f>
        <v>0</v>
      </c>
      <c r="I528" s="16">
        <f>G528*0.4</f>
        <v>0</v>
      </c>
      <c r="J528" s="20"/>
    </row>
    <row r="529" spans="1:10" s="19" customFormat="1" hidden="1" x14ac:dyDescent="0.3">
      <c r="A529" s="7"/>
      <c r="B529" s="14" t="s">
        <v>918</v>
      </c>
      <c r="C529" s="14"/>
      <c r="D529" s="11" t="s">
        <v>111</v>
      </c>
      <c r="E529" s="199"/>
      <c r="F529" s="16"/>
      <c r="G529" s="16">
        <f>F529*2000*0.55</f>
        <v>0</v>
      </c>
      <c r="H529" s="16">
        <f>G529*0.6</f>
        <v>0</v>
      </c>
      <c r="I529" s="16">
        <f>G529*0.4</f>
        <v>0</v>
      </c>
      <c r="J529" s="20"/>
    </row>
    <row r="530" spans="1:10" s="81" customFormat="1" ht="30" hidden="1" customHeight="1" x14ac:dyDescent="0.25">
      <c r="A530" s="7"/>
      <c r="B530" s="254" t="s">
        <v>934</v>
      </c>
      <c r="C530" s="254"/>
      <c r="D530" s="38"/>
      <c r="E530" s="198"/>
      <c r="F530" s="16"/>
      <c r="G530" s="16"/>
      <c r="H530" s="16"/>
      <c r="I530" s="16"/>
      <c r="J530" s="20"/>
    </row>
    <row r="531" spans="1:10" s="19" customFormat="1" ht="77.5" hidden="1" x14ac:dyDescent="0.3">
      <c r="A531" s="7"/>
      <c r="B531" s="14" t="s">
        <v>917</v>
      </c>
      <c r="C531" s="24" t="s">
        <v>933</v>
      </c>
      <c r="D531" s="24" t="s">
        <v>929</v>
      </c>
      <c r="E531" s="199"/>
      <c r="F531" s="16"/>
      <c r="G531" s="16">
        <f>F531*2000*0.4</f>
        <v>0</v>
      </c>
      <c r="H531" s="16">
        <f>G531*0.6</f>
        <v>0</v>
      </c>
      <c r="I531" s="16">
        <f>G531*0.4</f>
        <v>0</v>
      </c>
      <c r="J531" s="20"/>
    </row>
    <row r="532" spans="1:10" s="19" customFormat="1" hidden="1" x14ac:dyDescent="0.3">
      <c r="A532" s="7"/>
      <c r="B532" s="14" t="s">
        <v>918</v>
      </c>
      <c r="C532" s="14" t="s">
        <v>25</v>
      </c>
      <c r="D532" s="11" t="s">
        <v>111</v>
      </c>
      <c r="E532" s="199"/>
      <c r="F532" s="16"/>
      <c r="G532" s="16">
        <f>F532*2000*0.55</f>
        <v>0</v>
      </c>
      <c r="H532" s="16">
        <f>G532*0.6</f>
        <v>0</v>
      </c>
      <c r="I532" s="16">
        <f>G532*0.4</f>
        <v>0</v>
      </c>
      <c r="J532" s="20"/>
    </row>
    <row r="533" spans="1:10" s="81" customFormat="1" ht="18" x14ac:dyDescent="0.25">
      <c r="A533" s="7"/>
      <c r="B533" s="26" t="s">
        <v>122</v>
      </c>
      <c r="C533" s="26"/>
      <c r="D533" s="26"/>
      <c r="E533" s="198"/>
      <c r="F533" s="28">
        <f>SUM(F443:F532)</f>
        <v>604</v>
      </c>
      <c r="G533" s="28">
        <f>SUM(G443:G532)</f>
        <v>3659.25</v>
      </c>
      <c r="H533" s="28">
        <f>SUM(H443:H532)</f>
        <v>2195.5500000000002</v>
      </c>
      <c r="I533" s="28">
        <f>SUM(I443:I532)</f>
        <v>1463.7</v>
      </c>
      <c r="J533" s="18"/>
    </row>
    <row r="534" spans="1:10" s="81" customFormat="1" ht="18" customHeight="1" x14ac:dyDescent="0.25">
      <c r="A534" s="41">
        <v>18</v>
      </c>
      <c r="B534" s="258" t="s">
        <v>935</v>
      </c>
      <c r="C534" s="258"/>
      <c r="D534" s="258"/>
      <c r="E534" s="200"/>
      <c r="F534" s="16"/>
      <c r="G534" s="16"/>
      <c r="H534" s="16"/>
      <c r="I534" s="16"/>
      <c r="J534" s="18"/>
    </row>
    <row r="535" spans="1:10" s="19" customFormat="1" ht="24.75" customHeight="1" x14ac:dyDescent="0.3">
      <c r="A535" s="41"/>
      <c r="B535" s="257" t="s">
        <v>936</v>
      </c>
      <c r="C535" s="257"/>
      <c r="D535" s="14"/>
      <c r="E535" s="199"/>
      <c r="F535" s="16"/>
      <c r="G535" s="16"/>
      <c r="H535" s="30"/>
      <c r="I535" s="30"/>
      <c r="J535" s="17"/>
    </row>
    <row r="536" spans="1:10" s="19" customFormat="1" ht="62" x14ac:dyDescent="0.3">
      <c r="A536" s="41"/>
      <c r="B536" s="14" t="s">
        <v>353</v>
      </c>
      <c r="C536" s="13" t="s">
        <v>344</v>
      </c>
      <c r="D536" s="14" t="s">
        <v>389</v>
      </c>
      <c r="E536" s="199"/>
      <c r="F536" s="16"/>
      <c r="G536" s="16">
        <f>F536*25*0.4</f>
        <v>0</v>
      </c>
      <c r="H536" s="16">
        <f>G536*0.6</f>
        <v>0</v>
      </c>
      <c r="I536" s="16">
        <f>G536*0.4</f>
        <v>0</v>
      </c>
      <c r="J536" s="17"/>
    </row>
    <row r="537" spans="1:10" s="19" customFormat="1" ht="62" x14ac:dyDescent="0.3">
      <c r="A537" s="41"/>
      <c r="B537" s="14" t="s">
        <v>354</v>
      </c>
      <c r="C537" s="13" t="s">
        <v>344</v>
      </c>
      <c r="D537" s="14" t="s">
        <v>389</v>
      </c>
      <c r="E537" s="199"/>
      <c r="F537" s="16"/>
      <c r="G537" s="16">
        <f>F537*25*0.55</f>
        <v>0</v>
      </c>
      <c r="H537" s="16">
        <f>G537*0.6</f>
        <v>0</v>
      </c>
      <c r="I537" s="16">
        <f>G537*0.4</f>
        <v>0</v>
      </c>
      <c r="J537" s="17"/>
    </row>
    <row r="538" spans="1:10" s="19" customFormat="1" ht="34.5" customHeight="1" x14ac:dyDescent="0.3">
      <c r="A538" s="7"/>
      <c r="B538" s="257" t="s">
        <v>938</v>
      </c>
      <c r="C538" s="257"/>
      <c r="D538" s="14"/>
      <c r="E538" s="199"/>
      <c r="F538" s="16"/>
      <c r="G538" s="16"/>
      <c r="H538" s="16"/>
      <c r="I538" s="16"/>
      <c r="J538" s="20"/>
    </row>
    <row r="539" spans="1:10" s="19" customFormat="1" ht="62" x14ac:dyDescent="0.3">
      <c r="A539" s="7"/>
      <c r="B539" s="14" t="s">
        <v>353</v>
      </c>
      <c r="C539" s="14" t="s">
        <v>937</v>
      </c>
      <c r="D539" s="14" t="s">
        <v>452</v>
      </c>
      <c r="E539" s="199"/>
      <c r="F539" s="16"/>
      <c r="G539" s="16">
        <f>F539*20*0.35</f>
        <v>0</v>
      </c>
      <c r="H539" s="16">
        <f>G539*0.6</f>
        <v>0</v>
      </c>
      <c r="I539" s="16">
        <f>G539*0.4</f>
        <v>0</v>
      </c>
      <c r="J539" s="20"/>
    </row>
    <row r="540" spans="1:10" s="19" customFormat="1" ht="62" x14ac:dyDescent="0.3">
      <c r="A540" s="7"/>
      <c r="B540" s="14" t="s">
        <v>354</v>
      </c>
      <c r="C540" s="14" t="s">
        <v>937</v>
      </c>
      <c r="D540" s="14" t="s">
        <v>452</v>
      </c>
      <c r="E540" s="199"/>
      <c r="F540" s="16"/>
      <c r="G540" s="16">
        <f>F540*20*0.5</f>
        <v>0</v>
      </c>
      <c r="H540" s="16">
        <f>G540*0.6</f>
        <v>0</v>
      </c>
      <c r="I540" s="16">
        <f>G540*0.4</f>
        <v>0</v>
      </c>
      <c r="J540" s="20"/>
    </row>
    <row r="541" spans="1:10" s="19" customFormat="1" ht="31" x14ac:dyDescent="0.3">
      <c r="A541" s="7"/>
      <c r="B541" s="26" t="s">
        <v>939</v>
      </c>
      <c r="C541" s="14" t="s">
        <v>454</v>
      </c>
      <c r="D541" s="14" t="s">
        <v>455</v>
      </c>
      <c r="E541" s="199"/>
      <c r="F541" s="16"/>
      <c r="G541" s="16">
        <f>F541*0.3*0.5</f>
        <v>0</v>
      </c>
      <c r="H541" s="16">
        <f>G541*0.6</f>
        <v>0</v>
      </c>
      <c r="I541" s="16">
        <f>G541*0.4</f>
        <v>0</v>
      </c>
      <c r="J541" s="20"/>
    </row>
    <row r="542" spans="1:10" s="19" customFormat="1" ht="34.5" customHeight="1" x14ac:dyDescent="0.3">
      <c r="A542" s="7"/>
      <c r="B542" s="257" t="s">
        <v>940</v>
      </c>
      <c r="C542" s="257"/>
      <c r="D542" s="14"/>
      <c r="E542" s="199"/>
      <c r="F542" s="16"/>
      <c r="G542" s="16"/>
      <c r="H542" s="16"/>
      <c r="I542" s="16"/>
      <c r="J542" s="20"/>
    </row>
    <row r="543" spans="1:10" s="19" customFormat="1" ht="62" x14ac:dyDescent="0.3">
      <c r="A543" s="7"/>
      <c r="B543" s="14" t="s">
        <v>353</v>
      </c>
      <c r="C543" s="14" t="s">
        <v>941</v>
      </c>
      <c r="D543" s="14" t="s">
        <v>452</v>
      </c>
      <c r="E543" s="199"/>
      <c r="F543" s="16"/>
      <c r="G543" s="16">
        <f>F543*20*0.35</f>
        <v>0</v>
      </c>
      <c r="H543" s="16">
        <f>G543*0.6</f>
        <v>0</v>
      </c>
      <c r="I543" s="16">
        <f>G543*0.4</f>
        <v>0</v>
      </c>
      <c r="J543" s="20"/>
    </row>
    <row r="544" spans="1:10" s="19" customFormat="1" ht="62" x14ac:dyDescent="0.3">
      <c r="A544" s="7"/>
      <c r="B544" s="14" t="s">
        <v>354</v>
      </c>
      <c r="C544" s="14" t="s">
        <v>941</v>
      </c>
      <c r="D544" s="14" t="s">
        <v>452</v>
      </c>
      <c r="E544" s="199"/>
      <c r="F544" s="16"/>
      <c r="G544" s="16">
        <f>F544*20*0.5</f>
        <v>0</v>
      </c>
      <c r="H544" s="16">
        <f>G544*0.6</f>
        <v>0</v>
      </c>
      <c r="I544" s="16">
        <f>G544*0.4</f>
        <v>0</v>
      </c>
      <c r="J544" s="20"/>
    </row>
    <row r="545" spans="1:10" s="19" customFormat="1" ht="18" x14ac:dyDescent="0.3">
      <c r="A545" s="7"/>
      <c r="B545" s="26" t="s">
        <v>122</v>
      </c>
      <c r="C545" s="14"/>
      <c r="D545" s="14"/>
      <c r="E545" s="199"/>
      <c r="F545" s="88">
        <f>SUM(F536:F544)</f>
        <v>0</v>
      </c>
      <c r="G545" s="88">
        <f t="shared" ref="G545:I545" si="120">SUM(G536:G544)</f>
        <v>0</v>
      </c>
      <c r="H545" s="88">
        <f t="shared" si="120"/>
        <v>0</v>
      </c>
      <c r="I545" s="88">
        <f t="shared" si="120"/>
        <v>0</v>
      </c>
      <c r="J545" s="18"/>
    </row>
    <row r="546" spans="1:10" s="19" customFormat="1" ht="18" x14ac:dyDescent="0.3">
      <c r="A546" s="7"/>
      <c r="B546" s="257" t="s">
        <v>942</v>
      </c>
      <c r="C546" s="257"/>
      <c r="D546" s="14"/>
      <c r="E546" s="199"/>
      <c r="F546" s="88"/>
      <c r="G546" s="88"/>
      <c r="H546" s="88"/>
      <c r="I546" s="88"/>
      <c r="J546" s="18"/>
    </row>
    <row r="547" spans="1:10" s="19" customFormat="1" x14ac:dyDescent="0.3">
      <c r="A547" s="7"/>
      <c r="B547" s="257" t="s">
        <v>943</v>
      </c>
      <c r="C547" s="257"/>
      <c r="D547" s="14"/>
      <c r="E547" s="199"/>
      <c r="F547" s="63"/>
      <c r="G547" s="63"/>
      <c r="H547" s="63"/>
      <c r="I547" s="63"/>
      <c r="J547" s="18"/>
    </row>
    <row r="548" spans="1:10" s="19" customFormat="1" ht="77.5" x14ac:dyDescent="0.3">
      <c r="A548" s="7"/>
      <c r="B548" s="14" t="s">
        <v>49</v>
      </c>
      <c r="C548" s="14" t="s">
        <v>50</v>
      </c>
      <c r="D548" s="14" t="s">
        <v>945</v>
      </c>
      <c r="E548" s="199"/>
      <c r="F548" s="63"/>
      <c r="G548" s="63">
        <f>F548*200</f>
        <v>0</v>
      </c>
      <c r="H548" s="16">
        <f>G548*0.6</f>
        <v>0</v>
      </c>
      <c r="I548" s="16">
        <f>G548*0.4</f>
        <v>0</v>
      </c>
      <c r="J548" s="18"/>
    </row>
    <row r="549" spans="1:10" s="19" customFormat="1" x14ac:dyDescent="0.3">
      <c r="A549" s="7"/>
      <c r="B549" s="14" t="s">
        <v>944</v>
      </c>
      <c r="C549" s="14" t="s">
        <v>50</v>
      </c>
      <c r="D549" s="14" t="s">
        <v>25</v>
      </c>
      <c r="E549" s="199"/>
      <c r="F549" s="63"/>
      <c r="G549" s="63">
        <f>F549*200*0.5</f>
        <v>0</v>
      </c>
      <c r="H549" s="16">
        <f>G549*0.6</f>
        <v>0</v>
      </c>
      <c r="I549" s="16">
        <f>G549*0.4</f>
        <v>0</v>
      </c>
      <c r="J549" s="18"/>
    </row>
    <row r="550" spans="1:10" s="19" customFormat="1" ht="18" x14ac:dyDescent="0.3">
      <c r="A550" s="7"/>
      <c r="B550" s="26" t="s">
        <v>122</v>
      </c>
      <c r="C550" s="14"/>
      <c r="D550" s="14"/>
      <c r="E550" s="199"/>
      <c r="F550" s="88">
        <f>SUM(F548:F549)</f>
        <v>0</v>
      </c>
      <c r="G550" s="88">
        <f>SUM(G548:G549)</f>
        <v>0</v>
      </c>
      <c r="H550" s="28">
        <f>SUM(H548:H549)</f>
        <v>0</v>
      </c>
      <c r="I550" s="28">
        <f>SUM(I548:I549)</f>
        <v>0</v>
      </c>
      <c r="J550" s="18"/>
    </row>
    <row r="551" spans="1:10" s="19" customFormat="1" ht="18" x14ac:dyDescent="0.35">
      <c r="A551" s="7"/>
      <c r="B551" s="257" t="s">
        <v>466</v>
      </c>
      <c r="C551" s="264"/>
      <c r="D551" s="14"/>
      <c r="E551" s="199"/>
      <c r="F551" s="88">
        <f>F545+F550</f>
        <v>0</v>
      </c>
      <c r="G551" s="88">
        <f>G545+G550</f>
        <v>0</v>
      </c>
      <c r="H551" s="88">
        <f>H545+H550</f>
        <v>0</v>
      </c>
      <c r="I551" s="88">
        <f>I545+I550</f>
        <v>0</v>
      </c>
      <c r="J551" s="18"/>
    </row>
    <row r="552" spans="1:10" s="19" customFormat="1" ht="18" x14ac:dyDescent="0.3">
      <c r="A552" s="7"/>
      <c r="B552" s="257" t="s">
        <v>946</v>
      </c>
      <c r="C552" s="257"/>
      <c r="D552" s="14"/>
      <c r="E552" s="199"/>
      <c r="F552" s="88"/>
      <c r="G552" s="88"/>
      <c r="H552" s="88"/>
      <c r="I552" s="88"/>
      <c r="J552" s="18"/>
    </row>
    <row r="553" spans="1:10" s="19" customFormat="1" ht="62" x14ac:dyDescent="0.3">
      <c r="A553" s="7"/>
      <c r="B553" s="14" t="s">
        <v>947</v>
      </c>
      <c r="C553" s="14" t="s">
        <v>948</v>
      </c>
      <c r="D553" s="14" t="s">
        <v>949</v>
      </c>
      <c r="E553" s="199"/>
      <c r="F553" s="88"/>
      <c r="G553" s="63">
        <f>F553*1000*0.5*0.5</f>
        <v>0</v>
      </c>
      <c r="H553" s="16">
        <f>G553*0.6</f>
        <v>0</v>
      </c>
      <c r="I553" s="16">
        <f>G553*0.4</f>
        <v>0</v>
      </c>
      <c r="J553" s="24"/>
    </row>
    <row r="554" spans="1:10" s="19" customFormat="1" ht="34.5" customHeight="1" x14ac:dyDescent="0.3">
      <c r="A554" s="7"/>
      <c r="B554" s="257" t="s">
        <v>950</v>
      </c>
      <c r="C554" s="257"/>
      <c r="D554" s="14"/>
      <c r="E554" s="199"/>
      <c r="F554" s="16"/>
      <c r="G554" s="16"/>
      <c r="H554" s="16"/>
      <c r="I554" s="16"/>
      <c r="J554" s="20"/>
    </row>
    <row r="555" spans="1:10" s="19" customFormat="1" ht="62" x14ac:dyDescent="0.3">
      <c r="A555" s="7"/>
      <c r="B555" s="14" t="s">
        <v>353</v>
      </c>
      <c r="C555" s="14" t="s">
        <v>952</v>
      </c>
      <c r="D555" s="14" t="s">
        <v>951</v>
      </c>
      <c r="E555" s="199"/>
      <c r="F555" s="16"/>
      <c r="G555" s="16">
        <f>F555*100*0.35</f>
        <v>0</v>
      </c>
      <c r="H555" s="16">
        <f>G555*0.6</f>
        <v>0</v>
      </c>
      <c r="I555" s="16">
        <f>G555*0.4</f>
        <v>0</v>
      </c>
      <c r="J555" s="20"/>
    </row>
    <row r="556" spans="1:10" s="19" customFormat="1" x14ac:dyDescent="0.3">
      <c r="A556" s="7"/>
      <c r="B556" s="14" t="s">
        <v>354</v>
      </c>
      <c r="C556" s="14" t="s">
        <v>952</v>
      </c>
      <c r="D556" s="14" t="s">
        <v>25</v>
      </c>
      <c r="E556" s="199"/>
      <c r="F556" s="16"/>
      <c r="G556" s="16">
        <f>F556*100*0.5</f>
        <v>0</v>
      </c>
      <c r="H556" s="16">
        <f>G556*0.6</f>
        <v>0</v>
      </c>
      <c r="I556" s="16">
        <f>G556*0.4</f>
        <v>0</v>
      </c>
      <c r="J556" s="20"/>
    </row>
    <row r="557" spans="1:10" s="19" customFormat="1" ht="18" x14ac:dyDescent="0.3">
      <c r="A557" s="7"/>
      <c r="B557" s="26" t="s">
        <v>122</v>
      </c>
      <c r="C557" s="14"/>
      <c r="D557" s="14"/>
      <c r="E557" s="199"/>
      <c r="F557" s="88">
        <f>SUM(F553:F556)</f>
        <v>0</v>
      </c>
      <c r="G557" s="88">
        <f t="shared" ref="G557:I557" si="121">SUM(G553:G556)</f>
        <v>0</v>
      </c>
      <c r="H557" s="88">
        <f t="shared" si="121"/>
        <v>0</v>
      </c>
      <c r="I557" s="88">
        <f t="shared" si="121"/>
        <v>0</v>
      </c>
      <c r="J557" s="18"/>
    </row>
    <row r="558" spans="1:10" s="19" customFormat="1" ht="18" x14ac:dyDescent="0.3">
      <c r="A558" s="7">
        <v>19</v>
      </c>
      <c r="B558" s="257" t="s">
        <v>953</v>
      </c>
      <c r="C558" s="257"/>
      <c r="D558" s="14"/>
      <c r="E558" s="199"/>
      <c r="F558" s="88"/>
      <c r="G558" s="88"/>
      <c r="H558" s="88"/>
      <c r="I558" s="88"/>
      <c r="J558" s="18"/>
    </row>
    <row r="559" spans="1:10" s="19" customFormat="1" ht="31" x14ac:dyDescent="0.3">
      <c r="A559" s="7"/>
      <c r="B559" s="14" t="s">
        <v>468</v>
      </c>
      <c r="C559" s="14" t="s">
        <v>404</v>
      </c>
      <c r="D559" s="14" t="s">
        <v>405</v>
      </c>
      <c r="E559" s="199"/>
      <c r="F559" s="63"/>
      <c r="G559" s="63"/>
      <c r="H559" s="16">
        <f>G559*0.6</f>
        <v>0</v>
      </c>
      <c r="I559" s="16">
        <f>G559*0.4</f>
        <v>0</v>
      </c>
      <c r="J559" s="18"/>
    </row>
    <row r="560" spans="1:10" s="19" customFormat="1" ht="62" x14ac:dyDescent="0.3">
      <c r="A560" s="7"/>
      <c r="B560" s="14" t="s">
        <v>1036</v>
      </c>
      <c r="C560" s="14"/>
      <c r="D560" s="14"/>
      <c r="E560" s="199">
        <v>1015</v>
      </c>
      <c r="F560" s="63">
        <v>50</v>
      </c>
      <c r="G560" s="63">
        <v>20</v>
      </c>
      <c r="H560" s="16">
        <f>G560*0.6</f>
        <v>12</v>
      </c>
      <c r="I560" s="16">
        <f>G560*0.4</f>
        <v>8</v>
      </c>
      <c r="J560" s="18"/>
    </row>
    <row r="561" spans="1:10" s="19" customFormat="1" ht="31" x14ac:dyDescent="0.3">
      <c r="A561" s="7"/>
      <c r="B561" s="14" t="s">
        <v>469</v>
      </c>
      <c r="C561" s="14" t="s">
        <v>954</v>
      </c>
      <c r="D561" s="14" t="s">
        <v>405</v>
      </c>
      <c r="E561" s="199"/>
      <c r="F561" s="63"/>
      <c r="G561" s="63"/>
      <c r="H561" s="16">
        <f>G561*0.6</f>
        <v>0</v>
      </c>
      <c r="I561" s="16">
        <f>G561*0.4</f>
        <v>0</v>
      </c>
      <c r="J561" s="18"/>
    </row>
    <row r="562" spans="1:10" s="19" customFormat="1" ht="18" x14ac:dyDescent="0.3">
      <c r="A562" s="7"/>
      <c r="B562" s="26" t="s">
        <v>122</v>
      </c>
      <c r="C562" s="14"/>
      <c r="D562" s="14"/>
      <c r="E562" s="199"/>
      <c r="F562" s="88">
        <f>SUM(F559:F561)</f>
        <v>50</v>
      </c>
      <c r="G562" s="88">
        <f>SUM(G559:G561)</f>
        <v>20</v>
      </c>
      <c r="H562" s="88">
        <f>SUM(H559:H561)</f>
        <v>12</v>
      </c>
      <c r="I562" s="88">
        <f>SUM(I559:I561)</f>
        <v>8</v>
      </c>
      <c r="J562" s="18"/>
    </row>
    <row r="563" spans="1:10" s="19" customFormat="1" ht="18" x14ac:dyDescent="0.3">
      <c r="A563" s="41">
        <v>20</v>
      </c>
      <c r="B563" s="258" t="s">
        <v>955</v>
      </c>
      <c r="C563" s="258"/>
      <c r="D563" s="258"/>
      <c r="E563" s="200"/>
      <c r="F563" s="16"/>
      <c r="G563" s="16"/>
      <c r="H563" s="16"/>
      <c r="I563" s="16"/>
      <c r="J563" s="89"/>
    </row>
    <row r="564" spans="1:10" s="55" customFormat="1" ht="77.5" x14ac:dyDescent="0.4">
      <c r="A564" s="7"/>
      <c r="B564" s="14" t="s">
        <v>956</v>
      </c>
      <c r="C564" s="14" t="s">
        <v>957</v>
      </c>
      <c r="D564" s="14" t="s">
        <v>503</v>
      </c>
      <c r="E564" s="199">
        <v>1018</v>
      </c>
      <c r="F564" s="16"/>
      <c r="G564" s="16">
        <v>338.83</v>
      </c>
      <c r="H564" s="16">
        <f>G564*0.6</f>
        <v>203.29799999999997</v>
      </c>
      <c r="I564" s="16">
        <f>G564*0.4</f>
        <v>135.53200000000001</v>
      </c>
      <c r="J564" s="89"/>
    </row>
    <row r="565" spans="1:10" s="19" customFormat="1" ht="46.5" x14ac:dyDescent="0.3">
      <c r="A565" s="7"/>
      <c r="B565" s="14" t="s">
        <v>958</v>
      </c>
      <c r="C565" s="14" t="s">
        <v>959</v>
      </c>
      <c r="D565" s="13" t="s">
        <v>473</v>
      </c>
      <c r="E565" s="214">
        <v>1019</v>
      </c>
      <c r="F565" s="16"/>
      <c r="G565" s="63">
        <v>72</v>
      </c>
      <c r="H565" s="16">
        <f>G565*0.6</f>
        <v>43.199999999999996</v>
      </c>
      <c r="I565" s="16">
        <f>G565*0.4</f>
        <v>28.8</v>
      </c>
      <c r="J565" s="89"/>
    </row>
    <row r="566" spans="1:10" s="19" customFormat="1" ht="35.25" customHeight="1" x14ac:dyDescent="0.3">
      <c r="A566" s="7"/>
      <c r="B566" s="254" t="s">
        <v>960</v>
      </c>
      <c r="C566" s="254"/>
      <c r="D566" s="14"/>
      <c r="E566" s="199"/>
      <c r="F566" s="16"/>
      <c r="G566" s="16"/>
      <c r="H566" s="16"/>
      <c r="I566" s="16"/>
      <c r="J566" s="20"/>
    </row>
    <row r="567" spans="1:10" s="19" customFormat="1" ht="62" x14ac:dyDescent="0.3">
      <c r="A567" s="7"/>
      <c r="B567" s="14" t="s">
        <v>475</v>
      </c>
      <c r="C567" s="14" t="s">
        <v>476</v>
      </c>
      <c r="D567" s="67" t="s">
        <v>961</v>
      </c>
      <c r="E567" s="212"/>
      <c r="F567" s="16"/>
      <c r="G567" s="63"/>
      <c r="H567" s="16"/>
      <c r="I567" s="16"/>
      <c r="J567" s="20"/>
    </row>
    <row r="568" spans="1:10" s="19" customFormat="1" x14ac:dyDescent="0.3">
      <c r="A568" s="7"/>
      <c r="B568" s="14" t="s">
        <v>49</v>
      </c>
      <c r="C568" s="67" t="s">
        <v>963</v>
      </c>
      <c r="D568" s="67" t="s">
        <v>963</v>
      </c>
      <c r="E568" s="212"/>
      <c r="F568" s="16"/>
      <c r="G568" s="63">
        <f t="shared" ref="G568" si="122">F568*7.5</f>
        <v>0</v>
      </c>
      <c r="H568" s="16">
        <f t="shared" ref="H568:H569" si="123">G568*0.6</f>
        <v>0</v>
      </c>
      <c r="I568" s="16">
        <f t="shared" ref="I568:I569" si="124">G568*0.4</f>
        <v>0</v>
      </c>
      <c r="J568" s="20"/>
    </row>
    <row r="569" spans="1:10" s="19" customFormat="1" x14ac:dyDescent="0.3">
      <c r="A569" s="7"/>
      <c r="B569" s="14" t="s">
        <v>944</v>
      </c>
      <c r="C569" s="67" t="s">
        <v>963</v>
      </c>
      <c r="D569" s="67" t="s">
        <v>963</v>
      </c>
      <c r="E569" s="212"/>
      <c r="F569" s="16"/>
      <c r="G569" s="63">
        <f>F569*7.5*0.5</f>
        <v>0</v>
      </c>
      <c r="H569" s="16">
        <f t="shared" si="123"/>
        <v>0</v>
      </c>
      <c r="I569" s="16">
        <f t="shared" si="124"/>
        <v>0</v>
      </c>
      <c r="J569" s="20"/>
    </row>
    <row r="570" spans="1:10" s="19" customFormat="1" ht="46.5" x14ac:dyDescent="0.3">
      <c r="A570" s="7"/>
      <c r="B570" s="14" t="s">
        <v>478</v>
      </c>
      <c r="C570" s="14" t="s">
        <v>479</v>
      </c>
      <c r="D570" s="14" t="s">
        <v>962</v>
      </c>
      <c r="E570" s="199"/>
      <c r="F570" s="16"/>
      <c r="G570" s="63"/>
      <c r="H570" s="16"/>
      <c r="I570" s="16"/>
      <c r="J570" s="20"/>
    </row>
    <row r="571" spans="1:10" s="19" customFormat="1" x14ac:dyDescent="0.3">
      <c r="A571" s="7"/>
      <c r="B571" s="14" t="s">
        <v>49</v>
      </c>
      <c r="C571" s="67" t="s">
        <v>963</v>
      </c>
      <c r="D571" s="67" t="s">
        <v>963</v>
      </c>
      <c r="E571" s="212">
        <v>1025</v>
      </c>
      <c r="F571" s="16">
        <v>10</v>
      </c>
      <c r="G571" s="63">
        <f>F571*5</f>
        <v>50</v>
      </c>
      <c r="H571" s="16">
        <f t="shared" ref="H571:H579" si="125">G571*0.6</f>
        <v>30</v>
      </c>
      <c r="I571" s="16">
        <f t="shared" ref="I571:I579" si="126">G571*0.4</f>
        <v>20</v>
      </c>
      <c r="J571" s="20"/>
    </row>
    <row r="572" spans="1:10" s="19" customFormat="1" x14ac:dyDescent="0.3">
      <c r="A572" s="7"/>
      <c r="B572" s="14" t="s">
        <v>944</v>
      </c>
      <c r="C572" s="67" t="s">
        <v>963</v>
      </c>
      <c r="D572" s="67" t="s">
        <v>963</v>
      </c>
      <c r="E572" s="212"/>
      <c r="F572" s="16"/>
      <c r="G572" s="63">
        <f>F572*5*0.5</f>
        <v>0</v>
      </c>
      <c r="H572" s="16">
        <f t="shared" si="125"/>
        <v>0</v>
      </c>
      <c r="I572" s="16">
        <f t="shared" si="126"/>
        <v>0</v>
      </c>
      <c r="J572" s="20"/>
    </row>
    <row r="573" spans="1:10" s="19" customFormat="1" ht="46.5" x14ac:dyDescent="0.3">
      <c r="A573" s="7"/>
      <c r="B573" s="14" t="s">
        <v>481</v>
      </c>
      <c r="C573" s="14" t="s">
        <v>482</v>
      </c>
      <c r="D573" s="14" t="s">
        <v>962</v>
      </c>
      <c r="E573" s="199"/>
      <c r="F573" s="16"/>
      <c r="G573" s="63"/>
      <c r="H573" s="16"/>
      <c r="I573" s="16"/>
      <c r="J573" s="20"/>
    </row>
    <row r="574" spans="1:10" s="19" customFormat="1" x14ac:dyDescent="0.3">
      <c r="A574" s="7"/>
      <c r="B574" s="14" t="s">
        <v>49</v>
      </c>
      <c r="C574" s="67" t="s">
        <v>963</v>
      </c>
      <c r="D574" s="67" t="s">
        <v>963</v>
      </c>
      <c r="E574" s="212">
        <v>1028</v>
      </c>
      <c r="F574" s="16">
        <v>5</v>
      </c>
      <c r="G574" s="63">
        <f>F574*3</f>
        <v>15</v>
      </c>
      <c r="H574" s="16">
        <f t="shared" ref="H574:H575" si="127">G574*0.6</f>
        <v>9</v>
      </c>
      <c r="I574" s="16">
        <f t="shared" ref="I574:I575" si="128">G574*0.4</f>
        <v>6</v>
      </c>
      <c r="J574" s="20"/>
    </row>
    <row r="575" spans="1:10" s="19" customFormat="1" x14ac:dyDescent="0.3">
      <c r="A575" s="7"/>
      <c r="B575" s="14" t="s">
        <v>944</v>
      </c>
      <c r="C575" s="67" t="s">
        <v>963</v>
      </c>
      <c r="D575" s="67" t="s">
        <v>963</v>
      </c>
      <c r="E575" s="212"/>
      <c r="F575" s="16"/>
      <c r="G575" s="63">
        <f>F575*3*0.5</f>
        <v>0</v>
      </c>
      <c r="H575" s="16">
        <f t="shared" si="127"/>
        <v>0</v>
      </c>
      <c r="I575" s="16">
        <f t="shared" si="128"/>
        <v>0</v>
      </c>
      <c r="J575" s="20"/>
    </row>
    <row r="576" spans="1:10" s="19" customFormat="1" ht="46.5" x14ac:dyDescent="0.3">
      <c r="A576" s="7"/>
      <c r="B576" s="13" t="s">
        <v>484</v>
      </c>
      <c r="C576" s="14" t="s">
        <v>485</v>
      </c>
      <c r="D576" s="14" t="s">
        <v>962</v>
      </c>
      <c r="E576" s="199"/>
      <c r="F576" s="16"/>
      <c r="G576" s="63"/>
      <c r="H576" s="16"/>
      <c r="I576" s="16"/>
      <c r="J576" s="20"/>
    </row>
    <row r="577" spans="1:10" s="19" customFormat="1" x14ac:dyDescent="0.3">
      <c r="A577" s="7"/>
      <c r="B577" s="14" t="s">
        <v>49</v>
      </c>
      <c r="C577" s="67" t="s">
        <v>963</v>
      </c>
      <c r="D577" s="67" t="s">
        <v>963</v>
      </c>
      <c r="E577" s="212">
        <v>1031</v>
      </c>
      <c r="F577" s="16">
        <v>33</v>
      </c>
      <c r="G577" s="63">
        <f>F577*2</f>
        <v>66</v>
      </c>
      <c r="H577" s="16">
        <f t="shared" ref="H577:H578" si="129">G577*0.6</f>
        <v>39.6</v>
      </c>
      <c r="I577" s="16">
        <f t="shared" ref="I577:I578" si="130">G577*0.4</f>
        <v>26.400000000000002</v>
      </c>
      <c r="J577" s="20"/>
    </row>
    <row r="578" spans="1:10" s="19" customFormat="1" x14ac:dyDescent="0.3">
      <c r="A578" s="7"/>
      <c r="B578" s="14" t="s">
        <v>944</v>
      </c>
      <c r="C578" s="67" t="s">
        <v>963</v>
      </c>
      <c r="D578" s="67" t="s">
        <v>963</v>
      </c>
      <c r="E578" s="212"/>
      <c r="F578" s="16"/>
      <c r="G578" s="63">
        <f>F578*2*0.5</f>
        <v>0</v>
      </c>
      <c r="H578" s="16">
        <f t="shared" si="129"/>
        <v>0</v>
      </c>
      <c r="I578" s="16">
        <f t="shared" si="130"/>
        <v>0</v>
      </c>
      <c r="J578" s="20"/>
    </row>
    <row r="579" spans="1:10" s="19" customFormat="1" ht="46.5" x14ac:dyDescent="0.3">
      <c r="A579" s="7"/>
      <c r="B579" s="14" t="s">
        <v>964</v>
      </c>
      <c r="C579" s="14" t="s">
        <v>965</v>
      </c>
      <c r="D579" s="14" t="s">
        <v>966</v>
      </c>
      <c r="E579" s="199"/>
      <c r="F579" s="16"/>
      <c r="G579" s="63">
        <f>F579*1</f>
        <v>0</v>
      </c>
      <c r="H579" s="16">
        <f t="shared" si="125"/>
        <v>0</v>
      </c>
      <c r="I579" s="16">
        <f t="shared" si="126"/>
        <v>0</v>
      </c>
      <c r="J579" s="20"/>
    </row>
    <row r="580" spans="1:10" s="19" customFormat="1" ht="62" x14ac:dyDescent="0.3">
      <c r="A580" s="7"/>
      <c r="B580" s="14" t="s">
        <v>967</v>
      </c>
      <c r="C580" s="14" t="s">
        <v>968</v>
      </c>
      <c r="D580" s="14" t="s">
        <v>969</v>
      </c>
      <c r="E580" s="199">
        <v>1034</v>
      </c>
      <c r="F580" s="16"/>
      <c r="G580" s="63">
        <v>50</v>
      </c>
      <c r="H580" s="16">
        <f>G580*0.6</f>
        <v>30</v>
      </c>
      <c r="I580" s="16">
        <f>G580*0.4</f>
        <v>20</v>
      </c>
      <c r="J580" s="20"/>
    </row>
    <row r="581" spans="1:10" s="19" customFormat="1" ht="62" x14ac:dyDescent="0.3">
      <c r="A581" s="7"/>
      <c r="B581" s="14" t="s">
        <v>970</v>
      </c>
      <c r="C581" s="14" t="s">
        <v>971</v>
      </c>
      <c r="D581" s="35" t="s">
        <v>972</v>
      </c>
      <c r="E581" s="214">
        <v>1035</v>
      </c>
      <c r="F581" s="16"/>
      <c r="G581" s="63">
        <v>200</v>
      </c>
      <c r="H581" s="16">
        <f>G581*0.6</f>
        <v>120</v>
      </c>
      <c r="I581" s="16">
        <f>G581*0.4</f>
        <v>80</v>
      </c>
      <c r="J581" s="24"/>
    </row>
    <row r="582" spans="1:10" s="19" customFormat="1" hidden="1" x14ac:dyDescent="0.3">
      <c r="A582" s="7"/>
      <c r="B582" s="257" t="s">
        <v>973</v>
      </c>
      <c r="C582" s="257"/>
      <c r="D582" s="14"/>
      <c r="E582" s="199"/>
      <c r="F582" s="16"/>
      <c r="G582" s="16"/>
      <c r="H582" s="16"/>
      <c r="I582" s="16"/>
      <c r="J582" s="20"/>
    </row>
    <row r="583" spans="1:10" s="19" customFormat="1" ht="62" hidden="1" x14ac:dyDescent="0.3">
      <c r="A583" s="7"/>
      <c r="B583" s="35" t="s">
        <v>974</v>
      </c>
      <c r="C583" s="14" t="s">
        <v>975</v>
      </c>
      <c r="D583" s="22" t="s">
        <v>499</v>
      </c>
      <c r="E583" s="199"/>
      <c r="F583" s="16"/>
      <c r="G583" s="16"/>
      <c r="H583" s="16">
        <f>G583*0.6</f>
        <v>0</v>
      </c>
      <c r="I583" s="16">
        <f>G583*0.4</f>
        <v>0</v>
      </c>
      <c r="J583" s="20"/>
    </row>
    <row r="584" spans="1:10" s="19" customFormat="1" ht="93" hidden="1" x14ac:dyDescent="0.3">
      <c r="A584" s="7"/>
      <c r="B584" s="14" t="s">
        <v>976</v>
      </c>
      <c r="C584" s="14" t="s">
        <v>500</v>
      </c>
      <c r="D584" s="14" t="s">
        <v>489</v>
      </c>
      <c r="E584" s="199"/>
      <c r="F584" s="16"/>
      <c r="G584" s="16"/>
      <c r="H584" s="16">
        <f>G584*0.6</f>
        <v>0</v>
      </c>
      <c r="I584" s="16">
        <f>G584*0.4</f>
        <v>0</v>
      </c>
      <c r="J584" s="20"/>
    </row>
    <row r="585" spans="1:10" s="55" customFormat="1" ht="18" x14ac:dyDescent="0.4">
      <c r="A585" s="7"/>
      <c r="B585" s="26" t="s">
        <v>122</v>
      </c>
      <c r="C585" s="26"/>
      <c r="D585" s="90"/>
      <c r="E585" s="218"/>
      <c r="F585" s="28">
        <f>SUM(F565:F584)</f>
        <v>48</v>
      </c>
      <c r="G585" s="28">
        <f t="shared" ref="G585:I585" si="131">SUM(G565:G584)</f>
        <v>453</v>
      </c>
      <c r="H585" s="28">
        <f t="shared" si="131"/>
        <v>271.79999999999995</v>
      </c>
      <c r="I585" s="28">
        <f t="shared" si="131"/>
        <v>181.2</v>
      </c>
      <c r="J585" s="56"/>
    </row>
    <row r="586" spans="1:10" s="19" customFormat="1" ht="18" x14ac:dyDescent="0.3">
      <c r="A586" s="8"/>
      <c r="B586" s="53" t="s">
        <v>505</v>
      </c>
      <c r="C586" s="53"/>
      <c r="D586" s="53"/>
      <c r="E586" s="200"/>
      <c r="F586" s="28">
        <f>F7+F39+F304+F305+F317+F322+F335+F371+F380+F387+F388+F389+F399+F421+F425+F441+F533+F551+F557+F562+F564+F585</f>
        <v>34134.761404174889</v>
      </c>
      <c r="G586" s="28">
        <f>G7+G39+G304+G305+G317+G322+G335+G371+G380+G387+G388+G389+G399+G421+G425+G441+G533+G551+G557+G562+G564+G585</f>
        <v>13541.67224</v>
      </c>
      <c r="H586" s="28">
        <f>H7+H39+H304+H305+H317+H322+H335+H371+H380+H387+H388+H389+H399+H421+H425+H441+H533+H551+H557+H562+H564+H585</f>
        <v>8125.0033439999997</v>
      </c>
      <c r="I586" s="28">
        <f>I7+I39+I304+I305+I317+I322+I335+I371+I380+I387+I388+I389+I399+I421+I425+I441+I533+I551+I557+I562+I564+I585</f>
        <v>5416.6688960000001</v>
      </c>
      <c r="J586" s="91"/>
    </row>
    <row r="587" spans="1:10" s="19" customFormat="1" ht="22.5" x14ac:dyDescent="0.3">
      <c r="A587" s="92"/>
      <c r="B587" s="93"/>
      <c r="C587" s="93"/>
      <c r="D587" s="93"/>
      <c r="E587" s="219"/>
      <c r="F587" s="95"/>
      <c r="G587" s="94"/>
      <c r="H587" s="95"/>
      <c r="I587" s="94"/>
      <c r="J587" s="96"/>
    </row>
    <row r="588" spans="1:10" ht="14.5" x14ac:dyDescent="0.35">
      <c r="A588" s="177"/>
      <c r="C588"/>
      <c r="D588"/>
      <c r="F588" s="97"/>
      <c r="G588" s="97"/>
      <c r="H588"/>
      <c r="I588"/>
      <c r="J588"/>
    </row>
    <row r="589" spans="1:10" ht="14.5" x14ac:dyDescent="0.35">
      <c r="A589" s="177"/>
      <c r="C589"/>
      <c r="D589"/>
      <c r="F589" s="97"/>
      <c r="G589"/>
      <c r="H589"/>
      <c r="I589"/>
      <c r="J589"/>
    </row>
    <row r="590" spans="1:10" ht="14.5" x14ac:dyDescent="0.35">
      <c r="A590" s="177"/>
      <c r="C590"/>
      <c r="D590"/>
      <c r="F590" s="97"/>
      <c r="G590"/>
      <c r="H590"/>
      <c r="I590"/>
      <c r="J590"/>
    </row>
    <row r="591" spans="1:10" ht="14.5" x14ac:dyDescent="0.35">
      <c r="A591" s="177"/>
      <c r="C591"/>
      <c r="D591"/>
      <c r="F591" s="97"/>
      <c r="G591"/>
      <c r="H591"/>
      <c r="I591"/>
      <c r="J591"/>
    </row>
    <row r="592" spans="1:10" ht="14.5" x14ac:dyDescent="0.35">
      <c r="A592" s="177"/>
      <c r="C592"/>
      <c r="D592"/>
      <c r="F592" s="97"/>
      <c r="G592"/>
      <c r="H592"/>
      <c r="I592"/>
      <c r="J592"/>
    </row>
    <row r="593" spans="1:10" ht="14.5" x14ac:dyDescent="0.35">
      <c r="A593" s="177"/>
      <c r="C593"/>
      <c r="D593"/>
      <c r="F593" s="97"/>
      <c r="G593"/>
      <c r="H593"/>
      <c r="I593"/>
      <c r="J593"/>
    </row>
    <row r="594" spans="1:10" ht="14.5" x14ac:dyDescent="0.35">
      <c r="A594" s="177"/>
      <c r="C594"/>
      <c r="D594"/>
      <c r="F594" s="97"/>
      <c r="G594"/>
      <c r="H594"/>
      <c r="I594"/>
      <c r="J594"/>
    </row>
    <row r="595" spans="1:10" ht="14.5" x14ac:dyDescent="0.35">
      <c r="A595" s="177"/>
      <c r="C595"/>
      <c r="D595"/>
      <c r="F595" s="97"/>
      <c r="G595"/>
      <c r="H595"/>
      <c r="I595"/>
      <c r="J595"/>
    </row>
    <row r="596" spans="1:10" ht="14.5" x14ac:dyDescent="0.35">
      <c r="A596" s="177"/>
      <c r="C596"/>
      <c r="D596"/>
      <c r="F596" s="97"/>
      <c r="G596"/>
      <c r="H596"/>
      <c r="I596"/>
      <c r="J596"/>
    </row>
    <row r="597" spans="1:10" ht="14.5" x14ac:dyDescent="0.35">
      <c r="A597" s="177"/>
      <c r="C597"/>
      <c r="D597"/>
      <c r="F597" s="97"/>
      <c r="G597"/>
      <c r="H597"/>
      <c r="I597"/>
      <c r="J597"/>
    </row>
    <row r="598" spans="1:10" ht="14.5" x14ac:dyDescent="0.35">
      <c r="A598" s="177"/>
      <c r="C598"/>
      <c r="D598"/>
      <c r="F598" s="97"/>
      <c r="G598"/>
      <c r="H598"/>
      <c r="I598"/>
      <c r="J598"/>
    </row>
  </sheetData>
  <mergeCells count="234">
    <mergeCell ref="B107:C107"/>
    <mergeCell ref="B109:C109"/>
    <mergeCell ref="B101:D101"/>
    <mergeCell ref="B104:C104"/>
    <mergeCell ref="B153:C153"/>
    <mergeCell ref="B137:C137"/>
    <mergeCell ref="B138:C138"/>
    <mergeCell ref="B139:C139"/>
    <mergeCell ref="B147:C147"/>
    <mergeCell ref="B148:C148"/>
    <mergeCell ref="B150:C150"/>
    <mergeCell ref="B110:D110"/>
    <mergeCell ref="B113:C113"/>
    <mergeCell ref="B114:C114"/>
    <mergeCell ref="B116:C116"/>
    <mergeCell ref="B118:C118"/>
    <mergeCell ref="B128:C128"/>
    <mergeCell ref="B132:C132"/>
    <mergeCell ref="B133:C133"/>
    <mergeCell ref="B135:C135"/>
    <mergeCell ref="A2:J2"/>
    <mergeCell ref="B3:I3"/>
    <mergeCell ref="F4:I4"/>
    <mergeCell ref="B9:D9"/>
    <mergeCell ref="B10:D10"/>
    <mergeCell ref="B36:D36"/>
    <mergeCell ref="B49:C49"/>
    <mergeCell ref="B60:C60"/>
    <mergeCell ref="B26:D26"/>
    <mergeCell ref="B30:C30"/>
    <mergeCell ref="B33:D33"/>
    <mergeCell ref="B40:D40"/>
    <mergeCell ref="B41:D41"/>
    <mergeCell ref="B11:C11"/>
    <mergeCell ref="B14:D14"/>
    <mergeCell ref="B23:D23"/>
    <mergeCell ref="B17:D17"/>
    <mergeCell ref="B20:D20"/>
    <mergeCell ref="B54:D54"/>
    <mergeCell ref="B59:C59"/>
    <mergeCell ref="B42:D42"/>
    <mergeCell ref="B43:D43"/>
    <mergeCell ref="B44:D44"/>
    <mergeCell ref="C18:C19"/>
    <mergeCell ref="B198:C198"/>
    <mergeCell ref="B200:C200"/>
    <mergeCell ref="B202:C202"/>
    <mergeCell ref="B203:C203"/>
    <mergeCell ref="B215:C215"/>
    <mergeCell ref="B216:C216"/>
    <mergeCell ref="B225:C225"/>
    <mergeCell ref="B229:C229"/>
    <mergeCell ref="B48:C48"/>
    <mergeCell ref="B51:C51"/>
    <mergeCell ref="B53:C53"/>
    <mergeCell ref="B62:C62"/>
    <mergeCell ref="B68:C68"/>
    <mergeCell ref="B69:C69"/>
    <mergeCell ref="B71:C71"/>
    <mergeCell ref="B64:C64"/>
    <mergeCell ref="B73:C73"/>
    <mergeCell ref="B180:C180"/>
    <mergeCell ref="B181:C181"/>
    <mergeCell ref="B182:C182"/>
    <mergeCell ref="B187:C187"/>
    <mergeCell ref="B188:C188"/>
    <mergeCell ref="B190:C190"/>
    <mergeCell ref="B193:C193"/>
    <mergeCell ref="B194:C194"/>
    <mergeCell ref="B197:C197"/>
    <mergeCell ref="B77:C77"/>
    <mergeCell ref="B78:C78"/>
    <mergeCell ref="B80:C80"/>
    <mergeCell ref="B82:C82"/>
    <mergeCell ref="B86:C86"/>
    <mergeCell ref="B87:C87"/>
    <mergeCell ref="B119:D119"/>
    <mergeCell ref="B123:C123"/>
    <mergeCell ref="B129:D129"/>
    <mergeCell ref="B124:C124"/>
    <mergeCell ref="B126:C126"/>
    <mergeCell ref="B89:C89"/>
    <mergeCell ref="B91:C91"/>
    <mergeCell ref="B95:C95"/>
    <mergeCell ref="B96:C96"/>
    <mergeCell ref="B98:C98"/>
    <mergeCell ref="B100:C100"/>
    <mergeCell ref="B154:C154"/>
    <mergeCell ref="B159:C159"/>
    <mergeCell ref="B160:C160"/>
    <mergeCell ref="B162:C162"/>
    <mergeCell ref="B105:C105"/>
    <mergeCell ref="B206:C206"/>
    <mergeCell ref="B243:D243"/>
    <mergeCell ref="B247:D247"/>
    <mergeCell ref="B261:D261"/>
    <mergeCell ref="B270:D270"/>
    <mergeCell ref="B275:C275"/>
    <mergeCell ref="B287:C287"/>
    <mergeCell ref="B271:C271"/>
    <mergeCell ref="B278:D278"/>
    <mergeCell ref="B283:D283"/>
    <mergeCell ref="B207:C207"/>
    <mergeCell ref="B209:C209"/>
    <mergeCell ref="B211:C211"/>
    <mergeCell ref="B212:C212"/>
    <mergeCell ref="B218:C218"/>
    <mergeCell ref="B220:C220"/>
    <mergeCell ref="B221:C221"/>
    <mergeCell ref="B224:C224"/>
    <mergeCell ref="B227:C227"/>
    <mergeCell ref="B236:D236"/>
    <mergeCell ref="B230:D230"/>
    <mergeCell ref="B431:C431"/>
    <mergeCell ref="B503:D503"/>
    <mergeCell ref="B524:C524"/>
    <mergeCell ref="B426:D426"/>
    <mergeCell ref="B456:D456"/>
    <mergeCell ref="B457:D457"/>
    <mergeCell ref="D375:D376"/>
    <mergeCell ref="D378:D379"/>
    <mergeCell ref="B384:C384"/>
    <mergeCell ref="B416:C416"/>
    <mergeCell ref="C417:C418"/>
    <mergeCell ref="B460:D460"/>
    <mergeCell ref="B422:C422"/>
    <mergeCell ref="C423:C424"/>
    <mergeCell ref="D423:D424"/>
    <mergeCell ref="B390:D390"/>
    <mergeCell ref="B400:D400"/>
    <mergeCell ref="B404:C404"/>
    <mergeCell ref="B407:D407"/>
    <mergeCell ref="B377:C377"/>
    <mergeCell ref="B380:C380"/>
    <mergeCell ref="B381:D381"/>
    <mergeCell ref="D518:D520"/>
    <mergeCell ref="B490:D490"/>
    <mergeCell ref="D344:D347"/>
    <mergeCell ref="B343:D343"/>
    <mergeCell ref="D319:D321"/>
    <mergeCell ref="C326:C327"/>
    <mergeCell ref="D326:D327"/>
    <mergeCell ref="B332:D332"/>
    <mergeCell ref="B330:D330"/>
    <mergeCell ref="B337:D337"/>
    <mergeCell ref="D339:D342"/>
    <mergeCell ref="B582:C582"/>
    <mergeCell ref="B546:C546"/>
    <mergeCell ref="B547:C547"/>
    <mergeCell ref="B551:C551"/>
    <mergeCell ref="B558:C558"/>
    <mergeCell ref="B563:D563"/>
    <mergeCell ref="B566:C566"/>
    <mergeCell ref="C495:C496"/>
    <mergeCell ref="D495:D496"/>
    <mergeCell ref="B513:C513"/>
    <mergeCell ref="B497:D497"/>
    <mergeCell ref="C498:C499"/>
    <mergeCell ref="D498:D499"/>
    <mergeCell ref="B500:D500"/>
    <mergeCell ref="C501:C502"/>
    <mergeCell ref="D501:D502"/>
    <mergeCell ref="B510:C510"/>
    <mergeCell ref="B542:C542"/>
    <mergeCell ref="B554:C554"/>
    <mergeCell ref="B552:C552"/>
    <mergeCell ref="B534:D534"/>
    <mergeCell ref="B535:C535"/>
    <mergeCell ref="B538:C538"/>
    <mergeCell ref="C518:C520"/>
    <mergeCell ref="B467:D467"/>
    <mergeCell ref="B491:D491"/>
    <mergeCell ref="B506:D506"/>
    <mergeCell ref="B463:D463"/>
    <mergeCell ref="D474:D475"/>
    <mergeCell ref="B477:D477"/>
    <mergeCell ref="C478:C479"/>
    <mergeCell ref="D478:D479"/>
    <mergeCell ref="D492:D493"/>
    <mergeCell ref="B494:D494"/>
    <mergeCell ref="B470:D470"/>
    <mergeCell ref="C471:C472"/>
    <mergeCell ref="D471:D472"/>
    <mergeCell ref="B473:D473"/>
    <mergeCell ref="C474:C475"/>
    <mergeCell ref="B487:D487"/>
    <mergeCell ref="B293:D293"/>
    <mergeCell ref="B509:D509"/>
    <mergeCell ref="B527:C527"/>
    <mergeCell ref="B530:C530"/>
    <mergeCell ref="C492:C493"/>
    <mergeCell ref="B318:C318"/>
    <mergeCell ref="B338:D338"/>
    <mergeCell ref="B303:D303"/>
    <mergeCell ref="B480:D480"/>
    <mergeCell ref="C481:C482"/>
    <mergeCell ref="D481:D482"/>
    <mergeCell ref="B476:D476"/>
    <mergeCell ref="B483:D483"/>
    <mergeCell ref="B484:D484"/>
    <mergeCell ref="C485:C486"/>
    <mergeCell ref="D485:D486"/>
    <mergeCell ref="C488:C489"/>
    <mergeCell ref="D488:D489"/>
    <mergeCell ref="B466:D466"/>
    <mergeCell ref="B442:C442"/>
    <mergeCell ref="D447:D448"/>
    <mergeCell ref="C447:C448"/>
    <mergeCell ref="C468:C469"/>
    <mergeCell ref="D468:D469"/>
    <mergeCell ref="D417:D418"/>
    <mergeCell ref="B521:C521"/>
    <mergeCell ref="B289:D289"/>
    <mergeCell ref="B290:D290"/>
    <mergeCell ref="B294:D294"/>
    <mergeCell ref="B237:D237"/>
    <mergeCell ref="B240:D240"/>
    <mergeCell ref="B437:D437"/>
    <mergeCell ref="B349:D349"/>
    <mergeCell ref="B371:C371"/>
    <mergeCell ref="B374:D374"/>
    <mergeCell ref="B323:D323"/>
    <mergeCell ref="B324:D324"/>
    <mergeCell ref="B325:D325"/>
    <mergeCell ref="B328:D328"/>
    <mergeCell ref="B336:D336"/>
    <mergeCell ref="B304:C304"/>
    <mergeCell ref="B305:C305"/>
    <mergeCell ref="B306:D306"/>
    <mergeCell ref="B307:D307"/>
    <mergeCell ref="B310:D310"/>
    <mergeCell ref="B313:D313"/>
    <mergeCell ref="B362:D362"/>
    <mergeCell ref="B299:D299"/>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X450"/>
  <sheetViews>
    <sheetView workbookViewId="0">
      <selection activeCell="N176" sqref="N176"/>
    </sheetView>
  </sheetViews>
  <sheetFormatPr defaultRowHeight="17.5" x14ac:dyDescent="0.35"/>
  <cols>
    <col min="1" max="1" width="7.1796875" style="98" customWidth="1"/>
    <col min="2" max="2" width="31.7265625" customWidth="1"/>
    <col min="3" max="3" width="25.7265625" style="2" customWidth="1"/>
    <col min="4" max="4" width="38.26953125" style="2" customWidth="1"/>
    <col min="5" max="5" width="12.54296875" style="99" customWidth="1"/>
    <col min="6" max="6" width="14.26953125" style="100" customWidth="1"/>
    <col min="7" max="7" width="13.7265625" style="100" customWidth="1"/>
    <col min="8" max="10" width="12.54296875" style="100" customWidth="1"/>
    <col min="11" max="11" width="30.81640625" style="101" customWidth="1"/>
    <col min="13" max="14" width="10.7265625" bestFit="1" customWidth="1"/>
  </cols>
  <sheetData>
    <row r="1" spans="1:102" x14ac:dyDescent="0.35">
      <c r="A1" s="1"/>
      <c r="F1" s="3">
        <f>F435</f>
        <v>0</v>
      </c>
      <c r="G1" s="3">
        <f>G435</f>
        <v>0</v>
      </c>
      <c r="H1" s="3">
        <f>H435</f>
        <v>0</v>
      </c>
      <c r="I1" s="3">
        <f>I435</f>
        <v>0</v>
      </c>
      <c r="J1" s="3">
        <f>J435</f>
        <v>0</v>
      </c>
      <c r="K1" s="102" t="e">
        <f>4974-#REF!</f>
        <v>#REF!</v>
      </c>
    </row>
    <row r="2" spans="1:102" ht="18" thickBot="1" x14ac:dyDescent="0.4">
      <c r="F2" s="3">
        <f>F435</f>
        <v>0</v>
      </c>
      <c r="G2" s="3"/>
      <c r="H2" s="3"/>
      <c r="I2" s="3"/>
      <c r="J2" s="3">
        <f>J435</f>
        <v>0</v>
      </c>
      <c r="K2" s="102"/>
    </row>
    <row r="3" spans="1:102" ht="33.75" customHeight="1" thickBot="1" x14ac:dyDescent="0.4">
      <c r="A3" s="274" t="s">
        <v>556</v>
      </c>
      <c r="B3" s="275"/>
      <c r="C3" s="275"/>
      <c r="D3" s="275"/>
      <c r="E3" s="275"/>
      <c r="F3" s="275"/>
      <c r="G3" s="275"/>
      <c r="H3" s="275"/>
      <c r="I3" s="298"/>
      <c r="J3" s="298"/>
      <c r="K3" s="276"/>
      <c r="L3" s="81"/>
      <c r="M3" s="81"/>
      <c r="N3" s="81"/>
      <c r="O3" s="81"/>
      <c r="P3" s="81"/>
      <c r="Q3" s="81"/>
      <c r="R3" s="81"/>
      <c r="S3" s="81"/>
      <c r="T3" s="81"/>
      <c r="U3" s="81"/>
      <c r="V3" s="81"/>
      <c r="W3" s="81"/>
      <c r="X3" s="81"/>
      <c r="Y3" s="81"/>
      <c r="Z3" s="81"/>
      <c r="AA3" s="81"/>
      <c r="AB3" s="81"/>
      <c r="AC3" s="81"/>
      <c r="AD3" s="81"/>
      <c r="AE3" s="81"/>
      <c r="AF3" s="81"/>
      <c r="AG3" s="81"/>
      <c r="AH3" s="81"/>
      <c r="AI3" s="81"/>
      <c r="AJ3" s="81"/>
      <c r="AK3" s="81"/>
      <c r="AL3" s="81"/>
      <c r="AM3" s="81"/>
      <c r="AN3" s="81"/>
      <c r="AO3" s="81"/>
      <c r="AP3" s="81"/>
      <c r="AQ3" s="81"/>
      <c r="AR3" s="81"/>
      <c r="AS3" s="81"/>
      <c r="AT3" s="81"/>
      <c r="AU3" s="81"/>
      <c r="AV3" s="81"/>
      <c r="AW3" s="81"/>
      <c r="AX3" s="81"/>
      <c r="AY3" s="81"/>
      <c r="AZ3" s="81"/>
      <c r="BA3" s="81"/>
      <c r="BB3" s="81"/>
      <c r="BC3" s="81"/>
      <c r="BD3" s="81"/>
      <c r="BE3" s="81"/>
      <c r="BF3" s="81"/>
      <c r="BG3" s="81"/>
      <c r="BH3" s="81"/>
      <c r="BI3" s="81"/>
      <c r="BJ3" s="81"/>
      <c r="BK3" s="81"/>
      <c r="BL3" s="81"/>
      <c r="BM3" s="81"/>
      <c r="BN3" s="81"/>
      <c r="BO3" s="81"/>
      <c r="BP3" s="81"/>
      <c r="BQ3" s="81"/>
      <c r="BR3" s="81"/>
      <c r="BS3" s="81"/>
      <c r="BT3" s="81"/>
      <c r="BU3" s="81"/>
      <c r="BV3" s="81"/>
      <c r="BW3" s="81"/>
      <c r="BX3" s="81"/>
      <c r="BY3" s="81"/>
      <c r="BZ3" s="81"/>
      <c r="CA3" s="81"/>
      <c r="CB3" s="81"/>
      <c r="CC3" s="81"/>
      <c r="CD3" s="81"/>
      <c r="CE3" s="81"/>
      <c r="CF3" s="81"/>
      <c r="CG3" s="81"/>
      <c r="CH3" s="81"/>
      <c r="CI3" s="81"/>
      <c r="CJ3" s="81"/>
      <c r="CK3" s="81"/>
      <c r="CL3" s="81"/>
      <c r="CM3" s="81"/>
      <c r="CN3" s="81"/>
      <c r="CO3" s="81"/>
      <c r="CP3" s="81"/>
      <c r="CQ3" s="81"/>
      <c r="CR3" s="81"/>
      <c r="CS3" s="81"/>
      <c r="CT3" s="81"/>
      <c r="CU3" s="81"/>
      <c r="CV3" s="81"/>
      <c r="CW3" s="81"/>
      <c r="CX3" s="81"/>
    </row>
    <row r="4" spans="1:102" ht="18" customHeight="1" x14ac:dyDescent="0.35">
      <c r="A4" s="4"/>
      <c r="B4" s="277" t="s">
        <v>557</v>
      </c>
      <c r="C4" s="277"/>
      <c r="D4" s="277"/>
      <c r="E4" s="277"/>
      <c r="F4" s="277"/>
      <c r="G4" s="277"/>
      <c r="H4" s="277"/>
      <c r="I4" s="5"/>
      <c r="J4" s="5"/>
      <c r="K4" s="6" t="s">
        <v>0</v>
      </c>
      <c r="L4" s="81"/>
      <c r="M4" s="81"/>
      <c r="N4" s="81"/>
      <c r="O4" s="81"/>
      <c r="P4" s="81"/>
      <c r="Q4" s="81"/>
      <c r="R4" s="81"/>
      <c r="S4" s="81"/>
      <c r="T4" s="81"/>
      <c r="U4" s="81"/>
      <c r="V4" s="81"/>
      <c r="W4" s="81"/>
      <c r="X4" s="81"/>
      <c r="Y4" s="81"/>
      <c r="Z4" s="81"/>
      <c r="AA4" s="81"/>
      <c r="AB4" s="81"/>
      <c r="AC4" s="81"/>
      <c r="AD4" s="81"/>
      <c r="AE4" s="81"/>
      <c r="AF4" s="81"/>
      <c r="AG4" s="81"/>
      <c r="AH4" s="81"/>
      <c r="AI4" s="81"/>
      <c r="AJ4" s="81"/>
      <c r="AK4" s="81"/>
      <c r="AL4" s="81"/>
      <c r="AM4" s="81"/>
      <c r="AN4" s="81"/>
      <c r="AO4" s="81"/>
      <c r="AP4" s="81"/>
      <c r="AQ4" s="81"/>
      <c r="AR4" s="81"/>
      <c r="AS4" s="81"/>
      <c r="AT4" s="81"/>
      <c r="AU4" s="81"/>
      <c r="AV4" s="81"/>
      <c r="AW4" s="81"/>
      <c r="AX4" s="81"/>
      <c r="AY4" s="81"/>
      <c r="AZ4" s="81"/>
      <c r="BA4" s="81"/>
      <c r="BB4" s="81"/>
      <c r="BC4" s="81"/>
      <c r="BD4" s="81"/>
      <c r="BE4" s="81"/>
      <c r="BF4" s="81"/>
      <c r="BG4" s="81"/>
      <c r="BH4" s="81"/>
      <c r="BI4" s="81"/>
      <c r="BJ4" s="81"/>
      <c r="BK4" s="81"/>
      <c r="BL4" s="81"/>
      <c r="BM4" s="81"/>
      <c r="BN4" s="81"/>
      <c r="BO4" s="81"/>
      <c r="BP4" s="81"/>
      <c r="BQ4" s="81"/>
      <c r="BR4" s="81"/>
      <c r="BS4" s="81"/>
      <c r="BT4" s="81"/>
      <c r="BU4" s="81"/>
      <c r="BV4" s="81"/>
      <c r="BW4" s="81"/>
      <c r="BX4" s="81"/>
      <c r="BY4" s="81"/>
      <c r="BZ4" s="81"/>
      <c r="CA4" s="81"/>
      <c r="CB4" s="81"/>
      <c r="CC4" s="81"/>
      <c r="CD4" s="81"/>
      <c r="CE4" s="81"/>
      <c r="CF4" s="81"/>
      <c r="CG4" s="81"/>
      <c r="CH4" s="81"/>
      <c r="CI4" s="81"/>
      <c r="CJ4" s="81"/>
      <c r="CK4" s="81"/>
      <c r="CL4" s="81"/>
      <c r="CM4" s="81"/>
      <c r="CN4" s="81"/>
      <c r="CO4" s="81"/>
      <c r="CP4" s="81"/>
      <c r="CQ4" s="81"/>
      <c r="CR4" s="81"/>
      <c r="CS4" s="81"/>
      <c r="CT4" s="81"/>
      <c r="CU4" s="81"/>
      <c r="CV4" s="81"/>
      <c r="CW4" s="81"/>
      <c r="CX4" s="81"/>
    </row>
    <row r="5" spans="1:102" ht="18" customHeight="1" x14ac:dyDescent="0.35">
      <c r="A5" s="4"/>
      <c r="B5" s="5"/>
      <c r="C5" s="5"/>
      <c r="D5" s="5"/>
      <c r="E5" s="278" t="s">
        <v>558</v>
      </c>
      <c r="F5" s="279"/>
      <c r="G5" s="279"/>
      <c r="H5" s="280"/>
      <c r="I5" s="278" t="s">
        <v>1</v>
      </c>
      <c r="J5" s="280"/>
      <c r="K5" s="6"/>
      <c r="L5" s="81"/>
      <c r="M5" s="81"/>
      <c r="N5" s="81"/>
      <c r="O5" s="81"/>
      <c r="P5" s="81"/>
      <c r="Q5" s="81"/>
      <c r="R5" s="81"/>
      <c r="S5" s="81"/>
      <c r="T5" s="81"/>
      <c r="U5" s="81"/>
      <c r="V5" s="81"/>
      <c r="W5" s="81"/>
      <c r="X5" s="81"/>
      <c r="Y5" s="81"/>
      <c r="Z5" s="81"/>
      <c r="AA5" s="81"/>
      <c r="AB5" s="81"/>
      <c r="AC5" s="81"/>
      <c r="AD5" s="81"/>
      <c r="AE5" s="81"/>
      <c r="AF5" s="81"/>
      <c r="AG5" s="81"/>
      <c r="AH5" s="81"/>
      <c r="AI5" s="81"/>
      <c r="AJ5" s="81"/>
      <c r="AK5" s="81"/>
      <c r="AL5" s="81"/>
      <c r="AM5" s="81"/>
      <c r="AN5" s="81"/>
      <c r="AO5" s="81"/>
      <c r="AP5" s="81"/>
      <c r="AQ5" s="81"/>
      <c r="AR5" s="81"/>
      <c r="AS5" s="81"/>
      <c r="AT5" s="81"/>
      <c r="AU5" s="81"/>
      <c r="AV5" s="81"/>
      <c r="AW5" s="81"/>
      <c r="AX5" s="81"/>
      <c r="AY5" s="81"/>
      <c r="AZ5" s="81"/>
      <c r="BA5" s="81"/>
      <c r="BB5" s="81"/>
      <c r="BC5" s="81"/>
      <c r="BD5" s="81"/>
      <c r="BE5" s="81"/>
      <c r="BF5" s="81"/>
      <c r="BG5" s="81"/>
      <c r="BH5" s="81"/>
      <c r="BI5" s="81"/>
      <c r="BJ5" s="81"/>
      <c r="BK5" s="81"/>
      <c r="BL5" s="81"/>
      <c r="BM5" s="81"/>
      <c r="BN5" s="81"/>
      <c r="BO5" s="81"/>
      <c r="BP5" s="81"/>
      <c r="BQ5" s="81"/>
      <c r="BR5" s="81"/>
      <c r="BS5" s="81"/>
      <c r="BT5" s="81"/>
      <c r="BU5" s="81"/>
      <c r="BV5" s="81"/>
      <c r="BW5" s="81"/>
      <c r="BX5" s="81"/>
      <c r="BY5" s="81"/>
      <c r="BZ5" s="81"/>
      <c r="CA5" s="81"/>
      <c r="CB5" s="81"/>
      <c r="CC5" s="81"/>
      <c r="CD5" s="81"/>
      <c r="CE5" s="81"/>
      <c r="CF5" s="81"/>
      <c r="CG5" s="81"/>
      <c r="CH5" s="81"/>
      <c r="CI5" s="81"/>
      <c r="CJ5" s="81"/>
      <c r="CK5" s="81"/>
      <c r="CL5" s="81"/>
      <c r="CM5" s="81"/>
      <c r="CN5" s="81"/>
      <c r="CO5" s="81"/>
      <c r="CP5" s="81"/>
      <c r="CQ5" s="81"/>
      <c r="CR5" s="81"/>
      <c r="CS5" s="81"/>
      <c r="CT5" s="81"/>
      <c r="CU5" s="81"/>
      <c r="CV5" s="81"/>
      <c r="CW5" s="81"/>
      <c r="CX5" s="81"/>
    </row>
    <row r="6" spans="1:102" ht="54" x14ac:dyDescent="0.35">
      <c r="A6" s="7" t="s">
        <v>2</v>
      </c>
      <c r="B6" s="7" t="s">
        <v>3</v>
      </c>
      <c r="C6" s="7" t="s">
        <v>4</v>
      </c>
      <c r="D6" s="7" t="s">
        <v>5</v>
      </c>
      <c r="E6" s="8" t="s">
        <v>6</v>
      </c>
      <c r="F6" s="8" t="s">
        <v>7</v>
      </c>
      <c r="G6" s="8" t="s">
        <v>507</v>
      </c>
      <c r="H6" s="8" t="s">
        <v>508</v>
      </c>
      <c r="I6" s="8" t="s">
        <v>6</v>
      </c>
      <c r="J6" s="8" t="s">
        <v>7</v>
      </c>
      <c r="K6" s="7" t="s">
        <v>10</v>
      </c>
      <c r="L6" s="81"/>
      <c r="M6" s="81"/>
      <c r="N6" s="81"/>
      <c r="O6" s="81"/>
      <c r="P6" s="81"/>
      <c r="Q6" s="81"/>
      <c r="R6" s="81"/>
      <c r="S6" s="81"/>
      <c r="T6" s="81"/>
      <c r="U6" s="81"/>
      <c r="V6" s="81"/>
      <c r="W6" s="81"/>
      <c r="X6" s="81"/>
      <c r="Y6" s="81"/>
      <c r="Z6" s="81"/>
      <c r="AA6" s="81"/>
      <c r="AB6" s="81"/>
      <c r="AC6" s="81"/>
      <c r="AD6" s="81"/>
      <c r="AE6" s="81"/>
      <c r="AF6" s="81"/>
      <c r="AG6" s="81"/>
      <c r="AH6" s="81"/>
      <c r="AI6" s="81"/>
      <c r="AJ6" s="81"/>
      <c r="AK6" s="81"/>
      <c r="AL6" s="81"/>
      <c r="AM6" s="81"/>
      <c r="AN6" s="81"/>
      <c r="AO6" s="81"/>
      <c r="AP6" s="81"/>
      <c r="AQ6" s="81"/>
      <c r="AR6" s="81"/>
      <c r="AS6" s="81"/>
      <c r="AT6" s="81"/>
      <c r="AU6" s="81"/>
      <c r="AV6" s="81"/>
      <c r="AW6" s="81"/>
      <c r="AX6" s="81"/>
      <c r="AY6" s="81"/>
      <c r="AZ6" s="81"/>
      <c r="BA6" s="81"/>
      <c r="BB6" s="81"/>
      <c r="BC6" s="81"/>
      <c r="BD6" s="81"/>
      <c r="BE6" s="81"/>
      <c r="BF6" s="81"/>
      <c r="BG6" s="81"/>
      <c r="BH6" s="81"/>
      <c r="BI6" s="81"/>
      <c r="BJ6" s="81"/>
      <c r="BK6" s="81"/>
      <c r="BL6" s="81"/>
      <c r="BM6" s="81"/>
      <c r="BN6" s="81"/>
      <c r="BO6" s="81"/>
      <c r="BP6" s="81"/>
      <c r="BQ6" s="81"/>
      <c r="BR6" s="81"/>
      <c r="BS6" s="81"/>
      <c r="BT6" s="81"/>
      <c r="BU6" s="81"/>
      <c r="BV6" s="81"/>
      <c r="BW6" s="81"/>
      <c r="BX6" s="81"/>
      <c r="BY6" s="81"/>
      <c r="BZ6" s="81"/>
      <c r="CA6" s="81"/>
      <c r="CB6" s="81"/>
      <c r="CC6" s="81"/>
      <c r="CD6" s="81"/>
      <c r="CE6" s="81"/>
      <c r="CF6" s="81"/>
      <c r="CG6" s="81"/>
      <c r="CH6" s="81"/>
      <c r="CI6" s="81"/>
      <c r="CJ6" s="81"/>
      <c r="CK6" s="81"/>
      <c r="CL6" s="81"/>
      <c r="CM6" s="81"/>
      <c r="CN6" s="81"/>
      <c r="CO6" s="81"/>
      <c r="CP6" s="81"/>
      <c r="CQ6" s="81"/>
      <c r="CR6" s="81"/>
      <c r="CS6" s="81"/>
      <c r="CT6" s="81"/>
      <c r="CU6" s="81"/>
      <c r="CV6" s="81"/>
      <c r="CW6" s="81"/>
      <c r="CX6" s="81"/>
    </row>
    <row r="7" spans="1:102" x14ac:dyDescent="0.35">
      <c r="A7" s="9">
        <v>1</v>
      </c>
      <c r="B7" s="9">
        <v>2</v>
      </c>
      <c r="C7" s="9">
        <v>3</v>
      </c>
      <c r="D7" s="9">
        <v>4</v>
      </c>
      <c r="E7" s="10">
        <v>5</v>
      </c>
      <c r="F7" s="10">
        <v>6</v>
      </c>
      <c r="G7" s="10">
        <v>7</v>
      </c>
      <c r="H7" s="10">
        <v>8</v>
      </c>
      <c r="I7" s="10"/>
      <c r="J7" s="10">
        <v>6</v>
      </c>
      <c r="K7" s="11"/>
    </row>
    <row r="8" spans="1:102" ht="201.5" x14ac:dyDescent="0.35">
      <c r="A8" s="9"/>
      <c r="B8" s="26" t="s">
        <v>509</v>
      </c>
      <c r="C8" s="26" t="s">
        <v>510</v>
      </c>
      <c r="D8" s="93" t="s">
        <v>511</v>
      </c>
      <c r="E8" s="15"/>
      <c r="F8" s="16">
        <f>E8*25*4</f>
        <v>0</v>
      </c>
      <c r="G8" s="16">
        <f>F8*0.9</f>
        <v>0</v>
      </c>
      <c r="H8" s="16">
        <f>F8*0.1</f>
        <v>0</v>
      </c>
      <c r="I8" s="15"/>
      <c r="J8" s="16">
        <f>I8*25*4</f>
        <v>0</v>
      </c>
      <c r="K8" s="20"/>
    </row>
    <row r="9" spans="1:102" ht="18" x14ac:dyDescent="0.35">
      <c r="A9" s="9"/>
      <c r="B9" s="103" t="s">
        <v>512</v>
      </c>
      <c r="C9" s="104"/>
      <c r="D9" s="9"/>
      <c r="E9" s="105">
        <f t="shared" ref="E9:J9" si="0">SUM(E8)</f>
        <v>0</v>
      </c>
      <c r="F9" s="106">
        <f t="shared" si="0"/>
        <v>0</v>
      </c>
      <c r="G9" s="106">
        <f t="shared" si="0"/>
        <v>0</v>
      </c>
      <c r="H9" s="106">
        <f t="shared" si="0"/>
        <v>0</v>
      </c>
      <c r="I9" s="105">
        <f t="shared" si="0"/>
        <v>0</v>
      </c>
      <c r="J9" s="106">
        <f t="shared" si="0"/>
        <v>0</v>
      </c>
      <c r="K9" s="11"/>
    </row>
    <row r="10" spans="1:102" ht="18" x14ac:dyDescent="0.35">
      <c r="A10" s="7" t="s">
        <v>11</v>
      </c>
      <c r="B10" s="258" t="s">
        <v>12</v>
      </c>
      <c r="C10" s="258"/>
      <c r="D10" s="258"/>
      <c r="E10" s="12"/>
      <c r="F10" s="12"/>
      <c r="G10" s="12"/>
      <c r="H10" s="12"/>
      <c r="I10" s="12"/>
      <c r="J10" s="12"/>
      <c r="K10" s="13"/>
    </row>
    <row r="11" spans="1:102" ht="18" x14ac:dyDescent="0.35">
      <c r="A11" s="7">
        <v>1</v>
      </c>
      <c r="B11" s="287" t="s">
        <v>13</v>
      </c>
      <c r="C11" s="288"/>
      <c r="D11" s="289"/>
      <c r="E11" s="12"/>
      <c r="F11" s="12"/>
      <c r="G11" s="12"/>
      <c r="H11" s="12"/>
      <c r="I11" s="12"/>
      <c r="J11" s="12"/>
      <c r="K11" s="13"/>
    </row>
    <row r="12" spans="1:102" ht="22.15" customHeight="1" x14ac:dyDescent="0.35">
      <c r="A12" s="7"/>
      <c r="B12" s="257" t="s">
        <v>14</v>
      </c>
      <c r="C12" s="257"/>
      <c r="D12" s="8"/>
      <c r="E12" s="12"/>
      <c r="F12" s="12"/>
      <c r="G12" s="12"/>
      <c r="H12" s="12"/>
      <c r="I12" s="12"/>
      <c r="J12" s="12"/>
      <c r="K12" s="13"/>
    </row>
    <row r="13" spans="1:102" ht="201.65" customHeight="1" x14ac:dyDescent="0.35">
      <c r="A13" s="11"/>
      <c r="B13" s="13" t="s">
        <v>15</v>
      </c>
      <c r="C13" s="13" t="s">
        <v>16</v>
      </c>
      <c r="D13" s="14" t="s">
        <v>17</v>
      </c>
      <c r="E13" s="15"/>
      <c r="F13" s="16">
        <f>E13*25*4</f>
        <v>0</v>
      </c>
      <c r="G13" s="16">
        <f>F13*0.9</f>
        <v>0</v>
      </c>
      <c r="H13" s="16">
        <f>F13*0.1</f>
        <v>0</v>
      </c>
      <c r="I13" s="15"/>
      <c r="J13" s="16">
        <f>I13*25*4</f>
        <v>0</v>
      </c>
      <c r="K13" s="17"/>
    </row>
    <row r="14" spans="1:102" ht="202.15" customHeight="1" x14ac:dyDescent="0.35">
      <c r="A14" s="11"/>
      <c r="B14" s="13" t="s">
        <v>19</v>
      </c>
      <c r="C14" s="14" t="s">
        <v>20</v>
      </c>
      <c r="D14" s="14" t="s">
        <v>17</v>
      </c>
      <c r="E14" s="15"/>
      <c r="F14" s="16">
        <f>E14*25*4*0.4</f>
        <v>0</v>
      </c>
      <c r="G14" s="16">
        <f>F14*0.9</f>
        <v>0</v>
      </c>
      <c r="H14" s="16">
        <f>F14*0.1</f>
        <v>0</v>
      </c>
      <c r="I14" s="15"/>
      <c r="J14" s="16">
        <f>I14*25*4*0.4</f>
        <v>0</v>
      </c>
      <c r="K14" s="17" t="s">
        <v>18</v>
      </c>
    </row>
    <row r="15" spans="1:102" s="19" customFormat="1" ht="18" x14ac:dyDescent="0.3">
      <c r="A15" s="7"/>
      <c r="B15" s="258" t="s">
        <v>21</v>
      </c>
      <c r="C15" s="258"/>
      <c r="D15" s="258"/>
      <c r="E15" s="15"/>
      <c r="F15" s="16"/>
      <c r="G15" s="16"/>
      <c r="H15" s="16"/>
      <c r="I15" s="15"/>
      <c r="J15" s="16"/>
      <c r="K15" s="18"/>
    </row>
    <row r="16" spans="1:102" s="19" customFormat="1" ht="172.9" customHeight="1" x14ac:dyDescent="0.3">
      <c r="A16" s="7"/>
      <c r="B16" s="13" t="s">
        <v>15</v>
      </c>
      <c r="C16" s="14" t="s">
        <v>22</v>
      </c>
      <c r="D16" s="14" t="s">
        <v>23</v>
      </c>
      <c r="E16" s="15"/>
      <c r="F16" s="16">
        <f>E16*15</f>
        <v>0</v>
      </c>
      <c r="G16" s="16">
        <f>F16*0.9</f>
        <v>0</v>
      </c>
      <c r="H16" s="16">
        <f>F16*0.1</f>
        <v>0</v>
      </c>
      <c r="I16" s="15"/>
      <c r="J16" s="16">
        <f>I16*15</f>
        <v>0</v>
      </c>
      <c r="K16" s="20"/>
    </row>
    <row r="17" spans="1:11" s="19" customFormat="1" ht="170.5" customHeight="1" x14ac:dyDescent="0.3">
      <c r="A17" s="7"/>
      <c r="B17" s="13" t="s">
        <v>19</v>
      </c>
      <c r="C17" s="14" t="s">
        <v>22</v>
      </c>
      <c r="D17" s="14" t="s">
        <v>24</v>
      </c>
      <c r="E17" s="15"/>
      <c r="F17" s="16">
        <f>E17*7.5</f>
        <v>0</v>
      </c>
      <c r="G17" s="16">
        <f>F17*0.9</f>
        <v>0</v>
      </c>
      <c r="H17" s="16">
        <f>F17*0.1</f>
        <v>0</v>
      </c>
      <c r="I17" s="15"/>
      <c r="J17" s="16">
        <f>I17*7.5</f>
        <v>0</v>
      </c>
      <c r="K17" s="21" t="s">
        <v>25</v>
      </c>
    </row>
    <row r="18" spans="1:11" s="19" customFormat="1" ht="17.5" customHeight="1" x14ac:dyDescent="0.35">
      <c r="A18" s="7"/>
      <c r="B18" s="297" t="s">
        <v>29</v>
      </c>
      <c r="C18" s="297"/>
      <c r="D18" s="297"/>
      <c r="E18" s="15"/>
      <c r="F18" s="16"/>
      <c r="G18" s="16"/>
      <c r="H18" s="16"/>
      <c r="I18" s="15"/>
      <c r="J18" s="16"/>
      <c r="K18" s="21"/>
    </row>
    <row r="19" spans="1:11" s="19" customFormat="1" ht="46.9" customHeight="1" x14ac:dyDescent="0.3">
      <c r="A19" s="7"/>
      <c r="B19" s="14" t="s">
        <v>15</v>
      </c>
      <c r="C19" s="22" t="s">
        <v>30</v>
      </c>
      <c r="D19" s="22" t="s">
        <v>31</v>
      </c>
      <c r="E19" s="15"/>
      <c r="F19" s="16">
        <f>E19*10</f>
        <v>0</v>
      </c>
      <c r="G19" s="16">
        <f>F19*0.9</f>
        <v>0</v>
      </c>
      <c r="H19" s="16">
        <f>F19*0.1</f>
        <v>0</v>
      </c>
      <c r="I19" s="15"/>
      <c r="J19" s="16">
        <f>I19*10</f>
        <v>0</v>
      </c>
      <c r="K19" s="20"/>
    </row>
    <row r="20" spans="1:11" s="19" customFormat="1" ht="46.5" x14ac:dyDescent="0.3">
      <c r="A20" s="7"/>
      <c r="B20" s="14" t="s">
        <v>27</v>
      </c>
      <c r="C20" s="22" t="s">
        <v>30</v>
      </c>
      <c r="D20" s="22" t="s">
        <v>32</v>
      </c>
      <c r="E20" s="15"/>
      <c r="F20" s="16">
        <f>E20*5</f>
        <v>0</v>
      </c>
      <c r="G20" s="16">
        <f>F20*0.9</f>
        <v>0</v>
      </c>
      <c r="H20" s="16">
        <f>F20*0.1</f>
        <v>0</v>
      </c>
      <c r="I20" s="15"/>
      <c r="J20" s="16">
        <f>I20*5</f>
        <v>0</v>
      </c>
      <c r="K20" s="21"/>
    </row>
    <row r="21" spans="1:11" s="19" customFormat="1" x14ac:dyDescent="0.3">
      <c r="A21" s="7"/>
      <c r="B21" s="257" t="s">
        <v>33</v>
      </c>
      <c r="C21" s="257"/>
      <c r="D21" s="257"/>
      <c r="E21" s="15"/>
      <c r="F21" s="16"/>
      <c r="G21" s="16"/>
      <c r="H21" s="16"/>
      <c r="I21" s="15"/>
      <c r="J21" s="16"/>
      <c r="K21" s="21"/>
    </row>
    <row r="22" spans="1:11" s="19" customFormat="1" ht="33" customHeight="1" x14ac:dyDescent="0.3">
      <c r="A22" s="7"/>
      <c r="B22" s="14" t="s">
        <v>15</v>
      </c>
      <c r="C22" s="14" t="s">
        <v>34</v>
      </c>
      <c r="D22" s="14" t="s">
        <v>26</v>
      </c>
      <c r="E22" s="15"/>
      <c r="F22" s="16">
        <f>E22*20</f>
        <v>0</v>
      </c>
      <c r="G22" s="16">
        <f>F22*0.9</f>
        <v>0</v>
      </c>
      <c r="H22" s="16">
        <f>F22*0.1</f>
        <v>0</v>
      </c>
      <c r="I22" s="15"/>
      <c r="J22" s="16">
        <f>I22*20</f>
        <v>0</v>
      </c>
      <c r="K22" s="21"/>
    </row>
    <row r="23" spans="1:11" s="19" customFormat="1" x14ac:dyDescent="0.3">
      <c r="A23" s="7"/>
      <c r="B23" s="14" t="s">
        <v>27</v>
      </c>
      <c r="C23" s="14" t="s">
        <v>34</v>
      </c>
      <c r="D23" s="14" t="s">
        <v>35</v>
      </c>
      <c r="E23" s="15"/>
      <c r="F23" s="16">
        <f>E23*10</f>
        <v>0</v>
      </c>
      <c r="G23" s="16">
        <f>F23*0.9</f>
        <v>0</v>
      </c>
      <c r="H23" s="16">
        <f>F23*0.1</f>
        <v>0</v>
      </c>
      <c r="I23" s="15"/>
      <c r="J23" s="16">
        <f>I23*10</f>
        <v>0</v>
      </c>
      <c r="K23" s="21"/>
    </row>
    <row r="24" spans="1:11" s="19" customFormat="1" x14ac:dyDescent="0.3">
      <c r="A24" s="7"/>
      <c r="B24" s="257" t="s">
        <v>36</v>
      </c>
      <c r="C24" s="257"/>
      <c r="D24" s="257"/>
      <c r="E24" s="15"/>
      <c r="F24" s="16"/>
      <c r="G24" s="16"/>
      <c r="H24" s="16"/>
      <c r="I24" s="15"/>
      <c r="J24" s="16"/>
      <c r="K24" s="21"/>
    </row>
    <row r="25" spans="1:11" s="19" customFormat="1" x14ac:dyDescent="0.3">
      <c r="A25" s="7"/>
      <c r="B25" s="14" t="s">
        <v>15</v>
      </c>
      <c r="C25" s="14" t="s">
        <v>37</v>
      </c>
      <c r="D25" s="14" t="s">
        <v>26</v>
      </c>
      <c r="E25" s="15"/>
      <c r="F25" s="16">
        <f>E25*250</f>
        <v>0</v>
      </c>
      <c r="G25" s="16">
        <f>F25*0.9</f>
        <v>0</v>
      </c>
      <c r="H25" s="16">
        <f>F25*0.1</f>
        <v>0</v>
      </c>
      <c r="I25" s="15"/>
      <c r="J25" s="16">
        <f>I25*250</f>
        <v>0</v>
      </c>
      <c r="K25" s="17"/>
    </row>
    <row r="26" spans="1:11" s="19" customFormat="1" x14ac:dyDescent="0.3">
      <c r="A26" s="7"/>
      <c r="B26" s="14" t="s">
        <v>27</v>
      </c>
      <c r="C26" s="14" t="s">
        <v>37</v>
      </c>
      <c r="D26" s="14" t="s">
        <v>28</v>
      </c>
      <c r="E26" s="15"/>
      <c r="F26" s="16">
        <f>E26*100</f>
        <v>0</v>
      </c>
      <c r="G26" s="16">
        <f>F26*0.9</f>
        <v>0</v>
      </c>
      <c r="H26" s="16">
        <f>F26*0.1</f>
        <v>0</v>
      </c>
      <c r="I26" s="15"/>
      <c r="J26" s="16">
        <f>I26*100</f>
        <v>0</v>
      </c>
      <c r="K26" s="17"/>
    </row>
    <row r="27" spans="1:11" s="19" customFormat="1" x14ac:dyDescent="0.3">
      <c r="A27" s="7"/>
      <c r="B27" s="258" t="s">
        <v>38</v>
      </c>
      <c r="C27" s="254"/>
      <c r="D27" s="254"/>
      <c r="E27" s="15"/>
      <c r="F27" s="16"/>
      <c r="G27" s="16"/>
      <c r="H27" s="16"/>
      <c r="I27" s="15"/>
      <c r="J27" s="16"/>
      <c r="K27" s="17"/>
    </row>
    <row r="28" spans="1:11" s="19" customFormat="1" x14ac:dyDescent="0.3">
      <c r="A28" s="7"/>
      <c r="B28" s="23" t="s">
        <v>39</v>
      </c>
      <c r="C28" s="24"/>
      <c r="D28" s="24"/>
      <c r="E28" s="15"/>
      <c r="F28" s="16"/>
      <c r="G28" s="16"/>
      <c r="H28" s="16"/>
      <c r="I28" s="15"/>
      <c r="J28" s="16"/>
      <c r="K28" s="17"/>
    </row>
    <row r="29" spans="1:11" s="19" customFormat="1" ht="57" customHeight="1" x14ac:dyDescent="0.3">
      <c r="A29" s="7"/>
      <c r="B29" s="14" t="s">
        <v>15</v>
      </c>
      <c r="C29" s="13" t="s">
        <v>40</v>
      </c>
      <c r="D29" s="14" t="s">
        <v>41</v>
      </c>
      <c r="E29" s="15"/>
      <c r="F29" s="16">
        <f>E29*0.35</f>
        <v>0</v>
      </c>
      <c r="G29" s="16">
        <f>F29*0.9</f>
        <v>0</v>
      </c>
      <c r="H29" s="16">
        <f>F29*0.1</f>
        <v>0</v>
      </c>
      <c r="I29" s="15"/>
      <c r="J29" s="16">
        <f>I29*0.35</f>
        <v>0</v>
      </c>
      <c r="K29" s="17"/>
    </row>
    <row r="30" spans="1:11" s="19" customFormat="1" ht="108.5" x14ac:dyDescent="0.3">
      <c r="A30" s="7"/>
      <c r="B30" s="14" t="s">
        <v>27</v>
      </c>
      <c r="C30" s="13" t="s">
        <v>40</v>
      </c>
      <c r="D30" s="14" t="s">
        <v>43</v>
      </c>
      <c r="E30" s="15"/>
      <c r="F30" s="16">
        <f>E30*0.35*0.35</f>
        <v>0</v>
      </c>
      <c r="G30" s="16">
        <f>F30*0.9</f>
        <v>0</v>
      </c>
      <c r="H30" s="16">
        <f>F30*0.1</f>
        <v>0</v>
      </c>
      <c r="I30" s="15"/>
      <c r="J30" s="16">
        <f>I30*0.35*0.35</f>
        <v>0</v>
      </c>
      <c r="K30" s="17"/>
    </row>
    <row r="31" spans="1:11" s="19" customFormat="1" x14ac:dyDescent="0.3">
      <c r="A31" s="7"/>
      <c r="B31" s="257" t="s">
        <v>44</v>
      </c>
      <c r="C31" s="257"/>
      <c r="D31" s="14"/>
      <c r="E31" s="15"/>
      <c r="F31" s="16"/>
      <c r="G31" s="16"/>
      <c r="H31" s="16"/>
      <c r="I31" s="15"/>
      <c r="J31" s="16"/>
      <c r="K31" s="17"/>
    </row>
    <row r="32" spans="1:11" s="19" customFormat="1" ht="46.5" x14ac:dyDescent="0.3">
      <c r="A32" s="7"/>
      <c r="B32" s="14" t="s">
        <v>15</v>
      </c>
      <c r="C32" s="13" t="s">
        <v>45</v>
      </c>
      <c r="D32" s="14" t="s">
        <v>41</v>
      </c>
      <c r="E32" s="15"/>
      <c r="F32" s="16">
        <f>E32*1.5</f>
        <v>0</v>
      </c>
      <c r="G32" s="16">
        <f>F32*0.9</f>
        <v>0</v>
      </c>
      <c r="H32" s="16">
        <f>F32*0.1</f>
        <v>0</v>
      </c>
      <c r="I32" s="15"/>
      <c r="J32" s="16">
        <f>I32*1.5</f>
        <v>0</v>
      </c>
      <c r="K32" s="17"/>
    </row>
    <row r="33" spans="1:11" s="19" customFormat="1" ht="97.15" customHeight="1" x14ac:dyDescent="0.3">
      <c r="A33" s="7"/>
      <c r="B33" s="14" t="s">
        <v>27</v>
      </c>
      <c r="C33" s="13" t="s">
        <v>45</v>
      </c>
      <c r="D33" s="14" t="s">
        <v>43</v>
      </c>
      <c r="E33" s="15"/>
      <c r="F33" s="16">
        <f>E33*1.5*0.35</f>
        <v>0</v>
      </c>
      <c r="G33" s="16">
        <f>F33*0.9</f>
        <v>0</v>
      </c>
      <c r="H33" s="16">
        <f>F33*0.1</f>
        <v>0</v>
      </c>
      <c r="I33" s="15"/>
      <c r="J33" s="16">
        <f>I33*1.5*0.35</f>
        <v>0</v>
      </c>
      <c r="K33" s="17"/>
    </row>
    <row r="34" spans="1:11" s="19" customFormat="1" x14ac:dyDescent="0.3">
      <c r="A34" s="7"/>
      <c r="B34" s="14"/>
      <c r="C34" s="14"/>
      <c r="D34" s="14"/>
      <c r="E34" s="15"/>
      <c r="F34" s="16"/>
      <c r="G34" s="16"/>
      <c r="H34" s="16"/>
      <c r="I34" s="15"/>
      <c r="J34" s="16"/>
      <c r="K34" s="17"/>
    </row>
    <row r="35" spans="1:11" s="19" customFormat="1" ht="40.5" customHeight="1" x14ac:dyDescent="0.3">
      <c r="A35" s="7"/>
      <c r="B35" s="256" t="s">
        <v>513</v>
      </c>
      <c r="C35" s="256"/>
      <c r="D35" s="256"/>
      <c r="E35" s="15"/>
      <c r="F35" s="16"/>
      <c r="G35" s="16"/>
      <c r="H35" s="16"/>
      <c r="I35" s="15"/>
      <c r="J35" s="16"/>
      <c r="K35" s="25"/>
    </row>
    <row r="36" spans="1:11" s="19" customFormat="1" ht="31" x14ac:dyDescent="0.3">
      <c r="A36" s="7"/>
      <c r="B36" s="26" t="s">
        <v>49</v>
      </c>
      <c r="C36" s="14" t="s">
        <v>46</v>
      </c>
      <c r="D36" s="14" t="s">
        <v>47</v>
      </c>
      <c r="E36" s="15"/>
      <c r="F36" s="16">
        <f>E36*100</f>
        <v>0</v>
      </c>
      <c r="G36" s="16">
        <f>F36*0.9</f>
        <v>0</v>
      </c>
      <c r="H36" s="16">
        <f>F36*0.1</f>
        <v>0</v>
      </c>
      <c r="I36" s="15"/>
      <c r="J36" s="16">
        <f>I36*100</f>
        <v>0</v>
      </c>
      <c r="K36" s="21"/>
    </row>
    <row r="37" spans="1:11" s="19" customFormat="1" ht="18" x14ac:dyDescent="0.3">
      <c r="A37" s="7"/>
      <c r="B37" s="258" t="s">
        <v>48</v>
      </c>
      <c r="C37" s="258"/>
      <c r="D37" s="26"/>
      <c r="E37" s="15"/>
      <c r="F37" s="16"/>
      <c r="G37" s="16">
        <f>F37*0.9</f>
        <v>0</v>
      </c>
      <c r="H37" s="16">
        <f>F37*0.1</f>
        <v>0</v>
      </c>
      <c r="I37" s="15"/>
      <c r="J37" s="16"/>
      <c r="K37" s="21"/>
    </row>
    <row r="38" spans="1:11" s="19" customFormat="1" x14ac:dyDescent="0.35">
      <c r="A38" s="7"/>
      <c r="B38" s="26" t="s">
        <v>49</v>
      </c>
      <c r="C38" s="27" t="s">
        <v>50</v>
      </c>
      <c r="D38" s="27" t="s">
        <v>51</v>
      </c>
      <c r="E38" s="15"/>
      <c r="F38" s="16">
        <f>E38*200</f>
        <v>0</v>
      </c>
      <c r="G38" s="16">
        <f>F38*0.9</f>
        <v>0</v>
      </c>
      <c r="H38" s="16">
        <f>F38*0.1</f>
        <v>0</v>
      </c>
      <c r="I38" s="15"/>
      <c r="J38" s="16">
        <f>I38*200</f>
        <v>0</v>
      </c>
      <c r="K38" s="21"/>
    </row>
    <row r="39" spans="1:11" s="19" customFormat="1" x14ac:dyDescent="0.35">
      <c r="A39" s="7"/>
      <c r="B39" s="26" t="s">
        <v>27</v>
      </c>
      <c r="C39" s="27" t="s">
        <v>50</v>
      </c>
      <c r="D39" s="14" t="s">
        <v>52</v>
      </c>
      <c r="E39" s="15"/>
      <c r="F39" s="16">
        <f>E39*100</f>
        <v>0</v>
      </c>
      <c r="G39" s="16">
        <f>F39*0.9</f>
        <v>0</v>
      </c>
      <c r="H39" s="16">
        <f>F39*0.1</f>
        <v>0</v>
      </c>
      <c r="I39" s="15"/>
      <c r="J39" s="16">
        <f>I39*100</f>
        <v>0</v>
      </c>
      <c r="K39" s="21"/>
    </row>
    <row r="40" spans="1:11" s="19" customFormat="1" ht="18" x14ac:dyDescent="0.3">
      <c r="A40" s="7"/>
      <c r="B40" s="26" t="s">
        <v>53</v>
      </c>
      <c r="C40" s="14"/>
      <c r="D40" s="14"/>
      <c r="E40" s="28">
        <f t="shared" ref="E40:J40" si="1">SUM(E13:E39)</f>
        <v>0</v>
      </c>
      <c r="F40" s="28">
        <f t="shared" si="1"/>
        <v>0</v>
      </c>
      <c r="G40" s="28">
        <f t="shared" si="1"/>
        <v>0</v>
      </c>
      <c r="H40" s="28">
        <f t="shared" si="1"/>
        <v>0</v>
      </c>
      <c r="I40" s="28">
        <f t="shared" si="1"/>
        <v>0</v>
      </c>
      <c r="J40" s="28">
        <f t="shared" si="1"/>
        <v>0</v>
      </c>
      <c r="K40" s="18"/>
    </row>
    <row r="41" spans="1:11" ht="25.5" customHeight="1" x14ac:dyDescent="0.35">
      <c r="A41" s="29">
        <v>2</v>
      </c>
      <c r="B41" s="258" t="s">
        <v>54</v>
      </c>
      <c r="C41" s="258"/>
      <c r="D41" s="258"/>
      <c r="E41" s="30"/>
      <c r="F41" s="16"/>
      <c r="G41" s="16"/>
      <c r="H41" s="16"/>
      <c r="I41" s="30"/>
      <c r="J41" s="16"/>
      <c r="K41" s="18"/>
    </row>
    <row r="42" spans="1:11" ht="43.5" customHeight="1" x14ac:dyDescent="0.35">
      <c r="A42" s="29"/>
      <c r="B42" s="258" t="s">
        <v>55</v>
      </c>
      <c r="C42" s="258"/>
      <c r="D42" s="258"/>
      <c r="E42" s="30"/>
      <c r="F42" s="16"/>
      <c r="G42" s="16"/>
      <c r="H42" s="16"/>
      <c r="I42" s="30"/>
      <c r="J42" s="16"/>
      <c r="K42" s="18"/>
    </row>
    <row r="43" spans="1:11" ht="18" x14ac:dyDescent="0.35">
      <c r="A43" s="29"/>
      <c r="B43" s="258" t="s">
        <v>56</v>
      </c>
      <c r="C43" s="258"/>
      <c r="D43" s="258"/>
      <c r="E43" s="30"/>
      <c r="F43" s="16"/>
      <c r="G43" s="16"/>
      <c r="H43" s="16"/>
      <c r="I43" s="30"/>
      <c r="J43" s="16"/>
      <c r="K43" s="18"/>
    </row>
    <row r="44" spans="1:11" ht="18" x14ac:dyDescent="0.35">
      <c r="A44" s="29"/>
      <c r="B44" s="258" t="s">
        <v>57</v>
      </c>
      <c r="C44" s="258"/>
      <c r="D44" s="258"/>
      <c r="E44" s="30"/>
      <c r="F44" s="16"/>
      <c r="G44" s="16"/>
      <c r="H44" s="16"/>
      <c r="I44" s="30"/>
      <c r="J44" s="16"/>
      <c r="K44" s="18"/>
    </row>
    <row r="45" spans="1:11" ht="18" x14ac:dyDescent="0.35">
      <c r="A45" s="29"/>
      <c r="B45" s="287" t="s">
        <v>58</v>
      </c>
      <c r="C45" s="288"/>
      <c r="D45" s="289"/>
      <c r="E45" s="30"/>
      <c r="F45" s="16"/>
      <c r="G45" s="16"/>
      <c r="H45" s="16"/>
      <c r="I45" s="30"/>
      <c r="J45" s="16"/>
      <c r="K45" s="18"/>
    </row>
    <row r="46" spans="1:11" ht="129.65" customHeight="1" x14ac:dyDescent="0.35">
      <c r="A46" s="29"/>
      <c r="B46" s="22" t="s">
        <v>59</v>
      </c>
      <c r="C46" s="22" t="s">
        <v>60</v>
      </c>
      <c r="D46" s="24" t="s">
        <v>61</v>
      </c>
      <c r="E46" s="15"/>
      <c r="F46" s="16">
        <f>E46*4*0.5*0.6</f>
        <v>0</v>
      </c>
      <c r="G46" s="16">
        <f t="shared" ref="G46:G50" si="2">F46*0.9</f>
        <v>0</v>
      </c>
      <c r="H46" s="16">
        <f t="shared" ref="H46:H50" si="3">F46*0.1</f>
        <v>0</v>
      </c>
      <c r="I46" s="15"/>
      <c r="J46" s="16">
        <f>I46*4*0.5*0.6</f>
        <v>0</v>
      </c>
      <c r="K46" s="31"/>
    </row>
    <row r="47" spans="1:11" x14ac:dyDescent="0.35">
      <c r="A47" s="29"/>
      <c r="B47" s="22" t="s">
        <v>514</v>
      </c>
      <c r="C47" s="22"/>
      <c r="D47" s="24"/>
      <c r="E47" s="15"/>
      <c r="F47" s="16">
        <f t="shared" ref="F47:F49" si="4">E47*4*0.5*0.6</f>
        <v>0</v>
      </c>
      <c r="G47" s="16">
        <f t="shared" si="2"/>
        <v>0</v>
      </c>
      <c r="H47" s="16">
        <f t="shared" si="3"/>
        <v>0</v>
      </c>
      <c r="I47" s="15"/>
      <c r="J47" s="16"/>
      <c r="K47" s="31"/>
    </row>
    <row r="48" spans="1:11" x14ac:dyDescent="0.35">
      <c r="A48" s="29"/>
      <c r="B48" s="22" t="s">
        <v>515</v>
      </c>
      <c r="C48" s="22"/>
      <c r="D48" s="24"/>
      <c r="E48" s="15"/>
      <c r="F48" s="16"/>
      <c r="G48" s="16">
        <f t="shared" si="2"/>
        <v>0</v>
      </c>
      <c r="H48" s="16">
        <f t="shared" si="3"/>
        <v>0</v>
      </c>
      <c r="I48" s="15"/>
      <c r="J48" s="16"/>
      <c r="K48" s="31"/>
    </row>
    <row r="49" spans="1:11" x14ac:dyDescent="0.35">
      <c r="A49" s="29"/>
      <c r="B49" s="22" t="s">
        <v>516</v>
      </c>
      <c r="C49" s="22"/>
      <c r="D49" s="24"/>
      <c r="E49" s="15"/>
      <c r="F49" s="16">
        <f t="shared" si="4"/>
        <v>0</v>
      </c>
      <c r="G49" s="16">
        <f t="shared" si="2"/>
        <v>0</v>
      </c>
      <c r="H49" s="16">
        <f t="shared" si="3"/>
        <v>0</v>
      </c>
      <c r="I49" s="15"/>
      <c r="J49" s="16"/>
      <c r="K49" s="31"/>
    </row>
    <row r="50" spans="1:11" ht="157.9" customHeight="1" x14ac:dyDescent="0.35">
      <c r="A50" s="29"/>
      <c r="B50" s="14" t="s">
        <v>62</v>
      </c>
      <c r="C50" s="14" t="s">
        <v>63</v>
      </c>
      <c r="D50" s="22" t="s">
        <v>64</v>
      </c>
      <c r="E50" s="15"/>
      <c r="F50" s="16">
        <f>E50*1.25*0.5*0.6</f>
        <v>0</v>
      </c>
      <c r="G50" s="16">
        <f t="shared" si="2"/>
        <v>0</v>
      </c>
      <c r="H50" s="16">
        <f t="shared" si="3"/>
        <v>0</v>
      </c>
      <c r="I50" s="15"/>
      <c r="J50" s="16">
        <f>I50*1.25*0.5*0.6</f>
        <v>0</v>
      </c>
      <c r="K50" s="31"/>
    </row>
    <row r="51" spans="1:11" ht="16.899999999999999" customHeight="1" x14ac:dyDescent="0.35">
      <c r="A51" s="29"/>
      <c r="B51" s="283" t="s">
        <v>65</v>
      </c>
      <c r="C51" s="293"/>
      <c r="D51" s="32"/>
      <c r="E51" s="28">
        <f t="shared" ref="E51:J51" si="5">SUM(E46:E50)</f>
        <v>0</v>
      </c>
      <c r="F51" s="28">
        <f t="shared" si="5"/>
        <v>0</v>
      </c>
      <c r="G51" s="28">
        <f t="shared" si="5"/>
        <v>0</v>
      </c>
      <c r="H51" s="28">
        <f t="shared" si="5"/>
        <v>0</v>
      </c>
      <c r="I51" s="28">
        <f t="shared" si="5"/>
        <v>0</v>
      </c>
      <c r="J51" s="28">
        <f t="shared" si="5"/>
        <v>0</v>
      </c>
      <c r="K51" s="31"/>
    </row>
    <row r="52" spans="1:11" ht="17.5" customHeight="1" x14ac:dyDescent="0.35">
      <c r="A52" s="29"/>
      <c r="B52" s="257" t="s">
        <v>517</v>
      </c>
      <c r="C52" s="257"/>
      <c r="D52" s="22"/>
      <c r="E52" s="15"/>
      <c r="F52" s="16"/>
      <c r="G52" s="16"/>
      <c r="H52" s="16"/>
      <c r="I52" s="15"/>
      <c r="J52" s="16"/>
      <c r="K52" s="31"/>
    </row>
    <row r="53" spans="1:11" x14ac:dyDescent="0.35">
      <c r="A53" s="29"/>
      <c r="B53" s="14" t="s">
        <v>66</v>
      </c>
      <c r="C53" s="14"/>
      <c r="D53" s="22"/>
      <c r="E53" s="15"/>
      <c r="F53" s="16">
        <f>E53*4*0.5*0.2</f>
        <v>0</v>
      </c>
      <c r="G53" s="16">
        <f>F53*0.9</f>
        <v>0</v>
      </c>
      <c r="H53" s="16">
        <f>F53*0.1</f>
        <v>0</v>
      </c>
      <c r="I53" s="15"/>
      <c r="J53" s="16">
        <f>I53*4*0.5*0.2</f>
        <v>0</v>
      </c>
      <c r="K53" s="31"/>
    </row>
    <row r="54" spans="1:11" x14ac:dyDescent="0.35">
      <c r="A54" s="29"/>
      <c r="B54" s="14" t="s">
        <v>67</v>
      </c>
      <c r="C54" s="14"/>
      <c r="D54" s="22"/>
      <c r="E54" s="15"/>
      <c r="F54" s="16">
        <f>E54*4*0.5*0.2</f>
        <v>0</v>
      </c>
      <c r="G54" s="16">
        <f>F54*0.9</f>
        <v>0</v>
      </c>
      <c r="H54" s="16">
        <f>F54*0.1</f>
        <v>0</v>
      </c>
      <c r="I54" s="15"/>
      <c r="J54" s="16">
        <f>I54*4*0.5*0.2</f>
        <v>0</v>
      </c>
      <c r="K54" s="31"/>
    </row>
    <row r="55" spans="1:11" ht="17.5" customHeight="1" x14ac:dyDescent="0.35">
      <c r="A55" s="29"/>
      <c r="B55" s="257" t="s">
        <v>518</v>
      </c>
      <c r="C55" s="257"/>
      <c r="D55" s="22"/>
      <c r="E55" s="15"/>
      <c r="F55" s="16"/>
      <c r="G55" s="16"/>
      <c r="H55" s="16"/>
      <c r="I55" s="15"/>
      <c r="J55" s="16"/>
      <c r="K55" s="31"/>
    </row>
    <row r="56" spans="1:11" ht="22.9" customHeight="1" x14ac:dyDescent="0.35">
      <c r="A56" s="29"/>
      <c r="B56" s="14" t="s">
        <v>66</v>
      </c>
      <c r="C56" s="14"/>
      <c r="D56" s="22"/>
      <c r="E56" s="15"/>
      <c r="F56" s="16">
        <f>E56*1.5*0.5*0.2</f>
        <v>0</v>
      </c>
      <c r="G56" s="16">
        <f>F56*0.9</f>
        <v>0</v>
      </c>
      <c r="H56" s="16">
        <f>F56*0.1</f>
        <v>0</v>
      </c>
      <c r="I56" s="15"/>
      <c r="J56" s="16">
        <f>I56*1.5*0.5*0.2</f>
        <v>0</v>
      </c>
      <c r="K56" s="31"/>
    </row>
    <row r="57" spans="1:11" ht="25.15" customHeight="1" x14ac:dyDescent="0.35">
      <c r="A57" s="29"/>
      <c r="B57" s="14" t="s">
        <v>67</v>
      </c>
      <c r="C57" s="14"/>
      <c r="D57" s="22"/>
      <c r="E57" s="15"/>
      <c r="F57" s="16">
        <f>E57*1.5*0.5*0.2</f>
        <v>0</v>
      </c>
      <c r="G57" s="16">
        <f>F57*0.9</f>
        <v>0</v>
      </c>
      <c r="H57" s="16">
        <f>F57*0.1</f>
        <v>0</v>
      </c>
      <c r="I57" s="15"/>
      <c r="J57" s="16">
        <f>I57*1.5*0.5*0.2</f>
        <v>0</v>
      </c>
      <c r="K57" s="31"/>
    </row>
    <row r="58" spans="1:11" ht="25.15" customHeight="1" x14ac:dyDescent="0.35">
      <c r="A58" s="29"/>
      <c r="B58" s="285" t="s">
        <v>68</v>
      </c>
      <c r="C58" s="295"/>
      <c r="D58" s="14"/>
      <c r="E58" s="28">
        <f>SUM(E53:E57)</f>
        <v>0</v>
      </c>
      <c r="F58" s="28">
        <f t="shared" ref="F58:J58" si="6">SUM(F53:F57)</f>
        <v>0</v>
      </c>
      <c r="G58" s="28">
        <f t="shared" si="6"/>
        <v>0</v>
      </c>
      <c r="H58" s="28">
        <f t="shared" si="6"/>
        <v>0</v>
      </c>
      <c r="I58" s="28">
        <f t="shared" si="6"/>
        <v>0</v>
      </c>
      <c r="J58" s="28">
        <f t="shared" si="6"/>
        <v>0</v>
      </c>
      <c r="K58" s="31"/>
    </row>
    <row r="59" spans="1:11" x14ac:dyDescent="0.35">
      <c r="A59" s="29"/>
      <c r="B59" s="257" t="s">
        <v>69</v>
      </c>
      <c r="C59" s="257"/>
      <c r="D59" s="257"/>
      <c r="E59" s="15"/>
      <c r="F59" s="16"/>
      <c r="G59" s="16"/>
      <c r="H59" s="16"/>
      <c r="I59" s="15"/>
      <c r="J59" s="16"/>
      <c r="K59" s="31"/>
    </row>
    <row r="60" spans="1:11" ht="96.65" customHeight="1" x14ac:dyDescent="0.35">
      <c r="A60" s="29"/>
      <c r="B60" s="22" t="s">
        <v>70</v>
      </c>
      <c r="C60" s="14" t="s">
        <v>71</v>
      </c>
      <c r="D60" s="14" t="s">
        <v>72</v>
      </c>
      <c r="E60" s="15"/>
      <c r="F60" s="16">
        <f>E60*2.8*0.5</f>
        <v>0</v>
      </c>
      <c r="G60" s="16">
        <f>F60*0.9</f>
        <v>0</v>
      </c>
      <c r="H60" s="16">
        <f>F60*0.1</f>
        <v>0</v>
      </c>
      <c r="I60" s="15"/>
      <c r="J60" s="16">
        <f>I60*2.8*0.4</f>
        <v>0</v>
      </c>
      <c r="K60" s="31"/>
    </row>
    <row r="61" spans="1:11" ht="125.5" customHeight="1" x14ac:dyDescent="0.35">
      <c r="A61" s="29"/>
      <c r="B61" s="14" t="s">
        <v>73</v>
      </c>
      <c r="C61" s="22" t="s">
        <v>63</v>
      </c>
      <c r="D61" s="22" t="s">
        <v>74</v>
      </c>
      <c r="E61" s="15"/>
      <c r="F61" s="16">
        <f>E61*1.25*0.5</f>
        <v>0</v>
      </c>
      <c r="G61" s="16">
        <f>F61*0.9</f>
        <v>0</v>
      </c>
      <c r="H61" s="16">
        <f>F61*0.1</f>
        <v>0</v>
      </c>
      <c r="I61" s="15"/>
      <c r="J61" s="16">
        <f>I61*1.25*0.4</f>
        <v>0</v>
      </c>
      <c r="K61" s="34"/>
    </row>
    <row r="62" spans="1:11" ht="18" x14ac:dyDescent="0.35">
      <c r="A62" s="29"/>
      <c r="B62" s="285" t="s">
        <v>65</v>
      </c>
      <c r="C62" s="295"/>
      <c r="D62" s="22"/>
      <c r="E62" s="33">
        <f t="shared" ref="E62:J62" si="7">SUM(E60:E61)</f>
        <v>0</v>
      </c>
      <c r="F62" s="28">
        <f t="shared" si="7"/>
        <v>0</v>
      </c>
      <c r="G62" s="28">
        <f t="shared" si="7"/>
        <v>0</v>
      </c>
      <c r="H62" s="28">
        <f t="shared" si="7"/>
        <v>0</v>
      </c>
      <c r="I62" s="33">
        <f t="shared" si="7"/>
        <v>0</v>
      </c>
      <c r="J62" s="28">
        <f t="shared" si="7"/>
        <v>0</v>
      </c>
      <c r="K62" s="34"/>
    </row>
    <row r="63" spans="1:11" x14ac:dyDescent="0.35">
      <c r="A63" s="29"/>
      <c r="B63" s="257" t="s">
        <v>75</v>
      </c>
      <c r="C63" s="257"/>
      <c r="D63" s="257"/>
      <c r="E63" s="15"/>
      <c r="F63" s="16"/>
      <c r="G63" s="16"/>
      <c r="H63" s="16"/>
      <c r="I63" s="15"/>
      <c r="J63" s="16"/>
      <c r="K63" s="18"/>
    </row>
    <row r="64" spans="1:11" ht="82.9" customHeight="1" x14ac:dyDescent="0.35">
      <c r="A64" s="29"/>
      <c r="B64" s="35" t="s">
        <v>76</v>
      </c>
      <c r="C64" s="22" t="s">
        <v>77</v>
      </c>
      <c r="D64" s="14" t="s">
        <v>78</v>
      </c>
      <c r="E64" s="15"/>
      <c r="F64" s="16">
        <f>E64*2*0.5*0.75</f>
        <v>0</v>
      </c>
      <c r="G64" s="16">
        <f>F64*0.9</f>
        <v>0</v>
      </c>
      <c r="H64" s="16">
        <f>F64*0.1</f>
        <v>0</v>
      </c>
      <c r="I64" s="15"/>
      <c r="J64" s="16">
        <f>I64*2*0.4*0.75</f>
        <v>0</v>
      </c>
      <c r="K64" s="18"/>
    </row>
    <row r="65" spans="1:11" ht="126.65" customHeight="1" x14ac:dyDescent="0.35">
      <c r="A65" s="29"/>
      <c r="B65" s="13" t="s">
        <v>73</v>
      </c>
      <c r="C65" s="36" t="s">
        <v>79</v>
      </c>
      <c r="D65" s="35" t="s">
        <v>80</v>
      </c>
      <c r="E65" s="15"/>
      <c r="F65" s="16">
        <f>E65*0.875*0.5*0.75</f>
        <v>0</v>
      </c>
      <c r="G65" s="16">
        <f>F65*0.9</f>
        <v>0</v>
      </c>
      <c r="H65" s="16">
        <f>F65*0.1</f>
        <v>0</v>
      </c>
      <c r="I65" s="15"/>
      <c r="J65" s="16">
        <f>I65*0.875*0.5*0.75</f>
        <v>0</v>
      </c>
      <c r="K65" s="18"/>
    </row>
    <row r="66" spans="1:11" ht="18" x14ac:dyDescent="0.35">
      <c r="A66" s="29"/>
      <c r="B66" s="283" t="s">
        <v>65</v>
      </c>
      <c r="C66" s="284"/>
      <c r="D66" s="22"/>
      <c r="E66" s="28">
        <f t="shared" ref="E66:J66" si="8">SUM(E64:E65)</f>
        <v>0</v>
      </c>
      <c r="F66" s="28">
        <f t="shared" si="8"/>
        <v>0</v>
      </c>
      <c r="G66" s="28">
        <f t="shared" si="8"/>
        <v>0</v>
      </c>
      <c r="H66" s="28">
        <f t="shared" si="8"/>
        <v>0</v>
      </c>
      <c r="I66" s="33">
        <f t="shared" si="8"/>
        <v>0</v>
      </c>
      <c r="J66" s="28">
        <f t="shared" si="8"/>
        <v>0</v>
      </c>
      <c r="K66" s="18"/>
    </row>
    <row r="67" spans="1:11" x14ac:dyDescent="0.35">
      <c r="A67" s="29"/>
      <c r="B67" s="257" t="s">
        <v>518</v>
      </c>
      <c r="C67" s="257"/>
      <c r="D67" s="22"/>
      <c r="E67" s="15"/>
      <c r="F67" s="16"/>
      <c r="G67" s="16"/>
      <c r="H67" s="16"/>
      <c r="I67" s="15"/>
      <c r="J67" s="16"/>
      <c r="K67" s="18"/>
    </row>
    <row r="68" spans="1:11" x14ac:dyDescent="0.35">
      <c r="A68" s="29"/>
      <c r="B68" s="14" t="s">
        <v>66</v>
      </c>
      <c r="C68" s="14"/>
      <c r="D68" s="22"/>
      <c r="E68" s="16"/>
      <c r="F68" s="16">
        <f>E68*0.875*0.5*0.25</f>
        <v>0</v>
      </c>
      <c r="G68" s="16">
        <f>F68*0.9</f>
        <v>0</v>
      </c>
      <c r="H68" s="16">
        <f>F68*0.1</f>
        <v>0</v>
      </c>
      <c r="I68" s="15"/>
      <c r="J68" s="16">
        <f>I68*0.7*0.5*0.25</f>
        <v>0</v>
      </c>
      <c r="K68" s="18"/>
    </row>
    <row r="69" spans="1:11" ht="18" x14ac:dyDescent="0.35">
      <c r="A69" s="29"/>
      <c r="B69" s="285" t="s">
        <v>68</v>
      </c>
      <c r="C69" s="295"/>
      <c r="D69" s="14"/>
      <c r="E69" s="28">
        <f t="shared" ref="E69:J69" si="9">SUM(E68:E68)</f>
        <v>0</v>
      </c>
      <c r="F69" s="28">
        <f t="shared" si="9"/>
        <v>0</v>
      </c>
      <c r="G69" s="28">
        <f t="shared" si="9"/>
        <v>0</v>
      </c>
      <c r="H69" s="28">
        <f t="shared" si="9"/>
        <v>0</v>
      </c>
      <c r="I69" s="33">
        <f t="shared" si="9"/>
        <v>0</v>
      </c>
      <c r="J69" s="28">
        <f t="shared" si="9"/>
        <v>0</v>
      </c>
      <c r="K69" s="18"/>
    </row>
    <row r="70" spans="1:11" x14ac:dyDescent="0.35">
      <c r="A70" s="29"/>
      <c r="B70" s="257" t="s">
        <v>81</v>
      </c>
      <c r="C70" s="257"/>
      <c r="D70" s="257"/>
      <c r="E70" s="15"/>
      <c r="F70" s="16"/>
      <c r="G70" s="16"/>
      <c r="H70" s="16"/>
      <c r="I70" s="15"/>
      <c r="J70" s="16"/>
      <c r="K70" s="18"/>
    </row>
    <row r="71" spans="1:11" ht="77.5" x14ac:dyDescent="0.35">
      <c r="A71" s="29"/>
      <c r="B71" s="22" t="s">
        <v>76</v>
      </c>
      <c r="C71" s="22" t="s">
        <v>82</v>
      </c>
      <c r="D71" s="14" t="s">
        <v>83</v>
      </c>
      <c r="E71" s="15"/>
      <c r="F71" s="16">
        <f>E71*3*0.5</f>
        <v>0</v>
      </c>
      <c r="G71" s="16">
        <f>F71*0.9</f>
        <v>0</v>
      </c>
      <c r="H71" s="16">
        <f>F71*0.1</f>
        <v>0</v>
      </c>
      <c r="I71" s="15"/>
      <c r="J71" s="16">
        <f>I71*3*0.4</f>
        <v>0</v>
      </c>
      <c r="K71" s="18"/>
    </row>
    <row r="72" spans="1:11" ht="155" x14ac:dyDescent="0.35">
      <c r="A72" s="29"/>
      <c r="B72" s="13" t="s">
        <v>73</v>
      </c>
      <c r="C72" s="36" t="s">
        <v>79</v>
      </c>
      <c r="D72" s="22" t="s">
        <v>84</v>
      </c>
      <c r="E72" s="15"/>
      <c r="F72" s="16">
        <f>E72*0.875*0.5*0.75</f>
        <v>0</v>
      </c>
      <c r="G72" s="16">
        <f>F72*0.9</f>
        <v>0</v>
      </c>
      <c r="H72" s="16">
        <f>F72*0.1</f>
        <v>0</v>
      </c>
      <c r="I72" s="15"/>
      <c r="J72" s="16">
        <f>I72*0.875*0.5*0.75</f>
        <v>0</v>
      </c>
      <c r="K72" s="18"/>
    </row>
    <row r="73" spans="1:11" ht="18" x14ac:dyDescent="0.35">
      <c r="A73" s="29"/>
      <c r="B73" s="285" t="s">
        <v>65</v>
      </c>
      <c r="C73" s="295"/>
      <c r="D73" s="22"/>
      <c r="E73" s="33">
        <f t="shared" ref="E73:J73" si="10">SUM(E71:E72)</f>
        <v>0</v>
      </c>
      <c r="F73" s="28">
        <f t="shared" si="10"/>
        <v>0</v>
      </c>
      <c r="G73" s="28">
        <f t="shared" si="10"/>
        <v>0</v>
      </c>
      <c r="H73" s="28">
        <f t="shared" si="10"/>
        <v>0</v>
      </c>
      <c r="I73" s="33">
        <f t="shared" si="10"/>
        <v>0</v>
      </c>
      <c r="J73" s="28">
        <f t="shared" si="10"/>
        <v>0</v>
      </c>
      <c r="K73" s="18"/>
    </row>
    <row r="74" spans="1:11" x14ac:dyDescent="0.35">
      <c r="A74" s="29"/>
      <c r="B74" s="257" t="s">
        <v>518</v>
      </c>
      <c r="C74" s="257"/>
      <c r="D74" s="22"/>
      <c r="E74" s="15"/>
      <c r="F74" s="16"/>
      <c r="G74" s="16"/>
      <c r="H74" s="16"/>
      <c r="I74" s="15"/>
      <c r="J74" s="16"/>
      <c r="K74" s="18"/>
    </row>
    <row r="75" spans="1:11" x14ac:dyDescent="0.35">
      <c r="A75" s="29"/>
      <c r="B75" s="14" t="s">
        <v>66</v>
      </c>
      <c r="C75" s="14"/>
      <c r="D75" s="22"/>
      <c r="E75" s="15"/>
      <c r="F75" s="16">
        <f>E75*0.875*0.5*0.25</f>
        <v>0</v>
      </c>
      <c r="G75" s="16">
        <f>F75*0.9</f>
        <v>0</v>
      </c>
      <c r="H75" s="16">
        <f>F75*0.1</f>
        <v>0</v>
      </c>
      <c r="I75" s="15"/>
      <c r="J75" s="16">
        <f>I75*0.875*0.4*0.25</f>
        <v>0</v>
      </c>
      <c r="K75" s="18"/>
    </row>
    <row r="76" spans="1:11" ht="18" x14ac:dyDescent="0.35">
      <c r="A76" s="29"/>
      <c r="B76" s="285" t="s">
        <v>68</v>
      </c>
      <c r="C76" s="295"/>
      <c r="D76" s="14"/>
      <c r="E76" s="33">
        <f t="shared" ref="E76:J76" si="11">SUM(E75:E75)</f>
        <v>0</v>
      </c>
      <c r="F76" s="28">
        <f t="shared" si="11"/>
        <v>0</v>
      </c>
      <c r="G76" s="28">
        <f t="shared" si="11"/>
        <v>0</v>
      </c>
      <c r="H76" s="28">
        <f t="shared" si="11"/>
        <v>0</v>
      </c>
      <c r="I76" s="33">
        <f t="shared" si="11"/>
        <v>0</v>
      </c>
      <c r="J76" s="28">
        <f t="shared" si="11"/>
        <v>0</v>
      </c>
      <c r="K76" s="18"/>
    </row>
    <row r="77" spans="1:11" x14ac:dyDescent="0.35">
      <c r="A77" s="29"/>
      <c r="B77" s="257" t="s">
        <v>85</v>
      </c>
      <c r="C77" s="257"/>
      <c r="D77" s="257"/>
      <c r="E77" s="15"/>
      <c r="F77" s="16"/>
      <c r="G77" s="16"/>
      <c r="H77" s="16"/>
      <c r="I77" s="15"/>
      <c r="J77" s="16"/>
      <c r="K77" s="18"/>
    </row>
    <row r="78" spans="1:11" ht="82.9" customHeight="1" x14ac:dyDescent="0.35">
      <c r="A78" s="29"/>
      <c r="B78" s="22" t="s">
        <v>86</v>
      </c>
      <c r="C78" s="36" t="s">
        <v>82</v>
      </c>
      <c r="D78" s="24" t="s">
        <v>87</v>
      </c>
      <c r="E78" s="15"/>
      <c r="F78" s="16">
        <f>E78*3*0.5*0.75</f>
        <v>0</v>
      </c>
      <c r="G78" s="16">
        <f>F78*0.9</f>
        <v>0</v>
      </c>
      <c r="H78" s="16">
        <f>F78*0.1</f>
        <v>0</v>
      </c>
      <c r="I78" s="15"/>
      <c r="J78" s="16">
        <f>I78*3*0.4*0.75</f>
        <v>0</v>
      </c>
      <c r="K78" s="37"/>
    </row>
    <row r="79" spans="1:11" s="19" customFormat="1" ht="143.5" customHeight="1" x14ac:dyDescent="0.3">
      <c r="A79" s="7"/>
      <c r="B79" s="14" t="s">
        <v>94</v>
      </c>
      <c r="C79" s="13" t="s">
        <v>89</v>
      </c>
      <c r="D79" s="22" t="s">
        <v>90</v>
      </c>
      <c r="E79" s="15"/>
      <c r="F79" s="16">
        <f>E79*1.25*0.5*0.75</f>
        <v>0</v>
      </c>
      <c r="G79" s="16">
        <f>F79*0.9</f>
        <v>0</v>
      </c>
      <c r="H79" s="16">
        <f>F79*0.1</f>
        <v>0</v>
      </c>
      <c r="I79" s="15"/>
      <c r="J79" s="16">
        <f>I79*1.25*0.5*0.75</f>
        <v>0</v>
      </c>
      <c r="K79" s="14"/>
    </row>
    <row r="80" spans="1:11" s="19" customFormat="1" ht="18" x14ac:dyDescent="0.3">
      <c r="A80" s="7"/>
      <c r="B80" s="285" t="s">
        <v>65</v>
      </c>
      <c r="C80" s="295"/>
      <c r="D80" s="22"/>
      <c r="E80" s="33">
        <f t="shared" ref="E80:J80" si="12">SUM(E78:E79)</f>
        <v>0</v>
      </c>
      <c r="F80" s="28">
        <f t="shared" si="12"/>
        <v>0</v>
      </c>
      <c r="G80" s="28">
        <f t="shared" si="12"/>
        <v>0</v>
      </c>
      <c r="H80" s="28">
        <f t="shared" si="12"/>
        <v>0</v>
      </c>
      <c r="I80" s="33">
        <f t="shared" si="12"/>
        <v>0</v>
      </c>
      <c r="J80" s="28">
        <f t="shared" si="12"/>
        <v>0</v>
      </c>
      <c r="K80" s="14"/>
    </row>
    <row r="81" spans="1:11" s="19" customFormat="1" ht="21" customHeight="1" x14ac:dyDescent="0.3">
      <c r="A81" s="7"/>
      <c r="B81" s="257" t="s">
        <v>518</v>
      </c>
      <c r="C81" s="257"/>
      <c r="D81" s="22"/>
      <c r="E81" s="15"/>
      <c r="F81" s="16"/>
      <c r="G81" s="16"/>
      <c r="H81" s="16"/>
      <c r="I81" s="15"/>
      <c r="J81" s="16"/>
      <c r="K81" s="14"/>
    </row>
    <row r="82" spans="1:11" s="19" customFormat="1" ht="22.15" customHeight="1" x14ac:dyDescent="0.3">
      <c r="A82" s="7"/>
      <c r="B82" s="14" t="s">
        <v>66</v>
      </c>
      <c r="C82" s="14"/>
      <c r="D82" s="22"/>
      <c r="E82" s="15"/>
      <c r="F82" s="16">
        <f>E82*1.25*0.5*0.25</f>
        <v>0</v>
      </c>
      <c r="G82" s="16">
        <f>F82*0.9</f>
        <v>0</v>
      </c>
      <c r="H82" s="16">
        <f>F82*0.1</f>
        <v>0</v>
      </c>
      <c r="I82" s="15"/>
      <c r="J82" s="16">
        <f>I82*1.02462*0.4*0.25</f>
        <v>0</v>
      </c>
      <c r="K82" s="14"/>
    </row>
    <row r="83" spans="1:11" s="19" customFormat="1" ht="22.15" customHeight="1" x14ac:dyDescent="0.3">
      <c r="A83" s="7"/>
      <c r="B83" s="285" t="s">
        <v>68</v>
      </c>
      <c r="C83" s="295"/>
      <c r="D83" s="14"/>
      <c r="E83" s="28">
        <f>SUM(E82:E82)</f>
        <v>0</v>
      </c>
      <c r="F83" s="28">
        <f>SUM(F82:F82)</f>
        <v>0</v>
      </c>
      <c r="G83" s="28">
        <f>SUM(G82:G82)</f>
        <v>0</v>
      </c>
      <c r="H83" s="28">
        <f>SUM(H82:H82)</f>
        <v>0</v>
      </c>
      <c r="I83" s="33"/>
      <c r="J83" s="28">
        <f>SUM(J82:J82)</f>
        <v>0</v>
      </c>
      <c r="K83" s="14"/>
    </row>
    <row r="84" spans="1:11" s="19" customFormat="1" x14ac:dyDescent="0.3">
      <c r="A84" s="7"/>
      <c r="B84" s="294" t="s">
        <v>91</v>
      </c>
      <c r="C84" s="294"/>
      <c r="D84" s="294"/>
      <c r="E84" s="15"/>
      <c r="F84" s="16"/>
      <c r="G84" s="16"/>
      <c r="H84" s="16"/>
      <c r="I84" s="15"/>
      <c r="J84" s="16"/>
      <c r="K84" s="14"/>
    </row>
    <row r="85" spans="1:11" s="19" customFormat="1" ht="80.5" customHeight="1" x14ac:dyDescent="0.3">
      <c r="A85" s="7"/>
      <c r="B85" s="22" t="s">
        <v>76</v>
      </c>
      <c r="C85" s="13" t="s">
        <v>92</v>
      </c>
      <c r="D85" s="14" t="s">
        <v>93</v>
      </c>
      <c r="E85" s="15"/>
      <c r="F85" s="16">
        <f>E85*5.5*0.5*0.75</f>
        <v>0</v>
      </c>
      <c r="G85" s="16">
        <f>F85*0.9</f>
        <v>0</v>
      </c>
      <c r="H85" s="16">
        <f>F85*0.1</f>
        <v>0</v>
      </c>
      <c r="I85" s="15"/>
      <c r="J85" s="16">
        <f>I85*5.5*0.4*0.75</f>
        <v>0</v>
      </c>
      <c r="K85" s="14"/>
    </row>
    <row r="86" spans="1:11" s="19" customFormat="1" ht="144" customHeight="1" x14ac:dyDescent="0.3">
      <c r="A86" s="7"/>
      <c r="B86" s="14" t="s">
        <v>94</v>
      </c>
      <c r="C86" s="14" t="s">
        <v>89</v>
      </c>
      <c r="D86" s="22" t="s">
        <v>90</v>
      </c>
      <c r="E86" s="15"/>
      <c r="F86" s="16">
        <f>E86*1.25*0.5*0.75</f>
        <v>0</v>
      </c>
      <c r="G86" s="16">
        <f>F86*0.9</f>
        <v>0</v>
      </c>
      <c r="H86" s="16">
        <f>F86*0.1</f>
        <v>0</v>
      </c>
      <c r="I86" s="15"/>
      <c r="J86" s="16">
        <f>I86*1.25*0.5*0.75</f>
        <v>0</v>
      </c>
      <c r="K86" s="18"/>
    </row>
    <row r="87" spans="1:11" s="19" customFormat="1" ht="18" x14ac:dyDescent="0.3">
      <c r="A87" s="7"/>
      <c r="B87" s="285" t="s">
        <v>65</v>
      </c>
      <c r="C87" s="295"/>
      <c r="D87" s="22"/>
      <c r="E87" s="33">
        <f t="shared" ref="E87:J87" si="13">SUM(E85:E86)</f>
        <v>0</v>
      </c>
      <c r="F87" s="28">
        <f t="shared" si="13"/>
        <v>0</v>
      </c>
      <c r="G87" s="28">
        <f t="shared" si="13"/>
        <v>0</v>
      </c>
      <c r="H87" s="28">
        <f t="shared" si="13"/>
        <v>0</v>
      </c>
      <c r="I87" s="33">
        <f t="shared" si="13"/>
        <v>0</v>
      </c>
      <c r="J87" s="28">
        <f t="shared" si="13"/>
        <v>0</v>
      </c>
      <c r="K87" s="18"/>
    </row>
    <row r="88" spans="1:11" s="19" customFormat="1" x14ac:dyDescent="0.3">
      <c r="A88" s="7"/>
      <c r="B88" s="257" t="s">
        <v>518</v>
      </c>
      <c r="C88" s="257"/>
      <c r="D88" s="22"/>
      <c r="E88" s="15"/>
      <c r="F88" s="16"/>
      <c r="G88" s="16"/>
      <c r="H88" s="16"/>
      <c r="I88" s="15"/>
      <c r="J88" s="16"/>
      <c r="K88" s="18"/>
    </row>
    <row r="89" spans="1:11" s="19" customFormat="1" ht="16.899999999999999" customHeight="1" x14ac:dyDescent="0.3">
      <c r="A89" s="7"/>
      <c r="B89" s="14" t="s">
        <v>66</v>
      </c>
      <c r="C89" s="14"/>
      <c r="D89" s="22"/>
      <c r="E89" s="15"/>
      <c r="F89" s="16">
        <f>E89*1.25*0.5*0.25</f>
        <v>0</v>
      </c>
      <c r="G89" s="16">
        <f>F89*0.9</f>
        <v>0</v>
      </c>
      <c r="H89" s="16">
        <f>F89*0.1</f>
        <v>0</v>
      </c>
      <c r="I89" s="15"/>
      <c r="J89" s="16">
        <f>I89*1.25*0.5*0.25</f>
        <v>0</v>
      </c>
      <c r="K89" s="18"/>
    </row>
    <row r="90" spans="1:11" s="19" customFormat="1" ht="18" x14ac:dyDescent="0.3">
      <c r="A90" s="7"/>
      <c r="B90" s="285" t="s">
        <v>68</v>
      </c>
      <c r="C90" s="295"/>
      <c r="D90" s="14"/>
      <c r="E90" s="33">
        <f t="shared" ref="E90:J90" si="14">SUM(E89:E89)</f>
        <v>0</v>
      </c>
      <c r="F90" s="28">
        <f t="shared" si="14"/>
        <v>0</v>
      </c>
      <c r="G90" s="28">
        <f t="shared" si="14"/>
        <v>0</v>
      </c>
      <c r="H90" s="28">
        <f t="shared" si="14"/>
        <v>0</v>
      </c>
      <c r="I90" s="33">
        <f t="shared" si="14"/>
        <v>0</v>
      </c>
      <c r="J90" s="28">
        <f t="shared" si="14"/>
        <v>0</v>
      </c>
      <c r="K90" s="18"/>
    </row>
    <row r="91" spans="1:11" s="19" customFormat="1" x14ac:dyDescent="0.3">
      <c r="A91" s="7"/>
      <c r="B91" s="294" t="s">
        <v>95</v>
      </c>
      <c r="C91" s="294"/>
      <c r="D91" s="294"/>
      <c r="E91" s="15"/>
      <c r="F91" s="16"/>
      <c r="G91" s="16"/>
      <c r="H91" s="16"/>
      <c r="I91" s="15"/>
      <c r="J91" s="16"/>
      <c r="K91" s="18"/>
    </row>
    <row r="92" spans="1:11" s="19" customFormat="1" ht="77.5" x14ac:dyDescent="0.3">
      <c r="A92" s="7"/>
      <c r="B92" s="14" t="s">
        <v>96</v>
      </c>
      <c r="C92" s="36" t="s">
        <v>97</v>
      </c>
      <c r="D92" s="14" t="s">
        <v>78</v>
      </c>
      <c r="E92" s="15"/>
      <c r="F92" s="16">
        <f>E92*2*0.5*0.75</f>
        <v>0</v>
      </c>
      <c r="G92" s="16">
        <f>F92*0.9</f>
        <v>0</v>
      </c>
      <c r="H92" s="16">
        <f>F92*0.1</f>
        <v>0</v>
      </c>
      <c r="I92" s="15"/>
      <c r="J92" s="16">
        <f>I92*2*0.4*0.75</f>
        <v>0</v>
      </c>
      <c r="K92" s="18"/>
    </row>
    <row r="93" spans="1:11" s="19" customFormat="1" ht="174" customHeight="1" x14ac:dyDescent="0.3">
      <c r="A93" s="7"/>
      <c r="B93" s="14" t="s">
        <v>73</v>
      </c>
      <c r="C93" s="14" t="s">
        <v>98</v>
      </c>
      <c r="D93" s="22" t="s">
        <v>99</v>
      </c>
      <c r="E93" s="30"/>
      <c r="F93" s="16">
        <f>E93*0.6*0.5*0.75</f>
        <v>0</v>
      </c>
      <c r="G93" s="16">
        <f>F93*0.9</f>
        <v>0</v>
      </c>
      <c r="H93" s="16">
        <f>F93*0.1</f>
        <v>0</v>
      </c>
      <c r="I93" s="30"/>
      <c r="J93" s="16">
        <f>I93*0.6*0.5*0.75</f>
        <v>0</v>
      </c>
      <c r="K93" s="14"/>
    </row>
    <row r="94" spans="1:11" s="19" customFormat="1" ht="18" x14ac:dyDescent="0.3">
      <c r="A94" s="7"/>
      <c r="B94" s="285" t="s">
        <v>65</v>
      </c>
      <c r="C94" s="295"/>
      <c r="D94" s="22"/>
      <c r="E94" s="33">
        <f t="shared" ref="E94:J94" si="15">SUM(E92:E93)</f>
        <v>0</v>
      </c>
      <c r="F94" s="28">
        <f t="shared" si="15"/>
        <v>0</v>
      </c>
      <c r="G94" s="28">
        <f t="shared" si="15"/>
        <v>0</v>
      </c>
      <c r="H94" s="28">
        <f t="shared" si="15"/>
        <v>0</v>
      </c>
      <c r="I94" s="33">
        <f t="shared" si="15"/>
        <v>0</v>
      </c>
      <c r="J94" s="28">
        <f t="shared" si="15"/>
        <v>0</v>
      </c>
      <c r="K94" s="26"/>
    </row>
    <row r="95" spans="1:11" s="19" customFormat="1" x14ac:dyDescent="0.3">
      <c r="A95" s="7"/>
      <c r="B95" s="257" t="s">
        <v>518</v>
      </c>
      <c r="C95" s="257"/>
      <c r="D95" s="22"/>
      <c r="E95" s="15"/>
      <c r="F95" s="16"/>
      <c r="G95" s="16"/>
      <c r="H95" s="16"/>
      <c r="I95" s="15"/>
      <c r="J95" s="16"/>
      <c r="K95" s="14"/>
    </row>
    <row r="96" spans="1:11" s="19" customFormat="1" ht="18" customHeight="1" x14ac:dyDescent="0.3">
      <c r="A96" s="7"/>
      <c r="B96" s="14" t="s">
        <v>66</v>
      </c>
      <c r="C96" s="14"/>
      <c r="D96" s="22"/>
      <c r="E96" s="15"/>
      <c r="F96" s="16">
        <f>E96*0.6*0.5*0.25</f>
        <v>0</v>
      </c>
      <c r="G96" s="16">
        <f>F96*0.9</f>
        <v>0</v>
      </c>
      <c r="H96" s="16">
        <f>F96*0.1</f>
        <v>0</v>
      </c>
      <c r="I96" s="15"/>
      <c r="J96" s="16">
        <f>I96*0.6*0.5*0.25</f>
        <v>0</v>
      </c>
      <c r="K96" s="14"/>
    </row>
    <row r="97" spans="1:11" s="19" customFormat="1" ht="20.5" customHeight="1" x14ac:dyDescent="0.3">
      <c r="A97" s="7"/>
      <c r="B97" s="285" t="s">
        <v>68</v>
      </c>
      <c r="C97" s="295"/>
      <c r="D97" s="14"/>
      <c r="E97" s="33">
        <f t="shared" ref="E97:J97" si="16">SUM(E96:E96)</f>
        <v>0</v>
      </c>
      <c r="F97" s="28">
        <f t="shared" si="16"/>
        <v>0</v>
      </c>
      <c r="G97" s="28">
        <f t="shared" si="16"/>
        <v>0</v>
      </c>
      <c r="H97" s="28">
        <f t="shared" si="16"/>
        <v>0</v>
      </c>
      <c r="I97" s="33">
        <f t="shared" si="16"/>
        <v>0</v>
      </c>
      <c r="J97" s="28">
        <f t="shared" si="16"/>
        <v>0</v>
      </c>
      <c r="K97" s="14"/>
    </row>
    <row r="98" spans="1:11" s="19" customFormat="1" x14ac:dyDescent="0.3">
      <c r="A98" s="7"/>
      <c r="B98" s="296" t="s">
        <v>100</v>
      </c>
      <c r="C98" s="296"/>
      <c r="D98" s="296"/>
      <c r="E98" s="15"/>
      <c r="F98" s="16"/>
      <c r="G98" s="16"/>
      <c r="H98" s="16"/>
      <c r="I98" s="15"/>
      <c r="J98" s="16"/>
      <c r="K98" s="14"/>
    </row>
    <row r="99" spans="1:11" s="19" customFormat="1" ht="127.9" customHeight="1" x14ac:dyDescent="0.3">
      <c r="A99" s="7"/>
      <c r="B99" s="14" t="s">
        <v>101</v>
      </c>
      <c r="C99" s="39" t="s">
        <v>102</v>
      </c>
      <c r="D99" s="14" t="s">
        <v>103</v>
      </c>
      <c r="E99" s="15"/>
      <c r="F99" s="16">
        <f>E99*2*0.5*0.6</f>
        <v>0</v>
      </c>
      <c r="G99" s="16">
        <f>F99*0.9</f>
        <v>0</v>
      </c>
      <c r="H99" s="16">
        <f>F99*0.1</f>
        <v>0</v>
      </c>
      <c r="I99" s="15"/>
      <c r="J99" s="16">
        <f>I99*2*0.4*0.6</f>
        <v>0</v>
      </c>
      <c r="K99" s="14"/>
    </row>
    <row r="100" spans="1:11" s="19" customFormat="1" ht="155" x14ac:dyDescent="0.3">
      <c r="A100" s="7"/>
      <c r="B100" s="14" t="s">
        <v>73</v>
      </c>
      <c r="C100" s="36" t="s">
        <v>63</v>
      </c>
      <c r="D100" s="22" t="s">
        <v>104</v>
      </c>
      <c r="E100" s="15"/>
      <c r="F100" s="16">
        <f>E100*1.25*0.5*0.6</f>
        <v>0</v>
      </c>
      <c r="G100" s="16">
        <f>F100*0.9</f>
        <v>0</v>
      </c>
      <c r="H100" s="16">
        <f>F100*0.1</f>
        <v>0</v>
      </c>
      <c r="I100" s="15"/>
      <c r="J100" s="16">
        <f>I100*1.25*0.4*0.6</f>
        <v>0</v>
      </c>
      <c r="K100" s="14"/>
    </row>
    <row r="101" spans="1:11" s="19" customFormat="1" ht="18" x14ac:dyDescent="0.3">
      <c r="A101" s="7"/>
      <c r="B101" s="285" t="s">
        <v>65</v>
      </c>
      <c r="C101" s="295"/>
      <c r="D101" s="22"/>
      <c r="E101" s="33">
        <f t="shared" ref="E101:J101" si="17">SUM(E99:E100)</f>
        <v>0</v>
      </c>
      <c r="F101" s="28">
        <f t="shared" si="17"/>
        <v>0</v>
      </c>
      <c r="G101" s="28">
        <f t="shared" si="17"/>
        <v>0</v>
      </c>
      <c r="H101" s="28">
        <f t="shared" si="17"/>
        <v>0</v>
      </c>
      <c r="I101" s="33">
        <f t="shared" si="17"/>
        <v>0</v>
      </c>
      <c r="J101" s="28">
        <f t="shared" si="17"/>
        <v>0</v>
      </c>
      <c r="K101" s="14"/>
    </row>
    <row r="102" spans="1:11" s="19" customFormat="1" x14ac:dyDescent="0.3">
      <c r="A102" s="7"/>
      <c r="B102" s="257" t="s">
        <v>518</v>
      </c>
      <c r="C102" s="257"/>
      <c r="D102" s="22"/>
      <c r="E102" s="15"/>
      <c r="F102" s="16"/>
      <c r="G102" s="16"/>
      <c r="H102" s="16"/>
      <c r="I102" s="15"/>
      <c r="J102" s="16"/>
      <c r="K102" s="14"/>
    </row>
    <row r="103" spans="1:11" s="19" customFormat="1" x14ac:dyDescent="0.3">
      <c r="A103" s="7"/>
      <c r="B103" s="14" t="s">
        <v>66</v>
      </c>
      <c r="C103" s="14"/>
      <c r="D103" s="22"/>
      <c r="E103" s="30"/>
      <c r="F103" s="16">
        <f>E103*1.25*0.5*0.2</f>
        <v>0</v>
      </c>
      <c r="G103" s="16">
        <f>F103*0.9</f>
        <v>0</v>
      </c>
      <c r="H103" s="16">
        <f>F103*0.1</f>
        <v>0</v>
      </c>
      <c r="I103" s="30"/>
      <c r="J103" s="16">
        <f>I103*1.25*0.5*0.2</f>
        <v>0</v>
      </c>
      <c r="K103" s="14"/>
    </row>
    <row r="104" spans="1:11" s="19" customFormat="1" x14ac:dyDescent="0.3">
      <c r="A104" s="7"/>
      <c r="B104" s="14" t="s">
        <v>67</v>
      </c>
      <c r="C104" s="14"/>
      <c r="D104" s="22"/>
      <c r="E104" s="15"/>
      <c r="F104" s="16">
        <f>E104*1*0.5*0.2</f>
        <v>0</v>
      </c>
      <c r="G104" s="16">
        <f>F104*0.9</f>
        <v>0</v>
      </c>
      <c r="H104" s="16">
        <f>F104*0.1</f>
        <v>0</v>
      </c>
      <c r="I104" s="15"/>
      <c r="J104" s="16">
        <f>I104*1*0.5*0.2</f>
        <v>0</v>
      </c>
      <c r="K104" s="14"/>
    </row>
    <row r="105" spans="1:11" s="19" customFormat="1" ht="18" x14ac:dyDescent="0.3">
      <c r="A105" s="7"/>
      <c r="B105" s="285" t="s">
        <v>68</v>
      </c>
      <c r="C105" s="295"/>
      <c r="D105" s="22"/>
      <c r="E105" s="33">
        <f t="shared" ref="E105:J105" si="18">SUM(E103:E104)</f>
        <v>0</v>
      </c>
      <c r="F105" s="28">
        <f t="shared" si="18"/>
        <v>0</v>
      </c>
      <c r="G105" s="28">
        <f t="shared" si="18"/>
        <v>0</v>
      </c>
      <c r="H105" s="28">
        <f t="shared" si="18"/>
        <v>0</v>
      </c>
      <c r="I105" s="33">
        <f t="shared" si="18"/>
        <v>0</v>
      </c>
      <c r="J105" s="28">
        <f t="shared" si="18"/>
        <v>0</v>
      </c>
      <c r="K105" s="14"/>
    </row>
    <row r="106" spans="1:11" s="19" customFormat="1" x14ac:dyDescent="0.3">
      <c r="A106" s="7"/>
      <c r="B106" s="257" t="s">
        <v>105</v>
      </c>
      <c r="C106" s="257"/>
      <c r="D106" s="257"/>
      <c r="E106" s="15"/>
      <c r="F106" s="16"/>
      <c r="G106" s="16"/>
      <c r="H106" s="16"/>
      <c r="I106" s="15"/>
      <c r="J106" s="16"/>
      <c r="K106" s="14"/>
    </row>
    <row r="107" spans="1:11" s="19" customFormat="1" ht="127" x14ac:dyDescent="0.3">
      <c r="A107" s="7"/>
      <c r="B107" s="22" t="s">
        <v>101</v>
      </c>
      <c r="C107" s="36" t="s">
        <v>106</v>
      </c>
      <c r="D107" s="24" t="s">
        <v>107</v>
      </c>
      <c r="E107" s="15"/>
      <c r="F107" s="16">
        <f>E107*1.5*0.5*0.6</f>
        <v>0</v>
      </c>
      <c r="G107" s="16">
        <f>F107*0.9</f>
        <v>0</v>
      </c>
      <c r="H107" s="16">
        <f>F107*0.1</f>
        <v>0</v>
      </c>
      <c r="I107" s="15"/>
      <c r="J107" s="16">
        <f>I107*1.5*0.5*0.6</f>
        <v>0</v>
      </c>
      <c r="K107" s="14"/>
    </row>
    <row r="108" spans="1:11" s="19" customFormat="1" ht="201.5" x14ac:dyDescent="0.3">
      <c r="A108" s="7"/>
      <c r="B108" s="22" t="s">
        <v>108</v>
      </c>
      <c r="C108" s="14" t="s">
        <v>109</v>
      </c>
      <c r="D108" s="22" t="s">
        <v>110</v>
      </c>
      <c r="E108" s="30"/>
      <c r="F108" s="16">
        <f>E108*1*0.5*0.6</f>
        <v>0</v>
      </c>
      <c r="G108" s="16">
        <f>F108*0.9</f>
        <v>0</v>
      </c>
      <c r="H108" s="16">
        <f>F108*0.1</f>
        <v>0</v>
      </c>
      <c r="I108" s="30"/>
      <c r="J108" s="16">
        <f>I108*1*0.5*0.6</f>
        <v>0</v>
      </c>
      <c r="K108" s="14"/>
    </row>
    <row r="109" spans="1:11" s="19" customFormat="1" x14ac:dyDescent="0.3">
      <c r="A109" s="7"/>
      <c r="B109" s="22" t="s">
        <v>519</v>
      </c>
      <c r="C109" s="38"/>
      <c r="D109" s="22"/>
      <c r="E109" s="30"/>
      <c r="F109" s="16">
        <f t="shared" ref="F109:F111" si="19">E109*1*0.5*0.6</f>
        <v>0</v>
      </c>
      <c r="G109" s="16">
        <f t="shared" ref="G109:G111" si="20">F109*0.9</f>
        <v>0</v>
      </c>
      <c r="H109" s="16">
        <f t="shared" ref="H109:H111" si="21">F109*0.1</f>
        <v>0</v>
      </c>
      <c r="I109" s="30"/>
      <c r="J109" s="16">
        <f t="shared" ref="J109" si="22">I109*1*0.5*0.6</f>
        <v>0</v>
      </c>
      <c r="K109" s="14"/>
    </row>
    <row r="110" spans="1:11" s="19" customFormat="1" x14ac:dyDescent="0.3">
      <c r="A110" s="7"/>
      <c r="B110" s="107" t="s">
        <v>520</v>
      </c>
      <c r="C110" s="108"/>
      <c r="D110" s="22"/>
      <c r="E110" s="30"/>
      <c r="F110" s="16">
        <f t="shared" si="19"/>
        <v>0</v>
      </c>
      <c r="G110" s="16">
        <f t="shared" si="20"/>
        <v>0</v>
      </c>
      <c r="H110" s="16">
        <f t="shared" si="21"/>
        <v>0</v>
      </c>
      <c r="I110" s="30"/>
      <c r="J110" s="16"/>
      <c r="K110" s="14"/>
    </row>
    <row r="111" spans="1:11" s="19" customFormat="1" ht="31" x14ac:dyDescent="0.3">
      <c r="A111" s="7"/>
      <c r="B111" s="107" t="s">
        <v>521</v>
      </c>
      <c r="C111" s="108"/>
      <c r="D111" s="22"/>
      <c r="E111" s="30"/>
      <c r="F111" s="16">
        <f t="shared" si="19"/>
        <v>0</v>
      </c>
      <c r="G111" s="16">
        <f t="shared" si="20"/>
        <v>0</v>
      </c>
      <c r="H111" s="16">
        <f t="shared" si="21"/>
        <v>0</v>
      </c>
      <c r="I111" s="30"/>
      <c r="J111" s="16"/>
      <c r="K111" s="14"/>
    </row>
    <row r="112" spans="1:11" s="19" customFormat="1" ht="18" x14ac:dyDescent="0.3">
      <c r="A112" s="7"/>
      <c r="B112" s="285" t="s">
        <v>65</v>
      </c>
      <c r="C112" s="295"/>
      <c r="D112" s="22"/>
      <c r="E112" s="33">
        <f>SUM(E107:E111)</f>
        <v>0</v>
      </c>
      <c r="F112" s="28">
        <f t="shared" ref="F112:J112" si="23">SUM(F107:F111)</f>
        <v>0</v>
      </c>
      <c r="G112" s="28">
        <f t="shared" si="23"/>
        <v>0</v>
      </c>
      <c r="H112" s="33">
        <f t="shared" si="23"/>
        <v>0</v>
      </c>
      <c r="I112" s="28">
        <f t="shared" si="23"/>
        <v>0</v>
      </c>
      <c r="J112" s="28">
        <f t="shared" si="23"/>
        <v>0</v>
      </c>
      <c r="K112" s="14"/>
    </row>
    <row r="113" spans="1:11" s="19" customFormat="1" x14ac:dyDescent="0.3">
      <c r="A113" s="7"/>
      <c r="B113" s="257" t="s">
        <v>518</v>
      </c>
      <c r="C113" s="257"/>
      <c r="D113" s="22"/>
      <c r="E113" s="15"/>
      <c r="F113" s="16"/>
      <c r="G113" s="16"/>
      <c r="H113" s="16"/>
      <c r="I113" s="15"/>
      <c r="J113" s="16"/>
      <c r="K113" s="14"/>
    </row>
    <row r="114" spans="1:11" s="19" customFormat="1" x14ac:dyDescent="0.3">
      <c r="A114" s="7"/>
      <c r="B114" s="14" t="s">
        <v>66</v>
      </c>
      <c r="C114" s="38"/>
      <c r="D114" s="22"/>
      <c r="E114" s="15"/>
      <c r="F114" s="16"/>
      <c r="G114" s="16"/>
      <c r="H114" s="16"/>
      <c r="I114" s="15"/>
      <c r="J114" s="16"/>
      <c r="K114" s="14"/>
    </row>
    <row r="115" spans="1:11" s="19" customFormat="1" x14ac:dyDescent="0.3">
      <c r="A115" s="7"/>
      <c r="B115" s="22" t="s">
        <v>522</v>
      </c>
      <c r="C115" s="38"/>
      <c r="D115" s="22"/>
      <c r="E115" s="16"/>
      <c r="F115" s="16">
        <f>E115*1*0.5*0.2</f>
        <v>0</v>
      </c>
      <c r="G115" s="16">
        <f>F115*0.9</f>
        <v>0</v>
      </c>
      <c r="H115" s="16">
        <f>F115*0.1</f>
        <v>0</v>
      </c>
      <c r="I115" s="16"/>
      <c r="J115" s="16"/>
      <c r="K115" s="14"/>
    </row>
    <row r="116" spans="1:11" s="19" customFormat="1" x14ac:dyDescent="0.3">
      <c r="A116" s="7"/>
      <c r="B116" s="22" t="s">
        <v>523</v>
      </c>
      <c r="C116" s="38"/>
      <c r="D116" s="22"/>
      <c r="E116" s="16"/>
      <c r="F116" s="16">
        <f>E116*1*0.5*0.2</f>
        <v>0</v>
      </c>
      <c r="G116" s="16">
        <f>F116*0.9</f>
        <v>0</v>
      </c>
      <c r="H116" s="16">
        <f>F116*0.1</f>
        <v>0</v>
      </c>
      <c r="I116" s="16"/>
      <c r="J116" s="16"/>
      <c r="K116" s="14"/>
    </row>
    <row r="117" spans="1:11" s="19" customFormat="1" x14ac:dyDescent="0.3">
      <c r="A117" s="7"/>
      <c r="B117" s="22" t="s">
        <v>524</v>
      </c>
      <c r="C117" s="38"/>
      <c r="D117" s="22"/>
      <c r="E117" s="16"/>
      <c r="F117" s="16">
        <f>E117*1*0.5*0.2</f>
        <v>0</v>
      </c>
      <c r="G117" s="16">
        <f>F117*0.9</f>
        <v>0</v>
      </c>
      <c r="H117" s="16">
        <f>F117*0.1</f>
        <v>0</v>
      </c>
      <c r="I117" s="16"/>
      <c r="J117" s="16"/>
      <c r="K117" s="14"/>
    </row>
    <row r="118" spans="1:11" s="19" customFormat="1" x14ac:dyDescent="0.3">
      <c r="A118" s="7"/>
      <c r="B118" s="22" t="s">
        <v>520</v>
      </c>
      <c r="C118" s="38"/>
      <c r="D118" s="22"/>
      <c r="E118" s="16"/>
      <c r="F118" s="16">
        <f>E118*1*0.5*0.2</f>
        <v>0</v>
      </c>
      <c r="G118" s="16">
        <f>F118*0.9</f>
        <v>0</v>
      </c>
      <c r="H118" s="16">
        <f>F118*0.1</f>
        <v>0</v>
      </c>
      <c r="I118" s="16"/>
      <c r="J118" s="16">
        <f>I118*0.5165*0.4*0.2</f>
        <v>0</v>
      </c>
      <c r="K118" s="14"/>
    </row>
    <row r="119" spans="1:11" s="19" customFormat="1" x14ac:dyDescent="0.3">
      <c r="A119" s="7"/>
      <c r="B119" s="14" t="s">
        <v>67</v>
      </c>
      <c r="C119" s="14"/>
      <c r="D119" s="22"/>
      <c r="E119" s="16"/>
      <c r="F119" s="16"/>
      <c r="G119" s="16"/>
      <c r="H119" s="16"/>
      <c r="I119" s="16"/>
      <c r="J119" s="16"/>
      <c r="K119" s="14"/>
    </row>
    <row r="120" spans="1:11" s="19" customFormat="1" x14ac:dyDescent="0.3">
      <c r="A120" s="7"/>
      <c r="B120" s="22" t="s">
        <v>525</v>
      </c>
      <c r="C120" s="38"/>
      <c r="D120" s="22"/>
      <c r="E120" s="16"/>
      <c r="F120" s="16">
        <f>E120*1*0.5*0.2</f>
        <v>0</v>
      </c>
      <c r="G120" s="16">
        <f>F120*0.9</f>
        <v>0</v>
      </c>
      <c r="H120" s="16">
        <f>F120*0.1</f>
        <v>0</v>
      </c>
      <c r="I120" s="16"/>
      <c r="J120" s="16">
        <f t="shared" ref="J120:J123" si="24">I120*1*0.5*0.2</f>
        <v>0</v>
      </c>
      <c r="K120" s="14"/>
    </row>
    <row r="121" spans="1:11" s="19" customFormat="1" x14ac:dyDescent="0.3">
      <c r="A121" s="7"/>
      <c r="B121" s="22" t="s">
        <v>523</v>
      </c>
      <c r="C121" s="38"/>
      <c r="D121" s="22"/>
      <c r="E121" s="16"/>
      <c r="F121" s="16">
        <f>E121*1*0.5*0.2</f>
        <v>0</v>
      </c>
      <c r="G121" s="16">
        <f>F121*0.9</f>
        <v>0</v>
      </c>
      <c r="H121" s="16">
        <f>F121*0.1</f>
        <v>0</v>
      </c>
      <c r="I121" s="16"/>
      <c r="J121" s="16">
        <f t="shared" si="24"/>
        <v>0</v>
      </c>
      <c r="K121" s="14"/>
    </row>
    <row r="122" spans="1:11" s="19" customFormat="1" x14ac:dyDescent="0.3">
      <c r="A122" s="7"/>
      <c r="B122" s="22" t="s">
        <v>524</v>
      </c>
      <c r="C122" s="38"/>
      <c r="D122" s="22"/>
      <c r="E122" s="16"/>
      <c r="F122" s="16">
        <f>E122*1*0.5*0.2</f>
        <v>0</v>
      </c>
      <c r="G122" s="16">
        <f>F122*0.9</f>
        <v>0</v>
      </c>
      <c r="H122" s="16">
        <f>F122*0.1</f>
        <v>0</v>
      </c>
      <c r="I122" s="16"/>
      <c r="J122" s="16">
        <f t="shared" si="24"/>
        <v>0</v>
      </c>
      <c r="K122" s="14"/>
    </row>
    <row r="123" spans="1:11" s="19" customFormat="1" x14ac:dyDescent="0.3">
      <c r="A123" s="7"/>
      <c r="B123" s="22" t="s">
        <v>520</v>
      </c>
      <c r="C123" s="14"/>
      <c r="D123" s="22"/>
      <c r="E123" s="16"/>
      <c r="F123" s="16">
        <f>E123*1*0.5*0.2</f>
        <v>0</v>
      </c>
      <c r="G123" s="16">
        <f>F123*0.9</f>
        <v>0</v>
      </c>
      <c r="H123" s="16">
        <f>F123*0.1</f>
        <v>0</v>
      </c>
      <c r="I123" s="16"/>
      <c r="J123" s="16">
        <f t="shared" si="24"/>
        <v>0</v>
      </c>
      <c r="K123" s="14"/>
    </row>
    <row r="124" spans="1:11" s="19" customFormat="1" ht="18" x14ac:dyDescent="0.3">
      <c r="A124" s="7"/>
      <c r="B124" s="283" t="s">
        <v>68</v>
      </c>
      <c r="C124" s="284"/>
      <c r="D124" s="22"/>
      <c r="E124" s="28">
        <f t="shared" ref="E124:J124" si="25">SUM(E114:E123)</f>
        <v>0</v>
      </c>
      <c r="F124" s="28">
        <f t="shared" si="25"/>
        <v>0</v>
      </c>
      <c r="G124" s="28">
        <f t="shared" si="25"/>
        <v>0</v>
      </c>
      <c r="H124" s="28">
        <f t="shared" si="25"/>
        <v>0</v>
      </c>
      <c r="I124" s="28">
        <f t="shared" si="25"/>
        <v>0</v>
      </c>
      <c r="J124" s="28">
        <f t="shared" si="25"/>
        <v>0</v>
      </c>
      <c r="K124" s="14"/>
    </row>
    <row r="125" spans="1:11" s="19" customFormat="1" x14ac:dyDescent="0.3">
      <c r="A125" s="7"/>
      <c r="B125" s="294" t="s">
        <v>112</v>
      </c>
      <c r="C125" s="294"/>
      <c r="D125" s="294"/>
      <c r="E125" s="15"/>
      <c r="F125" s="16"/>
      <c r="G125" s="16"/>
      <c r="H125" s="16"/>
      <c r="I125" s="15"/>
      <c r="J125" s="16"/>
      <c r="K125" s="14"/>
    </row>
    <row r="126" spans="1:11" s="19" customFormat="1" ht="157.9" customHeight="1" x14ac:dyDescent="0.3">
      <c r="A126" s="7"/>
      <c r="B126" s="14" t="s">
        <v>113</v>
      </c>
      <c r="C126" s="22" t="s">
        <v>114</v>
      </c>
      <c r="D126" s="14" t="s">
        <v>115</v>
      </c>
      <c r="E126" s="15"/>
      <c r="F126" s="16">
        <f>E126*1*0.5*0.6</f>
        <v>0</v>
      </c>
      <c r="G126" s="16">
        <f>F126*0.9</f>
        <v>0</v>
      </c>
      <c r="H126" s="16">
        <f>F126*0.1</f>
        <v>0</v>
      </c>
      <c r="I126" s="15"/>
      <c r="J126" s="16">
        <f>I126*1*0.4*0.6</f>
        <v>0</v>
      </c>
      <c r="K126" s="18"/>
    </row>
    <row r="127" spans="1:11" s="19" customFormat="1" x14ac:dyDescent="0.3">
      <c r="A127" s="7"/>
      <c r="B127" s="22" t="s">
        <v>526</v>
      </c>
      <c r="C127" s="22"/>
      <c r="D127" s="14"/>
      <c r="E127" s="15"/>
      <c r="F127" s="16">
        <f t="shared" ref="F127:F135" si="26">E127*1*0.5*0.6</f>
        <v>0</v>
      </c>
      <c r="G127" s="16">
        <f t="shared" ref="G127:G134" si="27">F127*0.9</f>
        <v>0</v>
      </c>
      <c r="H127" s="16">
        <f t="shared" ref="H127:H134" si="28">F127*0.1</f>
        <v>0</v>
      </c>
      <c r="I127" s="15"/>
      <c r="J127" s="16">
        <f t="shared" ref="J127:J134" si="29">I127*1*0.5*0.6</f>
        <v>0</v>
      </c>
      <c r="K127" s="18"/>
    </row>
    <row r="128" spans="1:11" s="19" customFormat="1" x14ac:dyDescent="0.3">
      <c r="A128" s="7"/>
      <c r="B128" s="22" t="s">
        <v>527</v>
      </c>
      <c r="C128" s="22"/>
      <c r="D128" s="14"/>
      <c r="E128" s="15"/>
      <c r="F128" s="16">
        <f t="shared" si="26"/>
        <v>0</v>
      </c>
      <c r="G128" s="16">
        <f t="shared" si="27"/>
        <v>0</v>
      </c>
      <c r="H128" s="16">
        <f t="shared" si="28"/>
        <v>0</v>
      </c>
      <c r="I128" s="15"/>
      <c r="J128" s="16">
        <f t="shared" si="29"/>
        <v>0</v>
      </c>
      <c r="K128" s="18"/>
    </row>
    <row r="129" spans="1:11" s="19" customFormat="1" x14ac:dyDescent="0.3">
      <c r="A129" s="7"/>
      <c r="B129" s="22" t="s">
        <v>528</v>
      </c>
      <c r="C129" s="22"/>
      <c r="D129" s="14"/>
      <c r="E129" s="15"/>
      <c r="F129" s="16">
        <f t="shared" si="26"/>
        <v>0</v>
      </c>
      <c r="G129" s="16">
        <f t="shared" si="27"/>
        <v>0</v>
      </c>
      <c r="H129" s="16">
        <f t="shared" si="28"/>
        <v>0</v>
      </c>
      <c r="I129" s="15"/>
      <c r="J129" s="16">
        <f t="shared" si="29"/>
        <v>0</v>
      </c>
      <c r="K129" s="18"/>
    </row>
    <row r="130" spans="1:11" s="19" customFormat="1" x14ac:dyDescent="0.3">
      <c r="A130" s="7"/>
      <c r="B130" s="22" t="s">
        <v>529</v>
      </c>
      <c r="C130" s="22"/>
      <c r="D130" s="14"/>
      <c r="E130" s="15"/>
      <c r="F130" s="16">
        <f t="shared" si="26"/>
        <v>0</v>
      </c>
      <c r="G130" s="16">
        <f t="shared" si="27"/>
        <v>0</v>
      </c>
      <c r="H130" s="16">
        <f t="shared" si="28"/>
        <v>0</v>
      </c>
      <c r="I130" s="15"/>
      <c r="J130" s="16">
        <f t="shared" si="29"/>
        <v>0</v>
      </c>
      <c r="K130" s="18"/>
    </row>
    <row r="131" spans="1:11" s="19" customFormat="1" x14ac:dyDescent="0.3">
      <c r="A131" s="7"/>
      <c r="B131" s="22" t="s">
        <v>530</v>
      </c>
      <c r="C131" s="22"/>
      <c r="D131" s="14"/>
      <c r="E131" s="15"/>
      <c r="F131" s="16">
        <f t="shared" si="26"/>
        <v>0</v>
      </c>
      <c r="G131" s="16">
        <f t="shared" si="27"/>
        <v>0</v>
      </c>
      <c r="H131" s="16">
        <f t="shared" si="28"/>
        <v>0</v>
      </c>
      <c r="I131" s="15"/>
      <c r="J131" s="16">
        <f t="shared" si="29"/>
        <v>0</v>
      </c>
      <c r="K131" s="18"/>
    </row>
    <row r="132" spans="1:11" s="19" customFormat="1" x14ac:dyDescent="0.3">
      <c r="A132" s="7"/>
      <c r="B132" s="22" t="s">
        <v>531</v>
      </c>
      <c r="C132" s="22"/>
      <c r="D132" s="14"/>
      <c r="E132" s="15"/>
      <c r="F132" s="16">
        <f t="shared" si="26"/>
        <v>0</v>
      </c>
      <c r="G132" s="16">
        <f t="shared" si="27"/>
        <v>0</v>
      </c>
      <c r="H132" s="16">
        <f t="shared" si="28"/>
        <v>0</v>
      </c>
      <c r="I132" s="15"/>
      <c r="J132" s="16">
        <f t="shared" si="29"/>
        <v>0</v>
      </c>
      <c r="K132" s="18"/>
    </row>
    <row r="133" spans="1:11" s="19" customFormat="1" x14ac:dyDescent="0.3">
      <c r="A133" s="7"/>
      <c r="B133" s="22" t="s">
        <v>532</v>
      </c>
      <c r="C133" s="22"/>
      <c r="D133" s="14"/>
      <c r="E133" s="15"/>
      <c r="F133" s="16">
        <f t="shared" si="26"/>
        <v>0</v>
      </c>
      <c r="G133" s="16">
        <f t="shared" si="27"/>
        <v>0</v>
      </c>
      <c r="H133" s="16">
        <f t="shared" si="28"/>
        <v>0</v>
      </c>
      <c r="I133" s="15"/>
      <c r="J133" s="16">
        <f t="shared" si="29"/>
        <v>0</v>
      </c>
      <c r="K133" s="18"/>
    </row>
    <row r="134" spans="1:11" s="19" customFormat="1" x14ac:dyDescent="0.3">
      <c r="A134" s="7"/>
      <c r="B134" s="22" t="s">
        <v>533</v>
      </c>
      <c r="C134" s="13"/>
      <c r="D134" s="22"/>
      <c r="E134" s="15"/>
      <c r="F134" s="16">
        <f t="shared" si="26"/>
        <v>0</v>
      </c>
      <c r="G134" s="16">
        <f t="shared" si="27"/>
        <v>0</v>
      </c>
      <c r="H134" s="16">
        <f t="shared" si="28"/>
        <v>0</v>
      </c>
      <c r="I134" s="15"/>
      <c r="J134" s="16">
        <f t="shared" si="29"/>
        <v>0</v>
      </c>
      <c r="K134" s="18"/>
    </row>
    <row r="135" spans="1:11" s="19" customFormat="1" ht="75" customHeight="1" x14ac:dyDescent="0.3">
      <c r="A135" s="7"/>
      <c r="B135" s="22" t="s">
        <v>116</v>
      </c>
      <c r="C135" s="13" t="s">
        <v>98</v>
      </c>
      <c r="D135" s="22" t="s">
        <v>117</v>
      </c>
      <c r="E135" s="15"/>
      <c r="F135" s="16">
        <f t="shared" si="26"/>
        <v>0</v>
      </c>
      <c r="G135" s="16">
        <f>F135*0.9</f>
        <v>0</v>
      </c>
      <c r="H135" s="16">
        <f>F135*0.1</f>
        <v>0</v>
      </c>
      <c r="I135" s="15"/>
      <c r="J135" s="16">
        <f>I135*0.6*0.5*0.6</f>
        <v>0</v>
      </c>
      <c r="K135" s="14"/>
    </row>
    <row r="136" spans="1:11" s="19" customFormat="1" x14ac:dyDescent="0.3">
      <c r="A136" s="7"/>
      <c r="B136" s="107" t="s">
        <v>534</v>
      </c>
      <c r="C136" s="85"/>
      <c r="D136" s="22"/>
      <c r="E136" s="15"/>
      <c r="F136" s="16">
        <f t="shared" ref="F136" si="30">E136*0.6*0.5*0.6</f>
        <v>0</v>
      </c>
      <c r="G136" s="16">
        <f t="shared" ref="G136" si="31">F136*0.9</f>
        <v>0</v>
      </c>
      <c r="H136" s="16">
        <f t="shared" ref="H136" si="32">F136*0.1</f>
        <v>0</v>
      </c>
      <c r="I136" s="15">
        <v>100</v>
      </c>
      <c r="J136" s="16">
        <f t="shared" ref="J136" si="33">I136*0.6*0.5*0.6</f>
        <v>18</v>
      </c>
      <c r="K136" s="14"/>
    </row>
    <row r="137" spans="1:11" s="19" customFormat="1" ht="18" x14ac:dyDescent="0.3">
      <c r="A137" s="7"/>
      <c r="B137" s="283" t="s">
        <v>65</v>
      </c>
      <c r="C137" s="284"/>
      <c r="D137" s="22"/>
      <c r="E137" s="33">
        <f t="shared" ref="E137:J137" si="34">SUM(E126:E136)</f>
        <v>0</v>
      </c>
      <c r="F137" s="28">
        <f t="shared" si="34"/>
        <v>0</v>
      </c>
      <c r="G137" s="28">
        <f t="shared" si="34"/>
        <v>0</v>
      </c>
      <c r="H137" s="28">
        <f t="shared" si="34"/>
        <v>0</v>
      </c>
      <c r="I137" s="33">
        <f t="shared" si="34"/>
        <v>100</v>
      </c>
      <c r="J137" s="28">
        <f t="shared" si="34"/>
        <v>18</v>
      </c>
      <c r="K137" s="18"/>
    </row>
    <row r="138" spans="1:11" s="19" customFormat="1" x14ac:dyDescent="0.3">
      <c r="A138" s="7"/>
      <c r="B138" s="257" t="s">
        <v>518</v>
      </c>
      <c r="C138" s="257"/>
      <c r="D138" s="22"/>
      <c r="E138" s="15"/>
      <c r="F138" s="16"/>
      <c r="G138" s="16"/>
      <c r="H138" s="16"/>
      <c r="I138" s="15"/>
      <c r="J138" s="16"/>
      <c r="K138" s="18"/>
    </row>
    <row r="139" spans="1:11" s="19" customFormat="1" x14ac:dyDescent="0.3">
      <c r="A139" s="7"/>
      <c r="B139" s="14" t="s">
        <v>66</v>
      </c>
      <c r="C139" s="38"/>
      <c r="D139" s="22"/>
      <c r="E139" s="15"/>
      <c r="F139" s="16">
        <f>E139*0.6*0.5*0.2</f>
        <v>0</v>
      </c>
      <c r="G139" s="16">
        <f>F139*0.9</f>
        <v>0</v>
      </c>
      <c r="H139" s="16">
        <f>F139*0.1</f>
        <v>0</v>
      </c>
      <c r="I139" s="15"/>
      <c r="J139" s="16"/>
      <c r="K139" s="18"/>
    </row>
    <row r="140" spans="1:11" s="19" customFormat="1" x14ac:dyDescent="0.3">
      <c r="A140" s="7"/>
      <c r="B140" s="14" t="s">
        <v>67</v>
      </c>
      <c r="C140" s="13"/>
      <c r="D140" s="22"/>
      <c r="E140" s="16"/>
      <c r="F140" s="16"/>
      <c r="G140" s="16"/>
      <c r="H140" s="16"/>
      <c r="I140" s="16"/>
      <c r="J140" s="16"/>
      <c r="K140" s="18"/>
    </row>
    <row r="141" spans="1:11" s="19" customFormat="1" x14ac:dyDescent="0.3">
      <c r="A141" s="7"/>
      <c r="B141" s="22"/>
      <c r="C141" s="13"/>
      <c r="D141" s="22"/>
      <c r="E141" s="16"/>
      <c r="F141" s="16">
        <f>E141*0.6*0.5*0.2</f>
        <v>0</v>
      </c>
      <c r="G141" s="16">
        <f>F141*0.9</f>
        <v>0</v>
      </c>
      <c r="H141" s="16">
        <f>F141*0.1</f>
        <v>0</v>
      </c>
      <c r="I141" s="16"/>
      <c r="J141" s="16">
        <f>I141*0.6*0.5*0.2</f>
        <v>0</v>
      </c>
      <c r="K141" s="18"/>
    </row>
    <row r="142" spans="1:11" s="19" customFormat="1" ht="18" x14ac:dyDescent="0.3">
      <c r="A142" s="7"/>
      <c r="B142" s="283" t="s">
        <v>68</v>
      </c>
      <c r="C142" s="284"/>
      <c r="D142" s="22"/>
      <c r="E142" s="28">
        <f>SUM(E139:E141)</f>
        <v>0</v>
      </c>
      <c r="F142" s="28">
        <f>SUM(F139:F141)</f>
        <v>0</v>
      </c>
      <c r="G142" s="28">
        <f>SUM(G139:G141)</f>
        <v>0</v>
      </c>
      <c r="H142" s="28">
        <f>SUM(H139:H141)</f>
        <v>0</v>
      </c>
      <c r="I142" s="28">
        <f t="shared" ref="I142:J142" si="35">SUM(I139:I141)</f>
        <v>0</v>
      </c>
      <c r="J142" s="28">
        <f t="shared" si="35"/>
        <v>0</v>
      </c>
      <c r="K142" s="18"/>
    </row>
    <row r="143" spans="1:11" s="19" customFormat="1" ht="17.5" customHeight="1" x14ac:dyDescent="0.3">
      <c r="A143" s="41">
        <v>3</v>
      </c>
      <c r="B143" s="283" t="s">
        <v>118</v>
      </c>
      <c r="C143" s="293"/>
      <c r="D143" s="284"/>
      <c r="E143" s="15"/>
      <c r="F143" s="16"/>
      <c r="G143" s="16"/>
      <c r="H143" s="16"/>
      <c r="I143" s="15"/>
      <c r="J143" s="16"/>
      <c r="K143" s="18"/>
    </row>
    <row r="144" spans="1:11" s="19" customFormat="1" ht="17.5" customHeight="1" x14ac:dyDescent="0.35">
      <c r="A144" s="41"/>
      <c r="B144" s="27" t="s">
        <v>119</v>
      </c>
      <c r="C144" s="27" t="s">
        <v>120</v>
      </c>
      <c r="D144" s="27" t="s">
        <v>121</v>
      </c>
      <c r="E144" s="15"/>
      <c r="F144" s="16">
        <f>E144*0.5*0.5</f>
        <v>0</v>
      </c>
      <c r="G144" s="16">
        <f>F144*0.9</f>
        <v>0</v>
      </c>
      <c r="H144" s="16">
        <f>F144*0.1</f>
        <v>0</v>
      </c>
      <c r="I144" s="15"/>
      <c r="J144" s="16">
        <f>I144*0.5*0.5</f>
        <v>0</v>
      </c>
      <c r="K144" s="18"/>
    </row>
    <row r="145" spans="1:11" s="19" customFormat="1" ht="17.5" customHeight="1" x14ac:dyDescent="0.3">
      <c r="A145" s="41"/>
      <c r="B145" s="26" t="s">
        <v>122</v>
      </c>
      <c r="C145" s="26"/>
      <c r="D145" s="42"/>
      <c r="E145" s="33">
        <f t="shared" ref="E145:J145" si="36">SUM(E144:E144)</f>
        <v>0</v>
      </c>
      <c r="F145" s="28">
        <f t="shared" si="36"/>
        <v>0</v>
      </c>
      <c r="G145" s="28">
        <f t="shared" si="36"/>
        <v>0</v>
      </c>
      <c r="H145" s="28">
        <f t="shared" si="36"/>
        <v>0</v>
      </c>
      <c r="I145" s="33">
        <f t="shared" si="36"/>
        <v>0</v>
      </c>
      <c r="J145" s="28">
        <f t="shared" si="36"/>
        <v>0</v>
      </c>
      <c r="K145" s="18"/>
    </row>
    <row r="146" spans="1:11" s="43" customFormat="1" ht="18" x14ac:dyDescent="0.35">
      <c r="A146" s="41"/>
      <c r="B146" s="258" t="s">
        <v>123</v>
      </c>
      <c r="C146" s="258"/>
      <c r="D146" s="258"/>
      <c r="E146" s="30"/>
      <c r="F146" s="16"/>
      <c r="G146" s="16"/>
      <c r="H146" s="16"/>
      <c r="I146" s="30"/>
      <c r="J146" s="16"/>
      <c r="K146" s="18"/>
    </row>
    <row r="147" spans="1:11" s="43" customFormat="1" ht="18" x14ac:dyDescent="0.35">
      <c r="A147" s="41"/>
      <c r="B147" s="258" t="s">
        <v>124</v>
      </c>
      <c r="C147" s="258"/>
      <c r="D147" s="258"/>
      <c r="E147" s="30"/>
      <c r="F147" s="16"/>
      <c r="G147" s="16"/>
      <c r="H147" s="16"/>
      <c r="I147" s="30"/>
      <c r="J147" s="16"/>
      <c r="K147" s="18"/>
    </row>
    <row r="148" spans="1:11" s="43" customFormat="1" ht="19.5" customHeight="1" x14ac:dyDescent="0.35">
      <c r="A148" s="41"/>
      <c r="B148" s="14" t="s">
        <v>125</v>
      </c>
      <c r="C148" s="14" t="s">
        <v>126</v>
      </c>
      <c r="D148" s="14" t="s">
        <v>127</v>
      </c>
      <c r="E148" s="30"/>
      <c r="F148" s="16">
        <f>E148*0.5</f>
        <v>0</v>
      </c>
      <c r="G148" s="16">
        <f>F148*0.9</f>
        <v>0</v>
      </c>
      <c r="H148" s="16">
        <f>F148*0.1</f>
        <v>0</v>
      </c>
      <c r="I148" s="30"/>
      <c r="J148" s="16">
        <f>I148*0.4</f>
        <v>0</v>
      </c>
      <c r="K148" s="18"/>
    </row>
    <row r="149" spans="1:11" s="43" customFormat="1" ht="18" customHeight="1" x14ac:dyDescent="0.35">
      <c r="A149" s="41"/>
      <c r="B149" s="14" t="s">
        <v>128</v>
      </c>
      <c r="C149" s="11" t="s">
        <v>25</v>
      </c>
      <c r="D149" s="14" t="s">
        <v>129</v>
      </c>
      <c r="E149" s="30"/>
      <c r="F149" s="44">
        <f>E149*0.25</f>
        <v>0</v>
      </c>
      <c r="G149" s="16">
        <f>F149*0.9</f>
        <v>0</v>
      </c>
      <c r="H149" s="16">
        <f>F149*0.1</f>
        <v>0</v>
      </c>
      <c r="I149" s="30"/>
      <c r="J149" s="44">
        <f>I149*0.25</f>
        <v>0</v>
      </c>
      <c r="K149" s="18"/>
    </row>
    <row r="150" spans="1:11" s="43" customFormat="1" ht="18" x14ac:dyDescent="0.35">
      <c r="A150" s="41"/>
      <c r="B150" s="258" t="s">
        <v>130</v>
      </c>
      <c r="C150" s="258"/>
      <c r="D150" s="258"/>
      <c r="E150" s="30"/>
      <c r="F150" s="16"/>
      <c r="G150" s="16"/>
      <c r="H150" s="16"/>
      <c r="I150" s="30"/>
      <c r="J150" s="16"/>
      <c r="K150" s="18"/>
    </row>
    <row r="151" spans="1:11" s="43" customFormat="1" ht="19.5" customHeight="1" x14ac:dyDescent="0.35">
      <c r="A151" s="41"/>
      <c r="B151" s="14" t="s">
        <v>125</v>
      </c>
      <c r="C151" s="22" t="s">
        <v>131</v>
      </c>
      <c r="D151" s="27" t="s">
        <v>132</v>
      </c>
      <c r="E151" s="30"/>
      <c r="F151" s="16">
        <f>E151*1.5*0.5</f>
        <v>0</v>
      </c>
      <c r="G151" s="16">
        <f>F151*0.9</f>
        <v>0</v>
      </c>
      <c r="H151" s="16">
        <f>F151*0.1</f>
        <v>0</v>
      </c>
      <c r="I151" s="30"/>
      <c r="J151" s="16">
        <f>I151*1.5*0.4</f>
        <v>0</v>
      </c>
      <c r="K151" s="18"/>
    </row>
    <row r="152" spans="1:11" s="43" customFormat="1" ht="15.75" customHeight="1" x14ac:dyDescent="0.35">
      <c r="A152" s="41"/>
      <c r="B152" s="14" t="s">
        <v>128</v>
      </c>
      <c r="C152" s="11" t="s">
        <v>25</v>
      </c>
      <c r="D152" s="27" t="s">
        <v>133</v>
      </c>
      <c r="E152" s="30"/>
      <c r="F152" s="16">
        <f>E152*1.5*0.25</f>
        <v>0</v>
      </c>
      <c r="G152" s="16">
        <f>F152*0.9</f>
        <v>0</v>
      </c>
      <c r="H152" s="16">
        <f>F152*0.1</f>
        <v>0</v>
      </c>
      <c r="I152" s="30"/>
      <c r="J152" s="16">
        <f>I152*1.5*0.25</f>
        <v>0</v>
      </c>
      <c r="K152" s="18"/>
    </row>
    <row r="153" spans="1:11" s="43" customFormat="1" ht="18" x14ac:dyDescent="0.35">
      <c r="A153" s="41"/>
      <c r="B153" s="258" t="s">
        <v>134</v>
      </c>
      <c r="C153" s="258"/>
      <c r="D153" s="258"/>
      <c r="E153" s="30"/>
      <c r="F153" s="16"/>
      <c r="G153" s="16"/>
      <c r="H153" s="16"/>
      <c r="I153" s="30"/>
      <c r="J153" s="16"/>
      <c r="K153" s="18"/>
    </row>
    <row r="154" spans="1:11" s="43" customFormat="1" ht="17.25" customHeight="1" x14ac:dyDescent="0.35">
      <c r="A154" s="41"/>
      <c r="B154" s="14" t="s">
        <v>125</v>
      </c>
      <c r="C154" s="27" t="s">
        <v>135</v>
      </c>
      <c r="D154" s="14" t="s">
        <v>127</v>
      </c>
      <c r="E154" s="30"/>
      <c r="F154" s="16">
        <f>E154*0.2</f>
        <v>0</v>
      </c>
      <c r="G154" s="16">
        <f>F154*0.9</f>
        <v>0</v>
      </c>
      <c r="H154" s="16">
        <f>F154*0.1</f>
        <v>0</v>
      </c>
      <c r="I154" s="30"/>
      <c r="J154" s="16">
        <f>I154*0.16</f>
        <v>0</v>
      </c>
      <c r="K154" s="18"/>
    </row>
    <row r="155" spans="1:11" s="19" customFormat="1" ht="17.25" customHeight="1" x14ac:dyDescent="0.35">
      <c r="A155" s="41"/>
      <c r="B155" s="14" t="s">
        <v>128</v>
      </c>
      <c r="C155" s="11" t="s">
        <v>25</v>
      </c>
      <c r="D155" s="27" t="s">
        <v>133</v>
      </c>
      <c r="E155" s="30"/>
      <c r="F155" s="44">
        <f>E155*0.1</f>
        <v>0</v>
      </c>
      <c r="G155" s="16">
        <f>F155*0.9</f>
        <v>0</v>
      </c>
      <c r="H155" s="16">
        <f>F155*0.1</f>
        <v>0</v>
      </c>
      <c r="I155" s="30"/>
      <c r="J155" s="44">
        <f>I155*0.1</f>
        <v>0</v>
      </c>
      <c r="K155" s="45"/>
    </row>
    <row r="156" spans="1:11" ht="18" x14ac:dyDescent="0.35">
      <c r="A156" s="7"/>
      <c r="B156" s="26" t="s">
        <v>136</v>
      </c>
      <c r="C156" s="26"/>
      <c r="D156" s="46"/>
      <c r="E156" s="47">
        <f t="shared" ref="E156:J156" si="37">SUM(E148:E155)</f>
        <v>0</v>
      </c>
      <c r="F156" s="28">
        <f t="shared" si="37"/>
        <v>0</v>
      </c>
      <c r="G156" s="28">
        <f t="shared" si="37"/>
        <v>0</v>
      </c>
      <c r="H156" s="28">
        <f t="shared" si="37"/>
        <v>0</v>
      </c>
      <c r="I156" s="47">
        <f t="shared" si="37"/>
        <v>0</v>
      </c>
      <c r="J156" s="28">
        <f t="shared" si="37"/>
        <v>0</v>
      </c>
      <c r="K156" s="18"/>
    </row>
    <row r="157" spans="1:11" ht="18" x14ac:dyDescent="0.35">
      <c r="A157" s="41"/>
      <c r="B157" s="258" t="s">
        <v>137</v>
      </c>
      <c r="C157" s="258"/>
      <c r="D157" s="258"/>
      <c r="E157" s="30"/>
      <c r="F157" s="16"/>
      <c r="G157" s="16"/>
      <c r="H157" s="16"/>
      <c r="I157" s="30"/>
      <c r="J157" s="16"/>
      <c r="K157" s="18"/>
    </row>
    <row r="158" spans="1:11" ht="18" x14ac:dyDescent="0.35">
      <c r="A158" s="41"/>
      <c r="B158" s="8"/>
      <c r="C158" s="8"/>
      <c r="D158" s="8"/>
      <c r="E158" s="30"/>
      <c r="F158" s="16"/>
      <c r="G158" s="16"/>
      <c r="H158" s="16"/>
      <c r="I158" s="30"/>
      <c r="J158" s="16"/>
      <c r="K158" s="18"/>
    </row>
    <row r="159" spans="1:11" ht="67.900000000000006" customHeight="1" x14ac:dyDescent="0.35">
      <c r="A159" s="41"/>
      <c r="B159" s="14" t="s">
        <v>138</v>
      </c>
      <c r="C159" s="13" t="s">
        <v>139</v>
      </c>
      <c r="D159" s="24" t="s">
        <v>140</v>
      </c>
      <c r="E159" s="15"/>
      <c r="F159" s="16">
        <f>E159*0.3*0.5</f>
        <v>0</v>
      </c>
      <c r="G159" s="16">
        <f>F159*0.9</f>
        <v>0</v>
      </c>
      <c r="H159" s="16">
        <f>F159*0.1</f>
        <v>0</v>
      </c>
      <c r="I159" s="15"/>
      <c r="J159" s="16"/>
      <c r="K159" s="18"/>
    </row>
    <row r="160" spans="1:11" ht="144.65" customHeight="1" x14ac:dyDescent="0.35">
      <c r="A160" s="7"/>
      <c r="B160" s="26" t="s">
        <v>141</v>
      </c>
      <c r="C160" s="13" t="s">
        <v>142</v>
      </c>
      <c r="D160" s="24" t="s">
        <v>143</v>
      </c>
      <c r="E160" s="15"/>
      <c r="F160" s="16">
        <f>E160*0.5*0.5</f>
        <v>0</v>
      </c>
      <c r="G160" s="16">
        <f>F160*0.9</f>
        <v>0</v>
      </c>
      <c r="H160" s="16">
        <f>F160*0.1</f>
        <v>0</v>
      </c>
      <c r="I160" s="15"/>
      <c r="J160" s="16">
        <f>I160*0.5*0.5</f>
        <v>0</v>
      </c>
      <c r="K160" s="11"/>
    </row>
    <row r="161" spans="1:12" s="19" customFormat="1" ht="18" x14ac:dyDescent="0.3">
      <c r="A161" s="7"/>
      <c r="B161" s="26" t="s">
        <v>144</v>
      </c>
      <c r="C161" s="26"/>
      <c r="D161" s="46"/>
      <c r="E161" s="33">
        <f t="shared" ref="E161:J161" si="38">SUM(E159:E160)</f>
        <v>0</v>
      </c>
      <c r="F161" s="28">
        <f t="shared" si="38"/>
        <v>0</v>
      </c>
      <c r="G161" s="28">
        <f t="shared" si="38"/>
        <v>0</v>
      </c>
      <c r="H161" s="28">
        <f t="shared" si="38"/>
        <v>0</v>
      </c>
      <c r="I161" s="33">
        <f t="shared" si="38"/>
        <v>0</v>
      </c>
      <c r="J161" s="28">
        <f t="shared" si="38"/>
        <v>0</v>
      </c>
      <c r="K161" s="11"/>
    </row>
    <row r="162" spans="1:12" s="19" customFormat="1" ht="18" x14ac:dyDescent="0.3">
      <c r="A162" s="7"/>
      <c r="B162" s="258" t="s">
        <v>145</v>
      </c>
      <c r="C162" s="258"/>
      <c r="D162" s="258"/>
      <c r="E162" s="30"/>
      <c r="F162" s="16"/>
      <c r="G162" s="16"/>
      <c r="H162" s="16"/>
      <c r="I162" s="30"/>
      <c r="J162" s="16"/>
      <c r="K162" s="11"/>
    </row>
    <row r="163" spans="1:12" s="19" customFormat="1" ht="67.150000000000006" customHeight="1" x14ac:dyDescent="0.3">
      <c r="A163" s="7"/>
      <c r="B163" s="13" t="s">
        <v>146</v>
      </c>
      <c r="C163" s="13" t="s">
        <v>147</v>
      </c>
      <c r="D163" s="24" t="s">
        <v>148</v>
      </c>
      <c r="E163" s="30"/>
      <c r="F163" s="16">
        <f>E163*1*0.4</f>
        <v>0</v>
      </c>
      <c r="G163" s="16">
        <f>F163*0.9</f>
        <v>0</v>
      </c>
      <c r="H163" s="16">
        <f>F163*0.1</f>
        <v>0</v>
      </c>
      <c r="I163" s="30"/>
      <c r="J163" s="16">
        <f>I163*0.4</f>
        <v>0</v>
      </c>
      <c r="K163" s="11"/>
    </row>
    <row r="164" spans="1:12" s="19" customFormat="1" ht="133.9" customHeight="1" x14ac:dyDescent="0.3">
      <c r="A164" s="7"/>
      <c r="B164" s="14" t="s">
        <v>149</v>
      </c>
      <c r="C164" s="13" t="s">
        <v>150</v>
      </c>
      <c r="D164" s="24" t="s">
        <v>151</v>
      </c>
      <c r="E164" s="30"/>
      <c r="F164" s="16">
        <f>E164*0.2</f>
        <v>0</v>
      </c>
      <c r="G164" s="16">
        <f>F164*0.9</f>
        <v>0</v>
      </c>
      <c r="H164" s="16">
        <f>F164*0.1</f>
        <v>0</v>
      </c>
      <c r="I164" s="30"/>
      <c r="J164" s="16">
        <f>I164*0.16</f>
        <v>0</v>
      </c>
      <c r="K164" s="18"/>
    </row>
    <row r="165" spans="1:12" s="19" customFormat="1" ht="21" customHeight="1" x14ac:dyDescent="0.3">
      <c r="A165" s="7"/>
      <c r="B165" s="26" t="s">
        <v>152</v>
      </c>
      <c r="C165" s="26"/>
      <c r="D165" s="46"/>
      <c r="E165" s="47">
        <f t="shared" ref="E165:J165" si="39">SUM(E163:E164)</f>
        <v>0</v>
      </c>
      <c r="F165" s="28">
        <f t="shared" si="39"/>
        <v>0</v>
      </c>
      <c r="G165" s="28">
        <f t="shared" si="39"/>
        <v>0</v>
      </c>
      <c r="H165" s="28">
        <f t="shared" si="39"/>
        <v>0</v>
      </c>
      <c r="I165" s="47">
        <f t="shared" si="39"/>
        <v>0</v>
      </c>
      <c r="J165" s="28">
        <f t="shared" si="39"/>
        <v>0</v>
      </c>
      <c r="K165" s="18"/>
    </row>
    <row r="166" spans="1:12" s="19" customFormat="1" ht="18" x14ac:dyDescent="0.3">
      <c r="A166" s="41"/>
      <c r="B166" s="258" t="s">
        <v>153</v>
      </c>
      <c r="C166" s="258"/>
      <c r="D166" s="258"/>
      <c r="E166" s="30"/>
      <c r="F166" s="16"/>
      <c r="G166" s="16"/>
      <c r="H166" s="16"/>
      <c r="I166" s="30"/>
      <c r="J166" s="16"/>
      <c r="K166" s="48"/>
    </row>
    <row r="167" spans="1:12" s="19" customFormat="1" ht="18" x14ac:dyDescent="0.3">
      <c r="A167" s="41"/>
      <c r="B167" s="258" t="s">
        <v>154</v>
      </c>
      <c r="C167" s="258"/>
      <c r="D167" s="8"/>
      <c r="E167" s="30"/>
      <c r="F167" s="16"/>
      <c r="G167" s="16"/>
      <c r="H167" s="16"/>
      <c r="I167" s="30"/>
      <c r="J167" s="16"/>
      <c r="K167" s="48"/>
    </row>
    <row r="168" spans="1:12" s="19" customFormat="1" ht="111" customHeight="1" x14ac:dyDescent="0.3">
      <c r="A168" s="41"/>
      <c r="B168" s="49" t="s">
        <v>113</v>
      </c>
      <c r="C168" s="14" t="s">
        <v>155</v>
      </c>
      <c r="D168" s="14" t="s">
        <v>156</v>
      </c>
      <c r="E168" s="15"/>
      <c r="F168" s="16">
        <f>E168*1*0.5*0.6</f>
        <v>0</v>
      </c>
      <c r="G168" s="16">
        <f>F168*0.9</f>
        <v>0</v>
      </c>
      <c r="H168" s="16">
        <f>F168*0.1</f>
        <v>0</v>
      </c>
      <c r="I168" s="15"/>
      <c r="J168" s="16">
        <f>I168*0.4*0.6</f>
        <v>0</v>
      </c>
      <c r="K168" s="48"/>
    </row>
    <row r="169" spans="1:12" s="19" customFormat="1" ht="196.9" customHeight="1" x14ac:dyDescent="0.3">
      <c r="A169" s="41"/>
      <c r="B169" s="49" t="s">
        <v>62</v>
      </c>
      <c r="C169" s="14" t="s">
        <v>142</v>
      </c>
      <c r="D169" s="26" t="s">
        <v>157</v>
      </c>
      <c r="E169" s="15"/>
      <c r="F169" s="16">
        <f>E169*0.5*0.5*0.6</f>
        <v>0</v>
      </c>
      <c r="G169" s="16">
        <f>F169*0.9</f>
        <v>0</v>
      </c>
      <c r="H169" s="16">
        <f>F169*0.1</f>
        <v>0</v>
      </c>
      <c r="I169" s="15"/>
      <c r="J169" s="16">
        <f>I169*0.2*0.6</f>
        <v>0</v>
      </c>
      <c r="K169" s="48"/>
    </row>
    <row r="170" spans="1:12" s="19" customFormat="1" x14ac:dyDescent="0.3">
      <c r="A170" s="41"/>
      <c r="B170" s="270" t="s">
        <v>158</v>
      </c>
      <c r="C170" s="271"/>
      <c r="D170" s="271"/>
      <c r="E170" s="15"/>
      <c r="F170" s="16"/>
      <c r="G170" s="16"/>
      <c r="H170" s="16"/>
      <c r="I170" s="15"/>
      <c r="J170" s="16"/>
      <c r="K170" s="48"/>
    </row>
    <row r="171" spans="1:12" s="19" customFormat="1" ht="111.65" customHeight="1" x14ac:dyDescent="0.3">
      <c r="A171" s="41"/>
      <c r="B171" s="34" t="s">
        <v>113</v>
      </c>
      <c r="C171" s="14" t="s">
        <v>155</v>
      </c>
      <c r="D171" s="14" t="s">
        <v>156</v>
      </c>
      <c r="E171" s="15"/>
      <c r="F171" s="16">
        <f>E171*1*0.5*0.6</f>
        <v>0</v>
      </c>
      <c r="G171" s="16">
        <f>F171*0.9</f>
        <v>0</v>
      </c>
      <c r="H171" s="16">
        <f>F171*0.1</f>
        <v>0</v>
      </c>
      <c r="I171" s="15"/>
      <c r="J171" s="16">
        <f>I171*0.4*0.6</f>
        <v>0</v>
      </c>
      <c r="K171" s="48"/>
    </row>
    <row r="172" spans="1:12" s="19" customFormat="1" ht="201.65" customHeight="1" x14ac:dyDescent="0.3">
      <c r="A172" s="41"/>
      <c r="B172" s="34" t="s">
        <v>62</v>
      </c>
      <c r="C172" s="14" t="s">
        <v>142</v>
      </c>
      <c r="D172" s="26" t="s">
        <v>159</v>
      </c>
      <c r="E172" s="15"/>
      <c r="F172" s="16">
        <f>E172*0.5*0.5*0.6</f>
        <v>0</v>
      </c>
      <c r="G172" s="16">
        <f>F172*0.9</f>
        <v>0</v>
      </c>
      <c r="H172" s="16">
        <f>F172*0.1</f>
        <v>0</v>
      </c>
      <c r="I172" s="15"/>
      <c r="J172" s="16">
        <f>I172*0.2*0.6</f>
        <v>0</v>
      </c>
      <c r="K172" s="48"/>
    </row>
    <row r="173" spans="1:12" s="19" customFormat="1" ht="18" x14ac:dyDescent="0.3">
      <c r="A173" s="41"/>
      <c r="B173" s="26" t="s">
        <v>122</v>
      </c>
      <c r="C173" s="26"/>
      <c r="D173" s="42"/>
      <c r="E173" s="33">
        <f t="shared" ref="E173:J173" si="40">SUM(E168:E172)</f>
        <v>0</v>
      </c>
      <c r="F173" s="28">
        <f t="shared" si="40"/>
        <v>0</v>
      </c>
      <c r="G173" s="28">
        <f t="shared" si="40"/>
        <v>0</v>
      </c>
      <c r="H173" s="28">
        <f t="shared" si="40"/>
        <v>0</v>
      </c>
      <c r="I173" s="33">
        <f t="shared" si="40"/>
        <v>0</v>
      </c>
      <c r="J173" s="28">
        <f t="shared" si="40"/>
        <v>0</v>
      </c>
      <c r="K173" s="48"/>
    </row>
    <row r="174" spans="1:12" s="19" customFormat="1" x14ac:dyDescent="0.3">
      <c r="A174" s="41"/>
      <c r="B174" s="256" t="s">
        <v>535</v>
      </c>
      <c r="C174" s="256"/>
      <c r="D174" s="256"/>
      <c r="E174" s="30"/>
      <c r="F174" s="16"/>
      <c r="G174" s="16"/>
      <c r="H174" s="16"/>
      <c r="I174" s="30"/>
      <c r="J174" s="16"/>
      <c r="K174" s="50"/>
      <c r="L174" s="95"/>
    </row>
    <row r="175" spans="1:12" s="19" customFormat="1" ht="126.65" customHeight="1" x14ac:dyDescent="0.3">
      <c r="A175" s="41"/>
      <c r="B175" s="49" t="s">
        <v>154</v>
      </c>
      <c r="C175" s="14" t="s">
        <v>536</v>
      </c>
      <c r="D175" s="26" t="s">
        <v>159</v>
      </c>
      <c r="E175" s="15"/>
      <c r="F175" s="16">
        <f>E175*0.5*0.5*0.2</f>
        <v>0</v>
      </c>
      <c r="G175" s="16">
        <f>F175*0.9</f>
        <v>0</v>
      </c>
      <c r="H175" s="16">
        <f>F175*0.1</f>
        <v>0</v>
      </c>
      <c r="I175" s="15"/>
      <c r="J175" s="16">
        <f>I175*0.2*0.2</f>
        <v>0</v>
      </c>
      <c r="K175" s="51"/>
      <c r="L175" s="95"/>
    </row>
    <row r="176" spans="1:12" s="19" customFormat="1" ht="126" customHeight="1" x14ac:dyDescent="0.3">
      <c r="A176" s="41"/>
      <c r="B176" s="34" t="s">
        <v>158</v>
      </c>
      <c r="C176" s="14" t="s">
        <v>536</v>
      </c>
      <c r="D176" s="26" t="s">
        <v>159</v>
      </c>
      <c r="E176" s="15"/>
      <c r="F176" s="16">
        <f>E176*0.5*0.5*0.2</f>
        <v>0</v>
      </c>
      <c r="G176" s="16">
        <f>F176*0.9</f>
        <v>0</v>
      </c>
      <c r="H176" s="16">
        <f>F176*0.1</f>
        <v>0</v>
      </c>
      <c r="I176" s="15"/>
      <c r="J176" s="16">
        <f>I176*0.2*0.2</f>
        <v>0</v>
      </c>
      <c r="K176" s="51"/>
      <c r="L176" s="95"/>
    </row>
    <row r="177" spans="1:14" s="19" customFormat="1" ht="123.65" customHeight="1" x14ac:dyDescent="0.3">
      <c r="A177" s="41"/>
      <c r="B177" s="34" t="s">
        <v>160</v>
      </c>
      <c r="C177" s="14" t="s">
        <v>536</v>
      </c>
      <c r="D177" s="26" t="s">
        <v>159</v>
      </c>
      <c r="E177" s="15"/>
      <c r="F177" s="16">
        <f>E177*0.5*0.5*0.2</f>
        <v>0</v>
      </c>
      <c r="G177" s="16">
        <f>F177*0.9</f>
        <v>0</v>
      </c>
      <c r="H177" s="16">
        <f>F177*0.1</f>
        <v>0</v>
      </c>
      <c r="I177" s="15"/>
      <c r="J177" s="16">
        <f>I177*0.2*0.2</f>
        <v>0</v>
      </c>
      <c r="K177" s="51"/>
      <c r="L177" s="95"/>
    </row>
    <row r="178" spans="1:14" s="19" customFormat="1" ht="18" x14ac:dyDescent="0.3">
      <c r="A178" s="41"/>
      <c r="B178" s="256" t="s">
        <v>537</v>
      </c>
      <c r="C178" s="256"/>
      <c r="D178" s="256"/>
      <c r="E178" s="33">
        <f t="shared" ref="E178:J178" si="41">SUM(E175:E177)</f>
        <v>0</v>
      </c>
      <c r="F178" s="28">
        <f t="shared" si="41"/>
        <v>0</v>
      </c>
      <c r="G178" s="28">
        <f t="shared" si="41"/>
        <v>0</v>
      </c>
      <c r="H178" s="28">
        <f t="shared" si="41"/>
        <v>0</v>
      </c>
      <c r="I178" s="33">
        <f t="shared" si="41"/>
        <v>0</v>
      </c>
      <c r="J178" s="28">
        <f t="shared" si="41"/>
        <v>0</v>
      </c>
      <c r="K178" s="52"/>
      <c r="L178" s="109"/>
    </row>
    <row r="179" spans="1:14" s="19" customFormat="1" ht="18" x14ac:dyDescent="0.3">
      <c r="A179" s="41"/>
      <c r="B179" s="256" t="s">
        <v>538</v>
      </c>
      <c r="C179" s="256"/>
      <c r="D179" s="256"/>
      <c r="E179" s="33"/>
      <c r="F179" s="28"/>
      <c r="G179" s="28"/>
      <c r="H179" s="28"/>
      <c r="I179" s="33"/>
      <c r="J179" s="28"/>
      <c r="K179" s="52"/>
      <c r="L179" s="109"/>
    </row>
    <row r="180" spans="1:14" s="19" customFormat="1" x14ac:dyDescent="0.3">
      <c r="A180" s="41"/>
      <c r="B180" s="49" t="s">
        <v>154</v>
      </c>
      <c r="C180" s="11" t="s">
        <v>25</v>
      </c>
      <c r="D180" s="11" t="s">
        <v>25</v>
      </c>
      <c r="E180" s="30"/>
      <c r="F180" s="16">
        <f>E180*0.5*0.5*0.2</f>
        <v>0</v>
      </c>
      <c r="G180" s="16">
        <f>F180*0.9</f>
        <v>0</v>
      </c>
      <c r="H180" s="16">
        <f>F180*0.1</f>
        <v>0</v>
      </c>
      <c r="I180" s="30"/>
      <c r="J180" s="16">
        <f>I180*0.2*0.2</f>
        <v>0</v>
      </c>
      <c r="K180" s="50"/>
      <c r="L180" s="95"/>
    </row>
    <row r="181" spans="1:14" s="19" customFormat="1" x14ac:dyDescent="0.3">
      <c r="A181" s="41"/>
      <c r="B181" s="34" t="s">
        <v>158</v>
      </c>
      <c r="C181" s="11" t="s">
        <v>25</v>
      </c>
      <c r="D181" s="11" t="s">
        <v>25</v>
      </c>
      <c r="E181" s="30"/>
      <c r="F181" s="16">
        <f>E181*0.5*0.5*0.2</f>
        <v>0</v>
      </c>
      <c r="G181" s="16">
        <f>F181*0.9</f>
        <v>0</v>
      </c>
      <c r="H181" s="16">
        <f>F181*0.1</f>
        <v>0</v>
      </c>
      <c r="I181" s="30"/>
      <c r="J181" s="16">
        <f>I181*0.026</f>
        <v>0</v>
      </c>
      <c r="K181" s="50"/>
      <c r="L181" s="95"/>
    </row>
    <row r="182" spans="1:14" s="55" customFormat="1" ht="18" x14ac:dyDescent="0.4">
      <c r="A182" s="41"/>
      <c r="B182" s="285" t="s">
        <v>537</v>
      </c>
      <c r="C182" s="286"/>
      <c r="D182" s="42"/>
      <c r="E182" s="47">
        <f t="shared" ref="E182:J182" si="42">SUM(E180:E181)</f>
        <v>0</v>
      </c>
      <c r="F182" s="28">
        <f t="shared" si="42"/>
        <v>0</v>
      </c>
      <c r="G182" s="28">
        <f t="shared" si="42"/>
        <v>0</v>
      </c>
      <c r="H182" s="28">
        <f t="shared" si="42"/>
        <v>0</v>
      </c>
      <c r="I182" s="47">
        <f t="shared" si="42"/>
        <v>0</v>
      </c>
      <c r="J182" s="28">
        <f t="shared" si="42"/>
        <v>0</v>
      </c>
      <c r="K182" s="54"/>
      <c r="L182" s="109"/>
    </row>
    <row r="183" spans="1:14" s="55" customFormat="1" ht="18" x14ac:dyDescent="0.4">
      <c r="A183" s="41"/>
      <c r="B183" s="287" t="s">
        <v>161</v>
      </c>
      <c r="C183" s="289"/>
      <c r="D183" s="53"/>
      <c r="E183" s="33">
        <f>E51+E66+E112+E137+E145+E161</f>
        <v>0</v>
      </c>
      <c r="F183" s="28">
        <f>F51+F66+F112+F137+F145+F161</f>
        <v>0</v>
      </c>
      <c r="G183" s="28">
        <f>G51+G66+G112+G137+G145+G156+G161+G173</f>
        <v>0</v>
      </c>
      <c r="H183" s="28">
        <f>H51+H66+H112+H137+H145+H156+H161+H173</f>
        <v>0</v>
      </c>
      <c r="I183" s="28"/>
      <c r="J183" s="28"/>
      <c r="K183" s="54"/>
      <c r="L183" s="109"/>
    </row>
    <row r="184" spans="1:14" s="55" customFormat="1" ht="18" x14ac:dyDescent="0.4">
      <c r="A184" s="41">
        <v>4</v>
      </c>
      <c r="B184" s="287" t="s">
        <v>539</v>
      </c>
      <c r="C184" s="289"/>
      <c r="D184" s="53"/>
      <c r="E184" s="28">
        <f t="shared" ref="E184:J184" si="43">E58+E69+E76+E83+E90+E97+E105+E124+E142+E178+E182</f>
        <v>0</v>
      </c>
      <c r="F184" s="28">
        <f t="shared" si="43"/>
        <v>0</v>
      </c>
      <c r="G184" s="28">
        <f t="shared" si="43"/>
        <v>0</v>
      </c>
      <c r="H184" s="28">
        <f t="shared" si="43"/>
        <v>0</v>
      </c>
      <c r="I184" s="28">
        <f t="shared" si="43"/>
        <v>0</v>
      </c>
      <c r="J184" s="28">
        <f t="shared" si="43"/>
        <v>0</v>
      </c>
      <c r="K184" s="54"/>
      <c r="L184" s="109"/>
    </row>
    <row r="185" spans="1:14" s="55" customFormat="1" ht="18" x14ac:dyDescent="0.4">
      <c r="A185" s="41">
        <v>5</v>
      </c>
      <c r="B185" s="258" t="s">
        <v>163</v>
      </c>
      <c r="C185" s="258"/>
      <c r="D185" s="258"/>
      <c r="E185" s="30"/>
      <c r="F185" s="16"/>
      <c r="G185" s="16"/>
      <c r="H185" s="16"/>
      <c r="I185" s="30"/>
      <c r="J185" s="16"/>
      <c r="K185" s="56"/>
    </row>
    <row r="186" spans="1:14" s="55" customFormat="1" ht="18" x14ac:dyDescent="0.4">
      <c r="A186" s="41"/>
      <c r="B186" s="260" t="s">
        <v>164</v>
      </c>
      <c r="C186" s="260"/>
      <c r="D186" s="260"/>
      <c r="E186" s="30"/>
      <c r="F186" s="16"/>
      <c r="G186" s="16"/>
      <c r="H186" s="16"/>
      <c r="I186" s="30"/>
      <c r="J186" s="16"/>
      <c r="K186" s="56"/>
    </row>
    <row r="187" spans="1:14" s="55" customFormat="1" ht="21" customHeight="1" x14ac:dyDescent="0.4">
      <c r="A187" s="41"/>
      <c r="B187" s="14" t="s">
        <v>165</v>
      </c>
      <c r="C187" s="14" t="s">
        <v>166</v>
      </c>
      <c r="D187" s="22" t="s">
        <v>167</v>
      </c>
      <c r="E187" s="30"/>
      <c r="F187" s="16">
        <f>E187*20</f>
        <v>0</v>
      </c>
      <c r="G187" s="16">
        <f>F187*0.9</f>
        <v>0</v>
      </c>
      <c r="H187" s="16">
        <f>F187*0.1</f>
        <v>0</v>
      </c>
      <c r="I187" s="30"/>
      <c r="J187" s="16">
        <f>I187*20</f>
        <v>0</v>
      </c>
      <c r="K187" s="56"/>
    </row>
    <row r="188" spans="1:14" s="55" customFormat="1" ht="64.150000000000006" customHeight="1" x14ac:dyDescent="0.4">
      <c r="A188" s="41"/>
      <c r="B188" s="14" t="s">
        <v>168</v>
      </c>
      <c r="C188" s="14" t="s">
        <v>166</v>
      </c>
      <c r="D188" s="22" t="s">
        <v>169</v>
      </c>
      <c r="E188" s="30"/>
      <c r="F188" s="16">
        <f>E188*20*0.4</f>
        <v>0</v>
      </c>
      <c r="G188" s="16">
        <f>F188*0.9</f>
        <v>0</v>
      </c>
      <c r="H188" s="16">
        <f>F188*0.1</f>
        <v>0</v>
      </c>
      <c r="I188" s="30"/>
      <c r="J188" s="16">
        <f>I188*20*0.4</f>
        <v>0</v>
      </c>
      <c r="K188" s="56"/>
      <c r="M188" s="110"/>
      <c r="N188" s="110"/>
    </row>
    <row r="189" spans="1:14" s="55" customFormat="1" ht="18" x14ac:dyDescent="0.4">
      <c r="A189" s="41"/>
      <c r="B189" s="258" t="s">
        <v>170</v>
      </c>
      <c r="C189" s="258"/>
      <c r="D189" s="258"/>
      <c r="E189" s="30"/>
      <c r="F189" s="57"/>
      <c r="G189" s="57"/>
      <c r="H189" s="58"/>
      <c r="I189" s="30"/>
      <c r="J189" s="57"/>
      <c r="K189" s="56"/>
    </row>
    <row r="190" spans="1:14" s="55" customFormat="1" ht="25.9" customHeight="1" x14ac:dyDescent="0.4">
      <c r="A190" s="41"/>
      <c r="B190" s="14" t="s">
        <v>165</v>
      </c>
      <c r="C190" s="14" t="s">
        <v>171</v>
      </c>
      <c r="D190" s="22" t="s">
        <v>167</v>
      </c>
      <c r="E190" s="30"/>
      <c r="F190" s="16">
        <f>E190*15</f>
        <v>0</v>
      </c>
      <c r="G190" s="16">
        <f>F190*0.9</f>
        <v>0</v>
      </c>
      <c r="H190" s="16">
        <f>F190*0.1</f>
        <v>0</v>
      </c>
      <c r="I190" s="30"/>
      <c r="J190" s="16">
        <f>I190*15</f>
        <v>0</v>
      </c>
      <c r="K190" s="56"/>
    </row>
    <row r="191" spans="1:14" s="55" customFormat="1" ht="64.900000000000006" customHeight="1" x14ac:dyDescent="0.4">
      <c r="A191" s="41"/>
      <c r="B191" s="14" t="s">
        <v>172</v>
      </c>
      <c r="C191" s="14" t="s">
        <v>171</v>
      </c>
      <c r="D191" s="22" t="s">
        <v>169</v>
      </c>
      <c r="E191" s="30"/>
      <c r="F191" s="16">
        <f>E191*15*0.4</f>
        <v>0</v>
      </c>
      <c r="G191" s="16">
        <f>F191*0.9</f>
        <v>0</v>
      </c>
      <c r="H191" s="16">
        <f>F191*0.1</f>
        <v>0</v>
      </c>
      <c r="I191" s="30"/>
      <c r="J191" s="16">
        <f>I191*15*0.4</f>
        <v>0</v>
      </c>
      <c r="K191" s="56"/>
    </row>
    <row r="192" spans="1:14" s="55" customFormat="1" ht="18" x14ac:dyDescent="0.4">
      <c r="A192" s="41"/>
      <c r="B192" s="258" t="s">
        <v>173</v>
      </c>
      <c r="C192" s="258"/>
      <c r="D192" s="258"/>
      <c r="E192" s="30"/>
      <c r="F192" s="58"/>
      <c r="G192" s="58"/>
      <c r="H192" s="58"/>
      <c r="I192" s="30"/>
      <c r="J192" s="58"/>
      <c r="K192" s="56"/>
    </row>
    <row r="193" spans="1:11" s="55" customFormat="1" ht="24" customHeight="1" x14ac:dyDescent="0.4">
      <c r="A193" s="41"/>
      <c r="B193" s="14" t="s">
        <v>165</v>
      </c>
      <c r="C193" s="14" t="s">
        <v>166</v>
      </c>
      <c r="D193" s="22" t="s">
        <v>167</v>
      </c>
      <c r="E193" s="30"/>
      <c r="F193" s="16">
        <f>E193*20</f>
        <v>0</v>
      </c>
      <c r="G193" s="16">
        <f>F193*0.9</f>
        <v>0</v>
      </c>
      <c r="H193" s="16">
        <f>F193*0.1</f>
        <v>0</v>
      </c>
      <c r="I193" s="30"/>
      <c r="J193" s="16">
        <f>I193*20</f>
        <v>0</v>
      </c>
      <c r="K193" s="56"/>
    </row>
    <row r="194" spans="1:11" s="55" customFormat="1" ht="66.650000000000006" customHeight="1" x14ac:dyDescent="0.4">
      <c r="A194" s="41"/>
      <c r="B194" s="14" t="s">
        <v>168</v>
      </c>
      <c r="C194" s="14" t="s">
        <v>166</v>
      </c>
      <c r="D194" s="22" t="s">
        <v>169</v>
      </c>
      <c r="E194" s="30"/>
      <c r="F194" s="16">
        <f>E194*20*0.4</f>
        <v>0</v>
      </c>
      <c r="G194" s="16">
        <f>F194*0.9</f>
        <v>0</v>
      </c>
      <c r="H194" s="16">
        <f>F194*0.1</f>
        <v>0</v>
      </c>
      <c r="I194" s="30"/>
      <c r="J194" s="16">
        <f>I194*20*0.4</f>
        <v>0</v>
      </c>
      <c r="K194" s="56"/>
    </row>
    <row r="195" spans="1:11" s="55" customFormat="1" ht="18" x14ac:dyDescent="0.4">
      <c r="A195" s="41"/>
      <c r="B195" s="26" t="s">
        <v>174</v>
      </c>
      <c r="C195" s="26"/>
      <c r="D195" s="42"/>
      <c r="E195" s="28">
        <f t="shared" ref="E195:J195" si="44">SUM(E187:E194)</f>
        <v>0</v>
      </c>
      <c r="F195" s="28">
        <f t="shared" si="44"/>
        <v>0</v>
      </c>
      <c r="G195" s="28">
        <f t="shared" si="44"/>
        <v>0</v>
      </c>
      <c r="H195" s="28">
        <f t="shared" si="44"/>
        <v>0</v>
      </c>
      <c r="I195" s="28">
        <f t="shared" si="44"/>
        <v>0</v>
      </c>
      <c r="J195" s="28">
        <f t="shared" si="44"/>
        <v>0</v>
      </c>
      <c r="K195" s="56"/>
    </row>
    <row r="196" spans="1:11" s="19" customFormat="1" ht="49.15" customHeight="1" x14ac:dyDescent="0.3">
      <c r="A196" s="41">
        <v>6</v>
      </c>
      <c r="B196" s="14" t="s">
        <v>175</v>
      </c>
      <c r="C196" s="14" t="s">
        <v>150</v>
      </c>
      <c r="D196" s="14" t="s">
        <v>176</v>
      </c>
      <c r="E196" s="16"/>
      <c r="F196" s="16">
        <f>E196*0.2</f>
        <v>0</v>
      </c>
      <c r="G196" s="16">
        <f>F196*0.9</f>
        <v>0</v>
      </c>
      <c r="H196" s="16">
        <f>F196*0.1</f>
        <v>0</v>
      </c>
      <c r="I196" s="16"/>
      <c r="J196" s="16">
        <f>I196*0.2</f>
        <v>0</v>
      </c>
      <c r="K196" s="48"/>
    </row>
    <row r="197" spans="1:11" s="19" customFormat="1" ht="18" x14ac:dyDescent="0.3">
      <c r="A197" s="41"/>
      <c r="B197" s="26" t="s">
        <v>122</v>
      </c>
      <c r="C197" s="7"/>
      <c r="D197" s="7"/>
      <c r="E197" s="33">
        <f t="shared" ref="E197:J197" si="45">SUM(E196:E196)</f>
        <v>0</v>
      </c>
      <c r="F197" s="28">
        <f t="shared" si="45"/>
        <v>0</v>
      </c>
      <c r="G197" s="28">
        <f>SUM(G196:G196)</f>
        <v>0</v>
      </c>
      <c r="H197" s="28">
        <f t="shared" si="45"/>
        <v>0</v>
      </c>
      <c r="I197" s="33">
        <f t="shared" si="45"/>
        <v>0</v>
      </c>
      <c r="J197" s="28">
        <f t="shared" si="45"/>
        <v>0</v>
      </c>
      <c r="K197" s="18"/>
    </row>
    <row r="198" spans="1:11" s="19" customFormat="1" ht="18" x14ac:dyDescent="0.3">
      <c r="A198" s="41">
        <v>7</v>
      </c>
      <c r="B198" s="258" t="s">
        <v>177</v>
      </c>
      <c r="C198" s="258"/>
      <c r="D198" s="258"/>
      <c r="E198" s="30"/>
      <c r="F198" s="16"/>
      <c r="G198" s="16"/>
      <c r="H198" s="16"/>
      <c r="I198" s="30"/>
      <c r="J198" s="16"/>
      <c r="K198" s="18"/>
    </row>
    <row r="199" spans="1:11" s="19" customFormat="1" ht="18" customHeight="1" x14ac:dyDescent="0.3">
      <c r="A199" s="41"/>
      <c r="B199" s="258" t="s">
        <v>178</v>
      </c>
      <c r="C199" s="258"/>
      <c r="D199" s="258"/>
      <c r="E199" s="30"/>
      <c r="F199" s="30"/>
      <c r="G199" s="30"/>
      <c r="H199" s="30"/>
      <c r="I199" s="30"/>
      <c r="J199" s="30"/>
      <c r="K199" s="18"/>
    </row>
    <row r="200" spans="1:11" s="19" customFormat="1" ht="38.5" customHeight="1" x14ac:dyDescent="0.3">
      <c r="A200" s="41"/>
      <c r="B200" s="258" t="s">
        <v>179</v>
      </c>
      <c r="C200" s="258"/>
      <c r="D200" s="258"/>
      <c r="E200" s="30"/>
      <c r="F200" s="30"/>
      <c r="G200" s="30"/>
      <c r="H200" s="30"/>
      <c r="I200" s="30"/>
      <c r="J200" s="30"/>
      <c r="K200" s="59"/>
    </row>
    <row r="201" spans="1:11" s="19" customFormat="1" ht="38.5" customHeight="1" x14ac:dyDescent="0.3">
      <c r="A201" s="41"/>
      <c r="B201" s="258" t="s">
        <v>180</v>
      </c>
      <c r="C201" s="258"/>
      <c r="D201" s="258"/>
      <c r="E201" s="30"/>
      <c r="F201" s="30"/>
      <c r="G201" s="30"/>
      <c r="H201" s="30"/>
      <c r="I201" s="30"/>
      <c r="J201" s="30"/>
      <c r="K201" s="59"/>
    </row>
    <row r="202" spans="1:11" s="19" customFormat="1" ht="31" x14ac:dyDescent="0.3">
      <c r="A202" s="41"/>
      <c r="B202" s="14" t="s">
        <v>181</v>
      </c>
      <c r="C202" s="14" t="s">
        <v>182</v>
      </c>
      <c r="D202" s="14" t="s">
        <v>183</v>
      </c>
      <c r="E202" s="15"/>
      <c r="F202" s="30">
        <f>E202*20</f>
        <v>0</v>
      </c>
      <c r="G202" s="16">
        <f>F202*0.9</f>
        <v>0</v>
      </c>
      <c r="H202" s="16">
        <f>F202*0.1</f>
        <v>0</v>
      </c>
      <c r="I202" s="15"/>
      <c r="J202" s="30">
        <f>I202*20</f>
        <v>0</v>
      </c>
      <c r="K202" s="60"/>
    </row>
    <row r="203" spans="1:11" s="19" customFormat="1" ht="31" x14ac:dyDescent="0.3">
      <c r="A203" s="41"/>
      <c r="B203" s="14" t="s">
        <v>184</v>
      </c>
      <c r="C203" s="22" t="s">
        <v>185</v>
      </c>
      <c r="D203" s="14" t="s">
        <v>183</v>
      </c>
      <c r="E203" s="15"/>
      <c r="F203" s="16">
        <f>E203*25</f>
        <v>0</v>
      </c>
      <c r="G203" s="16">
        <f>F203*0.9</f>
        <v>0</v>
      </c>
      <c r="H203" s="16">
        <f>F203*0.1</f>
        <v>0</v>
      </c>
      <c r="I203" s="15"/>
      <c r="J203" s="16">
        <f>I203*25</f>
        <v>0</v>
      </c>
      <c r="K203" s="48"/>
    </row>
    <row r="204" spans="1:11" s="19" customFormat="1" ht="37.9" customHeight="1" x14ac:dyDescent="0.3">
      <c r="A204" s="41"/>
      <c r="B204" s="258" t="s">
        <v>186</v>
      </c>
      <c r="C204" s="258"/>
      <c r="D204" s="258"/>
      <c r="E204" s="15"/>
      <c r="F204" s="16"/>
      <c r="G204" s="16"/>
      <c r="H204" s="16"/>
      <c r="I204" s="15"/>
      <c r="J204" s="16"/>
      <c r="K204" s="48"/>
    </row>
    <row r="205" spans="1:11" s="19" customFormat="1" ht="36.65" customHeight="1" x14ac:dyDescent="0.3">
      <c r="A205" s="41"/>
      <c r="B205" s="14" t="s">
        <v>181</v>
      </c>
      <c r="C205" s="22" t="s">
        <v>187</v>
      </c>
      <c r="D205" s="14" t="s">
        <v>540</v>
      </c>
      <c r="E205" s="15"/>
      <c r="F205" s="30">
        <f>E205*1.5*0.5</f>
        <v>0</v>
      </c>
      <c r="G205" s="16">
        <f>F205*0.9</f>
        <v>0</v>
      </c>
      <c r="H205" s="16">
        <f>F205*0.1</f>
        <v>0</v>
      </c>
      <c r="I205" s="15"/>
      <c r="J205" s="30">
        <f>I205*1.5*0.5</f>
        <v>0</v>
      </c>
      <c r="K205" s="48"/>
    </row>
    <row r="206" spans="1:11" s="19" customFormat="1" ht="35.5" customHeight="1" x14ac:dyDescent="0.3">
      <c r="A206" s="41"/>
      <c r="B206" s="14" t="s">
        <v>184</v>
      </c>
      <c r="C206" s="22" t="s">
        <v>188</v>
      </c>
      <c r="D206" s="14" t="s">
        <v>540</v>
      </c>
      <c r="E206" s="15"/>
      <c r="F206" s="16">
        <f>E206*1.8*0.5</f>
        <v>0</v>
      </c>
      <c r="G206" s="16">
        <f>F206*0.9</f>
        <v>0</v>
      </c>
      <c r="H206" s="16">
        <f>F206*0.1</f>
        <v>0</v>
      </c>
      <c r="I206" s="15"/>
      <c r="J206" s="16">
        <f>I206*1.8*0.5</f>
        <v>0</v>
      </c>
      <c r="K206" s="48"/>
    </row>
    <row r="207" spans="1:11" s="19" customFormat="1" ht="18" x14ac:dyDescent="0.3">
      <c r="A207" s="41"/>
      <c r="B207" s="26" t="s">
        <v>122</v>
      </c>
      <c r="C207" s="7"/>
      <c r="D207" s="7"/>
      <c r="E207" s="33">
        <f t="shared" ref="E207:J207" si="46">SUM(E202:E206)</f>
        <v>0</v>
      </c>
      <c r="F207" s="28">
        <f t="shared" si="46"/>
        <v>0</v>
      </c>
      <c r="G207" s="28">
        <f t="shared" si="46"/>
        <v>0</v>
      </c>
      <c r="H207" s="28">
        <f t="shared" si="46"/>
        <v>0</v>
      </c>
      <c r="I207" s="33">
        <f t="shared" si="46"/>
        <v>0</v>
      </c>
      <c r="J207" s="28">
        <f t="shared" si="46"/>
        <v>0</v>
      </c>
      <c r="K207" s="61"/>
    </row>
    <row r="208" spans="1:11" s="19" customFormat="1" ht="18" x14ac:dyDescent="0.3">
      <c r="A208" s="8">
        <v>8</v>
      </c>
      <c r="B208" s="259" t="s">
        <v>189</v>
      </c>
      <c r="C208" s="259"/>
      <c r="D208" s="259"/>
      <c r="E208" s="61"/>
      <c r="F208" s="16"/>
      <c r="G208" s="16"/>
      <c r="H208" s="16"/>
      <c r="I208" s="61"/>
      <c r="J208" s="16"/>
      <c r="K208" s="18"/>
    </row>
    <row r="209" spans="1:11" s="19" customFormat="1" ht="18" x14ac:dyDescent="0.3">
      <c r="A209" s="7"/>
      <c r="B209" s="258" t="s">
        <v>190</v>
      </c>
      <c r="C209" s="258"/>
      <c r="D209" s="258"/>
      <c r="E209" s="30"/>
      <c r="F209" s="16"/>
      <c r="G209" s="16"/>
      <c r="H209" s="16"/>
      <c r="I209" s="30"/>
      <c r="J209" s="16"/>
      <c r="K209" s="18"/>
    </row>
    <row r="210" spans="1:11" s="19" customFormat="1" ht="39" customHeight="1" x14ac:dyDescent="0.3">
      <c r="A210" s="7"/>
      <c r="B210" s="14" t="s">
        <v>191</v>
      </c>
      <c r="C210" s="35" t="s">
        <v>192</v>
      </c>
      <c r="D210" s="14" t="s">
        <v>193</v>
      </c>
      <c r="E210" s="16"/>
      <c r="F210" s="16">
        <f>E210*165*0.5</f>
        <v>0</v>
      </c>
      <c r="G210" s="16">
        <f t="shared" ref="G210:G217" si="47">F210*0.9</f>
        <v>0</v>
      </c>
      <c r="H210" s="16">
        <f t="shared" ref="H210:H217" si="48">F210*0.1</f>
        <v>0</v>
      </c>
      <c r="I210" s="16"/>
      <c r="J210" s="16">
        <f>I210*165*0.5</f>
        <v>0</v>
      </c>
      <c r="K210" s="20"/>
    </row>
    <row r="211" spans="1:11" s="19" customFormat="1" ht="39" customHeight="1" x14ac:dyDescent="0.3">
      <c r="A211" s="7"/>
      <c r="B211" s="14" t="s">
        <v>184</v>
      </c>
      <c r="C211" s="35" t="s">
        <v>541</v>
      </c>
      <c r="D211" s="14" t="s">
        <v>25</v>
      </c>
      <c r="E211" s="16"/>
      <c r="F211" s="16">
        <f>E211*189.75*0.5</f>
        <v>0</v>
      </c>
      <c r="G211" s="16">
        <f t="shared" si="47"/>
        <v>0</v>
      </c>
      <c r="H211" s="16">
        <f t="shared" si="48"/>
        <v>0</v>
      </c>
      <c r="I211" s="16"/>
      <c r="J211" s="16"/>
      <c r="K211" s="20"/>
    </row>
    <row r="212" spans="1:11" s="19" customFormat="1" ht="32.5" customHeight="1" x14ac:dyDescent="0.3">
      <c r="A212" s="7"/>
      <c r="B212" s="14" t="s">
        <v>191</v>
      </c>
      <c r="C212" s="22" t="s">
        <v>194</v>
      </c>
      <c r="D212" s="14" t="s">
        <v>193</v>
      </c>
      <c r="E212" s="16"/>
      <c r="F212" s="16">
        <f>E212*146.5*0.5</f>
        <v>0</v>
      </c>
      <c r="G212" s="16">
        <f t="shared" si="47"/>
        <v>0</v>
      </c>
      <c r="H212" s="16">
        <f t="shared" si="48"/>
        <v>0</v>
      </c>
      <c r="I212" s="16"/>
      <c r="J212" s="16">
        <f>I212*146.5*0.5</f>
        <v>0</v>
      </c>
      <c r="K212" s="20"/>
    </row>
    <row r="213" spans="1:11" s="19" customFormat="1" ht="39" customHeight="1" x14ac:dyDescent="0.3">
      <c r="A213" s="7"/>
      <c r="B213" s="14" t="s">
        <v>184</v>
      </c>
      <c r="C213" s="22" t="s">
        <v>542</v>
      </c>
      <c r="D213" s="14" t="s">
        <v>25</v>
      </c>
      <c r="E213" s="16"/>
      <c r="F213" s="16">
        <f>E213*168.475*0.5</f>
        <v>0</v>
      </c>
      <c r="G213" s="16">
        <f t="shared" si="47"/>
        <v>0</v>
      </c>
      <c r="H213" s="16">
        <f t="shared" si="48"/>
        <v>0</v>
      </c>
      <c r="I213" s="16"/>
      <c r="J213" s="16"/>
      <c r="K213" s="20"/>
    </row>
    <row r="214" spans="1:11" s="19" customFormat="1" ht="34.15" customHeight="1" x14ac:dyDescent="0.3">
      <c r="A214" s="7"/>
      <c r="B214" s="14" t="s">
        <v>191</v>
      </c>
      <c r="C214" s="22" t="s">
        <v>195</v>
      </c>
      <c r="D214" s="14" t="s">
        <v>193</v>
      </c>
      <c r="E214" s="16"/>
      <c r="F214" s="16">
        <f>E214*142*0.5</f>
        <v>0</v>
      </c>
      <c r="G214" s="16">
        <f t="shared" si="47"/>
        <v>0</v>
      </c>
      <c r="H214" s="16">
        <f t="shared" si="48"/>
        <v>0</v>
      </c>
      <c r="I214" s="16"/>
      <c r="J214" s="16">
        <f>I214*142*0.5</f>
        <v>0</v>
      </c>
      <c r="K214" s="20"/>
    </row>
    <row r="215" spans="1:11" s="19" customFormat="1" ht="39" customHeight="1" x14ac:dyDescent="0.3">
      <c r="A215" s="7"/>
      <c r="B215" s="14" t="s">
        <v>184</v>
      </c>
      <c r="C215" s="22" t="s">
        <v>543</v>
      </c>
      <c r="D215" s="14" t="s">
        <v>25</v>
      </c>
      <c r="E215" s="16"/>
      <c r="F215" s="16">
        <f>E215*163.3*0.5</f>
        <v>0</v>
      </c>
      <c r="G215" s="16">
        <f t="shared" si="47"/>
        <v>0</v>
      </c>
      <c r="H215" s="16">
        <f t="shared" si="48"/>
        <v>0</v>
      </c>
      <c r="I215" s="16"/>
      <c r="J215" s="16"/>
      <c r="K215" s="20"/>
    </row>
    <row r="216" spans="1:11" s="19" customFormat="1" ht="31.9" customHeight="1" x14ac:dyDescent="0.3">
      <c r="A216" s="7"/>
      <c r="B216" s="14" t="s">
        <v>191</v>
      </c>
      <c r="C216" s="22" t="s">
        <v>196</v>
      </c>
      <c r="D216" s="14" t="s">
        <v>193</v>
      </c>
      <c r="E216" s="16"/>
      <c r="F216" s="16">
        <f>E216*140*0.5</f>
        <v>0</v>
      </c>
      <c r="G216" s="16">
        <f t="shared" si="47"/>
        <v>0</v>
      </c>
      <c r="H216" s="16">
        <f t="shared" si="48"/>
        <v>0</v>
      </c>
      <c r="I216" s="16"/>
      <c r="J216" s="16">
        <f>I216*140*0.5</f>
        <v>0</v>
      </c>
      <c r="K216" s="20"/>
    </row>
    <row r="217" spans="1:11" s="19" customFormat="1" ht="39" customHeight="1" x14ac:dyDescent="0.3">
      <c r="A217" s="7"/>
      <c r="B217" s="14" t="s">
        <v>184</v>
      </c>
      <c r="C217" s="22" t="s">
        <v>544</v>
      </c>
      <c r="D217" s="14" t="s">
        <v>25</v>
      </c>
      <c r="E217" s="16"/>
      <c r="F217" s="16">
        <f>E217*161*0.5</f>
        <v>0</v>
      </c>
      <c r="G217" s="16">
        <f t="shared" si="47"/>
        <v>0</v>
      </c>
      <c r="H217" s="16">
        <f t="shared" si="48"/>
        <v>0</v>
      </c>
      <c r="I217" s="16"/>
      <c r="J217" s="16"/>
      <c r="K217" s="20"/>
    </row>
    <row r="218" spans="1:11" s="19" customFormat="1" ht="18" x14ac:dyDescent="0.3">
      <c r="A218" s="7"/>
      <c r="B218" s="258" t="s">
        <v>197</v>
      </c>
      <c r="C218" s="258"/>
      <c r="D218" s="258"/>
      <c r="E218" s="16"/>
      <c r="F218" s="16"/>
      <c r="G218" s="16"/>
      <c r="H218" s="16"/>
      <c r="I218" s="16"/>
      <c r="J218" s="16"/>
      <c r="K218" s="20"/>
    </row>
    <row r="219" spans="1:11" s="19" customFormat="1" ht="31" x14ac:dyDescent="0.3">
      <c r="A219" s="7"/>
      <c r="B219" s="14" t="s">
        <v>198</v>
      </c>
      <c r="C219" s="13" t="s">
        <v>199</v>
      </c>
      <c r="D219" s="14" t="s">
        <v>200</v>
      </c>
      <c r="E219" s="16"/>
      <c r="F219" s="16">
        <f>E219*106*0.5</f>
        <v>0</v>
      </c>
      <c r="G219" s="16">
        <f t="shared" ref="G219:G248" si="49">F219*0.9</f>
        <v>0</v>
      </c>
      <c r="H219" s="16">
        <f t="shared" ref="H219:H248" si="50">F219*0.1</f>
        <v>0</v>
      </c>
      <c r="I219" s="16"/>
      <c r="J219" s="16">
        <f>I219*106*0.5</f>
        <v>0</v>
      </c>
      <c r="K219" s="62"/>
    </row>
    <row r="220" spans="1:11" s="19" customFormat="1" x14ac:dyDescent="0.3">
      <c r="A220" s="7"/>
      <c r="B220" s="14" t="s">
        <v>184</v>
      </c>
      <c r="C220" s="13" t="s">
        <v>545</v>
      </c>
      <c r="D220" s="11" t="s">
        <v>25</v>
      </c>
      <c r="E220" s="16"/>
      <c r="F220" s="16">
        <f>E220*121.9*0.5</f>
        <v>0</v>
      </c>
      <c r="G220" s="16">
        <f t="shared" si="49"/>
        <v>0</v>
      </c>
      <c r="H220" s="16">
        <f t="shared" si="50"/>
        <v>0</v>
      </c>
      <c r="I220" s="16"/>
      <c r="J220" s="16"/>
      <c r="K220" s="20"/>
    </row>
    <row r="221" spans="1:11" s="19" customFormat="1" ht="31" x14ac:dyDescent="0.3">
      <c r="A221" s="7"/>
      <c r="B221" s="14" t="s">
        <v>198</v>
      </c>
      <c r="C221" s="14" t="s">
        <v>201</v>
      </c>
      <c r="D221" s="14" t="s">
        <v>200</v>
      </c>
      <c r="E221" s="16"/>
      <c r="F221" s="16">
        <f>E221*93.5*0.5</f>
        <v>0</v>
      </c>
      <c r="G221" s="16">
        <f t="shared" si="49"/>
        <v>0</v>
      </c>
      <c r="H221" s="16">
        <f t="shared" si="50"/>
        <v>0</v>
      </c>
      <c r="I221" s="16"/>
      <c r="J221" s="16">
        <f>I221*93.5*0.5</f>
        <v>0</v>
      </c>
      <c r="K221" s="20"/>
    </row>
    <row r="222" spans="1:11" s="19" customFormat="1" ht="31" x14ac:dyDescent="0.3">
      <c r="A222" s="7"/>
      <c r="B222" s="14" t="s">
        <v>184</v>
      </c>
      <c r="C222" s="14" t="s">
        <v>546</v>
      </c>
      <c r="D222" s="11" t="s">
        <v>25</v>
      </c>
      <c r="E222" s="16"/>
      <c r="F222" s="16">
        <f>E222*107.525*0.5</f>
        <v>0</v>
      </c>
      <c r="G222" s="16">
        <f>F222*0.9</f>
        <v>0</v>
      </c>
      <c r="H222" s="16">
        <f>F222*0.1</f>
        <v>0</v>
      </c>
      <c r="I222" s="16"/>
      <c r="J222" s="16"/>
      <c r="K222" s="20"/>
    </row>
    <row r="223" spans="1:11" s="19" customFormat="1" ht="31" x14ac:dyDescent="0.3">
      <c r="A223" s="7"/>
      <c r="B223" s="14" t="s">
        <v>198</v>
      </c>
      <c r="C223" s="24" t="s">
        <v>202</v>
      </c>
      <c r="D223" s="14" t="s">
        <v>200</v>
      </c>
      <c r="E223" s="63"/>
      <c r="F223" s="63">
        <f>E223*89*0.5</f>
        <v>0</v>
      </c>
      <c r="G223" s="16">
        <f t="shared" si="49"/>
        <v>0</v>
      </c>
      <c r="H223" s="16">
        <f t="shared" si="50"/>
        <v>0</v>
      </c>
      <c r="I223" s="63"/>
      <c r="J223" s="63">
        <f>I223*89*0.5</f>
        <v>0</v>
      </c>
      <c r="K223" s="20"/>
    </row>
    <row r="224" spans="1:11" s="19" customFormat="1" ht="46.5" x14ac:dyDescent="0.3">
      <c r="A224" s="7"/>
      <c r="B224" s="14" t="s">
        <v>184</v>
      </c>
      <c r="C224" s="24" t="s">
        <v>547</v>
      </c>
      <c r="D224" s="11" t="s">
        <v>25</v>
      </c>
      <c r="E224" s="63"/>
      <c r="F224" s="63">
        <f>E224*102.35*0.5</f>
        <v>0</v>
      </c>
      <c r="G224" s="16">
        <f>F224*0.9</f>
        <v>0</v>
      </c>
      <c r="H224" s="16">
        <f>F224*0.1</f>
        <v>0</v>
      </c>
      <c r="I224" s="63"/>
      <c r="J224" s="63"/>
      <c r="K224" s="20"/>
    </row>
    <row r="225" spans="1:11" s="19" customFormat="1" ht="35.5" customHeight="1" x14ac:dyDescent="0.3">
      <c r="A225" s="7"/>
      <c r="B225" s="14" t="s">
        <v>198</v>
      </c>
      <c r="C225" s="14" t="s">
        <v>203</v>
      </c>
      <c r="D225" s="14" t="s">
        <v>200</v>
      </c>
      <c r="E225" s="16"/>
      <c r="F225" s="16">
        <f>E225*84.4*0.5</f>
        <v>0</v>
      </c>
      <c r="G225" s="16">
        <f t="shared" si="49"/>
        <v>0</v>
      </c>
      <c r="H225" s="16">
        <f t="shared" si="50"/>
        <v>0</v>
      </c>
      <c r="I225" s="16"/>
      <c r="J225" s="16">
        <f>I225*84.4*0.5</f>
        <v>0</v>
      </c>
      <c r="K225" s="20"/>
    </row>
    <row r="226" spans="1:11" s="19" customFormat="1" ht="35.5" customHeight="1" x14ac:dyDescent="0.3">
      <c r="A226" s="7"/>
      <c r="B226" s="14" t="s">
        <v>184</v>
      </c>
      <c r="C226" s="14" t="s">
        <v>548</v>
      </c>
      <c r="D226" s="11" t="s">
        <v>25</v>
      </c>
      <c r="E226" s="16"/>
      <c r="F226" s="63">
        <f>E226*97.06*0.5</f>
        <v>0</v>
      </c>
      <c r="G226" s="16">
        <f t="shared" si="49"/>
        <v>0</v>
      </c>
      <c r="H226" s="16">
        <f t="shared" si="50"/>
        <v>0</v>
      </c>
      <c r="I226" s="16"/>
      <c r="J226" s="16"/>
      <c r="K226" s="20"/>
    </row>
    <row r="227" spans="1:11" s="19" customFormat="1" ht="46.5" x14ac:dyDescent="0.3">
      <c r="A227" s="7"/>
      <c r="B227" s="22" t="s">
        <v>204</v>
      </c>
      <c r="C227" s="13" t="s">
        <v>205</v>
      </c>
      <c r="D227" s="22" t="s">
        <v>206</v>
      </c>
      <c r="E227" s="16"/>
      <c r="F227" s="16">
        <f>E227*54*0.5</f>
        <v>0</v>
      </c>
      <c r="G227" s="16">
        <f t="shared" si="49"/>
        <v>0</v>
      </c>
      <c r="H227" s="16">
        <f t="shared" si="50"/>
        <v>0</v>
      </c>
      <c r="I227" s="16"/>
      <c r="J227" s="16">
        <f>I227*54*0.5</f>
        <v>0</v>
      </c>
      <c r="K227" s="20"/>
    </row>
    <row r="228" spans="1:11" s="19" customFormat="1" ht="46.5" x14ac:dyDescent="0.3">
      <c r="A228" s="7"/>
      <c r="B228" s="22" t="s">
        <v>204</v>
      </c>
      <c r="C228" s="14" t="s">
        <v>207</v>
      </c>
      <c r="D228" s="22" t="s">
        <v>206</v>
      </c>
      <c r="E228" s="16"/>
      <c r="F228" s="16">
        <f>E228*62.1*0.5</f>
        <v>0</v>
      </c>
      <c r="G228" s="16">
        <f t="shared" si="49"/>
        <v>0</v>
      </c>
      <c r="H228" s="16">
        <f t="shared" si="50"/>
        <v>0</v>
      </c>
      <c r="I228" s="16"/>
      <c r="J228" s="16">
        <f>I228*62.1*0.5</f>
        <v>0</v>
      </c>
      <c r="K228" s="20"/>
    </row>
    <row r="229" spans="1:11" s="19" customFormat="1" ht="46.5" x14ac:dyDescent="0.3">
      <c r="A229" s="7"/>
      <c r="B229" s="13" t="s">
        <v>208</v>
      </c>
      <c r="C229" s="14" t="s">
        <v>209</v>
      </c>
      <c r="D229" s="14" t="s">
        <v>210</v>
      </c>
      <c r="E229" s="16"/>
      <c r="F229" s="16">
        <f>E229*45*0.5</f>
        <v>0</v>
      </c>
      <c r="G229" s="16">
        <f t="shared" si="49"/>
        <v>0</v>
      </c>
      <c r="H229" s="16">
        <f t="shared" si="50"/>
        <v>0</v>
      </c>
      <c r="I229" s="16"/>
      <c r="J229" s="16">
        <f>I229*45*0.5</f>
        <v>0</v>
      </c>
      <c r="K229" s="20"/>
    </row>
    <row r="230" spans="1:11" s="19" customFormat="1" ht="46.5" x14ac:dyDescent="0.3">
      <c r="A230" s="7"/>
      <c r="B230" s="13" t="s">
        <v>208</v>
      </c>
      <c r="C230" s="14" t="s">
        <v>211</v>
      </c>
      <c r="D230" s="14" t="s">
        <v>210</v>
      </c>
      <c r="E230" s="16"/>
      <c r="F230" s="16">
        <f>E230*51.8*0.5</f>
        <v>0</v>
      </c>
      <c r="G230" s="16">
        <f t="shared" si="49"/>
        <v>0</v>
      </c>
      <c r="H230" s="16">
        <f t="shared" si="50"/>
        <v>0</v>
      </c>
      <c r="I230" s="16"/>
      <c r="J230" s="16">
        <f>I230*51.8*0.5</f>
        <v>0</v>
      </c>
      <c r="K230" s="20"/>
    </row>
    <row r="231" spans="1:11" s="19" customFormat="1" ht="18" x14ac:dyDescent="0.3">
      <c r="A231" s="7"/>
      <c r="B231" s="258" t="s">
        <v>212</v>
      </c>
      <c r="C231" s="258"/>
      <c r="D231" s="258"/>
      <c r="E231" s="16"/>
      <c r="F231" s="16"/>
      <c r="G231" s="16">
        <f t="shared" si="49"/>
        <v>0</v>
      </c>
      <c r="H231" s="16">
        <f t="shared" si="50"/>
        <v>0</v>
      </c>
      <c r="I231" s="15"/>
      <c r="J231" s="16"/>
      <c r="K231" s="20"/>
    </row>
    <row r="232" spans="1:11" s="19" customFormat="1" ht="31" x14ac:dyDescent="0.3">
      <c r="A232" s="7"/>
      <c r="B232" s="14" t="s">
        <v>213</v>
      </c>
      <c r="C232" s="13" t="s">
        <v>214</v>
      </c>
      <c r="D232" s="14" t="s">
        <v>215</v>
      </c>
      <c r="E232" s="16"/>
      <c r="F232" s="16">
        <f>E232*0.32*0.5</f>
        <v>0</v>
      </c>
      <c r="G232" s="16">
        <f t="shared" si="49"/>
        <v>0</v>
      </c>
      <c r="H232" s="16">
        <f t="shared" si="50"/>
        <v>0</v>
      </c>
      <c r="I232" s="15"/>
      <c r="J232" s="16">
        <f>I232*0.32*0.5</f>
        <v>0</v>
      </c>
      <c r="K232" s="45"/>
    </row>
    <row r="233" spans="1:11" s="19" customFormat="1" ht="31" x14ac:dyDescent="0.3">
      <c r="A233" s="7"/>
      <c r="B233" s="14" t="s">
        <v>213</v>
      </c>
      <c r="C233" s="14" t="s">
        <v>216</v>
      </c>
      <c r="D233" s="14" t="s">
        <v>215</v>
      </c>
      <c r="E233" s="16"/>
      <c r="F233" s="16">
        <f>E233*0.368*0.5</f>
        <v>0</v>
      </c>
      <c r="G233" s="16">
        <f t="shared" si="49"/>
        <v>0</v>
      </c>
      <c r="H233" s="16">
        <f t="shared" si="50"/>
        <v>0</v>
      </c>
      <c r="I233" s="30"/>
      <c r="J233" s="16">
        <f>I233*0.368*0.5</f>
        <v>0</v>
      </c>
      <c r="K233" s="45"/>
    </row>
    <row r="234" spans="1:11" s="19" customFormat="1" ht="18" x14ac:dyDescent="0.3">
      <c r="A234" s="7"/>
      <c r="B234" s="258" t="s">
        <v>217</v>
      </c>
      <c r="C234" s="258"/>
      <c r="D234" s="258"/>
      <c r="E234" s="16"/>
      <c r="F234" s="16"/>
      <c r="G234" s="16">
        <f t="shared" si="49"/>
        <v>0</v>
      </c>
      <c r="H234" s="16">
        <f t="shared" si="50"/>
        <v>0</v>
      </c>
      <c r="I234" s="15"/>
      <c r="J234" s="16"/>
      <c r="K234" s="18"/>
    </row>
    <row r="235" spans="1:11" s="19" customFormat="1" ht="31" x14ac:dyDescent="0.3">
      <c r="A235" s="7"/>
      <c r="B235" s="14" t="s">
        <v>218</v>
      </c>
      <c r="C235" s="14" t="s">
        <v>219</v>
      </c>
      <c r="D235" s="14" t="s">
        <v>220</v>
      </c>
      <c r="E235" s="16"/>
      <c r="F235" s="16">
        <f>E235*71*0.5</f>
        <v>0</v>
      </c>
      <c r="G235" s="16">
        <f t="shared" si="49"/>
        <v>0</v>
      </c>
      <c r="H235" s="16">
        <f t="shared" si="50"/>
        <v>0</v>
      </c>
      <c r="I235" s="16"/>
      <c r="J235" s="16">
        <f>I235*71*0.5</f>
        <v>0</v>
      </c>
      <c r="K235" s="20"/>
    </row>
    <row r="236" spans="1:11" s="19" customFormat="1" ht="31" x14ac:dyDescent="0.3">
      <c r="A236" s="7"/>
      <c r="B236" s="14" t="s">
        <v>221</v>
      </c>
      <c r="C236" s="14" t="s">
        <v>222</v>
      </c>
      <c r="D236" s="14" t="s">
        <v>220</v>
      </c>
      <c r="E236" s="16"/>
      <c r="F236" s="16">
        <f>E236*81.6*0.5</f>
        <v>0</v>
      </c>
      <c r="G236" s="16">
        <f t="shared" si="49"/>
        <v>0</v>
      </c>
      <c r="H236" s="16">
        <f t="shared" si="50"/>
        <v>0</v>
      </c>
      <c r="I236" s="16"/>
      <c r="J236" s="16"/>
      <c r="K236" s="20"/>
    </row>
    <row r="237" spans="1:11" s="19" customFormat="1" ht="46.5" x14ac:dyDescent="0.3">
      <c r="A237" s="7"/>
      <c r="B237" s="22" t="s">
        <v>204</v>
      </c>
      <c r="C237" s="14" t="s">
        <v>223</v>
      </c>
      <c r="D237" s="14" t="s">
        <v>224</v>
      </c>
      <c r="E237" s="16"/>
      <c r="F237" s="16">
        <f>E237*49.2*0.5</f>
        <v>0</v>
      </c>
      <c r="G237" s="16">
        <f t="shared" si="49"/>
        <v>0</v>
      </c>
      <c r="H237" s="16">
        <f t="shared" si="50"/>
        <v>0</v>
      </c>
      <c r="I237" s="16"/>
      <c r="J237" s="16">
        <f>I237*49.2*0.5</f>
        <v>0</v>
      </c>
      <c r="K237" s="20"/>
    </row>
    <row r="238" spans="1:11" s="19" customFormat="1" ht="46.5" x14ac:dyDescent="0.3">
      <c r="A238" s="7"/>
      <c r="B238" s="22" t="s">
        <v>204</v>
      </c>
      <c r="C238" s="14" t="s">
        <v>225</v>
      </c>
      <c r="D238" s="14" t="s">
        <v>224</v>
      </c>
      <c r="E238" s="16"/>
      <c r="F238" s="16">
        <f>E238*56.6*0.5</f>
        <v>0</v>
      </c>
      <c r="G238" s="16">
        <f t="shared" si="49"/>
        <v>0</v>
      </c>
      <c r="H238" s="16">
        <f t="shared" si="50"/>
        <v>0</v>
      </c>
      <c r="I238" s="16"/>
      <c r="J238" s="16">
        <f>I238*56.6*0.5</f>
        <v>0</v>
      </c>
      <c r="K238" s="20"/>
    </row>
    <row r="239" spans="1:11" s="19" customFormat="1" ht="46.5" x14ac:dyDescent="0.3">
      <c r="A239" s="7"/>
      <c r="B239" s="13" t="s">
        <v>208</v>
      </c>
      <c r="C239" s="14" t="s">
        <v>226</v>
      </c>
      <c r="D239" s="14" t="s">
        <v>227</v>
      </c>
      <c r="E239" s="16"/>
      <c r="F239" s="16">
        <f>E239*36*0.5</f>
        <v>0</v>
      </c>
      <c r="G239" s="16">
        <f t="shared" si="49"/>
        <v>0</v>
      </c>
      <c r="H239" s="16">
        <f t="shared" si="50"/>
        <v>0</v>
      </c>
      <c r="I239" s="16"/>
      <c r="J239" s="16">
        <f>I239*36*0.5</f>
        <v>0</v>
      </c>
      <c r="K239" s="20"/>
    </row>
    <row r="240" spans="1:11" s="19" customFormat="1" ht="46.5" x14ac:dyDescent="0.3">
      <c r="A240" s="7"/>
      <c r="B240" s="13" t="s">
        <v>208</v>
      </c>
      <c r="C240" s="14" t="s">
        <v>228</v>
      </c>
      <c r="D240" s="14" t="s">
        <v>227</v>
      </c>
      <c r="E240" s="16"/>
      <c r="F240" s="16">
        <f>E240*41.4*0.5</f>
        <v>0</v>
      </c>
      <c r="G240" s="16">
        <f t="shared" si="49"/>
        <v>0</v>
      </c>
      <c r="H240" s="16">
        <f t="shared" si="50"/>
        <v>0</v>
      </c>
      <c r="I240" s="16"/>
      <c r="J240" s="16">
        <f>I240*41.4*0.5</f>
        <v>0</v>
      </c>
      <c r="K240" s="20"/>
    </row>
    <row r="241" spans="1:11" s="19" customFormat="1" ht="31" x14ac:dyDescent="0.3">
      <c r="A241" s="7"/>
      <c r="B241" s="14" t="s">
        <v>229</v>
      </c>
      <c r="C241" s="14" t="s">
        <v>230</v>
      </c>
      <c r="D241" s="14" t="s">
        <v>231</v>
      </c>
      <c r="E241" s="16"/>
      <c r="F241" s="16">
        <f>E241*6*0.5</f>
        <v>0</v>
      </c>
      <c r="G241" s="16">
        <f t="shared" si="49"/>
        <v>0</v>
      </c>
      <c r="H241" s="16">
        <f t="shared" si="50"/>
        <v>0</v>
      </c>
      <c r="I241" s="15"/>
      <c r="J241" s="16">
        <f>I241*6*0.5</f>
        <v>0</v>
      </c>
      <c r="K241" s="18"/>
    </row>
    <row r="242" spans="1:11" s="19" customFormat="1" ht="31" x14ac:dyDescent="0.3">
      <c r="A242" s="7"/>
      <c r="B242" s="14" t="s">
        <v>229</v>
      </c>
      <c r="C242" s="14" t="s">
        <v>232</v>
      </c>
      <c r="D242" s="14" t="s">
        <v>231</v>
      </c>
      <c r="E242" s="16"/>
      <c r="F242" s="16">
        <f>E242*7.5*0.5</f>
        <v>0</v>
      </c>
      <c r="G242" s="16">
        <f t="shared" si="49"/>
        <v>0</v>
      </c>
      <c r="H242" s="16">
        <f t="shared" si="50"/>
        <v>0</v>
      </c>
      <c r="I242" s="15"/>
      <c r="J242" s="16">
        <f>I242*7.5*0.5</f>
        <v>0</v>
      </c>
      <c r="K242" s="18"/>
    </row>
    <row r="243" spans="1:11" s="19" customFormat="1" ht="46.5" x14ac:dyDescent="0.3">
      <c r="A243" s="7"/>
      <c r="B243" s="13" t="s">
        <v>233</v>
      </c>
      <c r="C243" s="14" t="s">
        <v>234</v>
      </c>
      <c r="D243" s="14" t="s">
        <v>235</v>
      </c>
      <c r="E243" s="16"/>
      <c r="F243" s="16">
        <f>E243*60*0.5</f>
        <v>0</v>
      </c>
      <c r="G243" s="16">
        <f t="shared" si="49"/>
        <v>0</v>
      </c>
      <c r="H243" s="16">
        <f t="shared" si="50"/>
        <v>0</v>
      </c>
      <c r="I243" s="15"/>
      <c r="J243" s="16">
        <f>I243*60*0.5</f>
        <v>0</v>
      </c>
      <c r="K243" s="18"/>
    </row>
    <row r="244" spans="1:11" s="19" customFormat="1" ht="31" x14ac:dyDescent="0.3">
      <c r="A244" s="7"/>
      <c r="B244" s="26" t="s">
        <v>236</v>
      </c>
      <c r="C244" s="14" t="s">
        <v>237</v>
      </c>
      <c r="D244" s="14" t="s">
        <v>238</v>
      </c>
      <c r="E244" s="16"/>
      <c r="F244" s="16">
        <f>E244*3.5*0.5</f>
        <v>0</v>
      </c>
      <c r="G244" s="16">
        <f t="shared" si="49"/>
        <v>0</v>
      </c>
      <c r="H244" s="16">
        <f t="shared" si="50"/>
        <v>0</v>
      </c>
      <c r="I244" s="15"/>
      <c r="J244" s="16">
        <f>I244*3.5*0.5</f>
        <v>0</v>
      </c>
      <c r="K244" s="18"/>
    </row>
    <row r="245" spans="1:11" s="19" customFormat="1" ht="62" x14ac:dyDescent="0.3">
      <c r="A245" s="7"/>
      <c r="B245" s="14" t="s">
        <v>239</v>
      </c>
      <c r="C245" s="14" t="s">
        <v>240</v>
      </c>
      <c r="D245" s="14" t="s">
        <v>241</v>
      </c>
      <c r="E245" s="16"/>
      <c r="F245" s="16">
        <f>E245*14*0.5</f>
        <v>0</v>
      </c>
      <c r="G245" s="16">
        <f t="shared" si="49"/>
        <v>0</v>
      </c>
      <c r="H245" s="16">
        <f t="shared" si="50"/>
        <v>0</v>
      </c>
      <c r="I245" s="15"/>
      <c r="J245" s="16">
        <f>I245*14*0.5</f>
        <v>0</v>
      </c>
      <c r="K245" s="18"/>
    </row>
    <row r="246" spans="1:11" s="19" customFormat="1" ht="63" customHeight="1" x14ac:dyDescent="0.3">
      <c r="A246" s="7"/>
      <c r="B246" s="14" t="s">
        <v>242</v>
      </c>
      <c r="C246" s="14" t="s">
        <v>243</v>
      </c>
      <c r="D246" s="14" t="s">
        <v>244</v>
      </c>
      <c r="E246" s="16"/>
      <c r="F246" s="16">
        <f>E246*70*0.5</f>
        <v>0</v>
      </c>
      <c r="G246" s="16">
        <f t="shared" si="49"/>
        <v>0</v>
      </c>
      <c r="H246" s="16">
        <f t="shared" si="50"/>
        <v>0</v>
      </c>
      <c r="I246" s="16"/>
      <c r="J246" s="16">
        <f>I246*70*0.5</f>
        <v>0</v>
      </c>
      <c r="K246" s="18"/>
    </row>
    <row r="247" spans="1:11" s="19" customFormat="1" ht="62" x14ac:dyDescent="0.35">
      <c r="A247" s="7"/>
      <c r="B247" s="64" t="s">
        <v>245</v>
      </c>
      <c r="C247" s="14" t="s">
        <v>246</v>
      </c>
      <c r="D247" s="14" t="s">
        <v>244</v>
      </c>
      <c r="E247" s="16"/>
      <c r="F247" s="16">
        <f>E247*61*0.5</f>
        <v>0</v>
      </c>
      <c r="G247" s="16">
        <f t="shared" si="49"/>
        <v>0</v>
      </c>
      <c r="H247" s="16">
        <f t="shared" si="50"/>
        <v>0</v>
      </c>
      <c r="I247" s="16"/>
      <c r="J247" s="16">
        <f>I247*61*0.5</f>
        <v>0</v>
      </c>
      <c r="K247" s="18"/>
    </row>
    <row r="248" spans="1:11" s="19" customFormat="1" ht="62" x14ac:dyDescent="0.3">
      <c r="A248" s="7"/>
      <c r="B248" s="14" t="s">
        <v>247</v>
      </c>
      <c r="C248" s="14" t="s">
        <v>248</v>
      </c>
      <c r="D248" s="14" t="s">
        <v>244</v>
      </c>
      <c r="E248" s="16"/>
      <c r="F248" s="16">
        <f>E248*42.6*0.5</f>
        <v>0</v>
      </c>
      <c r="G248" s="16">
        <f t="shared" si="49"/>
        <v>0</v>
      </c>
      <c r="H248" s="16">
        <f t="shared" si="50"/>
        <v>0</v>
      </c>
      <c r="I248" s="16"/>
      <c r="J248" s="16">
        <f>I248*42.6*0.5</f>
        <v>0</v>
      </c>
      <c r="K248" s="18"/>
    </row>
    <row r="249" spans="1:11" s="19" customFormat="1" ht="18" x14ac:dyDescent="0.3">
      <c r="A249" s="7"/>
      <c r="B249" s="257" t="s">
        <v>249</v>
      </c>
      <c r="C249" s="257"/>
      <c r="D249" s="26"/>
      <c r="E249" s="28">
        <f t="shared" ref="E249:J249" si="51">SUM(E210:E248)</f>
        <v>0</v>
      </c>
      <c r="F249" s="28">
        <f t="shared" si="51"/>
        <v>0</v>
      </c>
      <c r="G249" s="28">
        <f t="shared" si="51"/>
        <v>0</v>
      </c>
      <c r="H249" s="28">
        <f t="shared" si="51"/>
        <v>0</v>
      </c>
      <c r="I249" s="28">
        <f t="shared" si="51"/>
        <v>0</v>
      </c>
      <c r="J249" s="28">
        <f t="shared" si="51"/>
        <v>0</v>
      </c>
      <c r="K249" s="18"/>
    </row>
    <row r="250" spans="1:11" s="19" customFormat="1" ht="17.5" customHeight="1" x14ac:dyDescent="0.3">
      <c r="A250" s="41">
        <v>9</v>
      </c>
      <c r="B250" s="258" t="s">
        <v>250</v>
      </c>
      <c r="C250" s="258"/>
      <c r="D250" s="258"/>
      <c r="E250" s="15"/>
      <c r="F250" s="16"/>
      <c r="G250" s="16"/>
      <c r="H250" s="16"/>
      <c r="I250" s="15"/>
      <c r="J250" s="16"/>
      <c r="K250" s="17"/>
    </row>
    <row r="251" spans="1:11" s="19" customFormat="1" ht="46.5" x14ac:dyDescent="0.35">
      <c r="A251" s="7"/>
      <c r="B251" s="14" t="s">
        <v>251</v>
      </c>
      <c r="C251" s="14" t="s">
        <v>252</v>
      </c>
      <c r="D251" s="64" t="s">
        <v>253</v>
      </c>
      <c r="E251" s="15"/>
      <c r="F251" s="16">
        <f>E251*0.012</f>
        <v>0</v>
      </c>
      <c r="G251" s="16">
        <f t="shared" ref="G251:G259" si="52">F251*0.9</f>
        <v>0</v>
      </c>
      <c r="H251" s="16">
        <f t="shared" ref="H251:H259" si="53">F251*0.1</f>
        <v>0</v>
      </c>
      <c r="I251" s="15"/>
      <c r="J251" s="16">
        <f>I251*0.012</f>
        <v>0</v>
      </c>
      <c r="K251" s="17"/>
    </row>
    <row r="252" spans="1:11" s="19" customFormat="1" ht="46.5" x14ac:dyDescent="0.35">
      <c r="A252" s="7"/>
      <c r="B252" s="14" t="s">
        <v>254</v>
      </c>
      <c r="C252" s="14" t="s">
        <v>252</v>
      </c>
      <c r="D252" s="64" t="s">
        <v>253</v>
      </c>
      <c r="E252" s="15"/>
      <c r="F252" s="16">
        <f>E252*0.012</f>
        <v>0</v>
      </c>
      <c r="G252" s="16">
        <f t="shared" si="52"/>
        <v>0</v>
      </c>
      <c r="H252" s="16">
        <f t="shared" si="53"/>
        <v>0</v>
      </c>
      <c r="I252" s="15"/>
      <c r="J252" s="16">
        <f>I252*0.012</f>
        <v>0</v>
      </c>
      <c r="K252" s="17"/>
    </row>
    <row r="253" spans="1:11" s="19" customFormat="1" ht="31" x14ac:dyDescent="0.3">
      <c r="A253" s="7"/>
      <c r="B253" s="14" t="s">
        <v>255</v>
      </c>
      <c r="C253" s="14" t="s">
        <v>256</v>
      </c>
      <c r="D253" s="14" t="s">
        <v>257</v>
      </c>
      <c r="E253" s="15"/>
      <c r="F253" s="16">
        <f>E253*6</f>
        <v>0</v>
      </c>
      <c r="G253" s="16">
        <f t="shared" si="52"/>
        <v>0</v>
      </c>
      <c r="H253" s="16">
        <f t="shared" si="53"/>
        <v>0</v>
      </c>
      <c r="I253" s="15"/>
      <c r="J253" s="16">
        <f>I253*6</f>
        <v>0</v>
      </c>
      <c r="K253" s="17"/>
    </row>
    <row r="254" spans="1:11" s="19" customFormat="1" x14ac:dyDescent="0.3">
      <c r="A254" s="7"/>
      <c r="B254" s="257" t="s">
        <v>258</v>
      </c>
      <c r="C254" s="257"/>
      <c r="D254" s="14"/>
      <c r="E254" s="15"/>
      <c r="F254" s="16"/>
      <c r="G254" s="16">
        <f t="shared" si="52"/>
        <v>0</v>
      </c>
      <c r="H254" s="16">
        <f t="shared" si="53"/>
        <v>0</v>
      </c>
      <c r="I254" s="15"/>
      <c r="J254" s="16"/>
      <c r="K254" s="17"/>
    </row>
    <row r="255" spans="1:11" s="19" customFormat="1" x14ac:dyDescent="0.3">
      <c r="A255" s="7"/>
      <c r="B255" s="14" t="s">
        <v>15</v>
      </c>
      <c r="C255" s="14" t="s">
        <v>259</v>
      </c>
      <c r="D255" s="14" t="s">
        <v>260</v>
      </c>
      <c r="E255" s="15"/>
      <c r="F255" s="16">
        <f>E255*90</f>
        <v>0</v>
      </c>
      <c r="G255" s="16">
        <f t="shared" si="52"/>
        <v>0</v>
      </c>
      <c r="H255" s="16">
        <f t="shared" si="53"/>
        <v>0</v>
      </c>
      <c r="I255" s="15"/>
      <c r="J255" s="16">
        <f>I255*90</f>
        <v>0</v>
      </c>
      <c r="K255" s="17"/>
    </row>
    <row r="256" spans="1:11" s="19" customFormat="1" x14ac:dyDescent="0.3">
      <c r="A256" s="7"/>
      <c r="B256" s="14" t="s">
        <v>19</v>
      </c>
      <c r="C256" s="14" t="s">
        <v>259</v>
      </c>
      <c r="D256" s="24" t="s">
        <v>261</v>
      </c>
      <c r="E256" s="15"/>
      <c r="F256" s="16">
        <f>E256*45</f>
        <v>0</v>
      </c>
      <c r="G256" s="16">
        <f t="shared" si="52"/>
        <v>0</v>
      </c>
      <c r="H256" s="16">
        <f t="shared" si="53"/>
        <v>0</v>
      </c>
      <c r="I256" s="15"/>
      <c r="J256" s="16">
        <f>I256*45</f>
        <v>0</v>
      </c>
      <c r="K256" s="17"/>
    </row>
    <row r="257" spans="1:11" s="19" customFormat="1" x14ac:dyDescent="0.3">
      <c r="A257" s="7"/>
      <c r="B257" s="257" t="s">
        <v>262</v>
      </c>
      <c r="C257" s="257"/>
      <c r="D257" s="24"/>
      <c r="E257" s="15"/>
      <c r="F257" s="16"/>
      <c r="G257" s="16">
        <f t="shared" si="52"/>
        <v>0</v>
      </c>
      <c r="H257" s="16">
        <f t="shared" si="53"/>
        <v>0</v>
      </c>
      <c r="I257" s="15"/>
      <c r="J257" s="16"/>
      <c r="K257" s="17"/>
    </row>
    <row r="258" spans="1:11" s="19" customFormat="1" x14ac:dyDescent="0.3">
      <c r="A258" s="7"/>
      <c r="B258" s="14" t="s">
        <v>15</v>
      </c>
      <c r="C258" s="14" t="s">
        <v>263</v>
      </c>
      <c r="D258" s="14" t="s">
        <v>260</v>
      </c>
      <c r="E258" s="15"/>
      <c r="F258" s="16">
        <f>E258*25</f>
        <v>0</v>
      </c>
      <c r="G258" s="16">
        <f t="shared" si="52"/>
        <v>0</v>
      </c>
      <c r="H258" s="16">
        <f t="shared" si="53"/>
        <v>0</v>
      </c>
      <c r="I258" s="15"/>
      <c r="J258" s="16">
        <f>I258*25</f>
        <v>0</v>
      </c>
      <c r="K258" s="20"/>
    </row>
    <row r="259" spans="1:11" s="19" customFormat="1" ht="47.25" customHeight="1" x14ac:dyDescent="0.3">
      <c r="A259" s="7"/>
      <c r="B259" s="14" t="s">
        <v>19</v>
      </c>
      <c r="C259" s="14" t="s">
        <v>263</v>
      </c>
      <c r="D259" s="24" t="s">
        <v>261</v>
      </c>
      <c r="E259" s="15"/>
      <c r="F259" s="16">
        <f>E259*12.5</f>
        <v>0</v>
      </c>
      <c r="G259" s="16">
        <f t="shared" si="52"/>
        <v>0</v>
      </c>
      <c r="H259" s="16">
        <f t="shared" si="53"/>
        <v>0</v>
      </c>
      <c r="I259" s="15"/>
      <c r="J259" s="16">
        <f>I259*12.5</f>
        <v>0</v>
      </c>
      <c r="K259" s="17"/>
    </row>
    <row r="260" spans="1:11" s="19" customFormat="1" x14ac:dyDescent="0.3">
      <c r="A260" s="7"/>
      <c r="B260" s="257" t="s">
        <v>264</v>
      </c>
      <c r="C260" s="257"/>
      <c r="D260" s="24"/>
      <c r="E260" s="15"/>
      <c r="F260" s="16"/>
      <c r="G260" s="30"/>
      <c r="H260" s="30"/>
      <c r="I260" s="15"/>
      <c r="J260" s="16"/>
      <c r="K260" s="17"/>
    </row>
    <row r="261" spans="1:11" s="19" customFormat="1" x14ac:dyDescent="0.3">
      <c r="A261" s="7"/>
      <c r="B261" s="14" t="s">
        <v>15</v>
      </c>
      <c r="C261" s="14" t="s">
        <v>263</v>
      </c>
      <c r="D261" s="14" t="s">
        <v>260</v>
      </c>
      <c r="E261" s="15"/>
      <c r="F261" s="16">
        <f>E261*25</f>
        <v>0</v>
      </c>
      <c r="G261" s="16">
        <f>F261*0.9</f>
        <v>0</v>
      </c>
      <c r="H261" s="16">
        <f>F261*0.1</f>
        <v>0</v>
      </c>
      <c r="I261" s="15"/>
      <c r="J261" s="16">
        <f>I261*25</f>
        <v>0</v>
      </c>
      <c r="K261" s="17"/>
    </row>
    <row r="262" spans="1:11" s="19" customFormat="1" x14ac:dyDescent="0.3">
      <c r="A262" s="7"/>
      <c r="B262" s="14" t="s">
        <v>19</v>
      </c>
      <c r="C262" s="14" t="s">
        <v>263</v>
      </c>
      <c r="D262" s="24" t="s">
        <v>261</v>
      </c>
      <c r="E262" s="15"/>
      <c r="F262" s="16">
        <f>E262*12.5</f>
        <v>0</v>
      </c>
      <c r="G262" s="16">
        <f>F262*0.9</f>
        <v>0</v>
      </c>
      <c r="H262" s="16">
        <f>F262*0.1</f>
        <v>0</v>
      </c>
      <c r="I262" s="15"/>
      <c r="J262" s="16">
        <f>I262*12.5</f>
        <v>0</v>
      </c>
      <c r="K262" s="17"/>
    </row>
    <row r="263" spans="1:11" s="19" customFormat="1" ht="18" x14ac:dyDescent="0.3">
      <c r="A263" s="7"/>
      <c r="B263" s="257" t="s">
        <v>265</v>
      </c>
      <c r="C263" s="257"/>
      <c r="D263" s="26"/>
      <c r="E263" s="33">
        <f t="shared" ref="E263:J263" si="54">SUM(E251:E262)</f>
        <v>0</v>
      </c>
      <c r="F263" s="28">
        <f t="shared" si="54"/>
        <v>0</v>
      </c>
      <c r="G263" s="28">
        <f t="shared" si="54"/>
        <v>0</v>
      </c>
      <c r="H263" s="28">
        <f t="shared" si="54"/>
        <v>0</v>
      </c>
      <c r="I263" s="33">
        <f t="shared" si="54"/>
        <v>0</v>
      </c>
      <c r="J263" s="28">
        <f t="shared" si="54"/>
        <v>0</v>
      </c>
      <c r="K263" s="18"/>
    </row>
    <row r="264" spans="1:11" s="19" customFormat="1" ht="18" x14ac:dyDescent="0.3">
      <c r="A264" s="65">
        <v>10</v>
      </c>
      <c r="B264" s="258" t="s">
        <v>266</v>
      </c>
      <c r="C264" s="258"/>
      <c r="D264" s="258"/>
      <c r="E264" s="15"/>
      <c r="F264" s="16"/>
      <c r="G264" s="16"/>
      <c r="H264" s="16"/>
      <c r="I264" s="15"/>
      <c r="J264" s="16"/>
      <c r="K264" s="17"/>
    </row>
    <row r="265" spans="1:11" s="19" customFormat="1" ht="123.65" customHeight="1" x14ac:dyDescent="0.3">
      <c r="A265" s="65"/>
      <c r="B265" s="14" t="s">
        <v>267</v>
      </c>
      <c r="C265" s="14" t="s">
        <v>268</v>
      </c>
      <c r="D265" s="14" t="s">
        <v>269</v>
      </c>
      <c r="E265" s="15"/>
      <c r="F265" s="16">
        <f>E265*0.04</f>
        <v>0</v>
      </c>
      <c r="G265" s="16">
        <f>F265*0.9</f>
        <v>0</v>
      </c>
      <c r="H265" s="16">
        <f>F265*0.1</f>
        <v>0</v>
      </c>
      <c r="I265" s="15"/>
      <c r="J265" s="16">
        <f>I265*0.04</f>
        <v>0</v>
      </c>
      <c r="K265" s="17"/>
    </row>
    <row r="266" spans="1:11" s="19" customFormat="1" ht="125.5" customHeight="1" x14ac:dyDescent="0.3">
      <c r="A266" s="65"/>
      <c r="B266" s="14" t="s">
        <v>67</v>
      </c>
      <c r="C266" s="14" t="s">
        <v>268</v>
      </c>
      <c r="D266" s="14" t="s">
        <v>269</v>
      </c>
      <c r="E266" s="15"/>
      <c r="F266" s="16">
        <f>E266*0.03</f>
        <v>0</v>
      </c>
      <c r="G266" s="16">
        <f>F266*0.9</f>
        <v>0</v>
      </c>
      <c r="H266" s="16">
        <f>F266*0.1</f>
        <v>0</v>
      </c>
      <c r="I266" s="15"/>
      <c r="J266" s="16">
        <f>I266*0.03</f>
        <v>0</v>
      </c>
      <c r="K266" s="17"/>
    </row>
    <row r="267" spans="1:11" s="19" customFormat="1" ht="123.65" customHeight="1" x14ac:dyDescent="0.3">
      <c r="A267" s="65"/>
      <c r="B267" s="14" t="s">
        <v>270</v>
      </c>
      <c r="C267" s="14" t="s">
        <v>268</v>
      </c>
      <c r="D267" s="14" t="s">
        <v>269</v>
      </c>
      <c r="E267" s="15"/>
      <c r="F267" s="16">
        <f>E267*0.03</f>
        <v>0</v>
      </c>
      <c r="G267" s="16">
        <f>F267*0.9</f>
        <v>0</v>
      </c>
      <c r="H267" s="16">
        <f>F267*0.1</f>
        <v>0</v>
      </c>
      <c r="I267" s="15"/>
      <c r="J267" s="16">
        <f>I267*0.03</f>
        <v>0</v>
      </c>
      <c r="K267" s="17"/>
    </row>
    <row r="268" spans="1:11" s="19" customFormat="1" x14ac:dyDescent="0.3">
      <c r="A268" s="65"/>
      <c r="B268" s="257" t="s">
        <v>271</v>
      </c>
      <c r="C268" s="257"/>
      <c r="D268" s="14"/>
      <c r="E268" s="15"/>
      <c r="F268" s="16"/>
      <c r="G268" s="16"/>
      <c r="H268" s="16"/>
      <c r="I268" s="15"/>
      <c r="J268" s="16"/>
      <c r="K268" s="17"/>
    </row>
    <row r="269" spans="1:11" s="19" customFormat="1" ht="62.5" customHeight="1" x14ac:dyDescent="0.3">
      <c r="A269" s="65"/>
      <c r="B269" s="14" t="s">
        <v>272</v>
      </c>
      <c r="C269" s="14" t="s">
        <v>273</v>
      </c>
      <c r="D269" s="14" t="s">
        <v>274</v>
      </c>
      <c r="E269" s="15"/>
      <c r="F269" s="16">
        <f>E269*1.5</f>
        <v>0</v>
      </c>
      <c r="G269" s="16">
        <f>F269*0.9</f>
        <v>0</v>
      </c>
      <c r="H269" s="16">
        <f>F269*0.1</f>
        <v>0</v>
      </c>
      <c r="I269" s="15"/>
      <c r="J269" s="16">
        <f>I269*1.5</f>
        <v>0</v>
      </c>
      <c r="K269" s="17"/>
    </row>
    <row r="270" spans="1:11" s="19" customFormat="1" ht="63.65" customHeight="1" x14ac:dyDescent="0.3">
      <c r="A270" s="65"/>
      <c r="B270" s="14" t="s">
        <v>67</v>
      </c>
      <c r="C270" s="14" t="s">
        <v>273</v>
      </c>
      <c r="D270" s="14" t="s">
        <v>274</v>
      </c>
      <c r="E270" s="15"/>
      <c r="F270" s="16">
        <f>E270*1.5</f>
        <v>0</v>
      </c>
      <c r="G270" s="16">
        <f>F270*0.9</f>
        <v>0</v>
      </c>
      <c r="H270" s="16">
        <f>F270*0.1</f>
        <v>0</v>
      </c>
      <c r="I270" s="15"/>
      <c r="J270" s="16">
        <f>I270*1.5</f>
        <v>0</v>
      </c>
      <c r="K270" s="17"/>
    </row>
    <row r="271" spans="1:11" s="19" customFormat="1" ht="62" x14ac:dyDescent="0.3">
      <c r="A271" s="65"/>
      <c r="B271" s="14" t="s">
        <v>270</v>
      </c>
      <c r="C271" s="14" t="s">
        <v>273</v>
      </c>
      <c r="D271" s="14" t="s">
        <v>274</v>
      </c>
      <c r="E271" s="15"/>
      <c r="F271" s="16">
        <f>E271*2</f>
        <v>0</v>
      </c>
      <c r="G271" s="16">
        <f>F271*0.9</f>
        <v>0</v>
      </c>
      <c r="H271" s="16">
        <f>F271*0.1</f>
        <v>0</v>
      </c>
      <c r="I271" s="15"/>
      <c r="J271" s="16">
        <f>I271*2</f>
        <v>0</v>
      </c>
      <c r="K271" s="17"/>
    </row>
    <row r="272" spans="1:11" s="19" customFormat="1" ht="18" x14ac:dyDescent="0.3">
      <c r="A272" s="7"/>
      <c r="B272" s="258" t="s">
        <v>275</v>
      </c>
      <c r="C272" s="258"/>
      <c r="D272" s="258"/>
      <c r="E272" s="15"/>
      <c r="F272" s="16"/>
      <c r="G272" s="16"/>
      <c r="H272" s="16"/>
      <c r="I272" s="15"/>
      <c r="J272" s="16"/>
      <c r="K272" s="48"/>
    </row>
    <row r="273" spans="1:11" s="19" customFormat="1" ht="128.5" customHeight="1" x14ac:dyDescent="0.3">
      <c r="A273" s="7"/>
      <c r="B273" s="14" t="s">
        <v>276</v>
      </c>
      <c r="C273" s="14" t="s">
        <v>277</v>
      </c>
      <c r="D273" s="14" t="s">
        <v>278</v>
      </c>
      <c r="E273" s="15"/>
      <c r="F273" s="16">
        <f>E273*1*0.5</f>
        <v>0</v>
      </c>
      <c r="G273" s="16">
        <f>F273*0.9</f>
        <v>0</v>
      </c>
      <c r="H273" s="16">
        <f>F273*0.1</f>
        <v>0</v>
      </c>
      <c r="I273" s="15"/>
      <c r="J273" s="16">
        <f>I273*1*0.5</f>
        <v>0</v>
      </c>
      <c r="K273" s="48"/>
    </row>
    <row r="274" spans="1:11" s="19" customFormat="1" x14ac:dyDescent="0.3">
      <c r="A274" s="7"/>
      <c r="B274" s="14" t="s">
        <v>279</v>
      </c>
      <c r="C274" s="11" t="s">
        <v>25</v>
      </c>
      <c r="D274" s="11" t="s">
        <v>25</v>
      </c>
      <c r="E274" s="15"/>
      <c r="F274" s="16">
        <f>E274*0.16*0.5</f>
        <v>0</v>
      </c>
      <c r="G274" s="16">
        <f>F274*0.9</f>
        <v>0</v>
      </c>
      <c r="H274" s="16">
        <f>F274*0.1</f>
        <v>0</v>
      </c>
      <c r="I274" s="15"/>
      <c r="J274" s="16">
        <f>I274*0.16*0.5</f>
        <v>0</v>
      </c>
      <c r="K274" s="18"/>
    </row>
    <row r="275" spans="1:11" s="19" customFormat="1" ht="18" x14ac:dyDescent="0.3">
      <c r="A275" s="7"/>
      <c r="B275" s="26" t="s">
        <v>122</v>
      </c>
      <c r="C275" s="26"/>
      <c r="D275" s="26"/>
      <c r="E275" s="28">
        <f t="shared" ref="E275:J275" si="55">SUM(E265:E274)</f>
        <v>0</v>
      </c>
      <c r="F275" s="28">
        <f t="shared" si="55"/>
        <v>0</v>
      </c>
      <c r="G275" s="16">
        <f>F275*0.9</f>
        <v>0</v>
      </c>
      <c r="H275" s="16">
        <f>F275*0.1</f>
        <v>0</v>
      </c>
      <c r="I275" s="28">
        <f t="shared" si="55"/>
        <v>0</v>
      </c>
      <c r="J275" s="28">
        <f t="shared" si="55"/>
        <v>0</v>
      </c>
      <c r="K275" s="18"/>
    </row>
    <row r="276" spans="1:11" s="19" customFormat="1" ht="18" x14ac:dyDescent="0.3">
      <c r="A276" s="65">
        <v>11</v>
      </c>
      <c r="B276" s="258" t="s">
        <v>280</v>
      </c>
      <c r="C276" s="258"/>
      <c r="D276" s="258"/>
      <c r="E276" s="15"/>
      <c r="F276" s="16"/>
      <c r="G276" s="16"/>
      <c r="H276" s="16"/>
      <c r="I276" s="15"/>
      <c r="J276" s="16"/>
      <c r="K276" s="17"/>
    </row>
    <row r="277" spans="1:11" s="19" customFormat="1" ht="31" x14ac:dyDescent="0.3">
      <c r="A277" s="65"/>
      <c r="B277" s="14" t="s">
        <v>281</v>
      </c>
      <c r="C277" s="14" t="s">
        <v>34</v>
      </c>
      <c r="D277" s="14" t="s">
        <v>167</v>
      </c>
      <c r="E277" s="15"/>
      <c r="F277" s="16">
        <f>E277*20</f>
        <v>0</v>
      </c>
      <c r="G277" s="16">
        <f>F277*0.9</f>
        <v>0</v>
      </c>
      <c r="H277" s="16">
        <f>F277*0.1</f>
        <v>0</v>
      </c>
      <c r="I277" s="15"/>
      <c r="J277" s="16">
        <f>I277*20</f>
        <v>0</v>
      </c>
      <c r="K277" s="17"/>
    </row>
    <row r="278" spans="1:11" s="19" customFormat="1" ht="31" x14ac:dyDescent="0.3">
      <c r="A278" s="65"/>
      <c r="B278" s="14" t="s">
        <v>282</v>
      </c>
      <c r="C278" s="14" t="s">
        <v>283</v>
      </c>
      <c r="D278" s="14" t="s">
        <v>284</v>
      </c>
      <c r="E278" s="15"/>
      <c r="F278" s="16">
        <f>E278*4</f>
        <v>0</v>
      </c>
      <c r="G278" s="16">
        <f>F278*0.9</f>
        <v>0</v>
      </c>
      <c r="H278" s="16">
        <f>F278*0.1</f>
        <v>0</v>
      </c>
      <c r="I278" s="15"/>
      <c r="J278" s="16">
        <f>I278*4</f>
        <v>0</v>
      </c>
      <c r="K278" s="17"/>
    </row>
    <row r="279" spans="1:11" s="19" customFormat="1" ht="31" x14ac:dyDescent="0.3">
      <c r="A279" s="7"/>
      <c r="B279" s="14" t="s">
        <v>285</v>
      </c>
      <c r="C279" s="14" t="s">
        <v>286</v>
      </c>
      <c r="D279" s="14" t="s">
        <v>287</v>
      </c>
      <c r="E279" s="15"/>
      <c r="F279" s="16">
        <f>E279*0.02*0.4</f>
        <v>0</v>
      </c>
      <c r="G279" s="16">
        <f>F279*0.9</f>
        <v>0</v>
      </c>
      <c r="H279" s="16">
        <f>F279*0.1</f>
        <v>0</v>
      </c>
      <c r="I279" s="15"/>
      <c r="J279" s="16">
        <f>I279*0.02*0.4</f>
        <v>0</v>
      </c>
      <c r="K279" s="21"/>
    </row>
    <row r="280" spans="1:11" s="19" customFormat="1" ht="31" x14ac:dyDescent="0.3">
      <c r="A280" s="7"/>
      <c r="B280" s="14" t="s">
        <v>288</v>
      </c>
      <c r="C280" s="14" t="s">
        <v>289</v>
      </c>
      <c r="D280" s="14" t="s">
        <v>287</v>
      </c>
      <c r="E280" s="15"/>
      <c r="F280" s="16">
        <f>E280*0.008</f>
        <v>0</v>
      </c>
      <c r="G280" s="16">
        <f>F280*0.9</f>
        <v>0</v>
      </c>
      <c r="H280" s="16">
        <f>F280*0.1</f>
        <v>0</v>
      </c>
      <c r="I280" s="15"/>
      <c r="J280" s="16">
        <f>I280*0.008</f>
        <v>0</v>
      </c>
      <c r="K280" s="21"/>
    </row>
    <row r="281" spans="1:11" s="19" customFormat="1" ht="47.5" customHeight="1" x14ac:dyDescent="0.3">
      <c r="A281" s="7"/>
      <c r="B281" s="14" t="s">
        <v>290</v>
      </c>
      <c r="C281" s="22" t="s">
        <v>291</v>
      </c>
      <c r="D281" s="22" t="s">
        <v>292</v>
      </c>
      <c r="E281" s="15"/>
      <c r="F281" s="16">
        <f>E281*0.08</f>
        <v>0</v>
      </c>
      <c r="G281" s="16">
        <f>F281*0.9</f>
        <v>0</v>
      </c>
      <c r="H281" s="16">
        <f>F281*0.1</f>
        <v>0</v>
      </c>
      <c r="I281" s="15"/>
      <c r="J281" s="16">
        <f>I281*0.08</f>
        <v>0</v>
      </c>
      <c r="K281" s="18"/>
    </row>
    <row r="282" spans="1:11" s="19" customFormat="1" ht="18" x14ac:dyDescent="0.3">
      <c r="A282" s="7"/>
      <c r="B282" s="26" t="s">
        <v>122</v>
      </c>
      <c r="C282" s="26"/>
      <c r="D282" s="26"/>
      <c r="E282" s="28">
        <f t="shared" ref="E282:J282" si="56">SUM(E277:E281)</f>
        <v>0</v>
      </c>
      <c r="F282" s="28">
        <f t="shared" si="56"/>
        <v>0</v>
      </c>
      <c r="G282" s="28">
        <f t="shared" si="56"/>
        <v>0</v>
      </c>
      <c r="H282" s="28">
        <f t="shared" si="56"/>
        <v>0</v>
      </c>
      <c r="I282" s="28">
        <f t="shared" si="56"/>
        <v>0</v>
      </c>
      <c r="J282" s="28">
        <f t="shared" si="56"/>
        <v>0</v>
      </c>
      <c r="K282" s="18"/>
    </row>
    <row r="283" spans="1:11" s="19" customFormat="1" ht="18" x14ac:dyDescent="0.3">
      <c r="A283" s="65">
        <v>12</v>
      </c>
      <c r="B283" s="258" t="s">
        <v>293</v>
      </c>
      <c r="C283" s="258"/>
      <c r="D283" s="258"/>
      <c r="E283" s="15"/>
      <c r="F283" s="16"/>
      <c r="G283" s="16"/>
      <c r="H283" s="16"/>
      <c r="I283" s="15"/>
      <c r="J283" s="16"/>
      <c r="K283" s="48"/>
    </row>
    <row r="284" spans="1:11" s="19" customFormat="1" ht="114" customHeight="1" x14ac:dyDescent="0.3">
      <c r="A284" s="65"/>
      <c r="B284" s="14" t="s">
        <v>294</v>
      </c>
      <c r="C284" s="66" t="s">
        <v>295</v>
      </c>
      <c r="D284" s="67" t="s">
        <v>296</v>
      </c>
      <c r="E284" s="15"/>
      <c r="F284" s="16">
        <f>E284*3*0.25</f>
        <v>0</v>
      </c>
      <c r="G284" s="16">
        <f>F284*0.9</f>
        <v>0</v>
      </c>
      <c r="H284" s="16">
        <f>F284*0.1</f>
        <v>0</v>
      </c>
      <c r="I284" s="15"/>
      <c r="J284" s="16">
        <f>I284*3*0.25</f>
        <v>0</v>
      </c>
      <c r="K284" s="48"/>
    </row>
    <row r="285" spans="1:11" s="19" customFormat="1" ht="114" customHeight="1" x14ac:dyDescent="0.3">
      <c r="A285" s="65"/>
      <c r="B285" s="14" t="s">
        <v>297</v>
      </c>
      <c r="C285" s="66" t="s">
        <v>295</v>
      </c>
      <c r="D285" s="67" t="s">
        <v>296</v>
      </c>
      <c r="E285" s="15"/>
      <c r="F285" s="16">
        <f>E285*1</f>
        <v>0</v>
      </c>
      <c r="G285" s="16">
        <f>F285*0.9</f>
        <v>0</v>
      </c>
      <c r="H285" s="16">
        <f>F285*0.1</f>
        <v>0</v>
      </c>
      <c r="I285" s="15"/>
      <c r="J285" s="16">
        <f>I285*1</f>
        <v>0</v>
      </c>
      <c r="K285" s="48"/>
    </row>
    <row r="286" spans="1:11" s="19" customFormat="1" x14ac:dyDescent="0.3">
      <c r="A286" s="65"/>
      <c r="B286" s="254" t="s">
        <v>298</v>
      </c>
      <c r="C286" s="254"/>
      <c r="D286" s="67"/>
      <c r="E286" s="15"/>
      <c r="F286" s="16"/>
      <c r="G286" s="16"/>
      <c r="H286" s="16"/>
      <c r="I286" s="15"/>
      <c r="J286" s="16"/>
      <c r="K286" s="48"/>
    </row>
    <row r="287" spans="1:11" s="19" customFormat="1" ht="108.5" x14ac:dyDescent="0.3">
      <c r="A287" s="68"/>
      <c r="B287" s="22" t="s">
        <v>549</v>
      </c>
      <c r="C287" s="69" t="s">
        <v>299</v>
      </c>
      <c r="D287" s="70" t="s">
        <v>300</v>
      </c>
      <c r="E287" s="15"/>
      <c r="F287" s="16">
        <f>E287*0.4</f>
        <v>0</v>
      </c>
      <c r="G287" s="16">
        <f>F287*0.9</f>
        <v>0</v>
      </c>
      <c r="H287" s="16">
        <f>F287*0.1</f>
        <v>0</v>
      </c>
      <c r="I287" s="15"/>
      <c r="J287" s="16">
        <f>I287*0.4</f>
        <v>0</v>
      </c>
      <c r="K287" s="48"/>
    </row>
    <row r="288" spans="1:11" s="19" customFormat="1" ht="109.15" customHeight="1" x14ac:dyDescent="0.3">
      <c r="A288" s="68"/>
      <c r="B288" s="22" t="s">
        <v>301</v>
      </c>
      <c r="C288" s="69" t="s">
        <v>299</v>
      </c>
      <c r="D288" s="70" t="s">
        <v>300</v>
      </c>
      <c r="E288" s="15"/>
      <c r="F288" s="16">
        <f>E288*0.5</f>
        <v>0</v>
      </c>
      <c r="G288" s="16">
        <f>F288*0.9</f>
        <v>0</v>
      </c>
      <c r="H288" s="16">
        <f>F288*0.1</f>
        <v>0</v>
      </c>
      <c r="I288" s="15"/>
      <c r="J288" s="16">
        <f>I288*0.5</f>
        <v>0</v>
      </c>
      <c r="K288" s="48"/>
    </row>
    <row r="289" spans="1:11" s="19" customFormat="1" ht="109.15" customHeight="1" x14ac:dyDescent="0.3">
      <c r="A289" s="71"/>
      <c r="B289" s="22" t="s">
        <v>302</v>
      </c>
      <c r="C289" s="69" t="s">
        <v>303</v>
      </c>
      <c r="D289" s="70" t="s">
        <v>304</v>
      </c>
      <c r="E289" s="15"/>
      <c r="F289" s="72">
        <f>E289*1.5*0.4</f>
        <v>0</v>
      </c>
      <c r="G289" s="16">
        <f>F289*0.9</f>
        <v>0</v>
      </c>
      <c r="H289" s="16">
        <f>F289*0.1</f>
        <v>0</v>
      </c>
      <c r="I289" s="15"/>
      <c r="J289" s="72">
        <f>I289*1.5*0.4</f>
        <v>0</v>
      </c>
      <c r="K289" s="73"/>
    </row>
    <row r="290" spans="1:11" s="19" customFormat="1" ht="109.15" customHeight="1" x14ac:dyDescent="0.3">
      <c r="A290" s="74"/>
      <c r="B290" s="22" t="s">
        <v>305</v>
      </c>
      <c r="C290" s="69" t="s">
        <v>303</v>
      </c>
      <c r="D290" s="70" t="s">
        <v>304</v>
      </c>
      <c r="E290" s="15"/>
      <c r="F290" s="72">
        <f>E290*1.5*0.5</f>
        <v>0</v>
      </c>
      <c r="G290" s="16">
        <f>F290*0.9</f>
        <v>0</v>
      </c>
      <c r="H290" s="16">
        <f>F290*0.1</f>
        <v>0</v>
      </c>
      <c r="I290" s="15"/>
      <c r="J290" s="72">
        <f>I290*1.5*0.5</f>
        <v>0</v>
      </c>
      <c r="K290" s="75"/>
    </row>
    <row r="291" spans="1:11" s="19" customFormat="1" x14ac:dyDescent="0.3">
      <c r="A291" s="76"/>
      <c r="B291" s="257" t="s">
        <v>306</v>
      </c>
      <c r="C291" s="257"/>
      <c r="D291" s="257"/>
      <c r="E291" s="15"/>
      <c r="F291" s="16"/>
      <c r="G291" s="16"/>
      <c r="H291" s="16"/>
      <c r="I291" s="15"/>
      <c r="J291" s="16"/>
      <c r="K291" s="77"/>
    </row>
    <row r="292" spans="1:11" s="19" customFormat="1" ht="106.9" customHeight="1" x14ac:dyDescent="0.3">
      <c r="A292" s="76"/>
      <c r="B292" s="22" t="s">
        <v>307</v>
      </c>
      <c r="C292" s="69" t="s">
        <v>308</v>
      </c>
      <c r="D292" s="70" t="s">
        <v>309</v>
      </c>
      <c r="E292" s="15"/>
      <c r="F292" s="16">
        <f>E292*0.12</f>
        <v>0</v>
      </c>
      <c r="G292" s="16">
        <f t="shared" ref="G292:G302" si="57">F292*0.9</f>
        <v>0</v>
      </c>
      <c r="H292" s="16">
        <f t="shared" ref="H292:H302" si="58">F292*0.1</f>
        <v>0</v>
      </c>
      <c r="I292" s="15"/>
      <c r="J292" s="16">
        <f>I292*0.12</f>
        <v>0</v>
      </c>
      <c r="K292" s="77"/>
    </row>
    <row r="293" spans="1:11" s="19" customFormat="1" ht="106.9" customHeight="1" x14ac:dyDescent="0.3">
      <c r="A293" s="76"/>
      <c r="B293" s="22" t="s">
        <v>310</v>
      </c>
      <c r="C293" s="78" t="s">
        <v>111</v>
      </c>
      <c r="D293" s="78" t="s">
        <v>111</v>
      </c>
      <c r="E293" s="15"/>
      <c r="F293" s="16">
        <f>E293*0.12</f>
        <v>0</v>
      </c>
      <c r="G293" s="16">
        <f t="shared" si="57"/>
        <v>0</v>
      </c>
      <c r="H293" s="16">
        <f t="shared" si="58"/>
        <v>0</v>
      </c>
      <c r="I293" s="15"/>
      <c r="J293" s="16">
        <f>I293*0.12</f>
        <v>0</v>
      </c>
      <c r="K293" s="77"/>
    </row>
    <row r="294" spans="1:11" s="19" customFormat="1" ht="106.9" customHeight="1" x14ac:dyDescent="0.3">
      <c r="A294" s="76"/>
      <c r="B294" s="22" t="s">
        <v>550</v>
      </c>
      <c r="C294" s="78" t="s">
        <v>111</v>
      </c>
      <c r="D294" s="78" t="s">
        <v>111</v>
      </c>
      <c r="E294" s="15"/>
      <c r="F294" s="16">
        <f>E294*0.15</f>
        <v>0</v>
      </c>
      <c r="G294" s="16">
        <f t="shared" si="57"/>
        <v>0</v>
      </c>
      <c r="H294" s="16">
        <f t="shared" si="58"/>
        <v>0</v>
      </c>
      <c r="I294" s="15"/>
      <c r="J294" s="16">
        <f>I294*0.15</f>
        <v>0</v>
      </c>
      <c r="K294" s="77"/>
    </row>
    <row r="295" spans="1:11" s="19" customFormat="1" ht="108.5" x14ac:dyDescent="0.3">
      <c r="A295" s="76"/>
      <c r="B295" s="22" t="s">
        <v>311</v>
      </c>
      <c r="C295" s="69" t="s">
        <v>308</v>
      </c>
      <c r="D295" s="70" t="s">
        <v>312</v>
      </c>
      <c r="E295" s="15"/>
      <c r="F295" s="16">
        <f>E295*0.12</f>
        <v>0</v>
      </c>
      <c r="G295" s="16">
        <f t="shared" si="57"/>
        <v>0</v>
      </c>
      <c r="H295" s="16">
        <f t="shared" si="58"/>
        <v>0</v>
      </c>
      <c r="I295" s="15"/>
      <c r="J295" s="16">
        <f>I295*0.12</f>
        <v>0</v>
      </c>
      <c r="K295" s="77"/>
    </row>
    <row r="296" spans="1:11" s="19" customFormat="1" ht="106.9" customHeight="1" x14ac:dyDescent="0.3">
      <c r="A296" s="76"/>
      <c r="B296" s="22" t="s">
        <v>310</v>
      </c>
      <c r="C296" s="78" t="s">
        <v>111</v>
      </c>
      <c r="D296" s="78" t="s">
        <v>111</v>
      </c>
      <c r="E296" s="15"/>
      <c r="F296" s="16">
        <f>E296*0.12</f>
        <v>0</v>
      </c>
      <c r="G296" s="16">
        <f t="shared" si="57"/>
        <v>0</v>
      </c>
      <c r="H296" s="16">
        <f t="shared" si="58"/>
        <v>0</v>
      </c>
      <c r="I296" s="15"/>
      <c r="J296" s="16">
        <f>I296*0.12</f>
        <v>0</v>
      </c>
      <c r="K296" s="77"/>
    </row>
    <row r="297" spans="1:11" s="19" customFormat="1" ht="106.9" customHeight="1" x14ac:dyDescent="0.3">
      <c r="A297" s="76"/>
      <c r="B297" s="22" t="s">
        <v>550</v>
      </c>
      <c r="C297" s="78" t="s">
        <v>111</v>
      </c>
      <c r="D297" s="78" t="s">
        <v>111</v>
      </c>
      <c r="E297" s="15"/>
      <c r="F297" s="16">
        <f>E297*0.15</f>
        <v>0</v>
      </c>
      <c r="G297" s="16">
        <f t="shared" si="57"/>
        <v>0</v>
      </c>
      <c r="H297" s="16">
        <f t="shared" si="58"/>
        <v>0</v>
      </c>
      <c r="I297" s="15"/>
      <c r="J297" s="16">
        <f>I297*0.15</f>
        <v>0</v>
      </c>
      <c r="K297" s="77"/>
    </row>
    <row r="298" spans="1:11" s="19" customFormat="1" ht="108.5" x14ac:dyDescent="0.3">
      <c r="A298" s="76"/>
      <c r="B298" s="22" t="s">
        <v>313</v>
      </c>
      <c r="C298" s="69" t="s">
        <v>314</v>
      </c>
      <c r="D298" s="70" t="s">
        <v>315</v>
      </c>
      <c r="E298" s="15"/>
      <c r="F298" s="16">
        <f>E298*0.28</f>
        <v>0</v>
      </c>
      <c r="G298" s="16">
        <f t="shared" si="57"/>
        <v>0</v>
      </c>
      <c r="H298" s="16">
        <f t="shared" si="58"/>
        <v>0</v>
      </c>
      <c r="I298" s="15"/>
      <c r="J298" s="16">
        <f>I298*0.28</f>
        <v>0</v>
      </c>
      <c r="K298" s="77"/>
    </row>
    <row r="299" spans="1:11" s="19" customFormat="1" x14ac:dyDescent="0.3">
      <c r="A299" s="76"/>
      <c r="B299" s="22" t="s">
        <v>310</v>
      </c>
      <c r="C299" s="78" t="s">
        <v>111</v>
      </c>
      <c r="D299" s="78" t="s">
        <v>111</v>
      </c>
      <c r="E299" s="15"/>
      <c r="F299" s="16">
        <f>E299*0.28</f>
        <v>0</v>
      </c>
      <c r="G299" s="16">
        <f t="shared" si="57"/>
        <v>0</v>
      </c>
      <c r="H299" s="16">
        <f t="shared" si="58"/>
        <v>0</v>
      </c>
      <c r="I299" s="15"/>
      <c r="J299" s="16">
        <f>I299*0.28</f>
        <v>0</v>
      </c>
      <c r="K299" s="77"/>
    </row>
    <row r="300" spans="1:11" s="19" customFormat="1" x14ac:dyDescent="0.3">
      <c r="A300" s="76"/>
      <c r="B300" s="22" t="s">
        <v>550</v>
      </c>
      <c r="C300" s="78" t="s">
        <v>111</v>
      </c>
      <c r="D300" s="78" t="s">
        <v>111</v>
      </c>
      <c r="E300" s="15"/>
      <c r="F300" s="16">
        <f>E300*0.35</f>
        <v>0</v>
      </c>
      <c r="G300" s="16">
        <f t="shared" si="57"/>
        <v>0</v>
      </c>
      <c r="H300" s="16">
        <f t="shared" si="58"/>
        <v>0</v>
      </c>
      <c r="I300" s="15"/>
      <c r="J300" s="16">
        <f>I300*0.35</f>
        <v>0</v>
      </c>
      <c r="K300" s="77"/>
    </row>
    <row r="301" spans="1:11" s="19" customFormat="1" ht="108.5" x14ac:dyDescent="0.3">
      <c r="A301" s="76"/>
      <c r="B301" s="22" t="s">
        <v>551</v>
      </c>
      <c r="C301" s="69" t="s">
        <v>316</v>
      </c>
      <c r="D301" s="70" t="s">
        <v>317</v>
      </c>
      <c r="E301" s="15"/>
      <c r="F301" s="16">
        <f>E301*1</f>
        <v>0</v>
      </c>
      <c r="G301" s="16">
        <f t="shared" si="57"/>
        <v>0</v>
      </c>
      <c r="H301" s="16">
        <f t="shared" si="58"/>
        <v>0</v>
      </c>
      <c r="I301" s="15"/>
      <c r="J301" s="16">
        <f>I301*1</f>
        <v>0</v>
      </c>
      <c r="K301" s="77"/>
    </row>
    <row r="302" spans="1:11" s="19" customFormat="1" ht="108.5" x14ac:dyDescent="0.3">
      <c r="A302" s="76"/>
      <c r="B302" s="22" t="s">
        <v>552</v>
      </c>
      <c r="C302" s="69" t="s">
        <v>316</v>
      </c>
      <c r="D302" s="70" t="s">
        <v>317</v>
      </c>
      <c r="E302" s="15"/>
      <c r="F302" s="16">
        <f>E302*1.25</f>
        <v>0</v>
      </c>
      <c r="G302" s="16">
        <f t="shared" si="57"/>
        <v>0</v>
      </c>
      <c r="H302" s="16">
        <f t="shared" si="58"/>
        <v>0</v>
      </c>
      <c r="I302" s="15"/>
      <c r="J302" s="16">
        <f>I302*1.25</f>
        <v>0</v>
      </c>
      <c r="K302" s="77"/>
    </row>
    <row r="303" spans="1:11" s="19" customFormat="1" x14ac:dyDescent="0.3">
      <c r="A303" s="76"/>
      <c r="B303" s="79" t="s">
        <v>318</v>
      </c>
      <c r="C303" s="69"/>
      <c r="D303" s="70"/>
      <c r="E303" s="15"/>
      <c r="F303" s="16"/>
      <c r="G303" s="16"/>
      <c r="H303" s="16"/>
      <c r="I303" s="15"/>
      <c r="J303" s="16"/>
      <c r="K303" s="77"/>
    </row>
    <row r="304" spans="1:11" s="19" customFormat="1" ht="46.5" x14ac:dyDescent="0.3">
      <c r="A304" s="76"/>
      <c r="B304" s="22" t="s">
        <v>319</v>
      </c>
      <c r="C304" s="69"/>
      <c r="D304" s="70"/>
      <c r="E304" s="15"/>
      <c r="F304" s="16"/>
      <c r="G304" s="16"/>
      <c r="H304" s="16"/>
      <c r="I304" s="15"/>
      <c r="J304" s="16"/>
      <c r="K304" s="77"/>
    </row>
    <row r="305" spans="1:11" s="19" customFormat="1" ht="108.5" x14ac:dyDescent="0.3">
      <c r="A305" s="76"/>
      <c r="B305" s="22" t="s">
        <v>320</v>
      </c>
      <c r="C305" s="69" t="s">
        <v>321</v>
      </c>
      <c r="D305" s="70" t="s">
        <v>322</v>
      </c>
      <c r="E305" s="15"/>
      <c r="F305" s="16">
        <f>E305*0.005</f>
        <v>0</v>
      </c>
      <c r="G305" s="16">
        <f>F305*0.9</f>
        <v>0</v>
      </c>
      <c r="H305" s="16">
        <f>F305*0.1</f>
        <v>0</v>
      </c>
      <c r="I305" s="15"/>
      <c r="J305" s="16">
        <f>I305*0.005</f>
        <v>0</v>
      </c>
      <c r="K305" s="77"/>
    </row>
    <row r="306" spans="1:11" s="19" customFormat="1" ht="108.5" x14ac:dyDescent="0.3">
      <c r="A306" s="76"/>
      <c r="B306" s="22" t="s">
        <v>323</v>
      </c>
      <c r="C306" s="69" t="s">
        <v>321</v>
      </c>
      <c r="D306" s="70" t="s">
        <v>322</v>
      </c>
      <c r="E306" s="15"/>
      <c r="F306" s="16">
        <f>E306*0.006</f>
        <v>0</v>
      </c>
      <c r="G306" s="16">
        <f>F306*0.9</f>
        <v>0</v>
      </c>
      <c r="H306" s="16">
        <f>F306*0.1</f>
        <v>0</v>
      </c>
      <c r="I306" s="15"/>
      <c r="J306" s="16">
        <f>I306*0.006</f>
        <v>0</v>
      </c>
      <c r="K306" s="77"/>
    </row>
    <row r="307" spans="1:11" s="19" customFormat="1" ht="62" x14ac:dyDescent="0.3">
      <c r="A307" s="76"/>
      <c r="B307" s="22" t="s">
        <v>324</v>
      </c>
      <c r="C307" s="69"/>
      <c r="D307" s="70"/>
      <c r="E307" s="15"/>
      <c r="F307" s="16"/>
      <c r="G307" s="16"/>
      <c r="H307" s="16"/>
      <c r="I307" s="15"/>
      <c r="J307" s="16"/>
      <c r="K307" s="77"/>
    </row>
    <row r="308" spans="1:11" s="19" customFormat="1" ht="108.5" x14ac:dyDescent="0.3">
      <c r="A308" s="76"/>
      <c r="B308" s="22" t="s">
        <v>320</v>
      </c>
      <c r="C308" s="69" t="s">
        <v>325</v>
      </c>
      <c r="D308" s="70" t="s">
        <v>326</v>
      </c>
      <c r="E308" s="15"/>
      <c r="F308" s="16">
        <f>E308*0.025</f>
        <v>0</v>
      </c>
      <c r="G308" s="16">
        <f>F308*0.9</f>
        <v>0</v>
      </c>
      <c r="H308" s="16">
        <f>F308*0.1</f>
        <v>0</v>
      </c>
      <c r="I308" s="15"/>
      <c r="J308" s="16">
        <f>I308*0.025</f>
        <v>0</v>
      </c>
      <c r="K308" s="77"/>
    </row>
    <row r="309" spans="1:11" s="19" customFormat="1" ht="108.5" x14ac:dyDescent="0.3">
      <c r="A309" s="76"/>
      <c r="B309" s="22" t="s">
        <v>323</v>
      </c>
      <c r="C309" s="69" t="s">
        <v>325</v>
      </c>
      <c r="D309" s="70" t="s">
        <v>326</v>
      </c>
      <c r="E309" s="15"/>
      <c r="F309" s="16">
        <f>E309*0.031</f>
        <v>0</v>
      </c>
      <c r="G309" s="16">
        <f>F309*0.9</f>
        <v>0</v>
      </c>
      <c r="H309" s="16">
        <f>F309*0.1</f>
        <v>0</v>
      </c>
      <c r="I309" s="15"/>
      <c r="J309" s="16">
        <f>I309*0.031</f>
        <v>0</v>
      </c>
      <c r="K309" s="77"/>
    </row>
    <row r="310" spans="1:11" s="19" customFormat="1" ht="62" x14ac:dyDescent="0.3">
      <c r="A310" s="76"/>
      <c r="B310" s="22" t="s">
        <v>327</v>
      </c>
      <c r="C310" s="69"/>
      <c r="D310" s="70"/>
      <c r="E310" s="15"/>
      <c r="F310" s="16"/>
      <c r="G310" s="16"/>
      <c r="H310" s="16"/>
      <c r="I310" s="15"/>
      <c r="J310" s="16"/>
      <c r="K310" s="77"/>
    </row>
    <row r="311" spans="1:11" s="19" customFormat="1" ht="108.5" x14ac:dyDescent="0.3">
      <c r="A311" s="76"/>
      <c r="B311" s="22" t="s">
        <v>320</v>
      </c>
      <c r="C311" s="69" t="s">
        <v>325</v>
      </c>
      <c r="D311" s="70" t="s">
        <v>328</v>
      </c>
      <c r="E311" s="15"/>
      <c r="F311" s="16">
        <f>E311*0.03</f>
        <v>0</v>
      </c>
      <c r="G311" s="16">
        <f>F311*0.9</f>
        <v>0</v>
      </c>
      <c r="H311" s="16">
        <f>F311*0.1</f>
        <v>0</v>
      </c>
      <c r="I311" s="15"/>
      <c r="J311" s="16">
        <f>I311*0.03</f>
        <v>0</v>
      </c>
      <c r="K311" s="77"/>
    </row>
    <row r="312" spans="1:11" s="19" customFormat="1" ht="108.5" x14ac:dyDescent="0.3">
      <c r="A312" s="76"/>
      <c r="B312" s="22" t="s">
        <v>323</v>
      </c>
      <c r="C312" s="69" t="s">
        <v>325</v>
      </c>
      <c r="D312" s="70" t="s">
        <v>328</v>
      </c>
      <c r="E312" s="15"/>
      <c r="F312" s="16">
        <f>E312*0.038</f>
        <v>0</v>
      </c>
      <c r="G312" s="16">
        <f>F312*0.9</f>
        <v>0</v>
      </c>
      <c r="H312" s="16">
        <f>F312*0.1</f>
        <v>0</v>
      </c>
      <c r="I312" s="15"/>
      <c r="J312" s="16">
        <f>I312*0.038</f>
        <v>0</v>
      </c>
      <c r="K312" s="77"/>
    </row>
    <row r="313" spans="1:11" s="19" customFormat="1" x14ac:dyDescent="0.3">
      <c r="A313" s="76"/>
      <c r="B313" s="290" t="s">
        <v>329</v>
      </c>
      <c r="C313" s="291"/>
      <c r="D313" s="292"/>
      <c r="E313" s="15"/>
      <c r="F313" s="16"/>
      <c r="G313" s="16"/>
      <c r="H313" s="16"/>
      <c r="I313" s="15"/>
      <c r="J313" s="16"/>
      <c r="K313" s="77"/>
    </row>
    <row r="314" spans="1:11" s="19" customFormat="1" ht="108.5" x14ac:dyDescent="0.3">
      <c r="A314" s="76"/>
      <c r="B314" s="22" t="s">
        <v>320</v>
      </c>
      <c r="C314" s="69" t="s">
        <v>330</v>
      </c>
      <c r="D314" s="70" t="s">
        <v>331</v>
      </c>
      <c r="E314" s="15"/>
      <c r="F314" s="16">
        <f>E314*0.08</f>
        <v>0</v>
      </c>
      <c r="G314" s="16">
        <f>F314*0.9</f>
        <v>0</v>
      </c>
      <c r="H314" s="16">
        <f>F314*0.1</f>
        <v>0</v>
      </c>
      <c r="I314" s="15"/>
      <c r="J314" s="16">
        <f>I314*0.08</f>
        <v>0</v>
      </c>
      <c r="K314" s="77"/>
    </row>
    <row r="315" spans="1:11" s="19" customFormat="1" ht="108.5" x14ac:dyDescent="0.3">
      <c r="A315" s="76"/>
      <c r="B315" s="22" t="s">
        <v>323</v>
      </c>
      <c r="C315" s="69" t="s">
        <v>330</v>
      </c>
      <c r="D315" s="70" t="s">
        <v>331</v>
      </c>
      <c r="E315" s="15"/>
      <c r="F315" s="16">
        <f>E315*0.1</f>
        <v>0</v>
      </c>
      <c r="G315" s="16">
        <f>F315*0.9</f>
        <v>0</v>
      </c>
      <c r="H315" s="16">
        <f>F315*0.1</f>
        <v>0</v>
      </c>
      <c r="I315" s="15"/>
      <c r="J315" s="16">
        <f>I315*0.1</f>
        <v>0</v>
      </c>
      <c r="K315" s="77"/>
    </row>
    <row r="316" spans="1:11" s="19" customFormat="1" ht="31" x14ac:dyDescent="0.3">
      <c r="A316" s="76"/>
      <c r="B316" s="22" t="s">
        <v>332</v>
      </c>
      <c r="C316" s="69"/>
      <c r="D316" s="70"/>
      <c r="E316" s="15"/>
      <c r="F316" s="16"/>
      <c r="G316" s="16"/>
      <c r="H316" s="16"/>
      <c r="I316" s="15"/>
      <c r="J316" s="16"/>
      <c r="K316" s="77"/>
    </row>
    <row r="317" spans="1:11" s="19" customFormat="1" ht="108.5" x14ac:dyDescent="0.3">
      <c r="A317" s="76"/>
      <c r="B317" s="22" t="s">
        <v>320</v>
      </c>
      <c r="C317" s="69" t="s">
        <v>330</v>
      </c>
      <c r="D317" s="70" t="s">
        <v>333</v>
      </c>
      <c r="E317" s="15"/>
      <c r="F317" s="16">
        <f>E317*0.08</f>
        <v>0</v>
      </c>
      <c r="G317" s="16">
        <f>F317*0.9</f>
        <v>0</v>
      </c>
      <c r="H317" s="16">
        <f>F317*0.1</f>
        <v>0</v>
      </c>
      <c r="I317" s="15"/>
      <c r="J317" s="16">
        <f>I317*0.08</f>
        <v>0</v>
      </c>
      <c r="K317" s="77"/>
    </row>
    <row r="318" spans="1:11" s="19" customFormat="1" ht="108.5" x14ac:dyDescent="0.3">
      <c r="A318" s="76"/>
      <c r="B318" s="22" t="s">
        <v>323</v>
      </c>
      <c r="C318" s="69" t="s">
        <v>330</v>
      </c>
      <c r="D318" s="70" t="s">
        <v>333</v>
      </c>
      <c r="E318" s="15"/>
      <c r="F318" s="16">
        <f>E318*0.1</f>
        <v>0</v>
      </c>
      <c r="G318" s="16">
        <f>F318*0.9</f>
        <v>0</v>
      </c>
      <c r="H318" s="16">
        <f>F318*0.1</f>
        <v>0</v>
      </c>
      <c r="I318" s="15"/>
      <c r="J318" s="16">
        <f>I318*0.1</f>
        <v>0</v>
      </c>
      <c r="K318" s="77"/>
    </row>
    <row r="319" spans="1:11" s="19" customFormat="1" ht="31" x14ac:dyDescent="0.3">
      <c r="A319" s="76"/>
      <c r="B319" s="22" t="s">
        <v>334</v>
      </c>
      <c r="C319" s="69"/>
      <c r="D319" s="70"/>
      <c r="E319" s="15"/>
      <c r="F319" s="16"/>
      <c r="G319" s="16"/>
      <c r="H319" s="16"/>
      <c r="I319" s="15"/>
      <c r="J319" s="16"/>
      <c r="K319" s="77"/>
    </row>
    <row r="320" spans="1:11" s="19" customFormat="1" ht="108.5" x14ac:dyDescent="0.3">
      <c r="A320" s="76"/>
      <c r="B320" s="22" t="s">
        <v>320</v>
      </c>
      <c r="C320" s="69" t="s">
        <v>335</v>
      </c>
      <c r="D320" s="70" t="s">
        <v>336</v>
      </c>
      <c r="E320" s="15"/>
      <c r="F320" s="16">
        <f>E320*0.5</f>
        <v>0</v>
      </c>
      <c r="G320" s="16">
        <f>F320*0.9</f>
        <v>0</v>
      </c>
      <c r="H320" s="16">
        <f>F320*0.1</f>
        <v>0</v>
      </c>
      <c r="I320" s="15"/>
      <c r="J320" s="16">
        <f>I320*0.5</f>
        <v>0</v>
      </c>
      <c r="K320" s="77"/>
    </row>
    <row r="321" spans="1:13" s="19" customFormat="1" ht="108.5" x14ac:dyDescent="0.3">
      <c r="A321" s="76"/>
      <c r="B321" s="22" t="s">
        <v>323</v>
      </c>
      <c r="C321" s="69" t="s">
        <v>335</v>
      </c>
      <c r="D321" s="70" t="s">
        <v>336</v>
      </c>
      <c r="E321" s="15"/>
      <c r="F321" s="16">
        <f>E321*0.63</f>
        <v>0</v>
      </c>
      <c r="G321" s="16">
        <f>F321*0.9</f>
        <v>0</v>
      </c>
      <c r="H321" s="16">
        <f>F321*0.1</f>
        <v>0</v>
      </c>
      <c r="I321" s="15"/>
      <c r="J321" s="16">
        <f>I321*0.63</f>
        <v>0</v>
      </c>
      <c r="K321" s="77"/>
    </row>
    <row r="322" spans="1:13" s="19" customFormat="1" ht="108.5" x14ac:dyDescent="0.3">
      <c r="A322" s="76"/>
      <c r="B322" s="22" t="s">
        <v>337</v>
      </c>
      <c r="C322" s="22" t="s">
        <v>338</v>
      </c>
      <c r="D322" s="70" t="s">
        <v>339</v>
      </c>
      <c r="E322" s="15"/>
      <c r="F322" s="16"/>
      <c r="G322" s="16"/>
      <c r="H322" s="16"/>
      <c r="I322" s="15"/>
      <c r="J322" s="16"/>
      <c r="K322" s="77"/>
    </row>
    <row r="323" spans="1:13" s="19" customFormat="1" x14ac:dyDescent="0.3">
      <c r="A323" s="76"/>
      <c r="B323" s="22" t="s">
        <v>310</v>
      </c>
      <c r="C323" s="78" t="s">
        <v>111</v>
      </c>
      <c r="D323" s="78" t="s">
        <v>111</v>
      </c>
      <c r="E323" s="15"/>
      <c r="F323" s="16">
        <f>E323*0.012</f>
        <v>0</v>
      </c>
      <c r="G323" s="16">
        <f>F323*0.9</f>
        <v>0</v>
      </c>
      <c r="H323" s="16">
        <f>F323*0.1</f>
        <v>0</v>
      </c>
      <c r="I323" s="15"/>
      <c r="J323" s="16">
        <f>I323*0.012</f>
        <v>0</v>
      </c>
      <c r="K323" s="77"/>
    </row>
    <row r="324" spans="1:13" s="19" customFormat="1" x14ac:dyDescent="0.3">
      <c r="A324" s="76"/>
      <c r="B324" s="22" t="s">
        <v>553</v>
      </c>
      <c r="C324" s="78" t="s">
        <v>111</v>
      </c>
      <c r="D324" s="78" t="s">
        <v>111</v>
      </c>
      <c r="E324" s="15"/>
      <c r="F324" s="16">
        <f>E324*0.014</f>
        <v>0</v>
      </c>
      <c r="G324" s="16">
        <f>F324*0.9</f>
        <v>0</v>
      </c>
      <c r="H324" s="16">
        <f>F324*0.1</f>
        <v>0</v>
      </c>
      <c r="I324" s="15"/>
      <c r="J324" s="16">
        <f>I324*0.014</f>
        <v>0</v>
      </c>
      <c r="K324" s="77"/>
    </row>
    <row r="325" spans="1:13" s="19" customFormat="1" ht="62" x14ac:dyDescent="0.3">
      <c r="A325" s="76"/>
      <c r="B325" s="22" t="s">
        <v>340</v>
      </c>
      <c r="C325" s="22" t="s">
        <v>341</v>
      </c>
      <c r="D325" s="14" t="s">
        <v>342</v>
      </c>
      <c r="E325" s="15"/>
      <c r="F325" s="16">
        <f>E325*50</f>
        <v>0</v>
      </c>
      <c r="G325" s="16">
        <f>F325*0.9</f>
        <v>0</v>
      </c>
      <c r="H325" s="16">
        <f>F325*0.1</f>
        <v>0</v>
      </c>
      <c r="I325" s="15"/>
      <c r="J325" s="16">
        <f>I325*50</f>
        <v>0</v>
      </c>
      <c r="K325" s="77"/>
    </row>
    <row r="326" spans="1:13" s="19" customFormat="1" ht="18" x14ac:dyDescent="0.3">
      <c r="A326" s="26"/>
      <c r="B326" s="26" t="s">
        <v>122</v>
      </c>
      <c r="C326" s="26"/>
      <c r="D326" s="26"/>
      <c r="E326" s="33">
        <f t="shared" ref="E326:J326" si="59">SUM(E284:E325)</f>
        <v>0</v>
      </c>
      <c r="F326" s="28">
        <f t="shared" si="59"/>
        <v>0</v>
      </c>
      <c r="G326" s="28">
        <f t="shared" si="59"/>
        <v>0</v>
      </c>
      <c r="H326" s="28">
        <f t="shared" si="59"/>
        <v>0</v>
      </c>
      <c r="I326" s="33">
        <f t="shared" si="59"/>
        <v>0</v>
      </c>
      <c r="J326" s="28">
        <f t="shared" si="59"/>
        <v>0</v>
      </c>
      <c r="K326" s="17"/>
    </row>
    <row r="327" spans="1:13" s="19" customFormat="1" ht="62" x14ac:dyDescent="0.3">
      <c r="A327" s="26">
        <v>13</v>
      </c>
      <c r="B327" s="26" t="s">
        <v>343</v>
      </c>
      <c r="C327" s="14" t="s">
        <v>344</v>
      </c>
      <c r="D327" s="14" t="s">
        <v>345</v>
      </c>
      <c r="E327" s="33"/>
      <c r="F327" s="28">
        <f>E327*25*1</f>
        <v>0</v>
      </c>
      <c r="G327" s="16">
        <f>F327*0.9</f>
        <v>0</v>
      </c>
      <c r="H327" s="16">
        <f>F327*0.1</f>
        <v>0</v>
      </c>
      <c r="I327" s="33"/>
      <c r="J327" s="28">
        <f>I327*25*1</f>
        <v>0</v>
      </c>
      <c r="K327" s="17" t="s">
        <v>18</v>
      </c>
    </row>
    <row r="328" spans="1:13" s="19" customFormat="1" ht="18" x14ac:dyDescent="0.3">
      <c r="A328" s="41">
        <v>14</v>
      </c>
      <c r="B328" s="259" t="s">
        <v>346</v>
      </c>
      <c r="C328" s="259"/>
      <c r="D328" s="259"/>
      <c r="E328" s="16"/>
      <c r="F328" s="16"/>
      <c r="G328" s="16"/>
      <c r="H328" s="16"/>
      <c r="I328" s="16"/>
      <c r="J328" s="16"/>
      <c r="K328" s="20"/>
    </row>
    <row r="329" spans="1:13" s="81" customFormat="1" ht="31" x14ac:dyDescent="0.25">
      <c r="A329" s="7"/>
      <c r="B329" s="26" t="s">
        <v>347</v>
      </c>
      <c r="C329" s="14" t="s">
        <v>348</v>
      </c>
      <c r="D329" s="26" t="s">
        <v>349</v>
      </c>
      <c r="E329" s="15"/>
      <c r="F329" s="16">
        <f>E329*2</f>
        <v>0</v>
      </c>
      <c r="G329" s="16">
        <f t="shared" ref="G329:G338" si="60">F329*0.9</f>
        <v>0</v>
      </c>
      <c r="H329" s="16">
        <f t="shared" ref="H329:H338" si="61">F329*0.1</f>
        <v>0</v>
      </c>
      <c r="I329" s="15"/>
      <c r="J329" s="16">
        <f>I329*2</f>
        <v>0</v>
      </c>
      <c r="K329" s="80"/>
    </row>
    <row r="330" spans="1:13" s="81" customFormat="1" ht="72" customHeight="1" x14ac:dyDescent="0.25">
      <c r="A330" s="7"/>
      <c r="B330" s="14" t="s">
        <v>350</v>
      </c>
      <c r="C330" s="14" t="s">
        <v>351</v>
      </c>
      <c r="D330" s="14" t="s">
        <v>352</v>
      </c>
      <c r="E330" s="15"/>
      <c r="F330" s="16"/>
      <c r="G330" s="16">
        <f t="shared" si="60"/>
        <v>0</v>
      </c>
      <c r="H330" s="16">
        <f t="shared" si="61"/>
        <v>0</v>
      </c>
      <c r="I330" s="15"/>
      <c r="J330" s="16"/>
      <c r="K330" s="80"/>
    </row>
    <row r="331" spans="1:13" s="81" customFormat="1" ht="72" customHeight="1" x14ac:dyDescent="0.3">
      <c r="A331" s="7"/>
      <c r="B331" s="14" t="s">
        <v>353</v>
      </c>
      <c r="C331" s="14" t="s">
        <v>351</v>
      </c>
      <c r="D331" s="14" t="s">
        <v>352</v>
      </c>
      <c r="E331" s="15"/>
      <c r="F331" s="16">
        <f>E331*50*0.35</f>
        <v>0</v>
      </c>
      <c r="G331" s="16">
        <f t="shared" si="60"/>
        <v>0</v>
      </c>
      <c r="H331" s="16">
        <f t="shared" si="61"/>
        <v>0</v>
      </c>
      <c r="I331" s="15"/>
      <c r="J331" s="16">
        <f>I331*50*0.35</f>
        <v>0</v>
      </c>
      <c r="K331" s="80"/>
      <c r="M331" s="19"/>
    </row>
    <row r="332" spans="1:13" s="81" customFormat="1" ht="72" customHeight="1" x14ac:dyDescent="0.3">
      <c r="A332" s="7"/>
      <c r="B332" s="14" t="s">
        <v>354</v>
      </c>
      <c r="C332" s="14" t="s">
        <v>351</v>
      </c>
      <c r="D332" s="14" t="s">
        <v>352</v>
      </c>
      <c r="E332" s="15"/>
      <c r="F332" s="16">
        <f>E332*50*0.5</f>
        <v>0</v>
      </c>
      <c r="G332" s="16">
        <f t="shared" si="60"/>
        <v>0</v>
      </c>
      <c r="H332" s="16">
        <f t="shared" si="61"/>
        <v>0</v>
      </c>
      <c r="I332" s="15"/>
      <c r="J332" s="16">
        <f>I332*50*0.5</f>
        <v>0</v>
      </c>
      <c r="K332" s="80"/>
      <c r="M332" s="19"/>
    </row>
    <row r="333" spans="1:13" s="81" customFormat="1" ht="64.150000000000006" customHeight="1" x14ac:dyDescent="0.3">
      <c r="A333" s="7"/>
      <c r="B333" s="22" t="s">
        <v>355</v>
      </c>
      <c r="C333" s="14" t="s">
        <v>356</v>
      </c>
      <c r="D333" s="14" t="s">
        <v>352</v>
      </c>
      <c r="E333" s="15"/>
      <c r="F333" s="16">
        <f>E333*25*0.35</f>
        <v>0</v>
      </c>
      <c r="G333" s="16">
        <f t="shared" si="60"/>
        <v>0</v>
      </c>
      <c r="H333" s="16">
        <f t="shared" si="61"/>
        <v>0</v>
      </c>
      <c r="I333" s="15"/>
      <c r="J333" s="16">
        <f>I333*25*0.35</f>
        <v>0</v>
      </c>
      <c r="K333" s="80"/>
      <c r="M333" s="19"/>
    </row>
    <row r="334" spans="1:13" s="81" customFormat="1" ht="64.150000000000006" customHeight="1" x14ac:dyDescent="0.25">
      <c r="A334" s="7"/>
      <c r="B334" s="22" t="s">
        <v>357</v>
      </c>
      <c r="C334" s="14" t="s">
        <v>356</v>
      </c>
      <c r="D334" s="14" t="s">
        <v>352</v>
      </c>
      <c r="E334" s="15"/>
      <c r="F334" s="16">
        <f>E334*25*0.5</f>
        <v>0</v>
      </c>
      <c r="G334" s="16">
        <f t="shared" si="60"/>
        <v>0</v>
      </c>
      <c r="H334" s="16">
        <f t="shared" si="61"/>
        <v>0</v>
      </c>
      <c r="I334" s="15"/>
      <c r="J334" s="16">
        <f>I334*25*0.5</f>
        <v>0</v>
      </c>
      <c r="K334" s="80"/>
    </row>
    <row r="335" spans="1:13" s="81" customFormat="1" ht="64.150000000000006" customHeight="1" x14ac:dyDescent="0.25">
      <c r="A335" s="7"/>
      <c r="B335" s="14" t="s">
        <v>358</v>
      </c>
      <c r="C335" s="14" t="s">
        <v>359</v>
      </c>
      <c r="D335" s="14" t="s">
        <v>352</v>
      </c>
      <c r="E335" s="15"/>
      <c r="F335" s="16">
        <f>E335*15*0.35</f>
        <v>0</v>
      </c>
      <c r="G335" s="16">
        <f t="shared" si="60"/>
        <v>0</v>
      </c>
      <c r="H335" s="16">
        <f t="shared" si="61"/>
        <v>0</v>
      </c>
      <c r="I335" s="15"/>
      <c r="J335" s="16">
        <f>I335*15*0.35</f>
        <v>0</v>
      </c>
      <c r="K335" s="80"/>
    </row>
    <row r="336" spans="1:13" s="81" customFormat="1" ht="62" x14ac:dyDescent="0.25">
      <c r="A336" s="7"/>
      <c r="B336" s="14" t="s">
        <v>360</v>
      </c>
      <c r="C336" s="14" t="s">
        <v>359</v>
      </c>
      <c r="D336" s="14" t="s">
        <v>352</v>
      </c>
      <c r="E336" s="15"/>
      <c r="F336" s="16">
        <f>E336*15*0.5</f>
        <v>0</v>
      </c>
      <c r="G336" s="16">
        <f t="shared" si="60"/>
        <v>0</v>
      </c>
      <c r="H336" s="16">
        <f t="shared" si="61"/>
        <v>0</v>
      </c>
      <c r="I336" s="15"/>
      <c r="J336" s="16">
        <f>I336*15*0.5</f>
        <v>0</v>
      </c>
      <c r="K336" s="80"/>
    </row>
    <row r="337" spans="1:11" s="81" customFormat="1" ht="62" x14ac:dyDescent="0.25">
      <c r="A337" s="7"/>
      <c r="B337" s="14" t="s">
        <v>361</v>
      </c>
      <c r="C337" s="14" t="s">
        <v>362</v>
      </c>
      <c r="D337" s="14" t="s">
        <v>363</v>
      </c>
      <c r="E337" s="15"/>
      <c r="F337" s="16">
        <f>E337*25*0.35</f>
        <v>0</v>
      </c>
      <c r="G337" s="16">
        <f t="shared" si="60"/>
        <v>0</v>
      </c>
      <c r="H337" s="16">
        <f t="shared" si="61"/>
        <v>0</v>
      </c>
      <c r="I337" s="15"/>
      <c r="J337" s="16">
        <f>I337*25*0.35</f>
        <v>0</v>
      </c>
      <c r="K337" s="80"/>
    </row>
    <row r="338" spans="1:11" s="81" customFormat="1" ht="62" x14ac:dyDescent="0.25">
      <c r="A338" s="7"/>
      <c r="B338" s="14" t="s">
        <v>364</v>
      </c>
      <c r="C338" s="14" t="s">
        <v>362</v>
      </c>
      <c r="D338" s="14" t="s">
        <v>363</v>
      </c>
      <c r="E338" s="15"/>
      <c r="F338" s="16">
        <f>E338*25*0.5</f>
        <v>0</v>
      </c>
      <c r="G338" s="16">
        <f t="shared" si="60"/>
        <v>0</v>
      </c>
      <c r="H338" s="16">
        <f t="shared" si="61"/>
        <v>0</v>
      </c>
      <c r="I338" s="15"/>
      <c r="J338" s="16">
        <f>I338*25*0.5</f>
        <v>0</v>
      </c>
      <c r="K338" s="80"/>
    </row>
    <row r="339" spans="1:11" s="81" customFormat="1" x14ac:dyDescent="0.25">
      <c r="A339" s="7"/>
      <c r="B339" s="283" t="s">
        <v>365</v>
      </c>
      <c r="C339" s="293"/>
      <c r="D339" s="284"/>
      <c r="E339" s="15"/>
      <c r="F339" s="16"/>
      <c r="G339" s="16"/>
      <c r="H339" s="16"/>
      <c r="I339" s="15"/>
      <c r="J339" s="16"/>
      <c r="K339" s="80"/>
    </row>
    <row r="340" spans="1:11" s="81" customFormat="1" x14ac:dyDescent="0.25">
      <c r="A340" s="7"/>
      <c r="B340" s="283" t="s">
        <v>366</v>
      </c>
      <c r="C340" s="293"/>
      <c r="D340" s="284"/>
      <c r="E340" s="15"/>
      <c r="F340" s="16"/>
      <c r="G340" s="16"/>
      <c r="H340" s="16"/>
      <c r="I340" s="15"/>
      <c r="J340" s="16"/>
      <c r="K340" s="80"/>
    </row>
    <row r="341" spans="1:11" s="81" customFormat="1" ht="76.900000000000006" customHeight="1" x14ac:dyDescent="0.25">
      <c r="A341" s="7"/>
      <c r="B341" s="14" t="s">
        <v>353</v>
      </c>
      <c r="C341" s="67" t="s">
        <v>367</v>
      </c>
      <c r="D341" s="14" t="s">
        <v>368</v>
      </c>
      <c r="E341" s="15"/>
      <c r="F341" s="16">
        <f>E341*400*0.35</f>
        <v>0</v>
      </c>
      <c r="G341" s="16">
        <f>F341*0.9</f>
        <v>0</v>
      </c>
      <c r="H341" s="16">
        <f>F341*0.1</f>
        <v>0</v>
      </c>
      <c r="I341" s="15"/>
      <c r="J341" s="16">
        <f>I341*400*0.35</f>
        <v>0</v>
      </c>
      <c r="K341" s="80">
        <f>9600/2</f>
        <v>4800</v>
      </c>
    </row>
    <row r="342" spans="1:11" s="81" customFormat="1" ht="76.900000000000006" customHeight="1" x14ac:dyDescent="0.25">
      <c r="A342" s="7"/>
      <c r="B342" s="14" t="s">
        <v>354</v>
      </c>
      <c r="C342" s="67" t="s">
        <v>367</v>
      </c>
      <c r="D342" s="14" t="s">
        <v>368</v>
      </c>
      <c r="E342" s="15"/>
      <c r="F342" s="16">
        <f>E342*400*0.5</f>
        <v>0</v>
      </c>
      <c r="G342" s="16">
        <f>F342*0.9</f>
        <v>0</v>
      </c>
      <c r="H342" s="16">
        <f>F342*0.1</f>
        <v>0</v>
      </c>
      <c r="I342" s="15"/>
      <c r="J342" s="16">
        <f>I342*400*0.5</f>
        <v>0</v>
      </c>
      <c r="K342" s="80"/>
    </row>
    <row r="343" spans="1:11" s="81" customFormat="1" x14ac:dyDescent="0.25">
      <c r="A343" s="7"/>
      <c r="B343" s="283" t="s">
        <v>369</v>
      </c>
      <c r="C343" s="293"/>
      <c r="D343" s="284"/>
      <c r="E343" s="15"/>
      <c r="F343" s="16"/>
      <c r="G343" s="16"/>
      <c r="H343" s="16"/>
      <c r="I343" s="15"/>
      <c r="J343" s="16"/>
      <c r="K343" s="20"/>
    </row>
    <row r="344" spans="1:11" s="81" customFormat="1" ht="109.15" customHeight="1" x14ac:dyDescent="0.25">
      <c r="A344" s="7"/>
      <c r="B344" s="14" t="s">
        <v>353</v>
      </c>
      <c r="C344" s="67" t="s">
        <v>370</v>
      </c>
      <c r="D344" s="14" t="s">
        <v>368</v>
      </c>
      <c r="E344" s="15"/>
      <c r="F344" s="16">
        <f>E344*500*0.35</f>
        <v>0</v>
      </c>
      <c r="G344" s="16">
        <f>F344*0.9</f>
        <v>0</v>
      </c>
      <c r="H344" s="16">
        <f>F344*0.1</f>
        <v>0</v>
      </c>
      <c r="I344" s="15"/>
      <c r="J344" s="16">
        <f>I344*500*0.35</f>
        <v>0</v>
      </c>
      <c r="K344" s="20"/>
    </row>
    <row r="345" spans="1:11" s="81" customFormat="1" ht="109.15" customHeight="1" x14ac:dyDescent="0.25">
      <c r="A345" s="7"/>
      <c r="B345" s="14" t="s">
        <v>354</v>
      </c>
      <c r="C345" s="67" t="s">
        <v>370</v>
      </c>
      <c r="D345" s="14" t="s">
        <v>368</v>
      </c>
      <c r="E345" s="15"/>
      <c r="F345" s="16">
        <f>E345*500*0.5</f>
        <v>0</v>
      </c>
      <c r="G345" s="16">
        <f>F345*0.9</f>
        <v>0</v>
      </c>
      <c r="H345" s="16">
        <f>F345*0.1</f>
        <v>0</v>
      </c>
      <c r="I345" s="15"/>
      <c r="J345" s="16">
        <f>I345*500*0.5</f>
        <v>0</v>
      </c>
      <c r="K345" s="20"/>
    </row>
    <row r="346" spans="1:11" s="81" customFormat="1" x14ac:dyDescent="0.25">
      <c r="A346" s="7"/>
      <c r="B346" s="283" t="s">
        <v>371</v>
      </c>
      <c r="C346" s="293"/>
      <c r="D346" s="284"/>
      <c r="E346" s="15"/>
      <c r="F346" s="16"/>
      <c r="G346" s="16"/>
      <c r="H346" s="16"/>
      <c r="I346" s="15"/>
      <c r="J346" s="16"/>
      <c r="K346" s="20"/>
    </row>
    <row r="347" spans="1:11" s="81" customFormat="1" ht="109.15" customHeight="1" x14ac:dyDescent="0.25">
      <c r="A347" s="7"/>
      <c r="B347" s="14" t="s">
        <v>353</v>
      </c>
      <c r="C347" s="67" t="s">
        <v>372</v>
      </c>
      <c r="D347" s="14" t="s">
        <v>352</v>
      </c>
      <c r="E347" s="15"/>
      <c r="F347" s="16">
        <f>E347*500*0.35</f>
        <v>0</v>
      </c>
      <c r="G347" s="16">
        <f>F347*0.9</f>
        <v>0</v>
      </c>
      <c r="H347" s="16">
        <f>F347*0.1</f>
        <v>0</v>
      </c>
      <c r="I347" s="15"/>
      <c r="J347" s="16">
        <f>I347*500*0.35</f>
        <v>0</v>
      </c>
      <c r="K347" s="20"/>
    </row>
    <row r="348" spans="1:11" s="81" customFormat="1" ht="109.15" customHeight="1" x14ac:dyDescent="0.25">
      <c r="A348" s="7"/>
      <c r="B348" s="14" t="s">
        <v>354</v>
      </c>
      <c r="C348" s="67" t="s">
        <v>372</v>
      </c>
      <c r="D348" s="14" t="s">
        <v>352</v>
      </c>
      <c r="E348" s="15"/>
      <c r="F348" s="16">
        <f>E348*500*0.5</f>
        <v>0</v>
      </c>
      <c r="G348" s="16">
        <f>F348*0.9</f>
        <v>0</v>
      </c>
      <c r="H348" s="16">
        <f>F348*0.1</f>
        <v>0</v>
      </c>
      <c r="I348" s="15"/>
      <c r="J348" s="16">
        <f>I348*500*0.5</f>
        <v>0</v>
      </c>
      <c r="K348" s="20"/>
    </row>
    <row r="349" spans="1:11" s="81" customFormat="1" x14ac:dyDescent="0.25">
      <c r="A349" s="7"/>
      <c r="B349" s="283" t="s">
        <v>373</v>
      </c>
      <c r="C349" s="293"/>
      <c r="D349" s="284"/>
      <c r="E349" s="15"/>
      <c r="F349" s="16"/>
      <c r="G349" s="16"/>
      <c r="H349" s="16"/>
      <c r="I349" s="15"/>
      <c r="J349" s="16"/>
      <c r="K349" s="82"/>
    </row>
    <row r="350" spans="1:11" s="81" customFormat="1" ht="109.15" customHeight="1" x14ac:dyDescent="0.25">
      <c r="A350" s="7"/>
      <c r="B350" s="14" t="s">
        <v>353</v>
      </c>
      <c r="C350" s="67" t="s">
        <v>374</v>
      </c>
      <c r="D350" s="14" t="s">
        <v>352</v>
      </c>
      <c r="E350" s="15"/>
      <c r="F350" s="16">
        <f>E350*100*0.35</f>
        <v>0</v>
      </c>
      <c r="G350" s="16">
        <f>F350*0.9</f>
        <v>0</v>
      </c>
      <c r="H350" s="16">
        <f>F350*0.1</f>
        <v>0</v>
      </c>
      <c r="I350" s="15"/>
      <c r="J350" s="16">
        <f>I350*100*0.35</f>
        <v>0</v>
      </c>
      <c r="K350" s="20"/>
    </row>
    <row r="351" spans="1:11" s="81" customFormat="1" ht="109.15" customHeight="1" x14ac:dyDescent="0.25">
      <c r="A351" s="7"/>
      <c r="B351" s="14" t="s">
        <v>354</v>
      </c>
      <c r="C351" s="67" t="s">
        <v>374</v>
      </c>
      <c r="D351" s="14" t="s">
        <v>352</v>
      </c>
      <c r="E351" s="15"/>
      <c r="F351" s="16">
        <f>E351*250*0.5</f>
        <v>0</v>
      </c>
      <c r="G351" s="16">
        <f>F351*0.9</f>
        <v>0</v>
      </c>
      <c r="H351" s="16">
        <f>F351*0.1</f>
        <v>0</v>
      </c>
      <c r="I351" s="15"/>
      <c r="J351" s="16">
        <f>I351*250*0.5</f>
        <v>0</v>
      </c>
      <c r="K351" s="20"/>
    </row>
    <row r="352" spans="1:11" s="81" customFormat="1" ht="46.5" x14ac:dyDescent="0.25">
      <c r="A352" s="7"/>
      <c r="B352" s="14" t="s">
        <v>375</v>
      </c>
      <c r="C352" s="14" t="s">
        <v>376</v>
      </c>
      <c r="D352" s="14" t="s">
        <v>377</v>
      </c>
      <c r="E352" s="15"/>
      <c r="F352" s="16">
        <f>E352*0.32*0.4</f>
        <v>0</v>
      </c>
      <c r="G352" s="16">
        <f>F352*0.9</f>
        <v>0</v>
      </c>
      <c r="H352" s="16">
        <f>F352*0.1</f>
        <v>0</v>
      </c>
      <c r="I352" s="15"/>
      <c r="J352" s="16">
        <f>I352*0.32*0.4</f>
        <v>0</v>
      </c>
      <c r="K352" s="82"/>
    </row>
    <row r="353" spans="1:11" s="19" customFormat="1" ht="30" customHeight="1" x14ac:dyDescent="0.3">
      <c r="A353" s="7"/>
      <c r="B353" s="283" t="s">
        <v>378</v>
      </c>
      <c r="C353" s="293"/>
      <c r="D353" s="284"/>
      <c r="E353" s="15"/>
      <c r="F353" s="16"/>
      <c r="G353" s="16"/>
      <c r="H353" s="16"/>
      <c r="I353" s="15"/>
      <c r="J353" s="16"/>
      <c r="K353" s="20"/>
    </row>
    <row r="354" spans="1:11" s="81" customFormat="1" ht="77.5" x14ac:dyDescent="0.25">
      <c r="A354" s="7"/>
      <c r="B354" s="14" t="s">
        <v>353</v>
      </c>
      <c r="C354" s="14" t="s">
        <v>379</v>
      </c>
      <c r="D354" s="14" t="s">
        <v>380</v>
      </c>
      <c r="E354" s="15"/>
      <c r="F354" s="16">
        <f>E354*26*0.35</f>
        <v>0</v>
      </c>
      <c r="G354" s="16">
        <f>F354*0.9</f>
        <v>0</v>
      </c>
      <c r="H354" s="16">
        <f>F354*0.1</f>
        <v>0</v>
      </c>
      <c r="I354" s="15"/>
      <c r="J354" s="16">
        <f>I354*26*0.35</f>
        <v>0</v>
      </c>
      <c r="K354" s="20"/>
    </row>
    <row r="355" spans="1:11" s="81" customFormat="1" ht="109.15" customHeight="1" x14ac:dyDescent="0.25">
      <c r="A355" s="7"/>
      <c r="B355" s="14" t="s">
        <v>354</v>
      </c>
      <c r="C355" s="14" t="s">
        <v>379</v>
      </c>
      <c r="D355" s="14" t="s">
        <v>380</v>
      </c>
      <c r="E355" s="15"/>
      <c r="F355" s="16">
        <f>E355*26*0.5</f>
        <v>0</v>
      </c>
      <c r="G355" s="16">
        <f>F355*0.9</f>
        <v>0</v>
      </c>
      <c r="H355" s="16">
        <f>F355*0.1</f>
        <v>0</v>
      </c>
      <c r="I355" s="15"/>
      <c r="J355" s="16">
        <f>I355*26*0.5</f>
        <v>0</v>
      </c>
      <c r="K355" s="20"/>
    </row>
    <row r="356" spans="1:11" s="19" customFormat="1" ht="36" customHeight="1" x14ac:dyDescent="0.3">
      <c r="A356" s="7"/>
      <c r="B356" s="14" t="s">
        <v>381</v>
      </c>
      <c r="C356" s="14" t="s">
        <v>382</v>
      </c>
      <c r="D356" s="11" t="s">
        <v>111</v>
      </c>
      <c r="E356" s="15"/>
      <c r="F356" s="16">
        <f>E356*1*0.35</f>
        <v>0</v>
      </c>
      <c r="G356" s="16">
        <f>F356*0.9</f>
        <v>0</v>
      </c>
      <c r="H356" s="16">
        <f>F356*0.1</f>
        <v>0</v>
      </c>
      <c r="I356" s="15"/>
      <c r="J356" s="16">
        <f>I356*1*0.35</f>
        <v>0</v>
      </c>
      <c r="K356" s="20"/>
    </row>
    <row r="357" spans="1:11" s="19" customFormat="1" ht="36" customHeight="1" x14ac:dyDescent="0.3">
      <c r="A357" s="7"/>
      <c r="B357" s="14" t="s">
        <v>383</v>
      </c>
      <c r="C357" s="14" t="s">
        <v>382</v>
      </c>
      <c r="D357" s="11" t="s">
        <v>111</v>
      </c>
      <c r="E357" s="15"/>
      <c r="F357" s="16">
        <f>E357*1*0.5</f>
        <v>0</v>
      </c>
      <c r="G357" s="16">
        <f>F357*0.9</f>
        <v>0</v>
      </c>
      <c r="H357" s="16">
        <f>F357*0.1</f>
        <v>0</v>
      </c>
      <c r="I357" s="15"/>
      <c r="J357" s="16">
        <f>I357*1*0.5</f>
        <v>0</v>
      </c>
      <c r="K357" s="20"/>
    </row>
    <row r="358" spans="1:11" s="19" customFormat="1" ht="52.5" customHeight="1" x14ac:dyDescent="0.3">
      <c r="A358" s="7"/>
      <c r="B358" s="26" t="s">
        <v>384</v>
      </c>
      <c r="C358" s="14" t="s">
        <v>385</v>
      </c>
      <c r="D358" s="14" t="s">
        <v>386</v>
      </c>
      <c r="E358" s="15"/>
      <c r="F358" s="16">
        <f>E358*5*0.5</f>
        <v>0</v>
      </c>
      <c r="G358" s="16">
        <f>F358*0.9</f>
        <v>0</v>
      </c>
      <c r="H358" s="16">
        <f>F358*0.1</f>
        <v>0</v>
      </c>
      <c r="I358" s="15"/>
      <c r="J358" s="16">
        <f>I358*5*0.5</f>
        <v>0</v>
      </c>
      <c r="K358" s="20"/>
    </row>
    <row r="359" spans="1:11" s="19" customFormat="1" x14ac:dyDescent="0.3">
      <c r="A359" s="7"/>
      <c r="B359" s="283" t="s">
        <v>387</v>
      </c>
      <c r="C359" s="284"/>
      <c r="D359" s="14"/>
      <c r="E359" s="15"/>
      <c r="F359" s="16"/>
      <c r="G359" s="16"/>
      <c r="H359" s="16"/>
      <c r="I359" s="15"/>
      <c r="J359" s="16"/>
      <c r="K359" s="20"/>
    </row>
    <row r="360" spans="1:11" s="81" customFormat="1" ht="77.5" x14ac:dyDescent="0.25">
      <c r="A360" s="7"/>
      <c r="B360" s="14" t="s">
        <v>353</v>
      </c>
      <c r="C360" s="14" t="s">
        <v>388</v>
      </c>
      <c r="D360" s="14" t="s">
        <v>389</v>
      </c>
      <c r="E360" s="15"/>
      <c r="F360" s="16">
        <f>E360*25*0.4</f>
        <v>0</v>
      </c>
      <c r="G360" s="16">
        <f>F360*0.9</f>
        <v>0</v>
      </c>
      <c r="H360" s="16">
        <f>F360*0.1</f>
        <v>0</v>
      </c>
      <c r="I360" s="15"/>
      <c r="J360" s="16">
        <f>I360*25*0.4</f>
        <v>0</v>
      </c>
      <c r="K360" s="20"/>
    </row>
    <row r="361" spans="1:11" s="81" customFormat="1" ht="77.5" x14ac:dyDescent="0.25">
      <c r="A361" s="7"/>
      <c r="B361" s="14" t="s">
        <v>354</v>
      </c>
      <c r="C361" s="14" t="s">
        <v>388</v>
      </c>
      <c r="D361" s="14" t="s">
        <v>389</v>
      </c>
      <c r="E361" s="15"/>
      <c r="F361" s="16"/>
      <c r="G361" s="16">
        <f>F361*0.9</f>
        <v>0</v>
      </c>
      <c r="H361" s="16">
        <f>F361*0.1</f>
        <v>0</v>
      </c>
      <c r="I361" s="15"/>
      <c r="J361" s="16">
        <f>I361*25*0.55</f>
        <v>0</v>
      </c>
      <c r="K361" s="20"/>
    </row>
    <row r="362" spans="1:11" s="81" customFormat="1" ht="62" x14ac:dyDescent="0.25">
      <c r="A362" s="7"/>
      <c r="B362" s="14" t="s">
        <v>390</v>
      </c>
      <c r="C362" s="14" t="s">
        <v>391</v>
      </c>
      <c r="D362" s="14" t="s">
        <v>386</v>
      </c>
      <c r="E362" s="15"/>
      <c r="F362" s="16"/>
      <c r="G362" s="16"/>
      <c r="H362" s="16"/>
      <c r="I362" s="15"/>
      <c r="J362" s="16"/>
      <c r="K362" s="20"/>
    </row>
    <row r="363" spans="1:11" s="81" customFormat="1" ht="31" x14ac:dyDescent="0.25">
      <c r="A363" s="7"/>
      <c r="B363" s="14" t="s">
        <v>392</v>
      </c>
      <c r="C363" s="14" t="s">
        <v>393</v>
      </c>
      <c r="D363" s="14"/>
      <c r="E363" s="16"/>
      <c r="F363" s="16">
        <f>E363*2*0.5</f>
        <v>0</v>
      </c>
      <c r="G363" s="16">
        <f>F363*0.9</f>
        <v>0</v>
      </c>
      <c r="H363" s="16">
        <f>F363*0.1</f>
        <v>0</v>
      </c>
      <c r="I363" s="16"/>
      <c r="J363" s="16">
        <f>I363*2*0.5</f>
        <v>0</v>
      </c>
      <c r="K363" s="20"/>
    </row>
    <row r="364" spans="1:11" s="81" customFormat="1" ht="31" x14ac:dyDescent="0.25">
      <c r="A364" s="7"/>
      <c r="B364" s="14" t="s">
        <v>394</v>
      </c>
      <c r="C364" s="14" t="s">
        <v>395</v>
      </c>
      <c r="D364" s="14"/>
      <c r="E364" s="15"/>
      <c r="F364" s="16">
        <f>E364*1*0.5</f>
        <v>0</v>
      </c>
      <c r="G364" s="16">
        <f>F364*0.9</f>
        <v>0</v>
      </c>
      <c r="H364" s="16">
        <f>F364*0.1</f>
        <v>0</v>
      </c>
      <c r="I364" s="15"/>
      <c r="J364" s="16">
        <f>I364*1*0.5</f>
        <v>0</v>
      </c>
      <c r="K364" s="20"/>
    </row>
    <row r="365" spans="1:11" s="19" customFormat="1" ht="59.25" customHeight="1" x14ac:dyDescent="0.3">
      <c r="A365" s="7"/>
      <c r="B365" s="14" t="s">
        <v>396</v>
      </c>
      <c r="C365" s="14" t="s">
        <v>397</v>
      </c>
      <c r="D365" s="14" t="s">
        <v>386</v>
      </c>
      <c r="E365" s="15"/>
      <c r="F365" s="16">
        <f>E365*1.75*0.5</f>
        <v>0</v>
      </c>
      <c r="G365" s="16">
        <f>F365*0.9</f>
        <v>0</v>
      </c>
      <c r="H365" s="16">
        <f>F365*0.1</f>
        <v>0</v>
      </c>
      <c r="I365" s="15"/>
      <c r="J365" s="16">
        <f>I365*1.75*0.5</f>
        <v>0</v>
      </c>
      <c r="K365" s="20"/>
    </row>
    <row r="366" spans="1:11" s="19" customFormat="1" ht="59.25" customHeight="1" x14ac:dyDescent="0.3">
      <c r="A366" s="7"/>
      <c r="B366" s="14" t="s">
        <v>398</v>
      </c>
      <c r="C366" s="13" t="s">
        <v>399</v>
      </c>
      <c r="D366" s="13" t="s">
        <v>386</v>
      </c>
      <c r="E366" s="15"/>
      <c r="F366" s="16">
        <f>E366*0.04*0.5</f>
        <v>0</v>
      </c>
      <c r="G366" s="16">
        <f>F366*0.9</f>
        <v>0</v>
      </c>
      <c r="H366" s="16">
        <f>F366*0.1</f>
        <v>0</v>
      </c>
      <c r="I366" s="15"/>
      <c r="J366" s="16">
        <f>I366*0.04*0.5</f>
        <v>0</v>
      </c>
      <c r="K366" s="20"/>
    </row>
    <row r="367" spans="1:11" s="81" customFormat="1" ht="18" x14ac:dyDescent="0.25">
      <c r="A367" s="7"/>
      <c r="B367" s="26" t="s">
        <v>122</v>
      </c>
      <c r="C367" s="26"/>
      <c r="D367" s="26"/>
      <c r="E367" s="28">
        <f t="shared" ref="E367:J367" si="62">SUM(E329:E366)</f>
        <v>0</v>
      </c>
      <c r="F367" s="28">
        <f t="shared" si="62"/>
        <v>0</v>
      </c>
      <c r="G367" s="28">
        <f t="shared" si="62"/>
        <v>0</v>
      </c>
      <c r="H367" s="28">
        <f t="shared" si="62"/>
        <v>0</v>
      </c>
      <c r="I367" s="28">
        <f t="shared" si="62"/>
        <v>0</v>
      </c>
      <c r="J367" s="28">
        <f t="shared" si="62"/>
        <v>0</v>
      </c>
      <c r="K367" s="18"/>
    </row>
    <row r="368" spans="1:11" s="81" customFormat="1" x14ac:dyDescent="0.25">
      <c r="A368" s="7">
        <v>15</v>
      </c>
      <c r="B368" s="84" t="s">
        <v>401</v>
      </c>
      <c r="C368" s="85"/>
      <c r="D368" s="13"/>
      <c r="E368" s="15"/>
      <c r="F368" s="16"/>
      <c r="G368" s="16"/>
      <c r="H368" s="16"/>
      <c r="I368" s="15"/>
      <c r="J368" s="16"/>
      <c r="K368" s="20"/>
    </row>
    <row r="369" spans="1:11" s="81" customFormat="1" ht="31" x14ac:dyDescent="0.25">
      <c r="A369" s="7" t="s">
        <v>402</v>
      </c>
      <c r="B369" s="76" t="s">
        <v>403</v>
      </c>
      <c r="C369" s="14" t="s">
        <v>404</v>
      </c>
      <c r="D369" s="14" t="s">
        <v>405</v>
      </c>
      <c r="E369" s="63"/>
      <c r="F369" s="63"/>
      <c r="G369" s="63">
        <f>F369*0.9</f>
        <v>0</v>
      </c>
      <c r="H369" s="63">
        <f>F369*0.1</f>
        <v>0</v>
      </c>
      <c r="I369" s="15"/>
      <c r="J369" s="16"/>
      <c r="K369" s="20"/>
    </row>
    <row r="370" spans="1:11" s="81" customFormat="1" x14ac:dyDescent="0.25">
      <c r="A370" s="7" t="s">
        <v>406</v>
      </c>
      <c r="B370" s="290" t="s">
        <v>407</v>
      </c>
      <c r="C370" s="292"/>
      <c r="D370" s="13"/>
      <c r="E370" s="15"/>
      <c r="F370" s="16"/>
      <c r="G370" s="16"/>
      <c r="H370" s="16"/>
      <c r="I370" s="15"/>
      <c r="J370" s="16"/>
      <c r="K370" s="20"/>
    </row>
    <row r="371" spans="1:11" s="81" customFormat="1" ht="139.5" x14ac:dyDescent="0.25">
      <c r="A371" s="7"/>
      <c r="B371" s="14" t="s">
        <v>353</v>
      </c>
      <c r="C371" s="24" t="s">
        <v>400</v>
      </c>
      <c r="D371" s="24" t="s">
        <v>352</v>
      </c>
      <c r="E371" s="15"/>
      <c r="F371" s="16"/>
      <c r="G371" s="63">
        <f t="shared" ref="G371:G373" si="63">F371*0.9</f>
        <v>0</v>
      </c>
      <c r="H371" s="63">
        <f t="shared" ref="H371:H374" si="64">F371*0.1</f>
        <v>0</v>
      </c>
      <c r="I371" s="15"/>
      <c r="J371" s="16">
        <f>I371*600*0.35</f>
        <v>0</v>
      </c>
      <c r="K371" s="20"/>
    </row>
    <row r="372" spans="1:11" s="81" customFormat="1" ht="139.5" x14ac:dyDescent="0.25">
      <c r="A372" s="7"/>
      <c r="B372" s="14" t="s">
        <v>354</v>
      </c>
      <c r="C372" s="24" t="s">
        <v>400</v>
      </c>
      <c r="D372" s="83" t="s">
        <v>352</v>
      </c>
      <c r="E372" s="15"/>
      <c r="F372" s="16"/>
      <c r="G372" s="63">
        <f t="shared" si="63"/>
        <v>0</v>
      </c>
      <c r="H372" s="63">
        <f t="shared" si="64"/>
        <v>0</v>
      </c>
      <c r="I372" s="15"/>
      <c r="J372" s="16">
        <f>I372*600*0.5</f>
        <v>0</v>
      </c>
      <c r="K372" s="20"/>
    </row>
    <row r="373" spans="1:11" s="81" customFormat="1" ht="62" x14ac:dyDescent="0.25">
      <c r="A373" s="7" t="s">
        <v>408</v>
      </c>
      <c r="B373" s="23" t="s">
        <v>409</v>
      </c>
      <c r="C373" s="13" t="s">
        <v>410</v>
      </c>
      <c r="D373" s="14" t="s">
        <v>411</v>
      </c>
      <c r="E373" s="16"/>
      <c r="F373" s="16">
        <f>E373*800*0.5</f>
        <v>0</v>
      </c>
      <c r="G373" s="63">
        <f t="shared" si="63"/>
        <v>0</v>
      </c>
      <c r="H373" s="63">
        <f t="shared" si="64"/>
        <v>0</v>
      </c>
      <c r="I373" s="16"/>
      <c r="J373" s="16">
        <f>I373*800*0.5</f>
        <v>0</v>
      </c>
      <c r="K373" s="86"/>
    </row>
    <row r="374" spans="1:11" s="81" customFormat="1" ht="46.5" x14ac:dyDescent="0.25">
      <c r="A374" s="7" t="s">
        <v>412</v>
      </c>
      <c r="B374" s="26" t="s">
        <v>413</v>
      </c>
      <c r="C374" s="14" t="s">
        <v>414</v>
      </c>
      <c r="D374" s="14" t="s">
        <v>415</v>
      </c>
      <c r="E374" s="33"/>
      <c r="F374" s="28"/>
      <c r="G374" s="63">
        <f>F374*0.9</f>
        <v>0</v>
      </c>
      <c r="H374" s="63">
        <f t="shared" si="64"/>
        <v>0</v>
      </c>
      <c r="I374" s="33"/>
      <c r="J374" s="28"/>
      <c r="K374" s="18"/>
    </row>
    <row r="375" spans="1:11" s="81" customFormat="1" ht="18" x14ac:dyDescent="0.25">
      <c r="A375" s="41">
        <v>16</v>
      </c>
      <c r="B375" s="258" t="s">
        <v>416</v>
      </c>
      <c r="C375" s="258"/>
      <c r="D375" s="258"/>
      <c r="E375" s="15"/>
      <c r="F375" s="16"/>
      <c r="G375" s="16"/>
      <c r="H375" s="16"/>
      <c r="I375" s="15"/>
      <c r="J375" s="16"/>
      <c r="K375" s="17"/>
    </row>
    <row r="376" spans="1:11" s="81" customFormat="1" ht="46.5" x14ac:dyDescent="0.25">
      <c r="A376" s="41"/>
      <c r="B376" s="14" t="s">
        <v>417</v>
      </c>
      <c r="C376" s="14" t="s">
        <v>418</v>
      </c>
      <c r="D376" s="14" t="s">
        <v>419</v>
      </c>
      <c r="E376" s="15"/>
      <c r="F376" s="16">
        <f>E376*20</f>
        <v>0</v>
      </c>
      <c r="G376" s="16">
        <f t="shared" ref="G376:G387" si="65">F376*0.9</f>
        <v>0</v>
      </c>
      <c r="H376" s="16">
        <f t="shared" ref="H376:H387" si="66">F376*0.1</f>
        <v>0</v>
      </c>
      <c r="I376" s="15"/>
      <c r="J376" s="16">
        <f>I376*20</f>
        <v>0</v>
      </c>
      <c r="K376" s="17"/>
    </row>
    <row r="377" spans="1:11" s="81" customFormat="1" x14ac:dyDescent="0.35">
      <c r="A377" s="41"/>
      <c r="B377" s="27" t="s">
        <v>420</v>
      </c>
      <c r="C377" s="13" t="s">
        <v>421</v>
      </c>
      <c r="D377" s="14" t="s">
        <v>167</v>
      </c>
      <c r="E377" s="15"/>
      <c r="F377" s="16">
        <f>E377*15</f>
        <v>0</v>
      </c>
      <c r="G377" s="16">
        <f t="shared" si="65"/>
        <v>0</v>
      </c>
      <c r="H377" s="16">
        <f t="shared" si="66"/>
        <v>0</v>
      </c>
      <c r="I377" s="15"/>
      <c r="J377" s="16">
        <f>I377*15</f>
        <v>0</v>
      </c>
      <c r="K377" s="17"/>
    </row>
    <row r="378" spans="1:11" s="81" customFormat="1" x14ac:dyDescent="0.25">
      <c r="A378" s="7"/>
      <c r="B378" s="256" t="s">
        <v>422</v>
      </c>
      <c r="C378" s="256"/>
      <c r="D378" s="256"/>
      <c r="E378" s="15"/>
      <c r="F378" s="16"/>
      <c r="G378" s="16">
        <f t="shared" si="65"/>
        <v>0</v>
      </c>
      <c r="H378" s="16">
        <f t="shared" si="66"/>
        <v>0</v>
      </c>
      <c r="I378" s="15"/>
      <c r="J378" s="16"/>
      <c r="K378" s="18"/>
    </row>
    <row r="379" spans="1:11" s="81" customFormat="1" ht="31" x14ac:dyDescent="0.25">
      <c r="A379" s="7"/>
      <c r="B379" s="14" t="s">
        <v>423</v>
      </c>
      <c r="C379" s="14" t="s">
        <v>424</v>
      </c>
      <c r="D379" s="14" t="s">
        <v>425</v>
      </c>
      <c r="E379" s="87"/>
      <c r="F379" s="16">
        <f>E379*0.01</f>
        <v>0</v>
      </c>
      <c r="G379" s="16">
        <f t="shared" si="65"/>
        <v>0</v>
      </c>
      <c r="H379" s="16">
        <f t="shared" si="66"/>
        <v>0</v>
      </c>
      <c r="I379" s="87"/>
      <c r="J379" s="16">
        <f>I379*0.01</f>
        <v>0</v>
      </c>
      <c r="K379" s="18"/>
    </row>
    <row r="380" spans="1:11" s="81" customFormat="1" ht="31" x14ac:dyDescent="0.25">
      <c r="A380" s="7"/>
      <c r="B380" s="14" t="s">
        <v>426</v>
      </c>
      <c r="C380" s="14" t="s">
        <v>427</v>
      </c>
      <c r="D380" s="14" t="s">
        <v>425</v>
      </c>
      <c r="E380" s="87"/>
      <c r="F380" s="16">
        <f>E380*0.05</f>
        <v>0</v>
      </c>
      <c r="G380" s="16">
        <f t="shared" si="65"/>
        <v>0</v>
      </c>
      <c r="H380" s="16">
        <f t="shared" si="66"/>
        <v>0</v>
      </c>
      <c r="I380" s="87"/>
      <c r="J380" s="16"/>
      <c r="K380" s="18"/>
    </row>
    <row r="381" spans="1:11" s="81" customFormat="1" ht="18" x14ac:dyDescent="0.25">
      <c r="A381" s="7"/>
      <c r="B381" s="259" t="s">
        <v>428</v>
      </c>
      <c r="C381" s="259"/>
      <c r="D381" s="259"/>
      <c r="E381" s="15"/>
      <c r="F381" s="16"/>
      <c r="G381" s="16">
        <f t="shared" si="65"/>
        <v>0</v>
      </c>
      <c r="H381" s="16">
        <f t="shared" si="66"/>
        <v>0</v>
      </c>
      <c r="I381" s="15"/>
      <c r="J381" s="16"/>
      <c r="K381" s="18"/>
    </row>
    <row r="382" spans="1:11" s="81" customFormat="1" ht="31" x14ac:dyDescent="0.25">
      <c r="A382" s="7"/>
      <c r="B382" s="14" t="s">
        <v>429</v>
      </c>
      <c r="C382" s="14" t="s">
        <v>427</v>
      </c>
      <c r="D382" s="14" t="s">
        <v>425</v>
      </c>
      <c r="E382" s="15"/>
      <c r="F382" s="16"/>
      <c r="G382" s="16">
        <f t="shared" si="65"/>
        <v>0</v>
      </c>
      <c r="H382" s="16">
        <f t="shared" si="66"/>
        <v>0</v>
      </c>
      <c r="I382" s="15"/>
      <c r="J382" s="16"/>
      <c r="K382" s="17"/>
    </row>
    <row r="383" spans="1:11" s="81" customFormat="1" ht="31" x14ac:dyDescent="0.25">
      <c r="A383" s="7"/>
      <c r="B383" s="14" t="s">
        <v>430</v>
      </c>
      <c r="C383" s="14" t="s">
        <v>431</v>
      </c>
      <c r="D383" s="14" t="s">
        <v>432</v>
      </c>
      <c r="E383" s="16"/>
      <c r="F383" s="16">
        <f>E383*4</f>
        <v>0</v>
      </c>
      <c r="G383" s="16">
        <f t="shared" si="65"/>
        <v>0</v>
      </c>
      <c r="H383" s="16">
        <f t="shared" si="66"/>
        <v>0</v>
      </c>
      <c r="I383" s="16"/>
      <c r="J383" s="16">
        <f>I383*4</f>
        <v>0</v>
      </c>
      <c r="K383" s="17"/>
    </row>
    <row r="384" spans="1:11" s="81" customFormat="1" ht="18" x14ac:dyDescent="0.25">
      <c r="A384" s="7"/>
      <c r="B384" s="259" t="s">
        <v>433</v>
      </c>
      <c r="C384" s="259"/>
      <c r="D384" s="259"/>
      <c r="E384" s="15"/>
      <c r="F384" s="16"/>
      <c r="G384" s="16">
        <f t="shared" si="65"/>
        <v>0</v>
      </c>
      <c r="H384" s="16">
        <f t="shared" si="66"/>
        <v>0</v>
      </c>
      <c r="I384" s="15"/>
      <c r="J384" s="16"/>
      <c r="K384" s="18"/>
    </row>
    <row r="385" spans="1:11" s="81" customFormat="1" ht="46.5" x14ac:dyDescent="0.25">
      <c r="A385" s="7"/>
      <c r="B385" s="14" t="s">
        <v>423</v>
      </c>
      <c r="C385" s="14" t="s">
        <v>434</v>
      </c>
      <c r="D385" s="14" t="s">
        <v>167</v>
      </c>
      <c r="E385" s="15"/>
      <c r="F385" s="16">
        <f>E385*0.003</f>
        <v>0</v>
      </c>
      <c r="G385" s="16">
        <f t="shared" si="65"/>
        <v>0</v>
      </c>
      <c r="H385" s="16">
        <f t="shared" si="66"/>
        <v>0</v>
      </c>
      <c r="I385" s="15"/>
      <c r="J385" s="16">
        <f>I385*0.003</f>
        <v>0</v>
      </c>
      <c r="K385" s="59"/>
    </row>
    <row r="386" spans="1:11" s="81" customFormat="1" ht="46.5" x14ac:dyDescent="0.25">
      <c r="A386" s="7"/>
      <c r="B386" s="14" t="s">
        <v>435</v>
      </c>
      <c r="C386" s="14" t="s">
        <v>436</v>
      </c>
      <c r="D386" s="14" t="s">
        <v>167</v>
      </c>
      <c r="E386" s="15"/>
      <c r="F386" s="16">
        <f>E386*0.008</f>
        <v>0</v>
      </c>
      <c r="G386" s="16">
        <f t="shared" si="65"/>
        <v>0</v>
      </c>
      <c r="H386" s="16">
        <f t="shared" si="66"/>
        <v>0</v>
      </c>
      <c r="I386" s="15"/>
      <c r="J386" s="16">
        <f>I386*0.008</f>
        <v>0</v>
      </c>
      <c r="K386" s="17"/>
    </row>
    <row r="387" spans="1:11" s="81" customFormat="1" ht="31" x14ac:dyDescent="0.25">
      <c r="A387" s="7"/>
      <c r="B387" s="14" t="s">
        <v>430</v>
      </c>
      <c r="C387" s="14" t="s">
        <v>437</v>
      </c>
      <c r="D387" s="14" t="s">
        <v>438</v>
      </c>
      <c r="E387" s="15"/>
      <c r="F387" s="16"/>
      <c r="G387" s="16">
        <f t="shared" si="65"/>
        <v>0</v>
      </c>
      <c r="H387" s="16">
        <f t="shared" si="66"/>
        <v>0</v>
      </c>
      <c r="I387" s="15"/>
      <c r="J387" s="16">
        <f>I387*6</f>
        <v>0</v>
      </c>
      <c r="K387" s="17"/>
    </row>
    <row r="388" spans="1:11" s="81" customFormat="1" ht="18" x14ac:dyDescent="0.25">
      <c r="A388" s="7"/>
      <c r="B388" s="26" t="s">
        <v>122</v>
      </c>
      <c r="C388" s="14"/>
      <c r="D388" s="14"/>
      <c r="E388" s="33">
        <f t="shared" ref="E388:J388" si="67">SUM(E376:E387)</f>
        <v>0</v>
      </c>
      <c r="F388" s="28">
        <f t="shared" si="67"/>
        <v>0</v>
      </c>
      <c r="G388" s="28">
        <f t="shared" si="67"/>
        <v>0</v>
      </c>
      <c r="H388" s="28">
        <f t="shared" si="67"/>
        <v>0</v>
      </c>
      <c r="I388" s="33">
        <f t="shared" si="67"/>
        <v>0</v>
      </c>
      <c r="J388" s="28">
        <f t="shared" si="67"/>
        <v>0</v>
      </c>
      <c r="K388" s="18"/>
    </row>
    <row r="389" spans="1:11" s="81" customFormat="1" ht="108.5" x14ac:dyDescent="0.25">
      <c r="A389" s="7">
        <v>17</v>
      </c>
      <c r="B389" s="14" t="s">
        <v>439</v>
      </c>
      <c r="C389" s="14" t="s">
        <v>440</v>
      </c>
      <c r="D389" s="14" t="s">
        <v>441</v>
      </c>
      <c r="E389" s="15"/>
      <c r="F389" s="16">
        <v>0</v>
      </c>
      <c r="G389" s="16">
        <f>F389*0.9</f>
        <v>0</v>
      </c>
      <c r="H389" s="16">
        <f>F389*0.1</f>
        <v>0</v>
      </c>
      <c r="I389" s="15"/>
      <c r="J389" s="16"/>
      <c r="K389" s="20"/>
    </row>
    <row r="390" spans="1:11" s="81" customFormat="1" ht="18" customHeight="1" x14ac:dyDescent="0.25">
      <c r="A390" s="41">
        <v>18</v>
      </c>
      <c r="B390" s="287" t="s">
        <v>442</v>
      </c>
      <c r="C390" s="288"/>
      <c r="D390" s="288"/>
      <c r="E390" s="288"/>
      <c r="F390" s="289"/>
      <c r="G390" s="16"/>
      <c r="H390" s="16"/>
      <c r="I390" s="15"/>
      <c r="J390" s="16"/>
      <c r="K390" s="18"/>
    </row>
    <row r="391" spans="1:11" s="81" customFormat="1" ht="79.150000000000006" customHeight="1" x14ac:dyDescent="0.25">
      <c r="A391" s="41"/>
      <c r="B391" s="13" t="s">
        <v>443</v>
      </c>
      <c r="C391" s="14" t="s">
        <v>444</v>
      </c>
      <c r="D391" s="14" t="s">
        <v>445</v>
      </c>
      <c r="E391" s="15"/>
      <c r="F391" s="16">
        <f>E391*5000</f>
        <v>0</v>
      </c>
      <c r="G391" s="16">
        <f>F391*0.9</f>
        <v>0</v>
      </c>
      <c r="H391" s="16">
        <f>F391*0.1</f>
        <v>0</v>
      </c>
      <c r="I391" s="15"/>
      <c r="J391" s="16">
        <f>I391*5000</f>
        <v>0</v>
      </c>
      <c r="K391" s="18"/>
    </row>
    <row r="392" spans="1:11" s="19" customFormat="1" x14ac:dyDescent="0.3">
      <c r="A392" s="41"/>
      <c r="B392" s="283" t="s">
        <v>446</v>
      </c>
      <c r="C392" s="284"/>
      <c r="D392" s="26"/>
      <c r="E392" s="15"/>
      <c r="F392" s="16"/>
      <c r="G392" s="16"/>
      <c r="H392" s="16"/>
      <c r="I392" s="15"/>
      <c r="J392" s="16"/>
      <c r="K392" s="17"/>
    </row>
    <row r="393" spans="1:11" s="81" customFormat="1" ht="77.5" x14ac:dyDescent="0.25">
      <c r="A393" s="7"/>
      <c r="B393" s="14" t="s">
        <v>353</v>
      </c>
      <c r="C393" s="14" t="s">
        <v>447</v>
      </c>
      <c r="D393" s="14" t="s">
        <v>448</v>
      </c>
      <c r="E393" s="15"/>
      <c r="F393" s="16">
        <f>E393*10000*0.25</f>
        <v>0</v>
      </c>
      <c r="G393" s="16">
        <f>F393*0.9</f>
        <v>0</v>
      </c>
      <c r="H393" s="16">
        <f>F393*0.1</f>
        <v>0</v>
      </c>
      <c r="I393" s="15"/>
      <c r="J393" s="16">
        <f>I393*10000*0.25</f>
        <v>0</v>
      </c>
      <c r="K393" s="20"/>
    </row>
    <row r="394" spans="1:11" s="81" customFormat="1" ht="77.5" x14ac:dyDescent="0.25">
      <c r="A394" s="7"/>
      <c r="B394" s="14" t="s">
        <v>354</v>
      </c>
      <c r="C394" s="14" t="s">
        <v>447</v>
      </c>
      <c r="D394" s="14" t="s">
        <v>448</v>
      </c>
      <c r="E394" s="15"/>
      <c r="F394" s="16">
        <f>E394*10000*0.3333</f>
        <v>0</v>
      </c>
      <c r="G394" s="16">
        <f>F394*0.9</f>
        <v>0</v>
      </c>
      <c r="H394" s="16">
        <f>F394*0.1</f>
        <v>0</v>
      </c>
      <c r="I394" s="15"/>
      <c r="J394" s="16">
        <f>I394*10000*0.3333</f>
        <v>0</v>
      </c>
      <c r="K394" s="20"/>
    </row>
    <row r="395" spans="1:11" s="19" customFormat="1" x14ac:dyDescent="0.3">
      <c r="A395" s="41"/>
      <c r="B395" s="283" t="s">
        <v>449</v>
      </c>
      <c r="C395" s="284"/>
      <c r="D395" s="14"/>
      <c r="E395" s="15"/>
      <c r="F395" s="16"/>
      <c r="G395" s="30"/>
      <c r="H395" s="30"/>
      <c r="I395" s="15"/>
      <c r="J395" s="16"/>
      <c r="K395" s="17"/>
    </row>
    <row r="396" spans="1:11" s="19" customFormat="1" ht="77.5" x14ac:dyDescent="0.3">
      <c r="A396" s="41"/>
      <c r="B396" s="14" t="s">
        <v>353</v>
      </c>
      <c r="C396" s="13" t="s">
        <v>344</v>
      </c>
      <c r="D396" s="14" t="s">
        <v>389</v>
      </c>
      <c r="E396" s="15"/>
      <c r="F396" s="16">
        <f>E396*25*0.4</f>
        <v>0</v>
      </c>
      <c r="G396" s="16">
        <f>F396*0.9</f>
        <v>0</v>
      </c>
      <c r="H396" s="16">
        <f>F396*0.1</f>
        <v>0</v>
      </c>
      <c r="I396" s="15"/>
      <c r="J396" s="16">
        <f>I396*25*0.4</f>
        <v>0</v>
      </c>
      <c r="K396" s="17"/>
    </row>
    <row r="397" spans="1:11" s="19" customFormat="1" ht="77.5" x14ac:dyDescent="0.3">
      <c r="A397" s="41"/>
      <c r="B397" s="14" t="s">
        <v>354</v>
      </c>
      <c r="C397" s="13" t="s">
        <v>344</v>
      </c>
      <c r="D397" s="14" t="s">
        <v>389</v>
      </c>
      <c r="E397" s="15"/>
      <c r="F397" s="16">
        <f>E397*25*0.55</f>
        <v>0</v>
      </c>
      <c r="G397" s="16">
        <f>F397*0.9</f>
        <v>0</v>
      </c>
      <c r="H397" s="16">
        <f>F397*0.1</f>
        <v>0</v>
      </c>
      <c r="I397" s="15"/>
      <c r="J397" s="16">
        <f>I397*25*0.55</f>
        <v>0</v>
      </c>
      <c r="K397" s="17"/>
    </row>
    <row r="398" spans="1:11" s="19" customFormat="1" x14ac:dyDescent="0.3">
      <c r="A398" s="7"/>
      <c r="B398" s="283" t="s">
        <v>450</v>
      </c>
      <c r="C398" s="293"/>
      <c r="D398" s="284"/>
      <c r="E398" s="15"/>
      <c r="F398" s="16"/>
      <c r="G398" s="16"/>
      <c r="H398" s="16"/>
      <c r="I398" s="15"/>
      <c r="J398" s="16"/>
      <c r="K398" s="20"/>
    </row>
    <row r="399" spans="1:11" s="19" customFormat="1" ht="77.5" x14ac:dyDescent="0.3">
      <c r="A399" s="7"/>
      <c r="B399" s="14" t="s">
        <v>353</v>
      </c>
      <c r="C399" s="14" t="s">
        <v>451</v>
      </c>
      <c r="D399" s="14" t="s">
        <v>452</v>
      </c>
      <c r="E399" s="15"/>
      <c r="F399" s="16">
        <f>E399*15*0.35</f>
        <v>0</v>
      </c>
      <c r="G399" s="16">
        <f>F399*0.9</f>
        <v>0</v>
      </c>
      <c r="H399" s="16">
        <f>F399*0.1</f>
        <v>0</v>
      </c>
      <c r="I399" s="15"/>
      <c r="J399" s="16">
        <f>I399*15*0.35</f>
        <v>0</v>
      </c>
      <c r="K399" s="20"/>
    </row>
    <row r="400" spans="1:11" s="19" customFormat="1" ht="77.5" x14ac:dyDescent="0.3">
      <c r="A400" s="7"/>
      <c r="B400" s="14" t="s">
        <v>354</v>
      </c>
      <c r="C400" s="14" t="s">
        <v>451</v>
      </c>
      <c r="D400" s="14" t="s">
        <v>452</v>
      </c>
      <c r="E400" s="15"/>
      <c r="F400" s="16">
        <f>E400*15*0.5</f>
        <v>0</v>
      </c>
      <c r="G400" s="16">
        <f>F400*0.9</f>
        <v>0</v>
      </c>
      <c r="H400" s="16">
        <f>F400*0.1</f>
        <v>0</v>
      </c>
      <c r="I400" s="15"/>
      <c r="J400" s="16">
        <f>I400*15*0.5</f>
        <v>0</v>
      </c>
      <c r="K400" s="20"/>
    </row>
    <row r="401" spans="1:11" s="19" customFormat="1" ht="53.25" customHeight="1" x14ac:dyDescent="0.3">
      <c r="A401" s="7"/>
      <c r="B401" s="26" t="s">
        <v>453</v>
      </c>
      <c r="C401" s="14" t="s">
        <v>454</v>
      </c>
      <c r="D401" s="14" t="s">
        <v>455</v>
      </c>
      <c r="E401" s="15"/>
      <c r="F401" s="16">
        <f>E401*0.3*0.5</f>
        <v>0</v>
      </c>
      <c r="G401" s="16">
        <f>F401*0.9</f>
        <v>0</v>
      </c>
      <c r="H401" s="16">
        <f>F401*0.1</f>
        <v>0</v>
      </c>
      <c r="I401" s="15"/>
      <c r="J401" s="16">
        <f>I401*0.3*0.5</f>
        <v>0</v>
      </c>
      <c r="K401" s="20"/>
    </row>
    <row r="402" spans="1:11" s="19" customFormat="1" ht="18" x14ac:dyDescent="0.3">
      <c r="A402" s="7"/>
      <c r="B402" s="26" t="s">
        <v>122</v>
      </c>
      <c r="C402" s="14"/>
      <c r="D402" s="14"/>
      <c r="E402" s="88">
        <f t="shared" ref="E402:J402" si="68">SUM(E391:E401)</f>
        <v>0</v>
      </c>
      <c r="F402" s="88">
        <f t="shared" si="68"/>
        <v>0</v>
      </c>
      <c r="G402" s="88">
        <f t="shared" si="68"/>
        <v>0</v>
      </c>
      <c r="H402" s="88">
        <f t="shared" si="68"/>
        <v>0</v>
      </c>
      <c r="I402" s="88">
        <f t="shared" si="68"/>
        <v>0</v>
      </c>
      <c r="J402" s="88">
        <f t="shared" si="68"/>
        <v>0</v>
      </c>
      <c r="K402" s="18"/>
    </row>
    <row r="403" spans="1:11" s="19" customFormat="1" ht="18" x14ac:dyDescent="0.3">
      <c r="A403" s="7"/>
      <c r="B403" s="283" t="s">
        <v>456</v>
      </c>
      <c r="C403" s="284"/>
      <c r="D403" s="14"/>
      <c r="E403" s="88"/>
      <c r="F403" s="88"/>
      <c r="G403" s="88"/>
      <c r="H403" s="88"/>
      <c r="I403" s="88"/>
      <c r="J403" s="88"/>
      <c r="K403" s="18"/>
    </row>
    <row r="404" spans="1:11" s="19" customFormat="1" x14ac:dyDescent="0.3">
      <c r="A404" s="7"/>
      <c r="B404" s="283" t="s">
        <v>457</v>
      </c>
      <c r="C404" s="284"/>
      <c r="D404" s="14"/>
      <c r="E404" s="63"/>
      <c r="F404" s="63"/>
      <c r="G404" s="63"/>
      <c r="H404" s="63"/>
      <c r="I404" s="63"/>
      <c r="J404" s="63"/>
      <c r="K404" s="18"/>
    </row>
    <row r="405" spans="1:11" s="19" customFormat="1" ht="77.5" x14ac:dyDescent="0.3">
      <c r="A405" s="7"/>
      <c r="B405" s="14" t="s">
        <v>353</v>
      </c>
      <c r="C405" s="13" t="s">
        <v>458</v>
      </c>
      <c r="D405" s="14" t="s">
        <v>459</v>
      </c>
      <c r="E405" s="63"/>
      <c r="F405" s="63">
        <f>E405*15*0.4</f>
        <v>0</v>
      </c>
      <c r="G405" s="16">
        <f>F405*0.9</f>
        <v>0</v>
      </c>
      <c r="H405" s="16">
        <f>F405*0.1</f>
        <v>0</v>
      </c>
      <c r="I405" s="63"/>
      <c r="J405" s="63">
        <f>I405*15*0.4</f>
        <v>0</v>
      </c>
      <c r="K405" s="18"/>
    </row>
    <row r="406" spans="1:11" s="19" customFormat="1" ht="77.5" x14ac:dyDescent="0.3">
      <c r="A406" s="7"/>
      <c r="B406" s="14" t="s">
        <v>354</v>
      </c>
      <c r="C406" s="13" t="s">
        <v>458</v>
      </c>
      <c r="D406" s="14" t="s">
        <v>459</v>
      </c>
      <c r="E406" s="63"/>
      <c r="F406" s="63">
        <f>E406*15*0.55</f>
        <v>0</v>
      </c>
      <c r="G406" s="16">
        <f>F406*0.9</f>
        <v>0</v>
      </c>
      <c r="H406" s="16">
        <f>F406*0.1</f>
        <v>0</v>
      </c>
      <c r="I406" s="63"/>
      <c r="J406" s="63">
        <f>I406*15*0.55</f>
        <v>0</v>
      </c>
      <c r="K406" s="18"/>
    </row>
    <row r="407" spans="1:11" s="19" customFormat="1" ht="46.5" x14ac:dyDescent="0.3">
      <c r="A407" s="7"/>
      <c r="B407" s="14" t="s">
        <v>460</v>
      </c>
      <c r="C407" s="14" t="s">
        <v>50</v>
      </c>
      <c r="D407" s="14" t="s">
        <v>461</v>
      </c>
      <c r="E407" s="63"/>
      <c r="F407" s="63">
        <f>E407*200</f>
        <v>0</v>
      </c>
      <c r="G407" s="16">
        <f>F407*0.9</f>
        <v>0</v>
      </c>
      <c r="H407" s="16">
        <f>F407*0.1</f>
        <v>0</v>
      </c>
      <c r="I407" s="63"/>
      <c r="J407" s="63">
        <f>I407*200</f>
        <v>0</v>
      </c>
      <c r="K407" s="18"/>
    </row>
    <row r="408" spans="1:11" s="19" customFormat="1" ht="31" x14ac:dyDescent="0.3">
      <c r="A408" s="7"/>
      <c r="B408" s="14" t="s">
        <v>460</v>
      </c>
      <c r="C408" s="14" t="s">
        <v>50</v>
      </c>
      <c r="D408" s="14" t="s">
        <v>462</v>
      </c>
      <c r="E408" s="63"/>
      <c r="F408" s="63">
        <f>E408*200*0.5</f>
        <v>0</v>
      </c>
      <c r="G408" s="16">
        <f>F408*0.9</f>
        <v>0</v>
      </c>
      <c r="H408" s="16">
        <f>F408*0.1</f>
        <v>0</v>
      </c>
      <c r="I408" s="63"/>
      <c r="J408" s="63">
        <f>I408*200*0.5</f>
        <v>0</v>
      </c>
      <c r="K408" s="18"/>
    </row>
    <row r="409" spans="1:11" s="19" customFormat="1" ht="34.15" customHeight="1" x14ac:dyDescent="0.3">
      <c r="A409" s="7"/>
      <c r="B409" s="14" t="s">
        <v>463</v>
      </c>
      <c r="C409" s="14" t="s">
        <v>464</v>
      </c>
      <c r="D409" s="14" t="s">
        <v>465</v>
      </c>
      <c r="E409" s="63"/>
      <c r="F409" s="63">
        <f>E409*15*0.5</f>
        <v>0</v>
      </c>
      <c r="G409" s="16">
        <f>F409*0.9</f>
        <v>0</v>
      </c>
      <c r="H409" s="16">
        <f>F409*0.1</f>
        <v>0</v>
      </c>
      <c r="I409" s="63"/>
      <c r="J409" s="63">
        <f>I409*15*0.5</f>
        <v>0</v>
      </c>
      <c r="K409" s="18"/>
    </row>
    <row r="410" spans="1:11" s="19" customFormat="1" ht="18" x14ac:dyDescent="0.3">
      <c r="A410" s="7"/>
      <c r="B410" s="26" t="s">
        <v>122</v>
      </c>
      <c r="C410" s="14"/>
      <c r="D410" s="14"/>
      <c r="E410" s="88">
        <f t="shared" ref="E410:J410" si="69">SUM(E405:E409)</f>
        <v>0</v>
      </c>
      <c r="F410" s="88">
        <f t="shared" si="69"/>
        <v>0</v>
      </c>
      <c r="G410" s="28">
        <f t="shared" si="69"/>
        <v>0</v>
      </c>
      <c r="H410" s="28">
        <f t="shared" si="69"/>
        <v>0</v>
      </c>
      <c r="I410" s="88">
        <f t="shared" si="69"/>
        <v>0</v>
      </c>
      <c r="J410" s="88">
        <f t="shared" si="69"/>
        <v>0</v>
      </c>
      <c r="K410" s="18"/>
    </row>
    <row r="411" spans="1:11" s="19" customFormat="1" ht="18" x14ac:dyDescent="0.3">
      <c r="A411" s="7"/>
      <c r="B411" s="285" t="s">
        <v>466</v>
      </c>
      <c r="C411" s="286"/>
      <c r="D411" s="14"/>
      <c r="E411" s="88">
        <f t="shared" ref="E411:J411" si="70">E402+E410</f>
        <v>0</v>
      </c>
      <c r="F411" s="88">
        <f t="shared" si="70"/>
        <v>0</v>
      </c>
      <c r="G411" s="88">
        <f t="shared" si="70"/>
        <v>0</v>
      </c>
      <c r="H411" s="88">
        <f t="shared" si="70"/>
        <v>0</v>
      </c>
      <c r="I411" s="88">
        <f t="shared" si="70"/>
        <v>0</v>
      </c>
      <c r="J411" s="88">
        <f t="shared" si="70"/>
        <v>0</v>
      </c>
      <c r="K411" s="18"/>
    </row>
    <row r="412" spans="1:11" s="19" customFormat="1" ht="18" x14ac:dyDescent="0.3">
      <c r="A412" s="7"/>
      <c r="B412" s="256" t="s">
        <v>554</v>
      </c>
      <c r="C412" s="256"/>
      <c r="D412" s="14"/>
      <c r="E412" s="88"/>
      <c r="F412" s="88"/>
      <c r="G412" s="88"/>
      <c r="H412" s="88"/>
      <c r="I412" s="88"/>
      <c r="J412" s="88"/>
      <c r="K412" s="18"/>
    </row>
    <row r="413" spans="1:11" s="19" customFormat="1" ht="62" x14ac:dyDescent="0.3">
      <c r="A413" s="7"/>
      <c r="B413" s="13" t="s">
        <v>409</v>
      </c>
      <c r="C413" s="13" t="s">
        <v>410</v>
      </c>
      <c r="D413" s="14" t="s">
        <v>411</v>
      </c>
      <c r="E413" s="63"/>
      <c r="F413" s="63">
        <f>E413*800*0.5</f>
        <v>0</v>
      </c>
      <c r="G413" s="16">
        <f>F413*0.9</f>
        <v>0</v>
      </c>
      <c r="H413" s="16">
        <f>F413*0.1</f>
        <v>0</v>
      </c>
      <c r="I413" s="63"/>
      <c r="J413" s="63">
        <f>I413*800*0.5</f>
        <v>0</v>
      </c>
      <c r="K413" s="18"/>
    </row>
    <row r="414" spans="1:11" s="19" customFormat="1" ht="18" x14ac:dyDescent="0.3">
      <c r="A414" s="7"/>
      <c r="B414" s="26" t="s">
        <v>122</v>
      </c>
      <c r="C414" s="14"/>
      <c r="D414" s="14"/>
      <c r="E414" s="88">
        <f t="shared" ref="E414:J414" si="71">SUM(E413:E413)</f>
        <v>0</v>
      </c>
      <c r="F414" s="88">
        <f t="shared" si="71"/>
        <v>0</v>
      </c>
      <c r="G414" s="88">
        <f t="shared" si="71"/>
        <v>0</v>
      </c>
      <c r="H414" s="88">
        <f t="shared" si="71"/>
        <v>0</v>
      </c>
      <c r="I414" s="88">
        <f t="shared" si="71"/>
        <v>0</v>
      </c>
      <c r="J414" s="88">
        <f t="shared" si="71"/>
        <v>0</v>
      </c>
      <c r="K414" s="18"/>
    </row>
    <row r="415" spans="1:11" s="19" customFormat="1" ht="18" x14ac:dyDescent="0.3">
      <c r="A415" s="7">
        <v>19</v>
      </c>
      <c r="B415" s="283" t="s">
        <v>467</v>
      </c>
      <c r="C415" s="284"/>
      <c r="D415" s="14"/>
      <c r="E415" s="88"/>
      <c r="F415" s="88"/>
      <c r="G415" s="88"/>
      <c r="H415" s="88"/>
      <c r="I415" s="88"/>
      <c r="J415" s="88"/>
      <c r="K415" s="18"/>
    </row>
    <row r="416" spans="1:11" s="19" customFormat="1" ht="46.5" x14ac:dyDescent="0.3">
      <c r="A416" s="7"/>
      <c r="B416" s="14" t="s">
        <v>468</v>
      </c>
      <c r="C416" s="14" t="s">
        <v>404</v>
      </c>
      <c r="D416" s="14" t="s">
        <v>405</v>
      </c>
      <c r="E416" s="63"/>
      <c r="F416" s="63"/>
      <c r="G416" s="16">
        <f>F416*0.9</f>
        <v>0</v>
      </c>
      <c r="H416" s="16">
        <f>F416*0.1</f>
        <v>0</v>
      </c>
      <c r="I416" s="63"/>
      <c r="J416" s="63"/>
      <c r="K416" s="18"/>
    </row>
    <row r="417" spans="1:11" s="19" customFormat="1" ht="31" x14ac:dyDescent="0.3">
      <c r="A417" s="7"/>
      <c r="B417" s="14" t="s">
        <v>555</v>
      </c>
      <c r="C417" s="14" t="s">
        <v>404</v>
      </c>
      <c r="D417" s="14" t="s">
        <v>405</v>
      </c>
      <c r="E417" s="63"/>
      <c r="F417" s="63"/>
      <c r="G417" s="16">
        <f>F417*0.9</f>
        <v>0</v>
      </c>
      <c r="H417" s="16">
        <f>F417*0.1</f>
        <v>0</v>
      </c>
      <c r="I417" s="63"/>
      <c r="J417" s="63"/>
      <c r="K417" s="18"/>
    </row>
    <row r="418" spans="1:11" s="19" customFormat="1" ht="46.5" x14ac:dyDescent="0.3">
      <c r="A418" s="7"/>
      <c r="B418" s="14" t="s">
        <v>469</v>
      </c>
      <c r="C418" s="14" t="s">
        <v>470</v>
      </c>
      <c r="D418" s="14" t="s">
        <v>405</v>
      </c>
      <c r="E418" s="63"/>
      <c r="F418" s="63">
        <f>E418*20*0.5</f>
        <v>0</v>
      </c>
      <c r="G418" s="16">
        <f>F418*0.9</f>
        <v>0</v>
      </c>
      <c r="H418" s="16">
        <f>F418*0.1</f>
        <v>0</v>
      </c>
      <c r="I418" s="63"/>
      <c r="J418" s="63">
        <f>I418*20*0.5</f>
        <v>0</v>
      </c>
      <c r="K418" s="18"/>
    </row>
    <row r="419" spans="1:11" s="19" customFormat="1" ht="18" x14ac:dyDescent="0.3">
      <c r="A419" s="7"/>
      <c r="B419" s="26" t="s">
        <v>122</v>
      </c>
      <c r="C419" s="14"/>
      <c r="D419" s="14"/>
      <c r="E419" s="88">
        <f t="shared" ref="E419:J419" si="72">SUM(E416:E418)</f>
        <v>0</v>
      </c>
      <c r="F419" s="88">
        <f t="shared" si="72"/>
        <v>0</v>
      </c>
      <c r="G419" s="88">
        <f t="shared" si="72"/>
        <v>0</v>
      </c>
      <c r="H419" s="88">
        <f t="shared" si="72"/>
        <v>0</v>
      </c>
      <c r="I419" s="88">
        <f t="shared" si="72"/>
        <v>0</v>
      </c>
      <c r="J419" s="88">
        <f t="shared" si="72"/>
        <v>0</v>
      </c>
      <c r="K419" s="18"/>
    </row>
    <row r="420" spans="1:11" s="19" customFormat="1" ht="18" x14ac:dyDescent="0.3">
      <c r="A420" s="41">
        <v>20</v>
      </c>
      <c r="B420" s="287" t="s">
        <v>471</v>
      </c>
      <c r="C420" s="288"/>
      <c r="D420" s="289"/>
      <c r="E420" s="15"/>
      <c r="F420" s="16"/>
      <c r="G420" s="16"/>
      <c r="H420" s="16"/>
      <c r="I420" s="15"/>
      <c r="J420" s="16"/>
      <c r="K420" s="89"/>
    </row>
    <row r="421" spans="1:11" s="19" customFormat="1" ht="47.5" customHeight="1" x14ac:dyDescent="0.3">
      <c r="A421" s="7"/>
      <c r="B421" s="14" t="s">
        <v>472</v>
      </c>
      <c r="C421" s="14" t="s">
        <v>273</v>
      </c>
      <c r="D421" s="13" t="s">
        <v>473</v>
      </c>
      <c r="E421" s="15"/>
      <c r="F421" s="63"/>
      <c r="G421" s="16">
        <f>F421*0.9</f>
        <v>0</v>
      </c>
      <c r="H421" s="16">
        <f>F421*0.1</f>
        <v>0</v>
      </c>
      <c r="I421" s="15"/>
      <c r="J421" s="63"/>
      <c r="K421" s="89"/>
    </row>
    <row r="422" spans="1:11" s="19" customFormat="1" ht="18" customHeight="1" x14ac:dyDescent="0.3">
      <c r="A422" s="7"/>
      <c r="B422" s="290" t="s">
        <v>474</v>
      </c>
      <c r="C422" s="291"/>
      <c r="D422" s="291"/>
      <c r="E422" s="292"/>
      <c r="F422" s="16"/>
      <c r="G422" s="16"/>
      <c r="H422" s="16"/>
      <c r="I422" s="15"/>
      <c r="J422" s="16"/>
      <c r="K422" s="20"/>
    </row>
    <row r="423" spans="1:11" s="19" customFormat="1" ht="31" x14ac:dyDescent="0.3">
      <c r="A423" s="7"/>
      <c r="B423" s="14" t="s">
        <v>475</v>
      </c>
      <c r="C423" s="14" t="s">
        <v>476</v>
      </c>
      <c r="D423" s="67" t="s">
        <v>477</v>
      </c>
      <c r="E423" s="15"/>
      <c r="F423" s="63">
        <f>E423*7.5</f>
        <v>0</v>
      </c>
      <c r="G423" s="16">
        <f t="shared" ref="G423:G431" si="73">F423*0.9</f>
        <v>0</v>
      </c>
      <c r="H423" s="16">
        <f t="shared" ref="H423:H431" si="74">F423*0.1</f>
        <v>0</v>
      </c>
      <c r="I423" s="15"/>
      <c r="J423" s="63">
        <f>I423*7.5</f>
        <v>0</v>
      </c>
      <c r="K423" s="20"/>
    </row>
    <row r="424" spans="1:11" s="19" customFormat="1" x14ac:dyDescent="0.3">
      <c r="A424" s="7"/>
      <c r="B424" s="14" t="s">
        <v>478</v>
      </c>
      <c r="C424" s="14" t="s">
        <v>479</v>
      </c>
      <c r="D424" s="14" t="s">
        <v>480</v>
      </c>
      <c r="E424" s="15"/>
      <c r="F424" s="63">
        <f>E424*5</f>
        <v>0</v>
      </c>
      <c r="G424" s="16">
        <f t="shared" si="73"/>
        <v>0</v>
      </c>
      <c r="H424" s="16">
        <f t="shared" si="74"/>
        <v>0</v>
      </c>
      <c r="I424" s="15"/>
      <c r="J424" s="63">
        <f>I424*5</f>
        <v>0</v>
      </c>
      <c r="K424" s="20"/>
    </row>
    <row r="425" spans="1:11" s="19" customFormat="1" ht="46.5" x14ac:dyDescent="0.3">
      <c r="A425" s="7"/>
      <c r="B425" s="14" t="s">
        <v>481</v>
      </c>
      <c r="C425" s="14" t="s">
        <v>482</v>
      </c>
      <c r="D425" s="14" t="s">
        <v>483</v>
      </c>
      <c r="E425" s="15"/>
      <c r="F425" s="63">
        <f>E425*3</f>
        <v>0</v>
      </c>
      <c r="G425" s="16">
        <f t="shared" si="73"/>
        <v>0</v>
      </c>
      <c r="H425" s="16">
        <f t="shared" si="74"/>
        <v>0</v>
      </c>
      <c r="I425" s="15"/>
      <c r="J425" s="63">
        <f>I425*3</f>
        <v>0</v>
      </c>
      <c r="K425" s="20"/>
    </row>
    <row r="426" spans="1:11" s="19" customFormat="1" ht="46.5" x14ac:dyDescent="0.3">
      <c r="A426" s="7"/>
      <c r="B426" s="13" t="s">
        <v>484</v>
      </c>
      <c r="C426" s="14" t="s">
        <v>485</v>
      </c>
      <c r="D426" s="14" t="s">
        <v>486</v>
      </c>
      <c r="E426" s="15"/>
      <c r="F426" s="63">
        <f>E426*2</f>
        <v>0</v>
      </c>
      <c r="G426" s="16">
        <f t="shared" si="73"/>
        <v>0</v>
      </c>
      <c r="H426" s="16">
        <f t="shared" si="74"/>
        <v>0</v>
      </c>
      <c r="I426" s="15"/>
      <c r="J426" s="63">
        <f>I426*2</f>
        <v>0</v>
      </c>
      <c r="K426" s="20"/>
    </row>
    <row r="427" spans="1:11" s="19" customFormat="1" ht="65.5" customHeight="1" x14ac:dyDescent="0.3">
      <c r="A427" s="7"/>
      <c r="B427" s="14" t="s">
        <v>487</v>
      </c>
      <c r="C427" s="14" t="s">
        <v>488</v>
      </c>
      <c r="D427" s="14" t="s">
        <v>489</v>
      </c>
      <c r="E427" s="15"/>
      <c r="F427" s="63">
        <f>E427*0.4</f>
        <v>0</v>
      </c>
      <c r="G427" s="16">
        <f t="shared" si="73"/>
        <v>0</v>
      </c>
      <c r="H427" s="16">
        <f t="shared" si="74"/>
        <v>0</v>
      </c>
      <c r="I427" s="15"/>
      <c r="J427" s="63">
        <f>I427*0.4</f>
        <v>0</v>
      </c>
      <c r="K427" s="20"/>
    </row>
    <row r="428" spans="1:11" s="19" customFormat="1" ht="46.5" x14ac:dyDescent="0.3">
      <c r="A428" s="7"/>
      <c r="B428" s="14" t="s">
        <v>490</v>
      </c>
      <c r="C428" s="14" t="s">
        <v>491</v>
      </c>
      <c r="D428" s="14" t="s">
        <v>492</v>
      </c>
      <c r="E428" s="15"/>
      <c r="F428" s="63">
        <f>E428*1</f>
        <v>0</v>
      </c>
      <c r="G428" s="16">
        <f t="shared" si="73"/>
        <v>0</v>
      </c>
      <c r="H428" s="16">
        <f t="shared" si="74"/>
        <v>0</v>
      </c>
      <c r="I428" s="15"/>
      <c r="J428" s="63">
        <f>I428*1</f>
        <v>0</v>
      </c>
      <c r="K428" s="20"/>
    </row>
    <row r="429" spans="1:11" s="19" customFormat="1" ht="108.5" x14ac:dyDescent="0.3">
      <c r="A429" s="7"/>
      <c r="B429" s="14" t="s">
        <v>493</v>
      </c>
      <c r="C429" s="14" t="s">
        <v>494</v>
      </c>
      <c r="D429" s="14" t="s">
        <v>495</v>
      </c>
      <c r="E429" s="15"/>
      <c r="F429" s="16"/>
      <c r="G429" s="16">
        <f t="shared" si="73"/>
        <v>0</v>
      </c>
      <c r="H429" s="16">
        <f t="shared" si="74"/>
        <v>0</v>
      </c>
      <c r="I429" s="15"/>
      <c r="J429" s="16"/>
      <c r="K429" s="20"/>
    </row>
    <row r="430" spans="1:11" s="19" customFormat="1" ht="15.5" x14ac:dyDescent="0.3">
      <c r="A430" s="7"/>
    </row>
    <row r="431" spans="1:11" s="19" customFormat="1" ht="78.650000000000006" customHeight="1" x14ac:dyDescent="0.3">
      <c r="A431" s="7"/>
      <c r="B431" s="14" t="s">
        <v>496</v>
      </c>
      <c r="C431" s="14" t="s">
        <v>497</v>
      </c>
      <c r="D431" s="35" t="s">
        <v>498</v>
      </c>
      <c r="E431" s="15"/>
      <c r="F431" s="63">
        <f>E431*50</f>
        <v>0</v>
      </c>
      <c r="G431" s="16">
        <f t="shared" si="73"/>
        <v>0</v>
      </c>
      <c r="H431" s="16">
        <f t="shared" si="74"/>
        <v>0</v>
      </c>
      <c r="I431" s="15"/>
      <c r="J431" s="63">
        <f>I431*50</f>
        <v>0</v>
      </c>
      <c r="K431" s="20"/>
    </row>
    <row r="432" spans="1:11" s="55" customFormat="1" ht="18" x14ac:dyDescent="0.4">
      <c r="A432" s="7"/>
      <c r="B432" s="26" t="s">
        <v>122</v>
      </c>
      <c r="C432" s="26"/>
      <c r="D432" s="90"/>
      <c r="E432" s="28">
        <f t="shared" ref="E432:J432" si="75">SUM(E421:E431)</f>
        <v>0</v>
      </c>
      <c r="F432" s="28">
        <f t="shared" si="75"/>
        <v>0</v>
      </c>
      <c r="G432" s="28">
        <f t="shared" si="75"/>
        <v>0</v>
      </c>
      <c r="H432" s="28">
        <f t="shared" si="75"/>
        <v>0</v>
      </c>
      <c r="I432" s="28">
        <f t="shared" si="75"/>
        <v>0</v>
      </c>
      <c r="J432" s="28">
        <f t="shared" si="75"/>
        <v>0</v>
      </c>
      <c r="K432" s="56"/>
    </row>
    <row r="433" spans="1:11" s="55" customFormat="1" ht="93" x14ac:dyDescent="0.4">
      <c r="A433" s="7">
        <v>21</v>
      </c>
      <c r="B433" s="14" t="s">
        <v>501</v>
      </c>
      <c r="C433" s="14" t="s">
        <v>502</v>
      </c>
      <c r="D433" s="14" t="s">
        <v>503</v>
      </c>
      <c r="E433" s="15"/>
      <c r="F433" s="16"/>
      <c r="G433" s="16">
        <f>F433*0.9</f>
        <v>0</v>
      </c>
      <c r="H433" s="16">
        <f>F433*0.1</f>
        <v>0</v>
      </c>
      <c r="I433" s="15"/>
      <c r="J433" s="16"/>
      <c r="K433" s="89"/>
    </row>
    <row r="434" spans="1:11" s="55" customFormat="1" ht="18" x14ac:dyDescent="0.4">
      <c r="A434" s="7">
        <v>22</v>
      </c>
      <c r="B434" s="26" t="s">
        <v>504</v>
      </c>
      <c r="C434" s="26"/>
      <c r="D434" s="90"/>
      <c r="E434" s="28"/>
      <c r="F434" s="28"/>
      <c r="G434" s="28"/>
      <c r="H434" s="28"/>
      <c r="I434" s="28"/>
      <c r="J434" s="28"/>
      <c r="K434" s="56"/>
    </row>
    <row r="435" spans="1:11" s="19" customFormat="1" ht="18" x14ac:dyDescent="0.3">
      <c r="A435" s="8"/>
      <c r="B435" s="53" t="s">
        <v>505</v>
      </c>
      <c r="C435" s="53"/>
      <c r="D435" s="53"/>
      <c r="E435" s="28"/>
      <c r="F435" s="28">
        <f>F40+F183+F184+F195+F197+F207+F249+F263+F275+F282+F326+F327+F367+F369+F372+F373+F374+F388+F389+F411+F419+F432+F433</f>
        <v>0</v>
      </c>
      <c r="G435" s="28">
        <f>G40+G183+G184+G195+G197+G207+G249+G263+G275+G282+G326+G327+G367+G369+G372+G373+G374+G388+G389+G411+G419+G432+G433</f>
        <v>0</v>
      </c>
      <c r="H435" s="28">
        <f>H40+H183+H184+H195+H197+H207+H249+H263+H275+H282+H326+H327+H367+H369+H372+H373+H374+H388+H389+H411+H419+H432+H433</f>
        <v>0</v>
      </c>
      <c r="I435" s="28"/>
      <c r="J435" s="28">
        <f>J40+J183+J184+J195+J197+J207+J249+J263+J275+J282+J326+J327+J367+J369+J372+J373+J374+J388+J389+J411+J419+J432+J433</f>
        <v>0</v>
      </c>
      <c r="K435" s="91"/>
    </row>
    <row r="436" spans="1:11" s="19" customFormat="1" ht="27.75" customHeight="1" x14ac:dyDescent="0.3">
      <c r="A436" s="92"/>
      <c r="B436" s="93"/>
      <c r="C436" s="93"/>
      <c r="D436" s="93"/>
      <c r="E436" s="94"/>
      <c r="F436" s="94"/>
      <c r="G436" s="94"/>
      <c r="H436" s="94"/>
      <c r="I436" s="94"/>
      <c r="J436" s="95"/>
      <c r="K436" s="96"/>
    </row>
    <row r="437" spans="1:11" s="19" customFormat="1" ht="13" x14ac:dyDescent="0.3"/>
    <row r="438" spans="1:11" s="19" customFormat="1" ht="13" x14ac:dyDescent="0.3"/>
    <row r="439" spans="1:11" s="19" customFormat="1" ht="13" x14ac:dyDescent="0.3"/>
    <row r="440" spans="1:11" s="19" customFormat="1" ht="13" x14ac:dyDescent="0.3"/>
    <row r="441" spans="1:11" s="19" customFormat="1" ht="13" x14ac:dyDescent="0.3"/>
    <row r="442" spans="1:11" ht="14.5" x14ac:dyDescent="0.35">
      <c r="A442"/>
      <c r="C442"/>
      <c r="D442"/>
      <c r="E442"/>
      <c r="F442"/>
      <c r="G442"/>
      <c r="H442"/>
      <c r="I442"/>
      <c r="J442"/>
      <c r="K442"/>
    </row>
    <row r="443" spans="1:11" ht="14.5" x14ac:dyDescent="0.35">
      <c r="A443"/>
      <c r="C443"/>
      <c r="D443"/>
      <c r="E443"/>
      <c r="F443"/>
      <c r="G443"/>
      <c r="H443"/>
      <c r="I443"/>
      <c r="J443"/>
      <c r="K443"/>
    </row>
    <row r="444" spans="1:11" ht="14.5" x14ac:dyDescent="0.35">
      <c r="A444"/>
      <c r="C444"/>
      <c r="D444"/>
      <c r="E444"/>
      <c r="F444"/>
      <c r="G444"/>
      <c r="H444"/>
      <c r="I444"/>
      <c r="J444"/>
      <c r="K444"/>
    </row>
    <row r="445" spans="1:11" ht="14.5" x14ac:dyDescent="0.35">
      <c r="A445"/>
      <c r="C445"/>
      <c r="D445"/>
      <c r="E445"/>
      <c r="F445"/>
      <c r="G445"/>
      <c r="H445"/>
      <c r="I445"/>
      <c r="J445"/>
      <c r="K445"/>
    </row>
    <row r="446" spans="1:11" ht="14.5" x14ac:dyDescent="0.35">
      <c r="A446"/>
      <c r="C446"/>
      <c r="D446"/>
      <c r="E446"/>
      <c r="F446"/>
      <c r="G446"/>
      <c r="H446"/>
      <c r="I446"/>
      <c r="J446"/>
      <c r="K446"/>
    </row>
    <row r="447" spans="1:11" ht="14.5" x14ac:dyDescent="0.35">
      <c r="A447"/>
      <c r="C447"/>
      <c r="D447"/>
      <c r="E447"/>
      <c r="F447"/>
      <c r="G447"/>
      <c r="H447"/>
      <c r="I447"/>
      <c r="J447"/>
      <c r="K447"/>
    </row>
    <row r="448" spans="1:11" ht="14.5" x14ac:dyDescent="0.35">
      <c r="A448"/>
      <c r="C448"/>
      <c r="D448"/>
      <c r="E448"/>
      <c r="F448"/>
      <c r="G448"/>
      <c r="H448"/>
      <c r="I448"/>
      <c r="J448"/>
      <c r="K448"/>
    </row>
    <row r="449" customFormat="1" ht="14.5" x14ac:dyDescent="0.35"/>
    <row r="450" customFormat="1" ht="14.5" x14ac:dyDescent="0.35"/>
  </sheetData>
  <mergeCells count="126">
    <mergeCell ref="A3:K3"/>
    <mergeCell ref="B4:H4"/>
    <mergeCell ref="E5:H5"/>
    <mergeCell ref="I5:J5"/>
    <mergeCell ref="B10:D10"/>
    <mergeCell ref="B11:D11"/>
    <mergeCell ref="B31:C31"/>
    <mergeCell ref="B35:D35"/>
    <mergeCell ref="B37:C37"/>
    <mergeCell ref="B41:D41"/>
    <mergeCell ref="B42:D42"/>
    <mergeCell ref="B43:D43"/>
    <mergeCell ref="B12:C12"/>
    <mergeCell ref="B15:D15"/>
    <mergeCell ref="B18:D18"/>
    <mergeCell ref="B21:D21"/>
    <mergeCell ref="B24:D24"/>
    <mergeCell ref="B27:D27"/>
    <mergeCell ref="B59:D59"/>
    <mergeCell ref="B62:C62"/>
    <mergeCell ref="B63:D63"/>
    <mergeCell ref="B66:C66"/>
    <mergeCell ref="B67:C67"/>
    <mergeCell ref="B69:C69"/>
    <mergeCell ref="B44:D44"/>
    <mergeCell ref="B45:D45"/>
    <mergeCell ref="B51:C51"/>
    <mergeCell ref="B52:C52"/>
    <mergeCell ref="B55:C55"/>
    <mergeCell ref="B58:C58"/>
    <mergeCell ref="B81:C81"/>
    <mergeCell ref="B83:C83"/>
    <mergeCell ref="B84:D84"/>
    <mergeCell ref="B87:C87"/>
    <mergeCell ref="B88:C88"/>
    <mergeCell ref="B90:C90"/>
    <mergeCell ref="B70:D70"/>
    <mergeCell ref="B73:C73"/>
    <mergeCell ref="B74:C74"/>
    <mergeCell ref="B76:C76"/>
    <mergeCell ref="B77:D77"/>
    <mergeCell ref="B80:C80"/>
    <mergeCell ref="B102:C102"/>
    <mergeCell ref="B105:C105"/>
    <mergeCell ref="B106:D106"/>
    <mergeCell ref="B112:C112"/>
    <mergeCell ref="B113:C113"/>
    <mergeCell ref="B124:C124"/>
    <mergeCell ref="B91:D91"/>
    <mergeCell ref="B94:C94"/>
    <mergeCell ref="B95:C95"/>
    <mergeCell ref="B97:C97"/>
    <mergeCell ref="B98:D98"/>
    <mergeCell ref="B101:C101"/>
    <mergeCell ref="B147:D147"/>
    <mergeCell ref="B150:D150"/>
    <mergeCell ref="B153:D153"/>
    <mergeCell ref="B157:D157"/>
    <mergeCell ref="B162:D162"/>
    <mergeCell ref="B166:D166"/>
    <mergeCell ref="B125:D125"/>
    <mergeCell ref="B137:C137"/>
    <mergeCell ref="B138:C138"/>
    <mergeCell ref="B142:C142"/>
    <mergeCell ref="B143:D143"/>
    <mergeCell ref="B146:D146"/>
    <mergeCell ref="B183:C183"/>
    <mergeCell ref="B184:C184"/>
    <mergeCell ref="B185:D185"/>
    <mergeCell ref="B186:D186"/>
    <mergeCell ref="B189:D189"/>
    <mergeCell ref="B192:D192"/>
    <mergeCell ref="B167:C167"/>
    <mergeCell ref="B170:D170"/>
    <mergeCell ref="B174:D174"/>
    <mergeCell ref="B178:D178"/>
    <mergeCell ref="B179:D179"/>
    <mergeCell ref="B182:C182"/>
    <mergeCell ref="B209:D209"/>
    <mergeCell ref="B218:D218"/>
    <mergeCell ref="B231:D231"/>
    <mergeCell ref="B234:D234"/>
    <mergeCell ref="B249:C249"/>
    <mergeCell ref="B250:D250"/>
    <mergeCell ref="B198:D198"/>
    <mergeCell ref="B199:D199"/>
    <mergeCell ref="B200:D200"/>
    <mergeCell ref="B201:D201"/>
    <mergeCell ref="B204:D204"/>
    <mergeCell ref="B208:D208"/>
    <mergeCell ref="B272:D272"/>
    <mergeCell ref="B276:D276"/>
    <mergeCell ref="B283:D283"/>
    <mergeCell ref="B286:C286"/>
    <mergeCell ref="B291:D291"/>
    <mergeCell ref="B313:D313"/>
    <mergeCell ref="B254:C254"/>
    <mergeCell ref="B257:C257"/>
    <mergeCell ref="B260:C260"/>
    <mergeCell ref="B263:C263"/>
    <mergeCell ref="B264:D264"/>
    <mergeCell ref="B268:C268"/>
    <mergeCell ref="B353:D353"/>
    <mergeCell ref="B359:C359"/>
    <mergeCell ref="B370:C370"/>
    <mergeCell ref="B375:D375"/>
    <mergeCell ref="B378:D378"/>
    <mergeCell ref="B381:D381"/>
    <mergeCell ref="B328:D328"/>
    <mergeCell ref="B339:D339"/>
    <mergeCell ref="B340:D340"/>
    <mergeCell ref="B343:D343"/>
    <mergeCell ref="B346:D346"/>
    <mergeCell ref="B349:D349"/>
    <mergeCell ref="B404:C404"/>
    <mergeCell ref="B411:C411"/>
    <mergeCell ref="B412:C412"/>
    <mergeCell ref="B415:C415"/>
    <mergeCell ref="B420:D420"/>
    <mergeCell ref="B422:E422"/>
    <mergeCell ref="B384:D384"/>
    <mergeCell ref="B390:F390"/>
    <mergeCell ref="B392:C392"/>
    <mergeCell ref="B395:C395"/>
    <mergeCell ref="B398:D398"/>
    <mergeCell ref="B403:C40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28"/>
  <sheetViews>
    <sheetView view="pageBreakPreview" zoomScaleSheetLayoutView="100" workbookViewId="0">
      <selection activeCell="O14" sqref="O14"/>
    </sheetView>
  </sheetViews>
  <sheetFormatPr defaultRowHeight="23.5" customHeight="1" x14ac:dyDescent="0.35"/>
  <cols>
    <col min="1" max="1" width="6.453125" style="151" customWidth="1"/>
    <col min="2" max="2" width="40.81640625" style="151" customWidth="1"/>
    <col min="3" max="3" width="5.7265625" style="151" bestFit="1" customWidth="1"/>
    <col min="4" max="4" width="8.453125" style="151" customWidth="1"/>
    <col min="5" max="5" width="8.453125" style="194" customWidth="1"/>
    <col min="6" max="6" width="10.7265625" style="151" customWidth="1"/>
    <col min="7" max="8" width="8.453125" style="151" customWidth="1"/>
    <col min="9" max="9" width="9.54296875" style="194" bestFit="1" customWidth="1"/>
    <col min="10" max="10" width="5.54296875" style="143" customWidth="1"/>
    <col min="11" max="238" width="9.1796875" style="143"/>
    <col min="239" max="239" width="6.453125" style="143" customWidth="1"/>
    <col min="240" max="240" width="51.26953125" style="143" customWidth="1"/>
    <col min="241" max="241" width="5.7265625" style="143" bestFit="1" customWidth="1"/>
    <col min="242" max="242" width="11.26953125" style="143" customWidth="1"/>
    <col min="243" max="243" width="11.81640625" style="143" bestFit="1" customWidth="1"/>
    <col min="244" max="244" width="9" style="143" customWidth="1"/>
    <col min="245" max="245" width="9.1796875" style="143"/>
    <col min="246" max="249" width="9.26953125" style="143" bestFit="1" customWidth="1"/>
    <col min="250" max="494" width="9.1796875" style="143"/>
    <col min="495" max="495" width="6.453125" style="143" customWidth="1"/>
    <col min="496" max="496" width="51.26953125" style="143" customWidth="1"/>
    <col min="497" max="497" width="5.7265625" style="143" bestFit="1" customWidth="1"/>
    <col min="498" max="498" width="11.26953125" style="143" customWidth="1"/>
    <col min="499" max="499" width="11.81640625" style="143" bestFit="1" customWidth="1"/>
    <col min="500" max="500" width="9" style="143" customWidth="1"/>
    <col min="501" max="501" width="9.1796875" style="143"/>
    <col min="502" max="505" width="9.26953125" style="143" bestFit="1" customWidth="1"/>
    <col min="506" max="750" width="9.1796875" style="143"/>
    <col min="751" max="751" width="6.453125" style="143" customWidth="1"/>
    <col min="752" max="752" width="51.26953125" style="143" customWidth="1"/>
    <col min="753" max="753" width="5.7265625" style="143" bestFit="1" customWidth="1"/>
    <col min="754" max="754" width="11.26953125" style="143" customWidth="1"/>
    <col min="755" max="755" width="11.81640625" style="143" bestFit="1" customWidth="1"/>
    <col min="756" max="756" width="9" style="143" customWidth="1"/>
    <col min="757" max="757" width="9.1796875" style="143"/>
    <col min="758" max="761" width="9.26953125" style="143" bestFit="1" customWidth="1"/>
    <col min="762" max="1006" width="9.1796875" style="143"/>
    <col min="1007" max="1007" width="6.453125" style="143" customWidth="1"/>
    <col min="1008" max="1008" width="51.26953125" style="143" customWidth="1"/>
    <col min="1009" max="1009" width="5.7265625" style="143" bestFit="1" customWidth="1"/>
    <col min="1010" max="1010" width="11.26953125" style="143" customWidth="1"/>
    <col min="1011" max="1011" width="11.81640625" style="143" bestFit="1" customWidth="1"/>
    <col min="1012" max="1012" width="9" style="143" customWidth="1"/>
    <col min="1013" max="1013" width="9.1796875" style="143"/>
    <col min="1014" max="1017" width="9.26953125" style="143" bestFit="1" customWidth="1"/>
    <col min="1018" max="1262" width="9.1796875" style="143"/>
    <col min="1263" max="1263" width="6.453125" style="143" customWidth="1"/>
    <col min="1264" max="1264" width="51.26953125" style="143" customWidth="1"/>
    <col min="1265" max="1265" width="5.7265625" style="143" bestFit="1" customWidth="1"/>
    <col min="1266" max="1266" width="11.26953125" style="143" customWidth="1"/>
    <col min="1267" max="1267" width="11.81640625" style="143" bestFit="1" customWidth="1"/>
    <col min="1268" max="1268" width="9" style="143" customWidth="1"/>
    <col min="1269" max="1269" width="9.1796875" style="143"/>
    <col min="1270" max="1273" width="9.26953125" style="143" bestFit="1" customWidth="1"/>
    <col min="1274" max="1518" width="9.1796875" style="143"/>
    <col min="1519" max="1519" width="6.453125" style="143" customWidth="1"/>
    <col min="1520" max="1520" width="51.26953125" style="143" customWidth="1"/>
    <col min="1521" max="1521" width="5.7265625" style="143" bestFit="1" customWidth="1"/>
    <col min="1522" max="1522" width="11.26953125" style="143" customWidth="1"/>
    <col min="1523" max="1523" width="11.81640625" style="143" bestFit="1" customWidth="1"/>
    <col min="1524" max="1524" width="9" style="143" customWidth="1"/>
    <col min="1525" max="1525" width="9.1796875" style="143"/>
    <col min="1526" max="1529" width="9.26953125" style="143" bestFit="1" customWidth="1"/>
    <col min="1530" max="1774" width="9.1796875" style="143"/>
    <col min="1775" max="1775" width="6.453125" style="143" customWidth="1"/>
    <col min="1776" max="1776" width="51.26953125" style="143" customWidth="1"/>
    <col min="1777" max="1777" width="5.7265625" style="143" bestFit="1" customWidth="1"/>
    <col min="1778" max="1778" width="11.26953125" style="143" customWidth="1"/>
    <col min="1779" max="1779" width="11.81640625" style="143" bestFit="1" customWidth="1"/>
    <col min="1780" max="1780" width="9" style="143" customWidth="1"/>
    <col min="1781" max="1781" width="9.1796875" style="143"/>
    <col min="1782" max="1785" width="9.26953125" style="143" bestFit="1" customWidth="1"/>
    <col min="1786" max="2030" width="9.1796875" style="143"/>
    <col min="2031" max="2031" width="6.453125" style="143" customWidth="1"/>
    <col min="2032" max="2032" width="51.26953125" style="143" customWidth="1"/>
    <col min="2033" max="2033" width="5.7265625" style="143" bestFit="1" customWidth="1"/>
    <col min="2034" max="2034" width="11.26953125" style="143" customWidth="1"/>
    <col min="2035" max="2035" width="11.81640625" style="143" bestFit="1" customWidth="1"/>
    <col min="2036" max="2036" width="9" style="143" customWidth="1"/>
    <col min="2037" max="2037" width="9.1796875" style="143"/>
    <col min="2038" max="2041" width="9.26953125" style="143" bestFit="1" customWidth="1"/>
    <col min="2042" max="2286" width="9.1796875" style="143"/>
    <col min="2287" max="2287" width="6.453125" style="143" customWidth="1"/>
    <col min="2288" max="2288" width="51.26953125" style="143" customWidth="1"/>
    <col min="2289" max="2289" width="5.7265625" style="143" bestFit="1" customWidth="1"/>
    <col min="2290" max="2290" width="11.26953125" style="143" customWidth="1"/>
    <col min="2291" max="2291" width="11.81640625" style="143" bestFit="1" customWidth="1"/>
    <col min="2292" max="2292" width="9" style="143" customWidth="1"/>
    <col min="2293" max="2293" width="9.1796875" style="143"/>
    <col min="2294" max="2297" width="9.26953125" style="143" bestFit="1" customWidth="1"/>
    <col min="2298" max="2542" width="9.1796875" style="143"/>
    <col min="2543" max="2543" width="6.453125" style="143" customWidth="1"/>
    <col min="2544" max="2544" width="51.26953125" style="143" customWidth="1"/>
    <col min="2545" max="2545" width="5.7265625" style="143" bestFit="1" customWidth="1"/>
    <col min="2546" max="2546" width="11.26953125" style="143" customWidth="1"/>
    <col min="2547" max="2547" width="11.81640625" style="143" bestFit="1" customWidth="1"/>
    <col min="2548" max="2548" width="9" style="143" customWidth="1"/>
    <col min="2549" max="2549" width="9.1796875" style="143"/>
    <col min="2550" max="2553" width="9.26953125" style="143" bestFit="1" customWidth="1"/>
    <col min="2554" max="2798" width="9.1796875" style="143"/>
    <col min="2799" max="2799" width="6.453125" style="143" customWidth="1"/>
    <col min="2800" max="2800" width="51.26953125" style="143" customWidth="1"/>
    <col min="2801" max="2801" width="5.7265625" style="143" bestFit="1" customWidth="1"/>
    <col min="2802" max="2802" width="11.26953125" style="143" customWidth="1"/>
    <col min="2803" max="2803" width="11.81640625" style="143" bestFit="1" customWidth="1"/>
    <col min="2804" max="2804" width="9" style="143" customWidth="1"/>
    <col min="2805" max="2805" width="9.1796875" style="143"/>
    <col min="2806" max="2809" width="9.26953125" style="143" bestFit="1" customWidth="1"/>
    <col min="2810" max="3054" width="9.1796875" style="143"/>
    <col min="3055" max="3055" width="6.453125" style="143" customWidth="1"/>
    <col min="3056" max="3056" width="51.26953125" style="143" customWidth="1"/>
    <col min="3057" max="3057" width="5.7265625" style="143" bestFit="1" customWidth="1"/>
    <col min="3058" max="3058" width="11.26953125" style="143" customWidth="1"/>
    <col min="3059" max="3059" width="11.81640625" style="143" bestFit="1" customWidth="1"/>
    <col min="3060" max="3060" width="9" style="143" customWidth="1"/>
    <col min="3061" max="3061" width="9.1796875" style="143"/>
    <col min="3062" max="3065" width="9.26953125" style="143" bestFit="1" customWidth="1"/>
    <col min="3066" max="3310" width="9.1796875" style="143"/>
    <col min="3311" max="3311" width="6.453125" style="143" customWidth="1"/>
    <col min="3312" max="3312" width="51.26953125" style="143" customWidth="1"/>
    <col min="3313" max="3313" width="5.7265625" style="143" bestFit="1" customWidth="1"/>
    <col min="3314" max="3314" width="11.26953125" style="143" customWidth="1"/>
    <col min="3315" max="3315" width="11.81640625" style="143" bestFit="1" customWidth="1"/>
    <col min="3316" max="3316" width="9" style="143" customWidth="1"/>
    <col min="3317" max="3317" width="9.1796875" style="143"/>
    <col min="3318" max="3321" width="9.26953125" style="143" bestFit="1" customWidth="1"/>
    <col min="3322" max="3566" width="9.1796875" style="143"/>
    <col min="3567" max="3567" width="6.453125" style="143" customWidth="1"/>
    <col min="3568" max="3568" width="51.26953125" style="143" customWidth="1"/>
    <col min="3569" max="3569" width="5.7265625" style="143" bestFit="1" customWidth="1"/>
    <col min="3570" max="3570" width="11.26953125" style="143" customWidth="1"/>
    <col min="3571" max="3571" width="11.81640625" style="143" bestFit="1" customWidth="1"/>
    <col min="3572" max="3572" width="9" style="143" customWidth="1"/>
    <col min="3573" max="3573" width="9.1796875" style="143"/>
    <col min="3574" max="3577" width="9.26953125" style="143" bestFit="1" customWidth="1"/>
    <col min="3578" max="3822" width="9.1796875" style="143"/>
    <col min="3823" max="3823" width="6.453125" style="143" customWidth="1"/>
    <col min="3824" max="3824" width="51.26953125" style="143" customWidth="1"/>
    <col min="3825" max="3825" width="5.7265625" style="143" bestFit="1" customWidth="1"/>
    <col min="3826" max="3826" width="11.26953125" style="143" customWidth="1"/>
    <col min="3827" max="3827" width="11.81640625" style="143" bestFit="1" customWidth="1"/>
    <col min="3828" max="3828" width="9" style="143" customWidth="1"/>
    <col min="3829" max="3829" width="9.1796875" style="143"/>
    <col min="3830" max="3833" width="9.26953125" style="143" bestFit="1" customWidth="1"/>
    <col min="3834" max="4078" width="9.1796875" style="143"/>
    <col min="4079" max="4079" width="6.453125" style="143" customWidth="1"/>
    <col min="4080" max="4080" width="51.26953125" style="143" customWidth="1"/>
    <col min="4081" max="4081" width="5.7265625" style="143" bestFit="1" customWidth="1"/>
    <col min="4082" max="4082" width="11.26953125" style="143" customWidth="1"/>
    <col min="4083" max="4083" width="11.81640625" style="143" bestFit="1" customWidth="1"/>
    <col min="4084" max="4084" width="9" style="143" customWidth="1"/>
    <col min="4085" max="4085" width="9.1796875" style="143"/>
    <col min="4086" max="4089" width="9.26953125" style="143" bestFit="1" customWidth="1"/>
    <col min="4090" max="4334" width="9.1796875" style="143"/>
    <col min="4335" max="4335" width="6.453125" style="143" customWidth="1"/>
    <col min="4336" max="4336" width="51.26953125" style="143" customWidth="1"/>
    <col min="4337" max="4337" width="5.7265625" style="143" bestFit="1" customWidth="1"/>
    <col min="4338" max="4338" width="11.26953125" style="143" customWidth="1"/>
    <col min="4339" max="4339" width="11.81640625" style="143" bestFit="1" customWidth="1"/>
    <col min="4340" max="4340" width="9" style="143" customWidth="1"/>
    <col min="4341" max="4341" width="9.1796875" style="143"/>
    <col min="4342" max="4345" width="9.26953125" style="143" bestFit="1" customWidth="1"/>
    <col min="4346" max="4590" width="9.1796875" style="143"/>
    <col min="4591" max="4591" width="6.453125" style="143" customWidth="1"/>
    <col min="4592" max="4592" width="51.26953125" style="143" customWidth="1"/>
    <col min="4593" max="4593" width="5.7265625" style="143" bestFit="1" customWidth="1"/>
    <col min="4594" max="4594" width="11.26953125" style="143" customWidth="1"/>
    <col min="4595" max="4595" width="11.81640625" style="143" bestFit="1" customWidth="1"/>
    <col min="4596" max="4596" width="9" style="143" customWidth="1"/>
    <col min="4597" max="4597" width="9.1796875" style="143"/>
    <col min="4598" max="4601" width="9.26953125" style="143" bestFit="1" customWidth="1"/>
    <col min="4602" max="4846" width="9.1796875" style="143"/>
    <col min="4847" max="4847" width="6.453125" style="143" customWidth="1"/>
    <col min="4848" max="4848" width="51.26953125" style="143" customWidth="1"/>
    <col min="4849" max="4849" width="5.7265625" style="143" bestFit="1" customWidth="1"/>
    <col min="4850" max="4850" width="11.26953125" style="143" customWidth="1"/>
    <col min="4851" max="4851" width="11.81640625" style="143" bestFit="1" customWidth="1"/>
    <col min="4852" max="4852" width="9" style="143" customWidth="1"/>
    <col min="4853" max="4853" width="9.1796875" style="143"/>
    <col min="4854" max="4857" width="9.26953125" style="143" bestFit="1" customWidth="1"/>
    <col min="4858" max="5102" width="9.1796875" style="143"/>
    <col min="5103" max="5103" width="6.453125" style="143" customWidth="1"/>
    <col min="5104" max="5104" width="51.26953125" style="143" customWidth="1"/>
    <col min="5105" max="5105" width="5.7265625" style="143" bestFit="1" customWidth="1"/>
    <col min="5106" max="5106" width="11.26953125" style="143" customWidth="1"/>
    <col min="5107" max="5107" width="11.81640625" style="143" bestFit="1" customWidth="1"/>
    <col min="5108" max="5108" width="9" style="143" customWidth="1"/>
    <col min="5109" max="5109" width="9.1796875" style="143"/>
    <col min="5110" max="5113" width="9.26953125" style="143" bestFit="1" customWidth="1"/>
    <col min="5114" max="5358" width="9.1796875" style="143"/>
    <col min="5359" max="5359" width="6.453125" style="143" customWidth="1"/>
    <col min="5360" max="5360" width="51.26953125" style="143" customWidth="1"/>
    <col min="5361" max="5361" width="5.7265625" style="143" bestFit="1" customWidth="1"/>
    <col min="5362" max="5362" width="11.26953125" style="143" customWidth="1"/>
    <col min="5363" max="5363" width="11.81640625" style="143" bestFit="1" customWidth="1"/>
    <col min="5364" max="5364" width="9" style="143" customWidth="1"/>
    <col min="5365" max="5365" width="9.1796875" style="143"/>
    <col min="5366" max="5369" width="9.26953125" style="143" bestFit="1" customWidth="1"/>
    <col min="5370" max="5614" width="9.1796875" style="143"/>
    <col min="5615" max="5615" width="6.453125" style="143" customWidth="1"/>
    <col min="5616" max="5616" width="51.26953125" style="143" customWidth="1"/>
    <col min="5617" max="5617" width="5.7265625" style="143" bestFit="1" customWidth="1"/>
    <col min="5618" max="5618" width="11.26953125" style="143" customWidth="1"/>
    <col min="5619" max="5619" width="11.81640625" style="143" bestFit="1" customWidth="1"/>
    <col min="5620" max="5620" width="9" style="143" customWidth="1"/>
    <col min="5621" max="5621" width="9.1796875" style="143"/>
    <col min="5622" max="5625" width="9.26953125" style="143" bestFit="1" customWidth="1"/>
    <col min="5626" max="5870" width="9.1796875" style="143"/>
    <col min="5871" max="5871" width="6.453125" style="143" customWidth="1"/>
    <col min="5872" max="5872" width="51.26953125" style="143" customWidth="1"/>
    <col min="5873" max="5873" width="5.7265625" style="143" bestFit="1" customWidth="1"/>
    <col min="5874" max="5874" width="11.26953125" style="143" customWidth="1"/>
    <col min="5875" max="5875" width="11.81640625" style="143" bestFit="1" customWidth="1"/>
    <col min="5876" max="5876" width="9" style="143" customWidth="1"/>
    <col min="5877" max="5877" width="9.1796875" style="143"/>
    <col min="5878" max="5881" width="9.26953125" style="143" bestFit="1" customWidth="1"/>
    <col min="5882" max="6126" width="9.1796875" style="143"/>
    <col min="6127" max="6127" width="6.453125" style="143" customWidth="1"/>
    <col min="6128" max="6128" width="51.26953125" style="143" customWidth="1"/>
    <col min="6129" max="6129" width="5.7265625" style="143" bestFit="1" customWidth="1"/>
    <col min="6130" max="6130" width="11.26953125" style="143" customWidth="1"/>
    <col min="6131" max="6131" width="11.81640625" style="143" bestFit="1" customWidth="1"/>
    <col min="6132" max="6132" width="9" style="143" customWidth="1"/>
    <col min="6133" max="6133" width="9.1796875" style="143"/>
    <col min="6134" max="6137" width="9.26953125" style="143" bestFit="1" customWidth="1"/>
    <col min="6138" max="6382" width="9.1796875" style="143"/>
    <col min="6383" max="6383" width="6.453125" style="143" customWidth="1"/>
    <col min="6384" max="6384" width="51.26953125" style="143" customWidth="1"/>
    <col min="6385" max="6385" width="5.7265625" style="143" bestFit="1" customWidth="1"/>
    <col min="6386" max="6386" width="11.26953125" style="143" customWidth="1"/>
    <col min="6387" max="6387" width="11.81640625" style="143" bestFit="1" customWidth="1"/>
    <col min="6388" max="6388" width="9" style="143" customWidth="1"/>
    <col min="6389" max="6389" width="9.1796875" style="143"/>
    <col min="6390" max="6393" width="9.26953125" style="143" bestFit="1" customWidth="1"/>
    <col min="6394" max="6638" width="9.1796875" style="143"/>
    <col min="6639" max="6639" width="6.453125" style="143" customWidth="1"/>
    <col min="6640" max="6640" width="51.26953125" style="143" customWidth="1"/>
    <col min="6641" max="6641" width="5.7265625" style="143" bestFit="1" customWidth="1"/>
    <col min="6642" max="6642" width="11.26953125" style="143" customWidth="1"/>
    <col min="6643" max="6643" width="11.81640625" style="143" bestFit="1" customWidth="1"/>
    <col min="6644" max="6644" width="9" style="143" customWidth="1"/>
    <col min="6645" max="6645" width="9.1796875" style="143"/>
    <col min="6646" max="6649" width="9.26953125" style="143" bestFit="1" customWidth="1"/>
    <col min="6650" max="6894" width="9.1796875" style="143"/>
    <col min="6895" max="6895" width="6.453125" style="143" customWidth="1"/>
    <col min="6896" max="6896" width="51.26953125" style="143" customWidth="1"/>
    <col min="6897" max="6897" width="5.7265625" style="143" bestFit="1" customWidth="1"/>
    <col min="6898" max="6898" width="11.26953125" style="143" customWidth="1"/>
    <col min="6899" max="6899" width="11.81640625" style="143" bestFit="1" customWidth="1"/>
    <col min="6900" max="6900" width="9" style="143" customWidth="1"/>
    <col min="6901" max="6901" width="9.1796875" style="143"/>
    <col min="6902" max="6905" width="9.26953125" style="143" bestFit="1" customWidth="1"/>
    <col min="6906" max="7150" width="9.1796875" style="143"/>
    <col min="7151" max="7151" width="6.453125" style="143" customWidth="1"/>
    <col min="7152" max="7152" width="51.26953125" style="143" customWidth="1"/>
    <col min="7153" max="7153" width="5.7265625" style="143" bestFit="1" customWidth="1"/>
    <col min="7154" max="7154" width="11.26953125" style="143" customWidth="1"/>
    <col min="7155" max="7155" width="11.81640625" style="143" bestFit="1" customWidth="1"/>
    <col min="7156" max="7156" width="9" style="143" customWidth="1"/>
    <col min="7157" max="7157" width="9.1796875" style="143"/>
    <col min="7158" max="7161" width="9.26953125" style="143" bestFit="1" customWidth="1"/>
    <col min="7162" max="7406" width="9.1796875" style="143"/>
    <col min="7407" max="7407" width="6.453125" style="143" customWidth="1"/>
    <col min="7408" max="7408" width="51.26953125" style="143" customWidth="1"/>
    <col min="7409" max="7409" width="5.7265625" style="143" bestFit="1" customWidth="1"/>
    <col min="7410" max="7410" width="11.26953125" style="143" customWidth="1"/>
    <col min="7411" max="7411" width="11.81640625" style="143" bestFit="1" customWidth="1"/>
    <col min="7412" max="7412" width="9" style="143" customWidth="1"/>
    <col min="7413" max="7413" width="9.1796875" style="143"/>
    <col min="7414" max="7417" width="9.26953125" style="143" bestFit="1" customWidth="1"/>
    <col min="7418" max="7662" width="9.1796875" style="143"/>
    <col min="7663" max="7663" width="6.453125" style="143" customWidth="1"/>
    <col min="7664" max="7664" width="51.26953125" style="143" customWidth="1"/>
    <col min="7665" max="7665" width="5.7265625" style="143" bestFit="1" customWidth="1"/>
    <col min="7666" max="7666" width="11.26953125" style="143" customWidth="1"/>
    <col min="7667" max="7667" width="11.81640625" style="143" bestFit="1" customWidth="1"/>
    <col min="7668" max="7668" width="9" style="143" customWidth="1"/>
    <col min="7669" max="7669" width="9.1796875" style="143"/>
    <col min="7670" max="7673" width="9.26953125" style="143" bestFit="1" customWidth="1"/>
    <col min="7674" max="7918" width="9.1796875" style="143"/>
    <col min="7919" max="7919" width="6.453125" style="143" customWidth="1"/>
    <col min="7920" max="7920" width="51.26953125" style="143" customWidth="1"/>
    <col min="7921" max="7921" width="5.7265625" style="143" bestFit="1" customWidth="1"/>
    <col min="7922" max="7922" width="11.26953125" style="143" customWidth="1"/>
    <col min="7923" max="7923" width="11.81640625" style="143" bestFit="1" customWidth="1"/>
    <col min="7924" max="7924" width="9" style="143" customWidth="1"/>
    <col min="7925" max="7925" width="9.1796875" style="143"/>
    <col min="7926" max="7929" width="9.26953125" style="143" bestFit="1" customWidth="1"/>
    <col min="7930" max="8174" width="9.1796875" style="143"/>
    <col min="8175" max="8175" width="6.453125" style="143" customWidth="1"/>
    <col min="8176" max="8176" width="51.26953125" style="143" customWidth="1"/>
    <col min="8177" max="8177" width="5.7265625" style="143" bestFit="1" customWidth="1"/>
    <col min="8178" max="8178" width="11.26953125" style="143" customWidth="1"/>
    <col min="8179" max="8179" width="11.81640625" style="143" bestFit="1" customWidth="1"/>
    <col min="8180" max="8180" width="9" style="143" customWidth="1"/>
    <col min="8181" max="8181" width="9.1796875" style="143"/>
    <col min="8182" max="8185" width="9.26953125" style="143" bestFit="1" customWidth="1"/>
    <col min="8186" max="8430" width="9.1796875" style="143"/>
    <col min="8431" max="8431" width="6.453125" style="143" customWidth="1"/>
    <col min="8432" max="8432" width="51.26953125" style="143" customWidth="1"/>
    <col min="8433" max="8433" width="5.7265625" style="143" bestFit="1" customWidth="1"/>
    <col min="8434" max="8434" width="11.26953125" style="143" customWidth="1"/>
    <col min="8435" max="8435" width="11.81640625" style="143" bestFit="1" customWidth="1"/>
    <col min="8436" max="8436" width="9" style="143" customWidth="1"/>
    <col min="8437" max="8437" width="9.1796875" style="143"/>
    <col min="8438" max="8441" width="9.26953125" style="143" bestFit="1" customWidth="1"/>
    <col min="8442" max="8686" width="9.1796875" style="143"/>
    <col min="8687" max="8687" width="6.453125" style="143" customWidth="1"/>
    <col min="8688" max="8688" width="51.26953125" style="143" customWidth="1"/>
    <col min="8689" max="8689" width="5.7265625" style="143" bestFit="1" customWidth="1"/>
    <col min="8690" max="8690" width="11.26953125" style="143" customWidth="1"/>
    <col min="8691" max="8691" width="11.81640625" style="143" bestFit="1" customWidth="1"/>
    <col min="8692" max="8692" width="9" style="143" customWidth="1"/>
    <col min="8693" max="8693" width="9.1796875" style="143"/>
    <col min="8694" max="8697" width="9.26953125" style="143" bestFit="1" customWidth="1"/>
    <col min="8698" max="8942" width="9.1796875" style="143"/>
    <col min="8943" max="8943" width="6.453125" style="143" customWidth="1"/>
    <col min="8944" max="8944" width="51.26953125" style="143" customWidth="1"/>
    <col min="8945" max="8945" width="5.7265625" style="143" bestFit="1" customWidth="1"/>
    <col min="8946" max="8946" width="11.26953125" style="143" customWidth="1"/>
    <col min="8947" max="8947" width="11.81640625" style="143" bestFit="1" customWidth="1"/>
    <col min="8948" max="8948" width="9" style="143" customWidth="1"/>
    <col min="8949" max="8949" width="9.1796875" style="143"/>
    <col min="8950" max="8953" width="9.26953125" style="143" bestFit="1" customWidth="1"/>
    <col min="8954" max="9198" width="9.1796875" style="143"/>
    <col min="9199" max="9199" width="6.453125" style="143" customWidth="1"/>
    <col min="9200" max="9200" width="51.26953125" style="143" customWidth="1"/>
    <col min="9201" max="9201" width="5.7265625" style="143" bestFit="1" customWidth="1"/>
    <col min="9202" max="9202" width="11.26953125" style="143" customWidth="1"/>
    <col min="9203" max="9203" width="11.81640625" style="143" bestFit="1" customWidth="1"/>
    <col min="9204" max="9204" width="9" style="143" customWidth="1"/>
    <col min="9205" max="9205" width="9.1796875" style="143"/>
    <col min="9206" max="9209" width="9.26953125" style="143" bestFit="1" customWidth="1"/>
    <col min="9210" max="9454" width="9.1796875" style="143"/>
    <col min="9455" max="9455" width="6.453125" style="143" customWidth="1"/>
    <col min="9456" max="9456" width="51.26953125" style="143" customWidth="1"/>
    <col min="9457" max="9457" width="5.7265625" style="143" bestFit="1" customWidth="1"/>
    <col min="9458" max="9458" width="11.26953125" style="143" customWidth="1"/>
    <col min="9459" max="9459" width="11.81640625" style="143" bestFit="1" customWidth="1"/>
    <col min="9460" max="9460" width="9" style="143" customWidth="1"/>
    <col min="9461" max="9461" width="9.1796875" style="143"/>
    <col min="9462" max="9465" width="9.26953125" style="143" bestFit="1" customWidth="1"/>
    <col min="9466" max="9710" width="9.1796875" style="143"/>
    <col min="9711" max="9711" width="6.453125" style="143" customWidth="1"/>
    <col min="9712" max="9712" width="51.26953125" style="143" customWidth="1"/>
    <col min="9713" max="9713" width="5.7265625" style="143" bestFit="1" customWidth="1"/>
    <col min="9714" max="9714" width="11.26953125" style="143" customWidth="1"/>
    <col min="9715" max="9715" width="11.81640625" style="143" bestFit="1" customWidth="1"/>
    <col min="9716" max="9716" width="9" style="143" customWidth="1"/>
    <col min="9717" max="9717" width="9.1796875" style="143"/>
    <col min="9718" max="9721" width="9.26953125" style="143" bestFit="1" customWidth="1"/>
    <col min="9722" max="9966" width="9.1796875" style="143"/>
    <col min="9967" max="9967" width="6.453125" style="143" customWidth="1"/>
    <col min="9968" max="9968" width="51.26953125" style="143" customWidth="1"/>
    <col min="9969" max="9969" width="5.7265625" style="143" bestFit="1" customWidth="1"/>
    <col min="9970" max="9970" width="11.26953125" style="143" customWidth="1"/>
    <col min="9971" max="9971" width="11.81640625" style="143" bestFit="1" customWidth="1"/>
    <col min="9972" max="9972" width="9" style="143" customWidth="1"/>
    <col min="9973" max="9973" width="9.1796875" style="143"/>
    <col min="9974" max="9977" width="9.26953125" style="143" bestFit="1" customWidth="1"/>
    <col min="9978" max="10222" width="9.1796875" style="143"/>
    <col min="10223" max="10223" width="6.453125" style="143" customWidth="1"/>
    <col min="10224" max="10224" width="51.26953125" style="143" customWidth="1"/>
    <col min="10225" max="10225" width="5.7265625" style="143" bestFit="1" customWidth="1"/>
    <col min="10226" max="10226" width="11.26953125" style="143" customWidth="1"/>
    <col min="10227" max="10227" width="11.81640625" style="143" bestFit="1" customWidth="1"/>
    <col min="10228" max="10228" width="9" style="143" customWidth="1"/>
    <col min="10229" max="10229" width="9.1796875" style="143"/>
    <col min="10230" max="10233" width="9.26953125" style="143" bestFit="1" customWidth="1"/>
    <col min="10234" max="10478" width="9.1796875" style="143"/>
    <col min="10479" max="10479" width="6.453125" style="143" customWidth="1"/>
    <col min="10480" max="10480" width="51.26953125" style="143" customWidth="1"/>
    <col min="10481" max="10481" width="5.7265625" style="143" bestFit="1" customWidth="1"/>
    <col min="10482" max="10482" width="11.26953125" style="143" customWidth="1"/>
    <col min="10483" max="10483" width="11.81640625" style="143" bestFit="1" customWidth="1"/>
    <col min="10484" max="10484" width="9" style="143" customWidth="1"/>
    <col min="10485" max="10485" width="9.1796875" style="143"/>
    <col min="10486" max="10489" width="9.26953125" style="143" bestFit="1" customWidth="1"/>
    <col min="10490" max="10734" width="9.1796875" style="143"/>
    <col min="10735" max="10735" width="6.453125" style="143" customWidth="1"/>
    <col min="10736" max="10736" width="51.26953125" style="143" customWidth="1"/>
    <col min="10737" max="10737" width="5.7265625" style="143" bestFit="1" customWidth="1"/>
    <col min="10738" max="10738" width="11.26953125" style="143" customWidth="1"/>
    <col min="10739" max="10739" width="11.81640625" style="143" bestFit="1" customWidth="1"/>
    <col min="10740" max="10740" width="9" style="143" customWidth="1"/>
    <col min="10741" max="10741" width="9.1796875" style="143"/>
    <col min="10742" max="10745" width="9.26953125" style="143" bestFit="1" customWidth="1"/>
    <col min="10746" max="10990" width="9.1796875" style="143"/>
    <col min="10991" max="10991" width="6.453125" style="143" customWidth="1"/>
    <col min="10992" max="10992" width="51.26953125" style="143" customWidth="1"/>
    <col min="10993" max="10993" width="5.7265625" style="143" bestFit="1" customWidth="1"/>
    <col min="10994" max="10994" width="11.26953125" style="143" customWidth="1"/>
    <col min="10995" max="10995" width="11.81640625" style="143" bestFit="1" customWidth="1"/>
    <col min="10996" max="10996" width="9" style="143" customWidth="1"/>
    <col min="10997" max="10997" width="9.1796875" style="143"/>
    <col min="10998" max="11001" width="9.26953125" style="143" bestFit="1" customWidth="1"/>
    <col min="11002" max="11246" width="9.1796875" style="143"/>
    <col min="11247" max="11247" width="6.453125" style="143" customWidth="1"/>
    <col min="11248" max="11248" width="51.26953125" style="143" customWidth="1"/>
    <col min="11249" max="11249" width="5.7265625" style="143" bestFit="1" customWidth="1"/>
    <col min="11250" max="11250" width="11.26953125" style="143" customWidth="1"/>
    <col min="11251" max="11251" width="11.81640625" style="143" bestFit="1" customWidth="1"/>
    <col min="11252" max="11252" width="9" style="143" customWidth="1"/>
    <col min="11253" max="11253" width="9.1796875" style="143"/>
    <col min="11254" max="11257" width="9.26953125" style="143" bestFit="1" customWidth="1"/>
    <col min="11258" max="11502" width="9.1796875" style="143"/>
    <col min="11503" max="11503" width="6.453125" style="143" customWidth="1"/>
    <col min="11504" max="11504" width="51.26953125" style="143" customWidth="1"/>
    <col min="11505" max="11505" width="5.7265625" style="143" bestFit="1" customWidth="1"/>
    <col min="11506" max="11506" width="11.26953125" style="143" customWidth="1"/>
    <col min="11507" max="11507" width="11.81640625" style="143" bestFit="1" customWidth="1"/>
    <col min="11508" max="11508" width="9" style="143" customWidth="1"/>
    <col min="11509" max="11509" width="9.1796875" style="143"/>
    <col min="11510" max="11513" width="9.26953125" style="143" bestFit="1" customWidth="1"/>
    <col min="11514" max="11758" width="9.1796875" style="143"/>
    <col min="11759" max="11759" width="6.453125" style="143" customWidth="1"/>
    <col min="11760" max="11760" width="51.26953125" style="143" customWidth="1"/>
    <col min="11761" max="11761" width="5.7265625" style="143" bestFit="1" customWidth="1"/>
    <col min="11762" max="11762" width="11.26953125" style="143" customWidth="1"/>
    <col min="11763" max="11763" width="11.81640625" style="143" bestFit="1" customWidth="1"/>
    <col min="11764" max="11764" width="9" style="143" customWidth="1"/>
    <col min="11765" max="11765" width="9.1796875" style="143"/>
    <col min="11766" max="11769" width="9.26953125" style="143" bestFit="1" customWidth="1"/>
    <col min="11770" max="12014" width="9.1796875" style="143"/>
    <col min="12015" max="12015" width="6.453125" style="143" customWidth="1"/>
    <col min="12016" max="12016" width="51.26953125" style="143" customWidth="1"/>
    <col min="12017" max="12017" width="5.7265625" style="143" bestFit="1" customWidth="1"/>
    <col min="12018" max="12018" width="11.26953125" style="143" customWidth="1"/>
    <col min="12019" max="12019" width="11.81640625" style="143" bestFit="1" customWidth="1"/>
    <col min="12020" max="12020" width="9" style="143" customWidth="1"/>
    <col min="12021" max="12021" width="9.1796875" style="143"/>
    <col min="12022" max="12025" width="9.26953125" style="143" bestFit="1" customWidth="1"/>
    <col min="12026" max="12270" width="9.1796875" style="143"/>
    <col min="12271" max="12271" width="6.453125" style="143" customWidth="1"/>
    <col min="12272" max="12272" width="51.26953125" style="143" customWidth="1"/>
    <col min="12273" max="12273" width="5.7265625" style="143" bestFit="1" customWidth="1"/>
    <col min="12274" max="12274" width="11.26953125" style="143" customWidth="1"/>
    <col min="12275" max="12275" width="11.81640625" style="143" bestFit="1" customWidth="1"/>
    <col min="12276" max="12276" width="9" style="143" customWidth="1"/>
    <col min="12277" max="12277" width="9.1796875" style="143"/>
    <col min="12278" max="12281" width="9.26953125" style="143" bestFit="1" customWidth="1"/>
    <col min="12282" max="12526" width="9.1796875" style="143"/>
    <col min="12527" max="12527" width="6.453125" style="143" customWidth="1"/>
    <col min="12528" max="12528" width="51.26953125" style="143" customWidth="1"/>
    <col min="12529" max="12529" width="5.7265625" style="143" bestFit="1" customWidth="1"/>
    <col min="12530" max="12530" width="11.26953125" style="143" customWidth="1"/>
    <col min="12531" max="12531" width="11.81640625" style="143" bestFit="1" customWidth="1"/>
    <col min="12532" max="12532" width="9" style="143" customWidth="1"/>
    <col min="12533" max="12533" width="9.1796875" style="143"/>
    <col min="12534" max="12537" width="9.26953125" style="143" bestFit="1" customWidth="1"/>
    <col min="12538" max="12782" width="9.1796875" style="143"/>
    <col min="12783" max="12783" width="6.453125" style="143" customWidth="1"/>
    <col min="12784" max="12784" width="51.26953125" style="143" customWidth="1"/>
    <col min="12785" max="12785" width="5.7265625" style="143" bestFit="1" customWidth="1"/>
    <col min="12786" max="12786" width="11.26953125" style="143" customWidth="1"/>
    <col min="12787" max="12787" width="11.81640625" style="143" bestFit="1" customWidth="1"/>
    <col min="12788" max="12788" width="9" style="143" customWidth="1"/>
    <col min="12789" max="12789" width="9.1796875" style="143"/>
    <col min="12790" max="12793" width="9.26953125" style="143" bestFit="1" customWidth="1"/>
    <col min="12794" max="13038" width="9.1796875" style="143"/>
    <col min="13039" max="13039" width="6.453125" style="143" customWidth="1"/>
    <col min="13040" max="13040" width="51.26953125" style="143" customWidth="1"/>
    <col min="13041" max="13041" width="5.7265625" style="143" bestFit="1" customWidth="1"/>
    <col min="13042" max="13042" width="11.26953125" style="143" customWidth="1"/>
    <col min="13043" max="13043" width="11.81640625" style="143" bestFit="1" customWidth="1"/>
    <col min="13044" max="13044" width="9" style="143" customWidth="1"/>
    <col min="13045" max="13045" width="9.1796875" style="143"/>
    <col min="13046" max="13049" width="9.26953125" style="143" bestFit="1" customWidth="1"/>
    <col min="13050" max="13294" width="9.1796875" style="143"/>
    <col min="13295" max="13295" width="6.453125" style="143" customWidth="1"/>
    <col min="13296" max="13296" width="51.26953125" style="143" customWidth="1"/>
    <col min="13297" max="13297" width="5.7265625" style="143" bestFit="1" customWidth="1"/>
    <col min="13298" max="13298" width="11.26953125" style="143" customWidth="1"/>
    <col min="13299" max="13299" width="11.81640625" style="143" bestFit="1" customWidth="1"/>
    <col min="13300" max="13300" width="9" style="143" customWidth="1"/>
    <col min="13301" max="13301" width="9.1796875" style="143"/>
    <col min="13302" max="13305" width="9.26953125" style="143" bestFit="1" customWidth="1"/>
    <col min="13306" max="13550" width="9.1796875" style="143"/>
    <col min="13551" max="13551" width="6.453125" style="143" customWidth="1"/>
    <col min="13552" max="13552" width="51.26953125" style="143" customWidth="1"/>
    <col min="13553" max="13553" width="5.7265625" style="143" bestFit="1" customWidth="1"/>
    <col min="13554" max="13554" width="11.26953125" style="143" customWidth="1"/>
    <col min="13555" max="13555" width="11.81640625" style="143" bestFit="1" customWidth="1"/>
    <col min="13556" max="13556" width="9" style="143" customWidth="1"/>
    <col min="13557" max="13557" width="9.1796875" style="143"/>
    <col min="13558" max="13561" width="9.26953125" style="143" bestFit="1" customWidth="1"/>
    <col min="13562" max="13806" width="9.1796875" style="143"/>
    <col min="13807" max="13807" width="6.453125" style="143" customWidth="1"/>
    <col min="13808" max="13808" width="51.26953125" style="143" customWidth="1"/>
    <col min="13809" max="13809" width="5.7265625" style="143" bestFit="1" customWidth="1"/>
    <col min="13810" max="13810" width="11.26953125" style="143" customWidth="1"/>
    <col min="13811" max="13811" width="11.81640625" style="143" bestFit="1" customWidth="1"/>
    <col min="13812" max="13812" width="9" style="143" customWidth="1"/>
    <col min="13813" max="13813" width="9.1796875" style="143"/>
    <col min="13814" max="13817" width="9.26953125" style="143" bestFit="1" customWidth="1"/>
    <col min="13818" max="14062" width="9.1796875" style="143"/>
    <col min="14063" max="14063" width="6.453125" style="143" customWidth="1"/>
    <col min="14064" max="14064" width="51.26953125" style="143" customWidth="1"/>
    <col min="14065" max="14065" width="5.7265625" style="143" bestFit="1" customWidth="1"/>
    <col min="14066" max="14066" width="11.26953125" style="143" customWidth="1"/>
    <col min="14067" max="14067" width="11.81640625" style="143" bestFit="1" customWidth="1"/>
    <col min="14068" max="14068" width="9" style="143" customWidth="1"/>
    <col min="14069" max="14069" width="9.1796875" style="143"/>
    <col min="14070" max="14073" width="9.26953125" style="143" bestFit="1" customWidth="1"/>
    <col min="14074" max="14318" width="9.1796875" style="143"/>
    <col min="14319" max="14319" width="6.453125" style="143" customWidth="1"/>
    <col min="14320" max="14320" width="51.26953125" style="143" customWidth="1"/>
    <col min="14321" max="14321" width="5.7265625" style="143" bestFit="1" customWidth="1"/>
    <col min="14322" max="14322" width="11.26953125" style="143" customWidth="1"/>
    <col min="14323" max="14323" width="11.81640625" style="143" bestFit="1" customWidth="1"/>
    <col min="14324" max="14324" width="9" style="143" customWidth="1"/>
    <col min="14325" max="14325" width="9.1796875" style="143"/>
    <col min="14326" max="14329" width="9.26953125" style="143" bestFit="1" customWidth="1"/>
    <col min="14330" max="14574" width="9.1796875" style="143"/>
    <col min="14575" max="14575" width="6.453125" style="143" customWidth="1"/>
    <col min="14576" max="14576" width="51.26953125" style="143" customWidth="1"/>
    <col min="14577" max="14577" width="5.7265625" style="143" bestFit="1" customWidth="1"/>
    <col min="14578" max="14578" width="11.26953125" style="143" customWidth="1"/>
    <col min="14579" max="14579" width="11.81640625" style="143" bestFit="1" customWidth="1"/>
    <col min="14580" max="14580" width="9" style="143" customWidth="1"/>
    <col min="14581" max="14581" width="9.1796875" style="143"/>
    <col min="14582" max="14585" width="9.26953125" style="143" bestFit="1" customWidth="1"/>
    <col min="14586" max="14830" width="9.1796875" style="143"/>
    <col min="14831" max="14831" width="6.453125" style="143" customWidth="1"/>
    <col min="14832" max="14832" width="51.26953125" style="143" customWidth="1"/>
    <col min="14833" max="14833" width="5.7265625" style="143" bestFit="1" customWidth="1"/>
    <col min="14834" max="14834" width="11.26953125" style="143" customWidth="1"/>
    <col min="14835" max="14835" width="11.81640625" style="143" bestFit="1" customWidth="1"/>
    <col min="14836" max="14836" width="9" style="143" customWidth="1"/>
    <col min="14837" max="14837" width="9.1796875" style="143"/>
    <col min="14838" max="14841" width="9.26953125" style="143" bestFit="1" customWidth="1"/>
    <col min="14842" max="15086" width="9.1796875" style="143"/>
    <col min="15087" max="15087" width="6.453125" style="143" customWidth="1"/>
    <col min="15088" max="15088" width="51.26953125" style="143" customWidth="1"/>
    <col min="15089" max="15089" width="5.7265625" style="143" bestFit="1" customWidth="1"/>
    <col min="15090" max="15090" width="11.26953125" style="143" customWidth="1"/>
    <col min="15091" max="15091" width="11.81640625" style="143" bestFit="1" customWidth="1"/>
    <col min="15092" max="15092" width="9" style="143" customWidth="1"/>
    <col min="15093" max="15093" width="9.1796875" style="143"/>
    <col min="15094" max="15097" width="9.26953125" style="143" bestFit="1" customWidth="1"/>
    <col min="15098" max="15342" width="9.1796875" style="143"/>
    <col min="15343" max="15343" width="6.453125" style="143" customWidth="1"/>
    <col min="15344" max="15344" width="51.26953125" style="143" customWidth="1"/>
    <col min="15345" max="15345" width="5.7265625" style="143" bestFit="1" customWidth="1"/>
    <col min="15346" max="15346" width="11.26953125" style="143" customWidth="1"/>
    <col min="15347" max="15347" width="11.81640625" style="143" bestFit="1" customWidth="1"/>
    <col min="15348" max="15348" width="9" style="143" customWidth="1"/>
    <col min="15349" max="15349" width="9.1796875" style="143"/>
    <col min="15350" max="15353" width="9.26953125" style="143" bestFit="1" customWidth="1"/>
    <col min="15354" max="15598" width="9.1796875" style="143"/>
    <col min="15599" max="15599" width="6.453125" style="143" customWidth="1"/>
    <col min="15600" max="15600" width="51.26953125" style="143" customWidth="1"/>
    <col min="15601" max="15601" width="5.7265625" style="143" bestFit="1" customWidth="1"/>
    <col min="15602" max="15602" width="11.26953125" style="143" customWidth="1"/>
    <col min="15603" max="15603" width="11.81640625" style="143" bestFit="1" customWidth="1"/>
    <col min="15604" max="15604" width="9" style="143" customWidth="1"/>
    <col min="15605" max="15605" width="9.1796875" style="143"/>
    <col min="15606" max="15609" width="9.26953125" style="143" bestFit="1" customWidth="1"/>
    <col min="15610" max="15854" width="9.1796875" style="143"/>
    <col min="15855" max="15855" width="6.453125" style="143" customWidth="1"/>
    <col min="15856" max="15856" width="51.26953125" style="143" customWidth="1"/>
    <col min="15857" max="15857" width="5.7265625" style="143" bestFit="1" customWidth="1"/>
    <col min="15858" max="15858" width="11.26953125" style="143" customWidth="1"/>
    <col min="15859" max="15859" width="11.81640625" style="143" bestFit="1" customWidth="1"/>
    <col min="15860" max="15860" width="9" style="143" customWidth="1"/>
    <col min="15861" max="15861" width="9.1796875" style="143"/>
    <col min="15862" max="15865" width="9.26953125" style="143" bestFit="1" customWidth="1"/>
    <col min="15866" max="16110" width="9.1796875" style="143"/>
    <col min="16111" max="16111" width="6.453125" style="143" customWidth="1"/>
    <col min="16112" max="16112" width="51.26953125" style="143" customWidth="1"/>
    <col min="16113" max="16113" width="5.7265625" style="143" bestFit="1" customWidth="1"/>
    <col min="16114" max="16114" width="11.26953125" style="143" customWidth="1"/>
    <col min="16115" max="16115" width="11.81640625" style="143" bestFit="1" customWidth="1"/>
    <col min="16116" max="16116" width="9" style="143" customWidth="1"/>
    <col min="16117" max="16117" width="9.1796875" style="143"/>
    <col min="16118" max="16121" width="9.26953125" style="143" bestFit="1" customWidth="1"/>
    <col min="16122" max="16384" width="9.1796875" style="143"/>
  </cols>
  <sheetData>
    <row r="1" spans="1:11" s="133" customFormat="1" ht="31.5" customHeight="1" x14ac:dyDescent="0.35">
      <c r="A1" s="302" t="s">
        <v>986</v>
      </c>
      <c r="B1" s="299" t="s">
        <v>1052</v>
      </c>
      <c r="C1" s="299" t="s">
        <v>987</v>
      </c>
      <c r="D1" s="305" t="s">
        <v>1057</v>
      </c>
      <c r="E1" s="306"/>
      <c r="F1" s="305" t="s">
        <v>1060</v>
      </c>
      <c r="G1" s="307"/>
      <c r="H1" s="307"/>
      <c r="I1" s="306"/>
      <c r="J1" s="132" t="s">
        <v>988</v>
      </c>
    </row>
    <row r="2" spans="1:11" s="133" customFormat="1" ht="15.5" x14ac:dyDescent="0.35">
      <c r="A2" s="303"/>
      <c r="B2" s="300"/>
      <c r="C2" s="300"/>
      <c r="D2" s="179" t="s">
        <v>1058</v>
      </c>
      <c r="E2" s="179" t="s">
        <v>1059</v>
      </c>
      <c r="F2" s="308" t="s">
        <v>1061</v>
      </c>
      <c r="G2" s="305" t="s">
        <v>1062</v>
      </c>
      <c r="H2" s="307"/>
      <c r="I2" s="306"/>
      <c r="J2" s="178"/>
    </row>
    <row r="3" spans="1:11" s="133" customFormat="1" ht="31" x14ac:dyDescent="0.35">
      <c r="A3" s="304"/>
      <c r="B3" s="301"/>
      <c r="C3" s="301"/>
      <c r="D3" s="179"/>
      <c r="E3" s="179"/>
      <c r="F3" s="309"/>
      <c r="G3" s="179" t="s">
        <v>1063</v>
      </c>
      <c r="H3" s="179" t="s">
        <v>1064</v>
      </c>
      <c r="I3" s="179" t="s">
        <v>512</v>
      </c>
      <c r="J3" s="178"/>
    </row>
    <row r="4" spans="1:11" s="133" customFormat="1" ht="15.5" x14ac:dyDescent="0.35">
      <c r="A4" s="134">
        <v>1</v>
      </c>
      <c r="B4" s="135" t="s">
        <v>509</v>
      </c>
      <c r="C4" s="136" t="s">
        <v>989</v>
      </c>
      <c r="D4" s="183">
        <v>0</v>
      </c>
      <c r="E4" s="191">
        <v>0</v>
      </c>
      <c r="F4" s="137">
        <f>'Chhattisgarh 2025-26'!F7</f>
        <v>0</v>
      </c>
      <c r="G4" s="138">
        <f>I4*60%</f>
        <v>0</v>
      </c>
      <c r="H4" s="138">
        <f>I4*40%</f>
        <v>0</v>
      </c>
      <c r="I4" s="190">
        <f>'Chhattisgarh 2025-26'!G7</f>
        <v>0</v>
      </c>
      <c r="J4" s="180">
        <f t="shared" ref="J4:J27" si="0">I4/$I$28*100</f>
        <v>0</v>
      </c>
    </row>
    <row r="5" spans="1:11" ht="15.5" x14ac:dyDescent="0.35">
      <c r="A5" s="134">
        <v>2</v>
      </c>
      <c r="B5" s="139" t="s">
        <v>990</v>
      </c>
      <c r="C5" s="140" t="s">
        <v>989</v>
      </c>
      <c r="D5" s="184">
        <v>94</v>
      </c>
      <c r="E5" s="192">
        <v>2185.5</v>
      </c>
      <c r="F5" s="141">
        <f>'Chhattisgarh 2025-26'!F39</f>
        <v>94</v>
      </c>
      <c r="G5" s="138">
        <f t="shared" ref="G5:G28" si="1">I5*60%</f>
        <v>1311.3</v>
      </c>
      <c r="H5" s="138">
        <f t="shared" ref="H5:H28" si="2">I5*40%</f>
        <v>874.2</v>
      </c>
      <c r="I5" s="190">
        <f>'Chhattisgarh 2025-26'!G39</f>
        <v>2185.5</v>
      </c>
      <c r="J5" s="180">
        <f t="shared" si="0"/>
        <v>16.139070280732181</v>
      </c>
    </row>
    <row r="6" spans="1:11" ht="15.5" x14ac:dyDescent="0.35">
      <c r="A6" s="134">
        <v>3</v>
      </c>
      <c r="B6" s="144" t="s">
        <v>1054</v>
      </c>
      <c r="C6" s="136" t="s">
        <v>992</v>
      </c>
      <c r="D6" s="185">
        <v>14712.087904174889</v>
      </c>
      <c r="E6" s="193">
        <v>3694.8442500000001</v>
      </c>
      <c r="F6" s="145">
        <f>'Chhattisgarh 2025-26'!F304</f>
        <v>10536.547904174888</v>
      </c>
      <c r="G6" s="138">
        <f t="shared" si="1"/>
        <v>1625.8417500000003</v>
      </c>
      <c r="H6" s="138">
        <f t="shared" si="2"/>
        <v>1083.8945000000001</v>
      </c>
      <c r="I6" s="190">
        <f>'Chhattisgarh 2025-26'!G304</f>
        <v>2709.7362500000004</v>
      </c>
      <c r="J6" s="180">
        <f t="shared" si="0"/>
        <v>20.010351764354919</v>
      </c>
    </row>
    <row r="7" spans="1:11" ht="15.5" x14ac:dyDescent="0.35">
      <c r="A7" s="134">
        <v>4</v>
      </c>
      <c r="B7" s="135" t="s">
        <v>993</v>
      </c>
      <c r="C7" s="136" t="s">
        <v>992</v>
      </c>
      <c r="D7" s="185">
        <v>2085</v>
      </c>
      <c r="E7" s="193">
        <v>139.30831000000001</v>
      </c>
      <c r="F7" s="145">
        <f>'Chhattisgarh 2025-26'!F305</f>
        <v>2085</v>
      </c>
      <c r="G7" s="138">
        <f t="shared" si="1"/>
        <v>83.584986000000001</v>
      </c>
      <c r="H7" s="138">
        <f t="shared" si="2"/>
        <v>55.723324000000005</v>
      </c>
      <c r="I7" s="190">
        <f>'Chhattisgarh 2025-26'!G305</f>
        <v>139.30831000000001</v>
      </c>
      <c r="J7" s="180">
        <f t="shared" si="0"/>
        <v>1.028737865833917</v>
      </c>
    </row>
    <row r="8" spans="1:11" ht="15.5" x14ac:dyDescent="0.35">
      <c r="A8" s="134">
        <v>5</v>
      </c>
      <c r="B8" s="135" t="s">
        <v>163</v>
      </c>
      <c r="C8" s="136" t="s">
        <v>989</v>
      </c>
      <c r="D8" s="185">
        <v>8</v>
      </c>
      <c r="E8" s="193">
        <v>162</v>
      </c>
      <c r="F8" s="145">
        <f>'Chhattisgarh 2025-26'!F317</f>
        <v>8</v>
      </c>
      <c r="G8" s="138">
        <f t="shared" si="1"/>
        <v>97.2</v>
      </c>
      <c r="H8" s="138">
        <f t="shared" si="2"/>
        <v>64.8</v>
      </c>
      <c r="I8" s="190">
        <f>'Chhattisgarh 2025-26'!G317</f>
        <v>162</v>
      </c>
      <c r="J8" s="180">
        <f t="shared" si="0"/>
        <v>1.1963071999444583</v>
      </c>
    </row>
    <row r="9" spans="1:11" ht="15.5" x14ac:dyDescent="0.35">
      <c r="A9" s="134">
        <v>6</v>
      </c>
      <c r="B9" s="135" t="s">
        <v>994</v>
      </c>
      <c r="C9" s="136" t="s">
        <v>992</v>
      </c>
      <c r="D9" s="183">
        <v>0</v>
      </c>
      <c r="E9" s="191">
        <v>0</v>
      </c>
      <c r="F9" s="137">
        <f>'Chhattisgarh 2025-26'!F322</f>
        <v>0</v>
      </c>
      <c r="G9" s="138">
        <f t="shared" si="1"/>
        <v>0</v>
      </c>
      <c r="H9" s="138">
        <f t="shared" si="2"/>
        <v>0</v>
      </c>
      <c r="I9" s="190">
        <f>'Chhattisgarh 2025-26'!G322</f>
        <v>0</v>
      </c>
      <c r="J9" s="180">
        <f t="shared" si="0"/>
        <v>0</v>
      </c>
    </row>
    <row r="10" spans="1:11" ht="15.5" x14ac:dyDescent="0.35">
      <c r="A10" s="134">
        <v>7</v>
      </c>
      <c r="B10" s="135" t="s">
        <v>177</v>
      </c>
      <c r="C10" s="136" t="s">
        <v>989</v>
      </c>
      <c r="D10" s="183">
        <v>0</v>
      </c>
      <c r="E10" s="191">
        <v>0</v>
      </c>
      <c r="F10" s="137">
        <f>'Chhattisgarh 2025-26'!F335</f>
        <v>0</v>
      </c>
      <c r="G10" s="138">
        <f t="shared" si="1"/>
        <v>0</v>
      </c>
      <c r="H10" s="138">
        <f t="shared" si="2"/>
        <v>0</v>
      </c>
      <c r="I10" s="190">
        <f>'Chhattisgarh 2025-26'!G335</f>
        <v>0</v>
      </c>
      <c r="J10" s="180">
        <f t="shared" si="0"/>
        <v>0</v>
      </c>
    </row>
    <row r="11" spans="1:11" ht="15.5" x14ac:dyDescent="0.35">
      <c r="A11" s="134">
        <v>8</v>
      </c>
      <c r="B11" s="135" t="s">
        <v>1009</v>
      </c>
      <c r="C11" s="136" t="s">
        <v>992</v>
      </c>
      <c r="D11" s="183">
        <v>8495.3135000000002</v>
      </c>
      <c r="E11" s="191">
        <v>6710.8374999999996</v>
      </c>
      <c r="F11" s="137">
        <f>'Chhattisgarh 2025-26'!F371</f>
        <v>4506.2134999999998</v>
      </c>
      <c r="G11" s="138">
        <f t="shared" si="1"/>
        <v>1626.3993</v>
      </c>
      <c r="H11" s="138">
        <f t="shared" si="2"/>
        <v>1084.2662</v>
      </c>
      <c r="I11" s="190">
        <f>'Chhattisgarh 2025-26'!G371</f>
        <v>2710.6655000000001</v>
      </c>
      <c r="J11" s="180">
        <f t="shared" si="0"/>
        <v>20.017213915376821</v>
      </c>
      <c r="K11" s="187"/>
    </row>
    <row r="12" spans="1:11" ht="15.5" x14ac:dyDescent="0.35">
      <c r="A12" s="134">
        <v>9</v>
      </c>
      <c r="B12" s="135" t="s">
        <v>1016</v>
      </c>
      <c r="C12" s="136"/>
      <c r="D12" s="183">
        <v>0</v>
      </c>
      <c r="E12" s="191">
        <v>0</v>
      </c>
      <c r="F12" s="137">
        <f>'Chhattisgarh 2025-26'!F372</f>
        <v>0</v>
      </c>
      <c r="G12" s="138">
        <f t="shared" si="1"/>
        <v>0</v>
      </c>
      <c r="H12" s="138">
        <f t="shared" si="2"/>
        <v>0</v>
      </c>
      <c r="I12" s="190">
        <f>'Chhattisgarh 2025-26'!G372</f>
        <v>0</v>
      </c>
      <c r="J12" s="180">
        <f t="shared" si="0"/>
        <v>0</v>
      </c>
      <c r="K12" s="187"/>
    </row>
    <row r="13" spans="1:11" ht="15.5" x14ac:dyDescent="0.35">
      <c r="A13" s="134">
        <v>10</v>
      </c>
      <c r="B13" s="135" t="s">
        <v>995</v>
      </c>
      <c r="C13" s="136" t="s">
        <v>992</v>
      </c>
      <c r="D13" s="183">
        <v>0</v>
      </c>
      <c r="E13" s="191">
        <v>0</v>
      </c>
      <c r="F13" s="137">
        <f>'Chhattisgarh 2025-26'!F380</f>
        <v>0</v>
      </c>
      <c r="G13" s="138">
        <f t="shared" si="1"/>
        <v>0</v>
      </c>
      <c r="H13" s="138">
        <f t="shared" si="2"/>
        <v>0</v>
      </c>
      <c r="I13" s="190">
        <f>'Chhattisgarh 2025-26'!G380</f>
        <v>0</v>
      </c>
      <c r="J13" s="180">
        <f t="shared" si="0"/>
        <v>0</v>
      </c>
      <c r="K13" s="187"/>
    </row>
    <row r="14" spans="1:11" ht="15.5" x14ac:dyDescent="0.35">
      <c r="A14" s="134">
        <v>11</v>
      </c>
      <c r="B14" s="135" t="s">
        <v>996</v>
      </c>
      <c r="C14" s="136" t="s">
        <v>992</v>
      </c>
      <c r="D14" s="183">
        <v>1000</v>
      </c>
      <c r="E14" s="191">
        <v>500</v>
      </c>
      <c r="F14" s="137">
        <f>'Chhattisgarh 2025-26'!F387</f>
        <v>500</v>
      </c>
      <c r="G14" s="138">
        <f t="shared" si="1"/>
        <v>150</v>
      </c>
      <c r="H14" s="138">
        <f t="shared" si="2"/>
        <v>100</v>
      </c>
      <c r="I14" s="190">
        <f>'Chhattisgarh 2025-26'!G387</f>
        <v>250</v>
      </c>
      <c r="J14" s="180">
        <f t="shared" si="0"/>
        <v>1.8461530863340407</v>
      </c>
      <c r="K14" s="187"/>
    </row>
    <row r="15" spans="1:11" s="147" customFormat="1" ht="15.5" x14ac:dyDescent="0.35">
      <c r="A15" s="134">
        <v>12</v>
      </c>
      <c r="B15" s="135" t="s">
        <v>1053</v>
      </c>
      <c r="C15" s="136" t="s">
        <v>992</v>
      </c>
      <c r="D15" s="183">
        <v>0</v>
      </c>
      <c r="E15" s="191">
        <v>0</v>
      </c>
      <c r="F15" s="137">
        <f>'Chhattisgarh 2025-26'!F388</f>
        <v>0</v>
      </c>
      <c r="G15" s="138">
        <f t="shared" si="1"/>
        <v>0</v>
      </c>
      <c r="H15" s="138">
        <f t="shared" si="2"/>
        <v>0</v>
      </c>
      <c r="I15" s="190">
        <f>'Chhattisgarh 2025-26'!G388</f>
        <v>0</v>
      </c>
      <c r="J15" s="180">
        <f t="shared" si="0"/>
        <v>0</v>
      </c>
      <c r="K15" s="188"/>
    </row>
    <row r="16" spans="1:11" ht="15.5" x14ac:dyDescent="0.35">
      <c r="A16" s="134">
        <v>13</v>
      </c>
      <c r="B16" s="148" t="s">
        <v>1003</v>
      </c>
      <c r="C16" s="136" t="s">
        <v>989</v>
      </c>
      <c r="D16" s="183">
        <v>1</v>
      </c>
      <c r="E16" s="191">
        <v>250</v>
      </c>
      <c r="F16" s="137">
        <f>'Chhattisgarh 2025-26'!F389</f>
        <v>1</v>
      </c>
      <c r="G16" s="138">
        <f t="shared" si="1"/>
        <v>150</v>
      </c>
      <c r="H16" s="138">
        <f t="shared" si="2"/>
        <v>100</v>
      </c>
      <c r="I16" s="190">
        <f>'Chhattisgarh 2025-26'!G389</f>
        <v>250</v>
      </c>
      <c r="J16" s="180">
        <f t="shared" si="0"/>
        <v>1.8461530863340407</v>
      </c>
      <c r="K16" s="187"/>
    </row>
    <row r="17" spans="1:11" ht="15.5" x14ac:dyDescent="0.35">
      <c r="A17" s="134">
        <v>14</v>
      </c>
      <c r="B17" s="135" t="s">
        <v>1002</v>
      </c>
      <c r="C17" s="136" t="s">
        <v>989</v>
      </c>
      <c r="D17" s="183">
        <v>10227</v>
      </c>
      <c r="E17" s="191">
        <v>130.16</v>
      </c>
      <c r="F17" s="137">
        <f>'Chhattisgarh 2025-26'!F399</f>
        <v>10227</v>
      </c>
      <c r="G17" s="138">
        <f t="shared" si="1"/>
        <v>78.095999999999989</v>
      </c>
      <c r="H17" s="138">
        <f t="shared" si="2"/>
        <v>52.064</v>
      </c>
      <c r="I17" s="190">
        <f>'Chhattisgarh 2025-26'!G399</f>
        <v>130.16</v>
      </c>
      <c r="J17" s="180">
        <f t="shared" si="0"/>
        <v>0.96118114286895484</v>
      </c>
      <c r="K17" s="187"/>
    </row>
    <row r="18" spans="1:11" ht="15.5" x14ac:dyDescent="0.35">
      <c r="A18" s="134">
        <v>15</v>
      </c>
      <c r="B18" s="135" t="s">
        <v>293</v>
      </c>
      <c r="C18" s="136" t="s">
        <v>989</v>
      </c>
      <c r="D18" s="183">
        <v>35</v>
      </c>
      <c r="E18" s="191">
        <v>24.8</v>
      </c>
      <c r="F18" s="137">
        <f>'Chhattisgarh 2025-26'!F421</f>
        <v>35</v>
      </c>
      <c r="G18" s="138">
        <f t="shared" si="1"/>
        <v>14.879999999999999</v>
      </c>
      <c r="H18" s="138">
        <f t="shared" si="2"/>
        <v>9.9200000000000017</v>
      </c>
      <c r="I18" s="190">
        <f>'Chhattisgarh 2025-26'!G421</f>
        <v>24.8</v>
      </c>
      <c r="J18" s="180">
        <f t="shared" si="0"/>
        <v>0.18313838616433681</v>
      </c>
      <c r="K18" s="187"/>
    </row>
    <row r="19" spans="1:11" ht="15.5" x14ac:dyDescent="0.35">
      <c r="A19" s="134">
        <v>16</v>
      </c>
      <c r="B19" s="144" t="s">
        <v>1056</v>
      </c>
      <c r="C19" s="136" t="s">
        <v>989</v>
      </c>
      <c r="D19" s="183">
        <v>5</v>
      </c>
      <c r="E19" s="191">
        <v>125</v>
      </c>
      <c r="F19" s="137">
        <f>'Chhattisgarh 2025-26'!F425</f>
        <v>5</v>
      </c>
      <c r="G19" s="138">
        <f t="shared" si="1"/>
        <v>75</v>
      </c>
      <c r="H19" s="138">
        <f t="shared" si="2"/>
        <v>50</v>
      </c>
      <c r="I19" s="190">
        <f>'Chhattisgarh 2025-26'!G425</f>
        <v>125</v>
      </c>
      <c r="J19" s="180">
        <f t="shared" si="0"/>
        <v>0.92307654316702037</v>
      </c>
      <c r="K19" s="187"/>
    </row>
    <row r="20" spans="1:11" ht="15.5" x14ac:dyDescent="0.35">
      <c r="A20" s="134">
        <v>17</v>
      </c>
      <c r="B20" s="135" t="s">
        <v>416</v>
      </c>
      <c r="C20" s="136" t="s">
        <v>989</v>
      </c>
      <c r="D20" s="183">
        <v>5435</v>
      </c>
      <c r="E20" s="191">
        <v>383.42217999999997</v>
      </c>
      <c r="F20" s="137">
        <f>'Chhattisgarh 2025-26'!F441</f>
        <v>5435</v>
      </c>
      <c r="G20" s="138">
        <f t="shared" si="1"/>
        <v>230.05330799999999</v>
      </c>
      <c r="H20" s="138">
        <f t="shared" si="2"/>
        <v>153.36887199999998</v>
      </c>
      <c r="I20" s="190">
        <f>'Chhattisgarh 2025-26'!G441</f>
        <v>383.42217999999997</v>
      </c>
      <c r="J20" s="180">
        <f t="shared" si="0"/>
        <v>2.8314241639037041</v>
      </c>
      <c r="K20" s="187"/>
    </row>
    <row r="21" spans="1:11" ht="15.5" x14ac:dyDescent="0.35">
      <c r="A21" s="134">
        <v>18</v>
      </c>
      <c r="B21" s="135" t="s">
        <v>1015</v>
      </c>
      <c r="C21" s="136" t="s">
        <v>989</v>
      </c>
      <c r="D21" s="183">
        <v>352</v>
      </c>
      <c r="E21" s="191">
        <v>3475.5</v>
      </c>
      <c r="F21" s="137">
        <f>'Chhattisgarh 2025-26'!F533</f>
        <v>604</v>
      </c>
      <c r="G21" s="138">
        <f t="shared" si="1"/>
        <v>2195.5499999999997</v>
      </c>
      <c r="H21" s="138">
        <f t="shared" si="2"/>
        <v>1463.7</v>
      </c>
      <c r="I21" s="190">
        <f>'Chhattisgarh 2025-26'!G533</f>
        <v>3659.25</v>
      </c>
      <c r="J21" s="180">
        <f t="shared" si="0"/>
        <v>27.022142724671351</v>
      </c>
      <c r="K21" s="187"/>
    </row>
    <row r="22" spans="1:11" ht="15.5" x14ac:dyDescent="0.35">
      <c r="A22" s="134">
        <v>19</v>
      </c>
      <c r="B22" s="135" t="s">
        <v>1000</v>
      </c>
      <c r="C22" s="136" t="s">
        <v>989</v>
      </c>
      <c r="D22" s="183">
        <v>0</v>
      </c>
      <c r="E22" s="191">
        <v>0</v>
      </c>
      <c r="F22" s="137">
        <f>'Chhattisgarh 2025-26'!F545</f>
        <v>0</v>
      </c>
      <c r="G22" s="138">
        <f t="shared" si="1"/>
        <v>0</v>
      </c>
      <c r="H22" s="138">
        <f t="shared" si="2"/>
        <v>0</v>
      </c>
      <c r="I22" s="190">
        <f>'Chhattisgarh 2025-26'!G545</f>
        <v>0</v>
      </c>
      <c r="J22" s="180">
        <f t="shared" si="0"/>
        <v>0</v>
      </c>
      <c r="K22" s="187"/>
    </row>
    <row r="23" spans="1:11" ht="15.5" x14ac:dyDescent="0.35">
      <c r="A23" s="134">
        <v>20</v>
      </c>
      <c r="B23" s="135" t="s">
        <v>1012</v>
      </c>
      <c r="C23" s="136" t="s">
        <v>989</v>
      </c>
      <c r="D23" s="183">
        <v>0</v>
      </c>
      <c r="E23" s="191">
        <v>0</v>
      </c>
      <c r="F23" s="137">
        <f>'Chhattisgarh 2025-26'!F550</f>
        <v>0</v>
      </c>
      <c r="G23" s="138">
        <f t="shared" si="1"/>
        <v>0</v>
      </c>
      <c r="H23" s="138">
        <f t="shared" si="2"/>
        <v>0</v>
      </c>
      <c r="I23" s="190">
        <f>'Chhattisgarh 2025-26'!G550</f>
        <v>0</v>
      </c>
      <c r="J23" s="180">
        <f t="shared" si="0"/>
        <v>0</v>
      </c>
      <c r="K23" s="187"/>
    </row>
    <row r="24" spans="1:11" ht="15.5" x14ac:dyDescent="0.35">
      <c r="A24" s="134">
        <v>21</v>
      </c>
      <c r="B24" s="135" t="s">
        <v>999</v>
      </c>
      <c r="C24" s="136" t="s">
        <v>989</v>
      </c>
      <c r="D24" s="183">
        <v>0</v>
      </c>
      <c r="E24" s="191">
        <v>0</v>
      </c>
      <c r="F24" s="137">
        <f>'Chhattisgarh 2025-26'!F557</f>
        <v>0</v>
      </c>
      <c r="G24" s="138">
        <f t="shared" si="1"/>
        <v>0</v>
      </c>
      <c r="H24" s="138">
        <f t="shared" si="2"/>
        <v>0</v>
      </c>
      <c r="I24" s="190">
        <f>'Chhattisgarh 2025-26'!G557</f>
        <v>0</v>
      </c>
      <c r="J24" s="180">
        <f t="shared" si="0"/>
        <v>0</v>
      </c>
      <c r="K24" s="187"/>
    </row>
    <row r="25" spans="1:11" ht="15.5" x14ac:dyDescent="0.35">
      <c r="A25" s="134">
        <v>22</v>
      </c>
      <c r="B25" s="135" t="s">
        <v>467</v>
      </c>
      <c r="C25" s="136"/>
      <c r="D25" s="183">
        <v>50</v>
      </c>
      <c r="E25" s="191">
        <v>20</v>
      </c>
      <c r="F25" s="137">
        <f>'Chhattisgarh 2025-26'!F562</f>
        <v>50</v>
      </c>
      <c r="G25" s="138">
        <f t="shared" si="1"/>
        <v>12</v>
      </c>
      <c r="H25" s="138">
        <f t="shared" si="2"/>
        <v>8</v>
      </c>
      <c r="I25" s="190">
        <f>'Chhattisgarh 2025-26'!G562</f>
        <v>20</v>
      </c>
      <c r="J25" s="180">
        <f t="shared" si="0"/>
        <v>0.14769224690672325</v>
      </c>
      <c r="K25" s="187"/>
    </row>
    <row r="26" spans="1:11" ht="15.5" x14ac:dyDescent="0.35">
      <c r="A26" s="134">
        <v>24</v>
      </c>
      <c r="B26" s="144" t="s">
        <v>1055</v>
      </c>
      <c r="C26" s="136"/>
      <c r="D26" s="183">
        <v>48</v>
      </c>
      <c r="E26" s="191">
        <v>453</v>
      </c>
      <c r="F26" s="137">
        <f>'Chhattisgarh 2025-26'!F585</f>
        <v>48</v>
      </c>
      <c r="G26" s="138">
        <f t="shared" si="1"/>
        <v>271.8</v>
      </c>
      <c r="H26" s="138">
        <f t="shared" si="2"/>
        <v>181.20000000000002</v>
      </c>
      <c r="I26" s="195">
        <f>'Chhattisgarh 2025-26'!G585</f>
        <v>453</v>
      </c>
      <c r="J26" s="180">
        <f t="shared" si="0"/>
        <v>3.3452293924372816</v>
      </c>
      <c r="K26" s="187"/>
    </row>
    <row r="27" spans="1:11" ht="15.5" x14ac:dyDescent="0.35">
      <c r="A27" s="134">
        <v>25</v>
      </c>
      <c r="B27" s="144" t="s">
        <v>1005</v>
      </c>
      <c r="C27" s="136"/>
      <c r="D27" s="183">
        <v>0</v>
      </c>
      <c r="E27" s="191">
        <v>385.38</v>
      </c>
      <c r="F27" s="137">
        <f>'Chhattisgarh 2025-26'!F564</f>
        <v>0</v>
      </c>
      <c r="G27" s="138">
        <f t="shared" si="1"/>
        <v>203.29799999999997</v>
      </c>
      <c r="H27" s="138">
        <f t="shared" si="2"/>
        <v>135.53200000000001</v>
      </c>
      <c r="I27" s="190">
        <f>'Chhattisgarh 2025-26'!G564</f>
        <v>338.83</v>
      </c>
      <c r="J27" s="180">
        <f t="shared" si="0"/>
        <v>2.5021282009702515</v>
      </c>
      <c r="K27" s="187"/>
    </row>
    <row r="28" spans="1:11" ht="18.5" x14ac:dyDescent="0.35">
      <c r="A28" s="149"/>
      <c r="B28" s="182" t="s">
        <v>1006</v>
      </c>
      <c r="C28" s="182"/>
      <c r="D28" s="182"/>
      <c r="E28" s="186">
        <v>18639.752239999998</v>
      </c>
      <c r="F28" s="182"/>
      <c r="G28" s="190">
        <f t="shared" si="1"/>
        <v>8125.0033439999997</v>
      </c>
      <c r="H28" s="190">
        <f t="shared" si="2"/>
        <v>5416.6688960000001</v>
      </c>
      <c r="I28" s="150">
        <f>SUM(I4:I27)</f>
        <v>13541.67224</v>
      </c>
      <c r="J28" s="181">
        <f>SUM(J4:J27)</f>
        <v>100</v>
      </c>
    </row>
  </sheetData>
  <mergeCells count="7">
    <mergeCell ref="B1:B3"/>
    <mergeCell ref="A1:A3"/>
    <mergeCell ref="D1:E1"/>
    <mergeCell ref="F1:I1"/>
    <mergeCell ref="G2:I2"/>
    <mergeCell ref="F2:F3"/>
    <mergeCell ref="C1:C3"/>
  </mergeCells>
  <pageMargins left="0.70866141732283472" right="0.43307086614173229" top="0.74803149606299213" bottom="0.74803149606299213" header="0.31496062992125984" footer="0.31496062992125984"/>
  <pageSetup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O26"/>
  <sheetViews>
    <sheetView view="pageBreakPreview" zoomScaleSheetLayoutView="100" workbookViewId="0">
      <selection activeCell="J4" sqref="J4"/>
    </sheetView>
  </sheetViews>
  <sheetFormatPr defaultRowHeight="23.5" customHeight="1" x14ac:dyDescent="0.35"/>
  <cols>
    <col min="1" max="1" width="6.453125" style="151" customWidth="1"/>
    <col min="2" max="2" width="51.26953125" style="151" customWidth="1"/>
    <col min="3" max="3" width="5.7265625" style="151" bestFit="1" customWidth="1"/>
    <col min="4" max="4" width="11.26953125" style="151" customWidth="1"/>
    <col min="5" max="5" width="11.81640625" style="151" bestFit="1" customWidth="1"/>
    <col min="6" max="6" width="9" style="143" customWidth="1"/>
    <col min="7" max="7" width="9.1796875" style="143"/>
    <col min="8" max="11" width="9.26953125" style="143" bestFit="1" customWidth="1"/>
    <col min="12" max="256" width="9.1796875" style="143"/>
    <col min="257" max="257" width="6.453125" style="143" customWidth="1"/>
    <col min="258" max="258" width="51.26953125" style="143" customWidth="1"/>
    <col min="259" max="259" width="5.7265625" style="143" bestFit="1" customWidth="1"/>
    <col min="260" max="260" width="11.26953125" style="143" customWidth="1"/>
    <col min="261" max="261" width="11.81640625" style="143" bestFit="1" customWidth="1"/>
    <col min="262" max="262" width="9" style="143" customWidth="1"/>
    <col min="263" max="263" width="9.1796875" style="143"/>
    <col min="264" max="267" width="9.26953125" style="143" bestFit="1" customWidth="1"/>
    <col min="268" max="512" width="9.1796875" style="143"/>
    <col min="513" max="513" width="6.453125" style="143" customWidth="1"/>
    <col min="514" max="514" width="51.26953125" style="143" customWidth="1"/>
    <col min="515" max="515" width="5.7265625" style="143" bestFit="1" customWidth="1"/>
    <col min="516" max="516" width="11.26953125" style="143" customWidth="1"/>
    <col min="517" max="517" width="11.81640625" style="143" bestFit="1" customWidth="1"/>
    <col min="518" max="518" width="9" style="143" customWidth="1"/>
    <col min="519" max="519" width="9.1796875" style="143"/>
    <col min="520" max="523" width="9.26953125" style="143" bestFit="1" customWidth="1"/>
    <col min="524" max="768" width="9.1796875" style="143"/>
    <col min="769" max="769" width="6.453125" style="143" customWidth="1"/>
    <col min="770" max="770" width="51.26953125" style="143" customWidth="1"/>
    <col min="771" max="771" width="5.7265625" style="143" bestFit="1" customWidth="1"/>
    <col min="772" max="772" width="11.26953125" style="143" customWidth="1"/>
    <col min="773" max="773" width="11.81640625" style="143" bestFit="1" customWidth="1"/>
    <col min="774" max="774" width="9" style="143" customWidth="1"/>
    <col min="775" max="775" width="9.1796875" style="143"/>
    <col min="776" max="779" width="9.26953125" style="143" bestFit="1" customWidth="1"/>
    <col min="780" max="1024" width="9.1796875" style="143"/>
    <col min="1025" max="1025" width="6.453125" style="143" customWidth="1"/>
    <col min="1026" max="1026" width="51.26953125" style="143" customWidth="1"/>
    <col min="1027" max="1027" width="5.7265625" style="143" bestFit="1" customWidth="1"/>
    <col min="1028" max="1028" width="11.26953125" style="143" customWidth="1"/>
    <col min="1029" max="1029" width="11.81640625" style="143" bestFit="1" customWidth="1"/>
    <col min="1030" max="1030" width="9" style="143" customWidth="1"/>
    <col min="1031" max="1031" width="9.1796875" style="143"/>
    <col min="1032" max="1035" width="9.26953125" style="143" bestFit="1" customWidth="1"/>
    <col min="1036" max="1280" width="9.1796875" style="143"/>
    <col min="1281" max="1281" width="6.453125" style="143" customWidth="1"/>
    <col min="1282" max="1282" width="51.26953125" style="143" customWidth="1"/>
    <col min="1283" max="1283" width="5.7265625" style="143" bestFit="1" customWidth="1"/>
    <col min="1284" max="1284" width="11.26953125" style="143" customWidth="1"/>
    <col min="1285" max="1285" width="11.81640625" style="143" bestFit="1" customWidth="1"/>
    <col min="1286" max="1286" width="9" style="143" customWidth="1"/>
    <col min="1287" max="1287" width="9.1796875" style="143"/>
    <col min="1288" max="1291" width="9.26953125" style="143" bestFit="1" customWidth="1"/>
    <col min="1292" max="1536" width="9.1796875" style="143"/>
    <col min="1537" max="1537" width="6.453125" style="143" customWidth="1"/>
    <col min="1538" max="1538" width="51.26953125" style="143" customWidth="1"/>
    <col min="1539" max="1539" width="5.7265625" style="143" bestFit="1" customWidth="1"/>
    <col min="1540" max="1540" width="11.26953125" style="143" customWidth="1"/>
    <col min="1541" max="1541" width="11.81640625" style="143" bestFit="1" customWidth="1"/>
    <col min="1542" max="1542" width="9" style="143" customWidth="1"/>
    <col min="1543" max="1543" width="9.1796875" style="143"/>
    <col min="1544" max="1547" width="9.26953125" style="143" bestFit="1" customWidth="1"/>
    <col min="1548" max="1792" width="9.1796875" style="143"/>
    <col min="1793" max="1793" width="6.453125" style="143" customWidth="1"/>
    <col min="1794" max="1794" width="51.26953125" style="143" customWidth="1"/>
    <col min="1795" max="1795" width="5.7265625" style="143" bestFit="1" customWidth="1"/>
    <col min="1796" max="1796" width="11.26953125" style="143" customWidth="1"/>
    <col min="1797" max="1797" width="11.81640625" style="143" bestFit="1" customWidth="1"/>
    <col min="1798" max="1798" width="9" style="143" customWidth="1"/>
    <col min="1799" max="1799" width="9.1796875" style="143"/>
    <col min="1800" max="1803" width="9.26953125" style="143" bestFit="1" customWidth="1"/>
    <col min="1804" max="2048" width="9.1796875" style="143"/>
    <col min="2049" max="2049" width="6.453125" style="143" customWidth="1"/>
    <col min="2050" max="2050" width="51.26953125" style="143" customWidth="1"/>
    <col min="2051" max="2051" width="5.7265625" style="143" bestFit="1" customWidth="1"/>
    <col min="2052" max="2052" width="11.26953125" style="143" customWidth="1"/>
    <col min="2053" max="2053" width="11.81640625" style="143" bestFit="1" customWidth="1"/>
    <col min="2054" max="2054" width="9" style="143" customWidth="1"/>
    <col min="2055" max="2055" width="9.1796875" style="143"/>
    <col min="2056" max="2059" width="9.26953125" style="143" bestFit="1" customWidth="1"/>
    <col min="2060" max="2304" width="9.1796875" style="143"/>
    <col min="2305" max="2305" width="6.453125" style="143" customWidth="1"/>
    <col min="2306" max="2306" width="51.26953125" style="143" customWidth="1"/>
    <col min="2307" max="2307" width="5.7265625" style="143" bestFit="1" customWidth="1"/>
    <col min="2308" max="2308" width="11.26953125" style="143" customWidth="1"/>
    <col min="2309" max="2309" width="11.81640625" style="143" bestFit="1" customWidth="1"/>
    <col min="2310" max="2310" width="9" style="143" customWidth="1"/>
    <col min="2311" max="2311" width="9.1796875" style="143"/>
    <col min="2312" max="2315" width="9.26953125" style="143" bestFit="1" customWidth="1"/>
    <col min="2316" max="2560" width="9.1796875" style="143"/>
    <col min="2561" max="2561" width="6.453125" style="143" customWidth="1"/>
    <col min="2562" max="2562" width="51.26953125" style="143" customWidth="1"/>
    <col min="2563" max="2563" width="5.7265625" style="143" bestFit="1" customWidth="1"/>
    <col min="2564" max="2564" width="11.26953125" style="143" customWidth="1"/>
    <col min="2565" max="2565" width="11.81640625" style="143" bestFit="1" customWidth="1"/>
    <col min="2566" max="2566" width="9" style="143" customWidth="1"/>
    <col min="2567" max="2567" width="9.1796875" style="143"/>
    <col min="2568" max="2571" width="9.26953125" style="143" bestFit="1" customWidth="1"/>
    <col min="2572" max="2816" width="9.1796875" style="143"/>
    <col min="2817" max="2817" width="6.453125" style="143" customWidth="1"/>
    <col min="2818" max="2818" width="51.26953125" style="143" customWidth="1"/>
    <col min="2819" max="2819" width="5.7265625" style="143" bestFit="1" customWidth="1"/>
    <col min="2820" max="2820" width="11.26953125" style="143" customWidth="1"/>
    <col min="2821" max="2821" width="11.81640625" style="143" bestFit="1" customWidth="1"/>
    <col min="2822" max="2822" width="9" style="143" customWidth="1"/>
    <col min="2823" max="2823" width="9.1796875" style="143"/>
    <col min="2824" max="2827" width="9.26953125" style="143" bestFit="1" customWidth="1"/>
    <col min="2828" max="3072" width="9.1796875" style="143"/>
    <col min="3073" max="3073" width="6.453125" style="143" customWidth="1"/>
    <col min="3074" max="3074" width="51.26953125" style="143" customWidth="1"/>
    <col min="3075" max="3075" width="5.7265625" style="143" bestFit="1" customWidth="1"/>
    <col min="3076" max="3076" width="11.26953125" style="143" customWidth="1"/>
    <col min="3077" max="3077" width="11.81640625" style="143" bestFit="1" customWidth="1"/>
    <col min="3078" max="3078" width="9" style="143" customWidth="1"/>
    <col min="3079" max="3079" width="9.1796875" style="143"/>
    <col min="3080" max="3083" width="9.26953125" style="143" bestFit="1" customWidth="1"/>
    <col min="3084" max="3328" width="9.1796875" style="143"/>
    <col min="3329" max="3329" width="6.453125" style="143" customWidth="1"/>
    <col min="3330" max="3330" width="51.26953125" style="143" customWidth="1"/>
    <col min="3331" max="3331" width="5.7265625" style="143" bestFit="1" customWidth="1"/>
    <col min="3332" max="3332" width="11.26953125" style="143" customWidth="1"/>
    <col min="3333" max="3333" width="11.81640625" style="143" bestFit="1" customWidth="1"/>
    <col min="3334" max="3334" width="9" style="143" customWidth="1"/>
    <col min="3335" max="3335" width="9.1796875" style="143"/>
    <col min="3336" max="3339" width="9.26953125" style="143" bestFit="1" customWidth="1"/>
    <col min="3340" max="3584" width="9.1796875" style="143"/>
    <col min="3585" max="3585" width="6.453125" style="143" customWidth="1"/>
    <col min="3586" max="3586" width="51.26953125" style="143" customWidth="1"/>
    <col min="3587" max="3587" width="5.7265625" style="143" bestFit="1" customWidth="1"/>
    <col min="3588" max="3588" width="11.26953125" style="143" customWidth="1"/>
    <col min="3589" max="3589" width="11.81640625" style="143" bestFit="1" customWidth="1"/>
    <col min="3590" max="3590" width="9" style="143" customWidth="1"/>
    <col min="3591" max="3591" width="9.1796875" style="143"/>
    <col min="3592" max="3595" width="9.26953125" style="143" bestFit="1" customWidth="1"/>
    <col min="3596" max="3840" width="9.1796875" style="143"/>
    <col min="3841" max="3841" width="6.453125" style="143" customWidth="1"/>
    <col min="3842" max="3842" width="51.26953125" style="143" customWidth="1"/>
    <col min="3843" max="3843" width="5.7265625" style="143" bestFit="1" customWidth="1"/>
    <col min="3844" max="3844" width="11.26953125" style="143" customWidth="1"/>
    <col min="3845" max="3845" width="11.81640625" style="143" bestFit="1" customWidth="1"/>
    <col min="3846" max="3846" width="9" style="143" customWidth="1"/>
    <col min="3847" max="3847" width="9.1796875" style="143"/>
    <col min="3848" max="3851" width="9.26953125" style="143" bestFit="1" customWidth="1"/>
    <col min="3852" max="4096" width="9.1796875" style="143"/>
    <col min="4097" max="4097" width="6.453125" style="143" customWidth="1"/>
    <col min="4098" max="4098" width="51.26953125" style="143" customWidth="1"/>
    <col min="4099" max="4099" width="5.7265625" style="143" bestFit="1" customWidth="1"/>
    <col min="4100" max="4100" width="11.26953125" style="143" customWidth="1"/>
    <col min="4101" max="4101" width="11.81640625" style="143" bestFit="1" customWidth="1"/>
    <col min="4102" max="4102" width="9" style="143" customWidth="1"/>
    <col min="4103" max="4103" width="9.1796875" style="143"/>
    <col min="4104" max="4107" width="9.26953125" style="143" bestFit="1" customWidth="1"/>
    <col min="4108" max="4352" width="9.1796875" style="143"/>
    <col min="4353" max="4353" width="6.453125" style="143" customWidth="1"/>
    <col min="4354" max="4354" width="51.26953125" style="143" customWidth="1"/>
    <col min="4355" max="4355" width="5.7265625" style="143" bestFit="1" customWidth="1"/>
    <col min="4356" max="4356" width="11.26953125" style="143" customWidth="1"/>
    <col min="4357" max="4357" width="11.81640625" style="143" bestFit="1" customWidth="1"/>
    <col min="4358" max="4358" width="9" style="143" customWidth="1"/>
    <col min="4359" max="4359" width="9.1796875" style="143"/>
    <col min="4360" max="4363" width="9.26953125" style="143" bestFit="1" customWidth="1"/>
    <col min="4364" max="4608" width="9.1796875" style="143"/>
    <col min="4609" max="4609" width="6.453125" style="143" customWidth="1"/>
    <col min="4610" max="4610" width="51.26953125" style="143" customWidth="1"/>
    <col min="4611" max="4611" width="5.7265625" style="143" bestFit="1" customWidth="1"/>
    <col min="4612" max="4612" width="11.26953125" style="143" customWidth="1"/>
    <col min="4613" max="4613" width="11.81640625" style="143" bestFit="1" customWidth="1"/>
    <col min="4614" max="4614" width="9" style="143" customWidth="1"/>
    <col min="4615" max="4615" width="9.1796875" style="143"/>
    <col min="4616" max="4619" width="9.26953125" style="143" bestFit="1" customWidth="1"/>
    <col min="4620" max="4864" width="9.1796875" style="143"/>
    <col min="4865" max="4865" width="6.453125" style="143" customWidth="1"/>
    <col min="4866" max="4866" width="51.26953125" style="143" customWidth="1"/>
    <col min="4867" max="4867" width="5.7265625" style="143" bestFit="1" customWidth="1"/>
    <col min="4868" max="4868" width="11.26953125" style="143" customWidth="1"/>
    <col min="4869" max="4869" width="11.81640625" style="143" bestFit="1" customWidth="1"/>
    <col min="4870" max="4870" width="9" style="143" customWidth="1"/>
    <col min="4871" max="4871" width="9.1796875" style="143"/>
    <col min="4872" max="4875" width="9.26953125" style="143" bestFit="1" customWidth="1"/>
    <col min="4876" max="5120" width="9.1796875" style="143"/>
    <col min="5121" max="5121" width="6.453125" style="143" customWidth="1"/>
    <col min="5122" max="5122" width="51.26953125" style="143" customWidth="1"/>
    <col min="5123" max="5123" width="5.7265625" style="143" bestFit="1" customWidth="1"/>
    <col min="5124" max="5124" width="11.26953125" style="143" customWidth="1"/>
    <col min="5125" max="5125" width="11.81640625" style="143" bestFit="1" customWidth="1"/>
    <col min="5126" max="5126" width="9" style="143" customWidth="1"/>
    <col min="5127" max="5127" width="9.1796875" style="143"/>
    <col min="5128" max="5131" width="9.26953125" style="143" bestFit="1" customWidth="1"/>
    <col min="5132" max="5376" width="9.1796875" style="143"/>
    <col min="5377" max="5377" width="6.453125" style="143" customWidth="1"/>
    <col min="5378" max="5378" width="51.26953125" style="143" customWidth="1"/>
    <col min="5379" max="5379" width="5.7265625" style="143" bestFit="1" customWidth="1"/>
    <col min="5380" max="5380" width="11.26953125" style="143" customWidth="1"/>
    <col min="5381" max="5381" width="11.81640625" style="143" bestFit="1" customWidth="1"/>
    <col min="5382" max="5382" width="9" style="143" customWidth="1"/>
    <col min="5383" max="5383" width="9.1796875" style="143"/>
    <col min="5384" max="5387" width="9.26953125" style="143" bestFit="1" customWidth="1"/>
    <col min="5388" max="5632" width="9.1796875" style="143"/>
    <col min="5633" max="5633" width="6.453125" style="143" customWidth="1"/>
    <col min="5634" max="5634" width="51.26953125" style="143" customWidth="1"/>
    <col min="5635" max="5635" width="5.7265625" style="143" bestFit="1" customWidth="1"/>
    <col min="5636" max="5636" width="11.26953125" style="143" customWidth="1"/>
    <col min="5637" max="5637" width="11.81640625" style="143" bestFit="1" customWidth="1"/>
    <col min="5638" max="5638" width="9" style="143" customWidth="1"/>
    <col min="5639" max="5639" width="9.1796875" style="143"/>
    <col min="5640" max="5643" width="9.26953125" style="143" bestFit="1" customWidth="1"/>
    <col min="5644" max="5888" width="9.1796875" style="143"/>
    <col min="5889" max="5889" width="6.453125" style="143" customWidth="1"/>
    <col min="5890" max="5890" width="51.26953125" style="143" customWidth="1"/>
    <col min="5891" max="5891" width="5.7265625" style="143" bestFit="1" customWidth="1"/>
    <col min="5892" max="5892" width="11.26953125" style="143" customWidth="1"/>
    <col min="5893" max="5893" width="11.81640625" style="143" bestFit="1" customWidth="1"/>
    <col min="5894" max="5894" width="9" style="143" customWidth="1"/>
    <col min="5895" max="5895" width="9.1796875" style="143"/>
    <col min="5896" max="5899" width="9.26953125" style="143" bestFit="1" customWidth="1"/>
    <col min="5900" max="6144" width="9.1796875" style="143"/>
    <col min="6145" max="6145" width="6.453125" style="143" customWidth="1"/>
    <col min="6146" max="6146" width="51.26953125" style="143" customWidth="1"/>
    <col min="6147" max="6147" width="5.7265625" style="143" bestFit="1" customWidth="1"/>
    <col min="6148" max="6148" width="11.26953125" style="143" customWidth="1"/>
    <col min="6149" max="6149" width="11.81640625" style="143" bestFit="1" customWidth="1"/>
    <col min="6150" max="6150" width="9" style="143" customWidth="1"/>
    <col min="6151" max="6151" width="9.1796875" style="143"/>
    <col min="6152" max="6155" width="9.26953125" style="143" bestFit="1" customWidth="1"/>
    <col min="6156" max="6400" width="9.1796875" style="143"/>
    <col min="6401" max="6401" width="6.453125" style="143" customWidth="1"/>
    <col min="6402" max="6402" width="51.26953125" style="143" customWidth="1"/>
    <col min="6403" max="6403" width="5.7265625" style="143" bestFit="1" customWidth="1"/>
    <col min="6404" max="6404" width="11.26953125" style="143" customWidth="1"/>
    <col min="6405" max="6405" width="11.81640625" style="143" bestFit="1" customWidth="1"/>
    <col min="6406" max="6406" width="9" style="143" customWidth="1"/>
    <col min="6407" max="6407" width="9.1796875" style="143"/>
    <col min="6408" max="6411" width="9.26953125" style="143" bestFit="1" customWidth="1"/>
    <col min="6412" max="6656" width="9.1796875" style="143"/>
    <col min="6657" max="6657" width="6.453125" style="143" customWidth="1"/>
    <col min="6658" max="6658" width="51.26953125" style="143" customWidth="1"/>
    <col min="6659" max="6659" width="5.7265625" style="143" bestFit="1" customWidth="1"/>
    <col min="6660" max="6660" width="11.26953125" style="143" customWidth="1"/>
    <col min="6661" max="6661" width="11.81640625" style="143" bestFit="1" customWidth="1"/>
    <col min="6662" max="6662" width="9" style="143" customWidth="1"/>
    <col min="6663" max="6663" width="9.1796875" style="143"/>
    <col min="6664" max="6667" width="9.26953125" style="143" bestFit="1" customWidth="1"/>
    <col min="6668" max="6912" width="9.1796875" style="143"/>
    <col min="6913" max="6913" width="6.453125" style="143" customWidth="1"/>
    <col min="6914" max="6914" width="51.26953125" style="143" customWidth="1"/>
    <col min="6915" max="6915" width="5.7265625" style="143" bestFit="1" customWidth="1"/>
    <col min="6916" max="6916" width="11.26953125" style="143" customWidth="1"/>
    <col min="6917" max="6917" width="11.81640625" style="143" bestFit="1" customWidth="1"/>
    <col min="6918" max="6918" width="9" style="143" customWidth="1"/>
    <col min="6919" max="6919" width="9.1796875" style="143"/>
    <col min="6920" max="6923" width="9.26953125" style="143" bestFit="1" customWidth="1"/>
    <col min="6924" max="7168" width="9.1796875" style="143"/>
    <col min="7169" max="7169" width="6.453125" style="143" customWidth="1"/>
    <col min="7170" max="7170" width="51.26953125" style="143" customWidth="1"/>
    <col min="7171" max="7171" width="5.7265625" style="143" bestFit="1" customWidth="1"/>
    <col min="7172" max="7172" width="11.26953125" style="143" customWidth="1"/>
    <col min="7173" max="7173" width="11.81640625" style="143" bestFit="1" customWidth="1"/>
    <col min="7174" max="7174" width="9" style="143" customWidth="1"/>
    <col min="7175" max="7175" width="9.1796875" style="143"/>
    <col min="7176" max="7179" width="9.26953125" style="143" bestFit="1" customWidth="1"/>
    <col min="7180" max="7424" width="9.1796875" style="143"/>
    <col min="7425" max="7425" width="6.453125" style="143" customWidth="1"/>
    <col min="7426" max="7426" width="51.26953125" style="143" customWidth="1"/>
    <col min="7427" max="7427" width="5.7265625" style="143" bestFit="1" customWidth="1"/>
    <col min="7428" max="7428" width="11.26953125" style="143" customWidth="1"/>
    <col min="7429" max="7429" width="11.81640625" style="143" bestFit="1" customWidth="1"/>
    <col min="7430" max="7430" width="9" style="143" customWidth="1"/>
    <col min="7431" max="7431" width="9.1796875" style="143"/>
    <col min="7432" max="7435" width="9.26953125" style="143" bestFit="1" customWidth="1"/>
    <col min="7436" max="7680" width="9.1796875" style="143"/>
    <col min="7681" max="7681" width="6.453125" style="143" customWidth="1"/>
    <col min="7682" max="7682" width="51.26953125" style="143" customWidth="1"/>
    <col min="7683" max="7683" width="5.7265625" style="143" bestFit="1" customWidth="1"/>
    <col min="7684" max="7684" width="11.26953125" style="143" customWidth="1"/>
    <col min="7685" max="7685" width="11.81640625" style="143" bestFit="1" customWidth="1"/>
    <col min="7686" max="7686" width="9" style="143" customWidth="1"/>
    <col min="7687" max="7687" width="9.1796875" style="143"/>
    <col min="7688" max="7691" width="9.26953125" style="143" bestFit="1" customWidth="1"/>
    <col min="7692" max="7936" width="9.1796875" style="143"/>
    <col min="7937" max="7937" width="6.453125" style="143" customWidth="1"/>
    <col min="7938" max="7938" width="51.26953125" style="143" customWidth="1"/>
    <col min="7939" max="7939" width="5.7265625" style="143" bestFit="1" customWidth="1"/>
    <col min="7940" max="7940" width="11.26953125" style="143" customWidth="1"/>
    <col min="7941" max="7941" width="11.81640625" style="143" bestFit="1" customWidth="1"/>
    <col min="7942" max="7942" width="9" style="143" customWidth="1"/>
    <col min="7943" max="7943" width="9.1796875" style="143"/>
    <col min="7944" max="7947" width="9.26953125" style="143" bestFit="1" customWidth="1"/>
    <col min="7948" max="8192" width="9.1796875" style="143"/>
    <col min="8193" max="8193" width="6.453125" style="143" customWidth="1"/>
    <col min="8194" max="8194" width="51.26953125" style="143" customWidth="1"/>
    <col min="8195" max="8195" width="5.7265625" style="143" bestFit="1" customWidth="1"/>
    <col min="8196" max="8196" width="11.26953125" style="143" customWidth="1"/>
    <col min="8197" max="8197" width="11.81640625" style="143" bestFit="1" customWidth="1"/>
    <col min="8198" max="8198" width="9" style="143" customWidth="1"/>
    <col min="8199" max="8199" width="9.1796875" style="143"/>
    <col min="8200" max="8203" width="9.26953125" style="143" bestFit="1" customWidth="1"/>
    <col min="8204" max="8448" width="9.1796875" style="143"/>
    <col min="8449" max="8449" width="6.453125" style="143" customWidth="1"/>
    <col min="8450" max="8450" width="51.26953125" style="143" customWidth="1"/>
    <col min="8451" max="8451" width="5.7265625" style="143" bestFit="1" customWidth="1"/>
    <col min="8452" max="8452" width="11.26953125" style="143" customWidth="1"/>
    <col min="8453" max="8453" width="11.81640625" style="143" bestFit="1" customWidth="1"/>
    <col min="8454" max="8454" width="9" style="143" customWidth="1"/>
    <col min="8455" max="8455" width="9.1796875" style="143"/>
    <col min="8456" max="8459" width="9.26953125" style="143" bestFit="1" customWidth="1"/>
    <col min="8460" max="8704" width="9.1796875" style="143"/>
    <col min="8705" max="8705" width="6.453125" style="143" customWidth="1"/>
    <col min="8706" max="8706" width="51.26953125" style="143" customWidth="1"/>
    <col min="8707" max="8707" width="5.7265625" style="143" bestFit="1" customWidth="1"/>
    <col min="8708" max="8708" width="11.26953125" style="143" customWidth="1"/>
    <col min="8709" max="8709" width="11.81640625" style="143" bestFit="1" customWidth="1"/>
    <col min="8710" max="8710" width="9" style="143" customWidth="1"/>
    <col min="8711" max="8711" width="9.1796875" style="143"/>
    <col min="8712" max="8715" width="9.26953125" style="143" bestFit="1" customWidth="1"/>
    <col min="8716" max="8960" width="9.1796875" style="143"/>
    <col min="8961" max="8961" width="6.453125" style="143" customWidth="1"/>
    <col min="8962" max="8962" width="51.26953125" style="143" customWidth="1"/>
    <col min="8963" max="8963" width="5.7265625" style="143" bestFit="1" customWidth="1"/>
    <col min="8964" max="8964" width="11.26953125" style="143" customWidth="1"/>
    <col min="8965" max="8965" width="11.81640625" style="143" bestFit="1" customWidth="1"/>
    <col min="8966" max="8966" width="9" style="143" customWidth="1"/>
    <col min="8967" max="8967" width="9.1796875" style="143"/>
    <col min="8968" max="8971" width="9.26953125" style="143" bestFit="1" customWidth="1"/>
    <col min="8972" max="9216" width="9.1796875" style="143"/>
    <col min="9217" max="9217" width="6.453125" style="143" customWidth="1"/>
    <col min="9218" max="9218" width="51.26953125" style="143" customWidth="1"/>
    <col min="9219" max="9219" width="5.7265625" style="143" bestFit="1" customWidth="1"/>
    <col min="9220" max="9220" width="11.26953125" style="143" customWidth="1"/>
    <col min="9221" max="9221" width="11.81640625" style="143" bestFit="1" customWidth="1"/>
    <col min="9222" max="9222" width="9" style="143" customWidth="1"/>
    <col min="9223" max="9223" width="9.1796875" style="143"/>
    <col min="9224" max="9227" width="9.26953125" style="143" bestFit="1" customWidth="1"/>
    <col min="9228" max="9472" width="9.1796875" style="143"/>
    <col min="9473" max="9473" width="6.453125" style="143" customWidth="1"/>
    <col min="9474" max="9474" width="51.26953125" style="143" customWidth="1"/>
    <col min="9475" max="9475" width="5.7265625" style="143" bestFit="1" customWidth="1"/>
    <col min="9476" max="9476" width="11.26953125" style="143" customWidth="1"/>
    <col min="9477" max="9477" width="11.81640625" style="143" bestFit="1" customWidth="1"/>
    <col min="9478" max="9478" width="9" style="143" customWidth="1"/>
    <col min="9479" max="9479" width="9.1796875" style="143"/>
    <col min="9480" max="9483" width="9.26953125" style="143" bestFit="1" customWidth="1"/>
    <col min="9484" max="9728" width="9.1796875" style="143"/>
    <col min="9729" max="9729" width="6.453125" style="143" customWidth="1"/>
    <col min="9730" max="9730" width="51.26953125" style="143" customWidth="1"/>
    <col min="9731" max="9731" width="5.7265625" style="143" bestFit="1" customWidth="1"/>
    <col min="9732" max="9732" width="11.26953125" style="143" customWidth="1"/>
    <col min="9733" max="9733" width="11.81640625" style="143" bestFit="1" customWidth="1"/>
    <col min="9734" max="9734" width="9" style="143" customWidth="1"/>
    <col min="9735" max="9735" width="9.1796875" style="143"/>
    <col min="9736" max="9739" width="9.26953125" style="143" bestFit="1" customWidth="1"/>
    <col min="9740" max="9984" width="9.1796875" style="143"/>
    <col min="9985" max="9985" width="6.453125" style="143" customWidth="1"/>
    <col min="9986" max="9986" width="51.26953125" style="143" customWidth="1"/>
    <col min="9987" max="9987" width="5.7265625" style="143" bestFit="1" customWidth="1"/>
    <col min="9988" max="9988" width="11.26953125" style="143" customWidth="1"/>
    <col min="9989" max="9989" width="11.81640625" style="143" bestFit="1" customWidth="1"/>
    <col min="9990" max="9990" width="9" style="143" customWidth="1"/>
    <col min="9991" max="9991" width="9.1796875" style="143"/>
    <col min="9992" max="9995" width="9.26953125" style="143" bestFit="1" customWidth="1"/>
    <col min="9996" max="10240" width="9.1796875" style="143"/>
    <col min="10241" max="10241" width="6.453125" style="143" customWidth="1"/>
    <col min="10242" max="10242" width="51.26953125" style="143" customWidth="1"/>
    <col min="10243" max="10243" width="5.7265625" style="143" bestFit="1" customWidth="1"/>
    <col min="10244" max="10244" width="11.26953125" style="143" customWidth="1"/>
    <col min="10245" max="10245" width="11.81640625" style="143" bestFit="1" customWidth="1"/>
    <col min="10246" max="10246" width="9" style="143" customWidth="1"/>
    <col min="10247" max="10247" width="9.1796875" style="143"/>
    <col min="10248" max="10251" width="9.26953125" style="143" bestFit="1" customWidth="1"/>
    <col min="10252" max="10496" width="9.1796875" style="143"/>
    <col min="10497" max="10497" width="6.453125" style="143" customWidth="1"/>
    <col min="10498" max="10498" width="51.26953125" style="143" customWidth="1"/>
    <col min="10499" max="10499" width="5.7265625" style="143" bestFit="1" customWidth="1"/>
    <col min="10500" max="10500" width="11.26953125" style="143" customWidth="1"/>
    <col min="10501" max="10501" width="11.81640625" style="143" bestFit="1" customWidth="1"/>
    <col min="10502" max="10502" width="9" style="143" customWidth="1"/>
    <col min="10503" max="10503" width="9.1796875" style="143"/>
    <col min="10504" max="10507" width="9.26953125" style="143" bestFit="1" customWidth="1"/>
    <col min="10508" max="10752" width="9.1796875" style="143"/>
    <col min="10753" max="10753" width="6.453125" style="143" customWidth="1"/>
    <col min="10754" max="10754" width="51.26953125" style="143" customWidth="1"/>
    <col min="10755" max="10755" width="5.7265625" style="143" bestFit="1" customWidth="1"/>
    <col min="10756" max="10756" width="11.26953125" style="143" customWidth="1"/>
    <col min="10757" max="10757" width="11.81640625" style="143" bestFit="1" customWidth="1"/>
    <col min="10758" max="10758" width="9" style="143" customWidth="1"/>
    <col min="10759" max="10759" width="9.1796875" style="143"/>
    <col min="10760" max="10763" width="9.26953125" style="143" bestFit="1" customWidth="1"/>
    <col min="10764" max="11008" width="9.1796875" style="143"/>
    <col min="11009" max="11009" width="6.453125" style="143" customWidth="1"/>
    <col min="11010" max="11010" width="51.26953125" style="143" customWidth="1"/>
    <col min="11011" max="11011" width="5.7265625" style="143" bestFit="1" customWidth="1"/>
    <col min="11012" max="11012" width="11.26953125" style="143" customWidth="1"/>
    <col min="11013" max="11013" width="11.81640625" style="143" bestFit="1" customWidth="1"/>
    <col min="11014" max="11014" width="9" style="143" customWidth="1"/>
    <col min="11015" max="11015" width="9.1796875" style="143"/>
    <col min="11016" max="11019" width="9.26953125" style="143" bestFit="1" customWidth="1"/>
    <col min="11020" max="11264" width="9.1796875" style="143"/>
    <col min="11265" max="11265" width="6.453125" style="143" customWidth="1"/>
    <col min="11266" max="11266" width="51.26953125" style="143" customWidth="1"/>
    <col min="11267" max="11267" width="5.7265625" style="143" bestFit="1" customWidth="1"/>
    <col min="11268" max="11268" width="11.26953125" style="143" customWidth="1"/>
    <col min="11269" max="11269" width="11.81640625" style="143" bestFit="1" customWidth="1"/>
    <col min="11270" max="11270" width="9" style="143" customWidth="1"/>
    <col min="11271" max="11271" width="9.1796875" style="143"/>
    <col min="11272" max="11275" width="9.26953125" style="143" bestFit="1" customWidth="1"/>
    <col min="11276" max="11520" width="9.1796875" style="143"/>
    <col min="11521" max="11521" width="6.453125" style="143" customWidth="1"/>
    <col min="11522" max="11522" width="51.26953125" style="143" customWidth="1"/>
    <col min="11523" max="11523" width="5.7265625" style="143" bestFit="1" customWidth="1"/>
    <col min="11524" max="11524" width="11.26953125" style="143" customWidth="1"/>
    <col min="11525" max="11525" width="11.81640625" style="143" bestFit="1" customWidth="1"/>
    <col min="11526" max="11526" width="9" style="143" customWidth="1"/>
    <col min="11527" max="11527" width="9.1796875" style="143"/>
    <col min="11528" max="11531" width="9.26953125" style="143" bestFit="1" customWidth="1"/>
    <col min="11532" max="11776" width="9.1796875" style="143"/>
    <col min="11777" max="11777" width="6.453125" style="143" customWidth="1"/>
    <col min="11778" max="11778" width="51.26953125" style="143" customWidth="1"/>
    <col min="11779" max="11779" width="5.7265625" style="143" bestFit="1" customWidth="1"/>
    <col min="11780" max="11780" width="11.26953125" style="143" customWidth="1"/>
    <col min="11781" max="11781" width="11.81640625" style="143" bestFit="1" customWidth="1"/>
    <col min="11782" max="11782" width="9" style="143" customWidth="1"/>
    <col min="11783" max="11783" width="9.1796875" style="143"/>
    <col min="11784" max="11787" width="9.26953125" style="143" bestFit="1" customWidth="1"/>
    <col min="11788" max="12032" width="9.1796875" style="143"/>
    <col min="12033" max="12033" width="6.453125" style="143" customWidth="1"/>
    <col min="12034" max="12034" width="51.26953125" style="143" customWidth="1"/>
    <col min="12035" max="12035" width="5.7265625" style="143" bestFit="1" customWidth="1"/>
    <col min="12036" max="12036" width="11.26953125" style="143" customWidth="1"/>
    <col min="12037" max="12037" width="11.81640625" style="143" bestFit="1" customWidth="1"/>
    <col min="12038" max="12038" width="9" style="143" customWidth="1"/>
    <col min="12039" max="12039" width="9.1796875" style="143"/>
    <col min="12040" max="12043" width="9.26953125" style="143" bestFit="1" customWidth="1"/>
    <col min="12044" max="12288" width="9.1796875" style="143"/>
    <col min="12289" max="12289" width="6.453125" style="143" customWidth="1"/>
    <col min="12290" max="12290" width="51.26953125" style="143" customWidth="1"/>
    <col min="12291" max="12291" width="5.7265625" style="143" bestFit="1" customWidth="1"/>
    <col min="12292" max="12292" width="11.26953125" style="143" customWidth="1"/>
    <col min="12293" max="12293" width="11.81640625" style="143" bestFit="1" customWidth="1"/>
    <col min="12294" max="12294" width="9" style="143" customWidth="1"/>
    <col min="12295" max="12295" width="9.1796875" style="143"/>
    <col min="12296" max="12299" width="9.26953125" style="143" bestFit="1" customWidth="1"/>
    <col min="12300" max="12544" width="9.1796875" style="143"/>
    <col min="12545" max="12545" width="6.453125" style="143" customWidth="1"/>
    <col min="12546" max="12546" width="51.26953125" style="143" customWidth="1"/>
    <col min="12547" max="12547" width="5.7265625" style="143" bestFit="1" customWidth="1"/>
    <col min="12548" max="12548" width="11.26953125" style="143" customWidth="1"/>
    <col min="12549" max="12549" width="11.81640625" style="143" bestFit="1" customWidth="1"/>
    <col min="12550" max="12550" width="9" style="143" customWidth="1"/>
    <col min="12551" max="12551" width="9.1796875" style="143"/>
    <col min="12552" max="12555" width="9.26953125" style="143" bestFit="1" customWidth="1"/>
    <col min="12556" max="12800" width="9.1796875" style="143"/>
    <col min="12801" max="12801" width="6.453125" style="143" customWidth="1"/>
    <col min="12802" max="12802" width="51.26953125" style="143" customWidth="1"/>
    <col min="12803" max="12803" width="5.7265625" style="143" bestFit="1" customWidth="1"/>
    <col min="12804" max="12804" width="11.26953125" style="143" customWidth="1"/>
    <col min="12805" max="12805" width="11.81640625" style="143" bestFit="1" customWidth="1"/>
    <col min="12806" max="12806" width="9" style="143" customWidth="1"/>
    <col min="12807" max="12807" width="9.1796875" style="143"/>
    <col min="12808" max="12811" width="9.26953125" style="143" bestFit="1" customWidth="1"/>
    <col min="12812" max="13056" width="9.1796875" style="143"/>
    <col min="13057" max="13057" width="6.453125" style="143" customWidth="1"/>
    <col min="13058" max="13058" width="51.26953125" style="143" customWidth="1"/>
    <col min="13059" max="13059" width="5.7265625" style="143" bestFit="1" customWidth="1"/>
    <col min="13060" max="13060" width="11.26953125" style="143" customWidth="1"/>
    <col min="13061" max="13061" width="11.81640625" style="143" bestFit="1" customWidth="1"/>
    <col min="13062" max="13062" width="9" style="143" customWidth="1"/>
    <col min="13063" max="13063" width="9.1796875" style="143"/>
    <col min="13064" max="13067" width="9.26953125" style="143" bestFit="1" customWidth="1"/>
    <col min="13068" max="13312" width="9.1796875" style="143"/>
    <col min="13313" max="13313" width="6.453125" style="143" customWidth="1"/>
    <col min="13314" max="13314" width="51.26953125" style="143" customWidth="1"/>
    <col min="13315" max="13315" width="5.7265625" style="143" bestFit="1" customWidth="1"/>
    <col min="13316" max="13316" width="11.26953125" style="143" customWidth="1"/>
    <col min="13317" max="13317" width="11.81640625" style="143" bestFit="1" customWidth="1"/>
    <col min="13318" max="13318" width="9" style="143" customWidth="1"/>
    <col min="13319" max="13319" width="9.1796875" style="143"/>
    <col min="13320" max="13323" width="9.26953125" style="143" bestFit="1" customWidth="1"/>
    <col min="13324" max="13568" width="9.1796875" style="143"/>
    <col min="13569" max="13569" width="6.453125" style="143" customWidth="1"/>
    <col min="13570" max="13570" width="51.26953125" style="143" customWidth="1"/>
    <col min="13571" max="13571" width="5.7265625" style="143" bestFit="1" customWidth="1"/>
    <col min="13572" max="13572" width="11.26953125" style="143" customWidth="1"/>
    <col min="13573" max="13573" width="11.81640625" style="143" bestFit="1" customWidth="1"/>
    <col min="13574" max="13574" width="9" style="143" customWidth="1"/>
    <col min="13575" max="13575" width="9.1796875" style="143"/>
    <col min="13576" max="13579" width="9.26953125" style="143" bestFit="1" customWidth="1"/>
    <col min="13580" max="13824" width="9.1796875" style="143"/>
    <col min="13825" max="13825" width="6.453125" style="143" customWidth="1"/>
    <col min="13826" max="13826" width="51.26953125" style="143" customWidth="1"/>
    <col min="13827" max="13827" width="5.7265625" style="143" bestFit="1" customWidth="1"/>
    <col min="13828" max="13828" width="11.26953125" style="143" customWidth="1"/>
    <col min="13829" max="13829" width="11.81640625" style="143" bestFit="1" customWidth="1"/>
    <col min="13830" max="13830" width="9" style="143" customWidth="1"/>
    <col min="13831" max="13831" width="9.1796875" style="143"/>
    <col min="13832" max="13835" width="9.26953125" style="143" bestFit="1" customWidth="1"/>
    <col min="13836" max="14080" width="9.1796875" style="143"/>
    <col min="14081" max="14081" width="6.453125" style="143" customWidth="1"/>
    <col min="14082" max="14082" width="51.26953125" style="143" customWidth="1"/>
    <col min="14083" max="14083" width="5.7265625" style="143" bestFit="1" customWidth="1"/>
    <col min="14084" max="14084" width="11.26953125" style="143" customWidth="1"/>
    <col min="14085" max="14085" width="11.81640625" style="143" bestFit="1" customWidth="1"/>
    <col min="14086" max="14086" width="9" style="143" customWidth="1"/>
    <col min="14087" max="14087" width="9.1796875" style="143"/>
    <col min="14088" max="14091" width="9.26953125" style="143" bestFit="1" customWidth="1"/>
    <col min="14092" max="14336" width="9.1796875" style="143"/>
    <col min="14337" max="14337" width="6.453125" style="143" customWidth="1"/>
    <col min="14338" max="14338" width="51.26953125" style="143" customWidth="1"/>
    <col min="14339" max="14339" width="5.7265625" style="143" bestFit="1" customWidth="1"/>
    <col min="14340" max="14340" width="11.26953125" style="143" customWidth="1"/>
    <col min="14341" max="14341" width="11.81640625" style="143" bestFit="1" customWidth="1"/>
    <col min="14342" max="14342" width="9" style="143" customWidth="1"/>
    <col min="14343" max="14343" width="9.1796875" style="143"/>
    <col min="14344" max="14347" width="9.26953125" style="143" bestFit="1" customWidth="1"/>
    <col min="14348" max="14592" width="9.1796875" style="143"/>
    <col min="14593" max="14593" width="6.453125" style="143" customWidth="1"/>
    <col min="14594" max="14594" width="51.26953125" style="143" customWidth="1"/>
    <col min="14595" max="14595" width="5.7265625" style="143" bestFit="1" customWidth="1"/>
    <col min="14596" max="14596" width="11.26953125" style="143" customWidth="1"/>
    <col min="14597" max="14597" width="11.81640625" style="143" bestFit="1" customWidth="1"/>
    <col min="14598" max="14598" width="9" style="143" customWidth="1"/>
    <col min="14599" max="14599" width="9.1796875" style="143"/>
    <col min="14600" max="14603" width="9.26953125" style="143" bestFit="1" customWidth="1"/>
    <col min="14604" max="14848" width="9.1796875" style="143"/>
    <col min="14849" max="14849" width="6.453125" style="143" customWidth="1"/>
    <col min="14850" max="14850" width="51.26953125" style="143" customWidth="1"/>
    <col min="14851" max="14851" width="5.7265625" style="143" bestFit="1" customWidth="1"/>
    <col min="14852" max="14852" width="11.26953125" style="143" customWidth="1"/>
    <col min="14853" max="14853" width="11.81640625" style="143" bestFit="1" customWidth="1"/>
    <col min="14854" max="14854" width="9" style="143" customWidth="1"/>
    <col min="14855" max="14855" width="9.1796875" style="143"/>
    <col min="14856" max="14859" width="9.26953125" style="143" bestFit="1" customWidth="1"/>
    <col min="14860" max="15104" width="9.1796875" style="143"/>
    <col min="15105" max="15105" width="6.453125" style="143" customWidth="1"/>
    <col min="15106" max="15106" width="51.26953125" style="143" customWidth="1"/>
    <col min="15107" max="15107" width="5.7265625" style="143" bestFit="1" customWidth="1"/>
    <col min="15108" max="15108" width="11.26953125" style="143" customWidth="1"/>
    <col min="15109" max="15109" width="11.81640625" style="143" bestFit="1" customWidth="1"/>
    <col min="15110" max="15110" width="9" style="143" customWidth="1"/>
    <col min="15111" max="15111" width="9.1796875" style="143"/>
    <col min="15112" max="15115" width="9.26953125" style="143" bestFit="1" customWidth="1"/>
    <col min="15116" max="15360" width="9.1796875" style="143"/>
    <col min="15361" max="15361" width="6.453125" style="143" customWidth="1"/>
    <col min="15362" max="15362" width="51.26953125" style="143" customWidth="1"/>
    <col min="15363" max="15363" width="5.7265625" style="143" bestFit="1" customWidth="1"/>
    <col min="15364" max="15364" width="11.26953125" style="143" customWidth="1"/>
    <col min="15365" max="15365" width="11.81640625" style="143" bestFit="1" customWidth="1"/>
    <col min="15366" max="15366" width="9" style="143" customWidth="1"/>
    <col min="15367" max="15367" width="9.1796875" style="143"/>
    <col min="15368" max="15371" width="9.26953125" style="143" bestFit="1" customWidth="1"/>
    <col min="15372" max="15616" width="9.1796875" style="143"/>
    <col min="15617" max="15617" width="6.453125" style="143" customWidth="1"/>
    <col min="15618" max="15618" width="51.26953125" style="143" customWidth="1"/>
    <col min="15619" max="15619" width="5.7265625" style="143" bestFit="1" customWidth="1"/>
    <col min="15620" max="15620" width="11.26953125" style="143" customWidth="1"/>
    <col min="15621" max="15621" width="11.81640625" style="143" bestFit="1" customWidth="1"/>
    <col min="15622" max="15622" width="9" style="143" customWidth="1"/>
    <col min="15623" max="15623" width="9.1796875" style="143"/>
    <col min="15624" max="15627" width="9.26953125" style="143" bestFit="1" customWidth="1"/>
    <col min="15628" max="15872" width="9.1796875" style="143"/>
    <col min="15873" max="15873" width="6.453125" style="143" customWidth="1"/>
    <col min="15874" max="15874" width="51.26953125" style="143" customWidth="1"/>
    <col min="15875" max="15875" width="5.7265625" style="143" bestFit="1" customWidth="1"/>
    <col min="15876" max="15876" width="11.26953125" style="143" customWidth="1"/>
    <col min="15877" max="15877" width="11.81640625" style="143" bestFit="1" customWidth="1"/>
    <col min="15878" max="15878" width="9" style="143" customWidth="1"/>
    <col min="15879" max="15879" width="9.1796875" style="143"/>
    <col min="15880" max="15883" width="9.26953125" style="143" bestFit="1" customWidth="1"/>
    <col min="15884" max="16128" width="9.1796875" style="143"/>
    <col min="16129" max="16129" width="6.453125" style="143" customWidth="1"/>
    <col min="16130" max="16130" width="51.26953125" style="143" customWidth="1"/>
    <col min="16131" max="16131" width="5.7265625" style="143" bestFit="1" customWidth="1"/>
    <col min="16132" max="16132" width="11.26953125" style="143" customWidth="1"/>
    <col min="16133" max="16133" width="11.81640625" style="143" bestFit="1" customWidth="1"/>
    <col min="16134" max="16134" width="9" style="143" customWidth="1"/>
    <col min="16135" max="16135" width="9.1796875" style="143"/>
    <col min="16136" max="16139" width="9.26953125" style="143" bestFit="1" customWidth="1"/>
    <col min="16140" max="16384" width="9.1796875" style="143"/>
  </cols>
  <sheetData>
    <row r="1" spans="1:9" s="133" customFormat="1" ht="34.9" customHeight="1" x14ac:dyDescent="0.35">
      <c r="A1" s="130" t="s">
        <v>986</v>
      </c>
      <c r="B1" s="131" t="s">
        <v>1007</v>
      </c>
      <c r="C1" s="131" t="s">
        <v>987</v>
      </c>
      <c r="D1" s="131" t="s">
        <v>6</v>
      </c>
      <c r="E1" s="131" t="s">
        <v>7</v>
      </c>
      <c r="F1" s="132" t="s">
        <v>988</v>
      </c>
    </row>
    <row r="2" spans="1:9" s="133" customFormat="1" ht="21" customHeight="1" x14ac:dyDescent="0.35">
      <c r="A2" s="134">
        <v>1</v>
      </c>
      <c r="B2" s="135" t="s">
        <v>509</v>
      </c>
      <c r="C2" s="136" t="s">
        <v>989</v>
      </c>
      <c r="D2" s="137"/>
      <c r="E2" s="138"/>
      <c r="F2" s="138">
        <f>E2/$E$21*100</f>
        <v>0</v>
      </c>
    </row>
    <row r="3" spans="1:9" ht="23.5" customHeight="1" x14ac:dyDescent="0.35">
      <c r="A3" s="134">
        <v>2</v>
      </c>
      <c r="B3" s="139" t="s">
        <v>990</v>
      </c>
      <c r="C3" s="140" t="s">
        <v>989</v>
      </c>
      <c r="D3" s="141">
        <v>2</v>
      </c>
      <c r="E3" s="142">
        <v>1124.2</v>
      </c>
      <c r="F3" s="142">
        <f t="shared" ref="F3:F20" si="0">E3/$E$21*100</f>
        <v>14.052499999999998</v>
      </c>
    </row>
    <row r="4" spans="1:9" ht="31" x14ac:dyDescent="0.35">
      <c r="A4" s="134">
        <v>3</v>
      </c>
      <c r="B4" s="144" t="s">
        <v>991</v>
      </c>
      <c r="C4" s="136" t="s">
        <v>992</v>
      </c>
      <c r="D4" s="145">
        <v>5457</v>
      </c>
      <c r="E4" s="146">
        <v>1375.97</v>
      </c>
      <c r="F4" s="138">
        <f t="shared" si="0"/>
        <v>17.199624999999997</v>
      </c>
    </row>
    <row r="5" spans="1:9" ht="23.5" customHeight="1" x14ac:dyDescent="0.35">
      <c r="A5" s="134">
        <v>4</v>
      </c>
      <c r="B5" s="135" t="s">
        <v>993</v>
      </c>
      <c r="C5" s="136" t="s">
        <v>992</v>
      </c>
      <c r="D5" s="145">
        <v>3675</v>
      </c>
      <c r="E5" s="146">
        <v>224.94</v>
      </c>
      <c r="F5" s="138">
        <f t="shared" si="0"/>
        <v>2.8117499999999995</v>
      </c>
    </row>
    <row r="6" spans="1:9" ht="23.5" customHeight="1" x14ac:dyDescent="0.35">
      <c r="A6" s="134">
        <v>5</v>
      </c>
      <c r="B6" s="135" t="s">
        <v>994</v>
      </c>
      <c r="C6" s="136" t="s">
        <v>992</v>
      </c>
      <c r="D6" s="137">
        <v>100</v>
      </c>
      <c r="E6" s="138">
        <v>20</v>
      </c>
      <c r="F6" s="138">
        <f t="shared" si="0"/>
        <v>0.24999999999999997</v>
      </c>
      <c r="H6" s="143">
        <v>2675</v>
      </c>
    </row>
    <row r="7" spans="1:9" ht="23.5" customHeight="1" x14ac:dyDescent="0.35">
      <c r="A7" s="134">
        <v>6</v>
      </c>
      <c r="B7" s="135" t="s">
        <v>995</v>
      </c>
      <c r="C7" s="136" t="s">
        <v>992</v>
      </c>
      <c r="D7" s="137">
        <v>1500</v>
      </c>
      <c r="E7" s="138">
        <v>28</v>
      </c>
      <c r="F7" s="138">
        <f t="shared" si="0"/>
        <v>0.35</v>
      </c>
      <c r="H7" s="143">
        <v>5800</v>
      </c>
    </row>
    <row r="8" spans="1:9" ht="23.5" customHeight="1" x14ac:dyDescent="0.35">
      <c r="A8" s="134">
        <v>7</v>
      </c>
      <c r="B8" s="135" t="s">
        <v>996</v>
      </c>
      <c r="C8" s="136" t="s">
        <v>992</v>
      </c>
      <c r="D8" s="137">
        <v>337</v>
      </c>
      <c r="E8" s="138">
        <v>26.96</v>
      </c>
      <c r="F8" s="138">
        <f t="shared" si="0"/>
        <v>0.33699999999999997</v>
      </c>
      <c r="H8" s="143">
        <v>1495</v>
      </c>
    </row>
    <row r="9" spans="1:9" s="147" customFormat="1" ht="23.5" customHeight="1" x14ac:dyDescent="0.35">
      <c r="A9" s="134">
        <v>8</v>
      </c>
      <c r="B9" s="135" t="s">
        <v>997</v>
      </c>
      <c r="C9" s="136" t="s">
        <v>989</v>
      </c>
      <c r="D9" s="137">
        <f>16</f>
        <v>16</v>
      </c>
      <c r="E9" s="138">
        <v>145.03</v>
      </c>
      <c r="F9" s="138">
        <f t="shared" si="0"/>
        <v>1.812875</v>
      </c>
      <c r="H9" s="147">
        <v>300</v>
      </c>
    </row>
    <row r="10" spans="1:9" ht="23.5" customHeight="1" x14ac:dyDescent="0.35">
      <c r="A10" s="134">
        <v>9</v>
      </c>
      <c r="B10" s="135" t="s">
        <v>998</v>
      </c>
      <c r="C10" s="136" t="s">
        <v>989</v>
      </c>
      <c r="D10" s="137">
        <v>515</v>
      </c>
      <c r="E10" s="138">
        <v>2078.34</v>
      </c>
      <c r="F10" s="138">
        <f t="shared" si="0"/>
        <v>25.979249999999997</v>
      </c>
      <c r="H10" s="143">
        <f>SUM(H6:H9)</f>
        <v>10270</v>
      </c>
      <c r="I10" s="143">
        <v>620</v>
      </c>
    </row>
    <row r="11" spans="1:9" ht="23.5" customHeight="1" x14ac:dyDescent="0.35">
      <c r="A11" s="134">
        <v>10</v>
      </c>
      <c r="B11" s="135" t="s">
        <v>999</v>
      </c>
      <c r="C11" s="136" t="s">
        <v>989</v>
      </c>
      <c r="D11" s="137"/>
      <c r="E11" s="138"/>
      <c r="F11" s="138">
        <f>E11/$E$21*100</f>
        <v>0</v>
      </c>
    </row>
    <row r="12" spans="1:9" ht="23.5" customHeight="1" x14ac:dyDescent="0.35">
      <c r="A12" s="134">
        <v>11</v>
      </c>
      <c r="B12" s="135" t="s">
        <v>1000</v>
      </c>
      <c r="C12" s="136" t="s">
        <v>989</v>
      </c>
      <c r="D12" s="137"/>
      <c r="E12" s="138"/>
      <c r="F12" s="138">
        <f t="shared" si="0"/>
        <v>0</v>
      </c>
    </row>
    <row r="13" spans="1:9" ht="23.5" customHeight="1" x14ac:dyDescent="0.35">
      <c r="A13" s="134">
        <v>12</v>
      </c>
      <c r="B13" s="135" t="s">
        <v>177</v>
      </c>
      <c r="C13" s="136" t="s">
        <v>989</v>
      </c>
      <c r="D13" s="137"/>
      <c r="E13" s="138"/>
      <c r="F13" s="138">
        <f t="shared" si="0"/>
        <v>0</v>
      </c>
      <c r="I13" s="143">
        <v>101</v>
      </c>
    </row>
    <row r="14" spans="1:9" ht="23.5" customHeight="1" x14ac:dyDescent="0.35">
      <c r="A14" s="134">
        <v>13</v>
      </c>
      <c r="B14" s="135" t="s">
        <v>1001</v>
      </c>
      <c r="C14" s="136" t="s">
        <v>992</v>
      </c>
      <c r="D14" s="138">
        <v>50.44</v>
      </c>
      <c r="E14" s="138">
        <v>1663.1</v>
      </c>
      <c r="F14" s="138">
        <f t="shared" si="0"/>
        <v>20.788749999999997</v>
      </c>
    </row>
    <row r="15" spans="1:9" ht="23.5" customHeight="1" x14ac:dyDescent="0.35">
      <c r="A15" s="134">
        <v>14</v>
      </c>
      <c r="B15" s="135" t="s">
        <v>293</v>
      </c>
      <c r="C15" s="136" t="s">
        <v>989</v>
      </c>
      <c r="D15" s="137">
        <v>227</v>
      </c>
      <c r="E15" s="138">
        <v>226.7</v>
      </c>
      <c r="F15" s="138">
        <f t="shared" si="0"/>
        <v>2.8337499999999993</v>
      </c>
    </row>
    <row r="16" spans="1:9" ht="23.5" customHeight="1" x14ac:dyDescent="0.35">
      <c r="A16" s="134">
        <v>15</v>
      </c>
      <c r="B16" s="135" t="s">
        <v>1002</v>
      </c>
      <c r="C16" s="136" t="s">
        <v>989</v>
      </c>
      <c r="D16" s="137">
        <v>8000</v>
      </c>
      <c r="E16" s="138">
        <v>140.80000000000001</v>
      </c>
      <c r="F16" s="138">
        <f t="shared" si="0"/>
        <v>1.76</v>
      </c>
    </row>
    <row r="17" spans="1:15" ht="23.5" customHeight="1" x14ac:dyDescent="0.35">
      <c r="A17" s="134">
        <v>16</v>
      </c>
      <c r="B17" s="135" t="s">
        <v>416</v>
      </c>
      <c r="C17" s="136" t="s">
        <v>989</v>
      </c>
      <c r="D17" s="137">
        <v>6750</v>
      </c>
      <c r="E17" s="138">
        <v>275</v>
      </c>
      <c r="F17" s="138">
        <f t="shared" si="0"/>
        <v>3.4374999999999996</v>
      </c>
    </row>
    <row r="18" spans="1:15" ht="23.5" customHeight="1" x14ac:dyDescent="0.35">
      <c r="A18" s="134">
        <v>17</v>
      </c>
      <c r="B18" s="148" t="s">
        <v>1003</v>
      </c>
      <c r="C18" s="136" t="s">
        <v>989</v>
      </c>
      <c r="D18" s="137"/>
      <c r="E18" s="138"/>
      <c r="F18" s="138">
        <f t="shared" si="0"/>
        <v>0</v>
      </c>
    </row>
    <row r="19" spans="1:15" ht="23.5" customHeight="1" x14ac:dyDescent="0.35">
      <c r="A19" s="134">
        <v>18</v>
      </c>
      <c r="B19" s="144" t="s">
        <v>1004</v>
      </c>
      <c r="C19" s="136"/>
      <c r="D19" s="137"/>
      <c r="E19" s="138">
        <f>15+90+90+31+45</f>
        <v>271</v>
      </c>
      <c r="F19" s="138">
        <f>E19/$E$21*100</f>
        <v>3.3874999999999997</v>
      </c>
    </row>
    <row r="20" spans="1:15" ht="23.5" customHeight="1" x14ac:dyDescent="0.35">
      <c r="A20" s="134">
        <v>19</v>
      </c>
      <c r="B20" s="144" t="s">
        <v>1005</v>
      </c>
      <c r="C20" s="136"/>
      <c r="D20" s="137"/>
      <c r="E20" s="138">
        <f>380.96+19</f>
        <v>399.96</v>
      </c>
      <c r="F20" s="138">
        <f t="shared" si="0"/>
        <v>4.9994999999999994</v>
      </c>
    </row>
    <row r="21" spans="1:15" ht="23.5" customHeight="1" x14ac:dyDescent="0.35">
      <c r="A21" s="149"/>
      <c r="B21" s="310" t="s">
        <v>1006</v>
      </c>
      <c r="C21" s="310"/>
      <c r="D21" s="310"/>
      <c r="E21" s="150">
        <f>SUM(E2:E20)</f>
        <v>8000.0000000000009</v>
      </c>
      <c r="F21" s="150">
        <f>SUM(F2:F20)</f>
        <v>99.999999999999986</v>
      </c>
    </row>
    <row r="22" spans="1:15" ht="23.5" customHeight="1" x14ac:dyDescent="0.35">
      <c r="F22" s="151"/>
      <c r="H22" s="143">
        <f t="shared" ref="H22:O22" si="1">SUM(H4:H21)</f>
        <v>20540</v>
      </c>
      <c r="I22" s="143">
        <f t="shared" si="1"/>
        <v>721</v>
      </c>
      <c r="J22" s="143">
        <f t="shared" si="1"/>
        <v>0</v>
      </c>
      <c r="K22" s="143">
        <f t="shared" si="1"/>
        <v>0</v>
      </c>
      <c r="L22" s="143">
        <f t="shared" si="1"/>
        <v>0</v>
      </c>
      <c r="M22" s="143">
        <f t="shared" si="1"/>
        <v>0</v>
      </c>
      <c r="N22" s="143">
        <f t="shared" si="1"/>
        <v>0</v>
      </c>
      <c r="O22" s="143">
        <f t="shared" si="1"/>
        <v>0</v>
      </c>
    </row>
    <row r="25" spans="1:15" ht="23.5" customHeight="1" x14ac:dyDescent="0.35">
      <c r="E25" s="152">
        <v>15000</v>
      </c>
    </row>
    <row r="26" spans="1:15" ht="23.5" customHeight="1" x14ac:dyDescent="0.35">
      <c r="E26" s="152">
        <f>E25-E21</f>
        <v>6999.9999999999991</v>
      </c>
    </row>
  </sheetData>
  <mergeCells count="1">
    <mergeCell ref="B21:D21"/>
  </mergeCells>
  <pageMargins left="0.70866141732283472" right="0.43307086614173229" top="0.74803149606299213" bottom="0.74803149606299213" header="0.31496062992125984" footer="0.31496062992125984"/>
  <pageSetup scale="90"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Y24"/>
  <sheetViews>
    <sheetView topLeftCell="A4" workbookViewId="0">
      <selection activeCell="R25" sqref="R25"/>
    </sheetView>
  </sheetViews>
  <sheetFormatPr defaultRowHeight="14.5" x14ac:dyDescent="0.35"/>
  <cols>
    <col min="2" max="2" width="19.7265625" customWidth="1"/>
    <col min="3" max="3" width="11.54296875" customWidth="1"/>
    <col min="4" max="4" width="10.26953125" customWidth="1"/>
  </cols>
  <sheetData>
    <row r="1" spans="2:25" ht="263.5" x14ac:dyDescent="0.35">
      <c r="B1" s="154" t="s">
        <v>990</v>
      </c>
      <c r="C1" s="144" t="s">
        <v>1008</v>
      </c>
      <c r="D1" s="144" t="s">
        <v>993</v>
      </c>
      <c r="E1" s="144" t="s">
        <v>163</v>
      </c>
      <c r="F1" s="144" t="s">
        <v>994</v>
      </c>
      <c r="G1" s="144" t="s">
        <v>177</v>
      </c>
      <c r="H1" s="144" t="s">
        <v>1009</v>
      </c>
      <c r="I1" s="144" t="s">
        <v>1016</v>
      </c>
      <c r="J1" s="144" t="s">
        <v>995</v>
      </c>
      <c r="K1" s="144" t="s">
        <v>996</v>
      </c>
      <c r="L1" s="144" t="s">
        <v>1010</v>
      </c>
      <c r="M1" s="148" t="s">
        <v>1003</v>
      </c>
      <c r="N1" s="144" t="s">
        <v>1002</v>
      </c>
      <c r="O1" s="144" t="s">
        <v>293</v>
      </c>
      <c r="P1" s="144" t="s">
        <v>1011</v>
      </c>
      <c r="Q1" s="144" t="s">
        <v>416</v>
      </c>
      <c r="R1" s="144" t="s">
        <v>1015</v>
      </c>
      <c r="S1" s="144" t="s">
        <v>1000</v>
      </c>
      <c r="T1" s="144" t="s">
        <v>1012</v>
      </c>
      <c r="U1" s="144" t="s">
        <v>999</v>
      </c>
      <c r="V1" s="144" t="s">
        <v>467</v>
      </c>
      <c r="W1" s="144" t="s">
        <v>1013</v>
      </c>
      <c r="X1" s="144" t="s">
        <v>1014</v>
      </c>
      <c r="Y1" s="144" t="s">
        <v>1005</v>
      </c>
    </row>
    <row r="2" spans="2:25" x14ac:dyDescent="0.35">
      <c r="B2">
        <v>162</v>
      </c>
      <c r="C2">
        <v>4438.2</v>
      </c>
      <c r="D2">
        <v>1057.2</v>
      </c>
      <c r="E2">
        <v>1010</v>
      </c>
      <c r="F2">
        <v>102</v>
      </c>
      <c r="G2">
        <v>36</v>
      </c>
      <c r="H2">
        <v>3806.85</v>
      </c>
      <c r="O2">
        <v>973.27</v>
      </c>
      <c r="R2">
        <v>250</v>
      </c>
    </row>
    <row r="3" spans="2:25" x14ac:dyDescent="0.35">
      <c r="B3">
        <v>38</v>
      </c>
      <c r="C3">
        <v>6080</v>
      </c>
      <c r="H3">
        <v>1326.75</v>
      </c>
      <c r="O3">
        <v>50</v>
      </c>
      <c r="R3">
        <v>56</v>
      </c>
    </row>
    <row r="4" spans="2:25" x14ac:dyDescent="0.35">
      <c r="B4">
        <v>300</v>
      </c>
      <c r="C4">
        <v>570</v>
      </c>
      <c r="R4">
        <v>112</v>
      </c>
    </row>
    <row r="5" spans="2:25" x14ac:dyDescent="0.35">
      <c r="B5">
        <v>120</v>
      </c>
      <c r="C5">
        <v>1230</v>
      </c>
      <c r="R5">
        <v>1.75</v>
      </c>
    </row>
    <row r="6" spans="2:25" x14ac:dyDescent="0.35">
      <c r="B6">
        <v>185.05</v>
      </c>
      <c r="C6">
        <v>78</v>
      </c>
      <c r="R6">
        <v>21</v>
      </c>
    </row>
    <row r="7" spans="2:25" x14ac:dyDescent="0.35">
      <c r="B7">
        <v>75</v>
      </c>
      <c r="R7">
        <v>36.4</v>
      </c>
    </row>
    <row r="8" spans="2:25" x14ac:dyDescent="0.35">
      <c r="B8">
        <v>75</v>
      </c>
      <c r="R8">
        <v>19.87</v>
      </c>
    </row>
    <row r="9" spans="2:25" x14ac:dyDescent="0.35">
      <c r="B9">
        <f>SUM(B2:B8)</f>
        <v>955.05</v>
      </c>
      <c r="C9">
        <f>SUM(C2:C8)</f>
        <v>12396.2</v>
      </c>
      <c r="D9">
        <f t="shared" ref="D9:L9" si="0">SUM(D2:D8)</f>
        <v>1057.2</v>
      </c>
      <c r="E9">
        <f t="shared" si="0"/>
        <v>1010</v>
      </c>
      <c r="F9">
        <f t="shared" si="0"/>
        <v>102</v>
      </c>
      <c r="G9">
        <f t="shared" si="0"/>
        <v>36</v>
      </c>
      <c r="H9">
        <f t="shared" si="0"/>
        <v>5133.6000000000004</v>
      </c>
      <c r="I9">
        <f t="shared" si="0"/>
        <v>0</v>
      </c>
      <c r="J9">
        <f t="shared" si="0"/>
        <v>0</v>
      </c>
      <c r="K9">
        <f t="shared" si="0"/>
        <v>0</v>
      </c>
      <c r="L9">
        <f t="shared" si="0"/>
        <v>0</v>
      </c>
      <c r="M9">
        <f t="shared" ref="M9" si="1">SUM(M2:M8)</f>
        <v>0</v>
      </c>
      <c r="N9">
        <f t="shared" ref="N9" si="2">SUM(N2:N8)</f>
        <v>0</v>
      </c>
      <c r="O9">
        <f t="shared" ref="O9" si="3">SUM(O2:O8)</f>
        <v>1023.27</v>
      </c>
      <c r="P9">
        <f t="shared" ref="P9" si="4">SUM(P2:P8)</f>
        <v>0</v>
      </c>
      <c r="Q9">
        <f t="shared" ref="Q9" si="5">SUM(Q2:Q8)</f>
        <v>0</v>
      </c>
      <c r="R9">
        <v>2352</v>
      </c>
      <c r="S9">
        <f t="shared" ref="S9" si="6">SUM(S2:S8)</f>
        <v>0</v>
      </c>
      <c r="T9">
        <f t="shared" ref="T9" si="7">SUM(T2:T8)</f>
        <v>0</v>
      </c>
      <c r="U9">
        <f t="shared" ref="U9" si="8">SUM(U2:U8)</f>
        <v>0</v>
      </c>
      <c r="V9">
        <f t="shared" ref="V9" si="9">SUM(V2:V8)</f>
        <v>0</v>
      </c>
      <c r="W9">
        <f t="shared" ref="W9" si="10">SUM(W2:W8)</f>
        <v>0</v>
      </c>
      <c r="X9">
        <f t="shared" ref="X9" si="11">SUM(X2:X8)</f>
        <v>0</v>
      </c>
      <c r="Y9">
        <f t="shared" ref="Y9" si="12">SUM(Y2:Y8)</f>
        <v>0</v>
      </c>
    </row>
    <row r="10" spans="2:25" x14ac:dyDescent="0.35">
      <c r="R10">
        <v>210</v>
      </c>
    </row>
    <row r="11" spans="2:25" x14ac:dyDescent="0.35">
      <c r="R11">
        <v>168</v>
      </c>
    </row>
    <row r="12" spans="2:25" x14ac:dyDescent="0.35">
      <c r="R12">
        <v>210</v>
      </c>
    </row>
    <row r="13" spans="2:25" x14ac:dyDescent="0.35">
      <c r="R13">
        <v>210</v>
      </c>
    </row>
    <row r="14" spans="2:25" x14ac:dyDescent="0.35">
      <c r="R14">
        <v>210</v>
      </c>
    </row>
    <row r="15" spans="2:25" x14ac:dyDescent="0.35">
      <c r="R15">
        <v>168</v>
      </c>
    </row>
    <row r="16" spans="2:25" x14ac:dyDescent="0.35">
      <c r="R16">
        <v>1500</v>
      </c>
    </row>
    <row r="17" spans="18:18" x14ac:dyDescent="0.35">
      <c r="R17">
        <v>28.7</v>
      </c>
    </row>
    <row r="18" spans="18:18" x14ac:dyDescent="0.35">
      <c r="R18">
        <v>24.5</v>
      </c>
    </row>
    <row r="19" spans="18:18" x14ac:dyDescent="0.35">
      <c r="R19">
        <v>105</v>
      </c>
    </row>
    <row r="20" spans="18:18" x14ac:dyDescent="0.35">
      <c r="R20">
        <v>420</v>
      </c>
    </row>
    <row r="21" spans="18:18" x14ac:dyDescent="0.35">
      <c r="R21">
        <v>0.2</v>
      </c>
    </row>
    <row r="22" spans="18:18" x14ac:dyDescent="0.35">
      <c r="R22">
        <v>4.8</v>
      </c>
    </row>
    <row r="23" spans="18:18" x14ac:dyDescent="0.35">
      <c r="R23">
        <v>700</v>
      </c>
    </row>
    <row r="24" spans="18:18" x14ac:dyDescent="0.35">
      <c r="R24">
        <f>SUM(R2:R23)</f>
        <v>6808.22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Chhattisgarh 2025-26</vt:lpstr>
      <vt:lpstr>HMNEH</vt:lpstr>
      <vt:lpstr>Chhattisgarh Summary 2025-26</vt:lpstr>
      <vt:lpstr>U.P.</vt:lpstr>
      <vt:lpstr>Sheet1</vt:lpstr>
      <vt:lpstr>'Chhattisgarh Summary 2025-26'!Print_Area</vt:lpstr>
      <vt:lpstr>U.P.!Print_Area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Neha Mathur</cp:lastModifiedBy>
  <cp:lastPrinted>2025-02-19T09:54:56Z</cp:lastPrinted>
  <dcterms:created xsi:type="dcterms:W3CDTF">2015-06-05T18:17:20Z</dcterms:created>
  <dcterms:modified xsi:type="dcterms:W3CDTF">2025-05-07T10:40:53Z</dcterms:modified>
</cp:coreProperties>
</file>