
<file path=[Content_Types].xml><?xml version="1.0" encoding="utf-8"?>
<Types xmlns="http://schemas.openxmlformats.org/package/2006/content-types">
  <Default ContentType="image/jpeg" Extension="jpg"/>
  <Default ContentType="image/gif" Extension="gif"/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5.xml"/>
  <Override ContentType="application/vnd.openxmlformats-officedocument.spreadsheetml.table+xml" PartName="/xl/tables/table4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table+xml" PartName="/xl/tables/table6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1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2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lternative colors" sheetId="1" r:id="rId4"/>
    <sheet state="visible" name="checkbox" sheetId="2" r:id="rId5"/>
    <sheet state="visible" name="translate" sheetId="3" r:id="rId6"/>
    <sheet state="visible" name="merge split" sheetId="4" r:id="rId7"/>
    <sheet state="visible" name="sum1" sheetId="5" r:id="rId8"/>
    <sheet state="visible" name="sum2" sheetId="6" r:id="rId9"/>
    <sheet state="visible" name="minus" sheetId="7" r:id="rId10"/>
    <sheet state="visible" name="lower upper" sheetId="8" r:id="rId11"/>
    <sheet state="visible" name="divide and product" sheetId="9" r:id="rId12"/>
    <sheet state="visible" name="mean median" sheetId="10" r:id="rId13"/>
    <sheet state="visible" name="now" sheetId="11" r:id="rId14"/>
    <sheet state="visible" name="unique" sheetId="12" r:id="rId15"/>
    <sheet state="visible" name="count" sheetId="13" r:id="rId16"/>
    <sheet state="visible" name="if" sheetId="14" r:id="rId17"/>
    <sheet state="visible" name="AND" sheetId="15" r:id="rId18"/>
    <sheet state="visible" name="sumif" sheetId="16" r:id="rId19"/>
    <sheet state="visible" name="sort filter" sheetId="17" r:id="rId20"/>
    <sheet state="visible" name="sort filters" sheetId="18" r:id="rId21"/>
    <sheet state="visible" name="recap" sheetId="19" r:id="rId22"/>
    <sheet state="visible" name="$" sheetId="20" r:id="rId23"/>
    <sheet state="visible" name="picture" sheetId="21" r:id="rId24"/>
    <sheet state="visible" name="transposed" sheetId="22" r:id="rId25"/>
  </sheets>
  <definedNames>
    <definedName hidden="1" localSheetId="17" name="Z_3DDCC119_E411_4978_951D_57FD97DC6F64_.wvu.FilterData">'sort filters'!$A$1:$Z$271</definedName>
    <definedName hidden="1" localSheetId="16" name="Z_8B748508_632F_40C2_90D7_C8FE7028B44C_.wvu.FilterData">'sort filter'!$A$1:$Y$259</definedName>
    <definedName hidden="1" localSheetId="16" name="Z_EFDE4367_4E8F_4800_83FC_CE6ED2BE1E33_.wvu.FilterData">'sort filter'!$A$1:$Z$59</definedName>
    <definedName hidden="1" localSheetId="16" name="Z_170F5120_9C9C_4224_B345_0F2B3F23C35D_.wvu.FilterData">'sort filter'!$A$1:$Z$59</definedName>
    <definedName hidden="1" localSheetId="16" name="Z_E53FDF96_D63A_4B5D_9EB9_C10E2B5E9C8F_.wvu.FilterData">'sort filter'!$A$1:$Y$259</definedName>
    <definedName hidden="1" localSheetId="16" name="Z_E50F6544_B6B5_4B49_B5AC_581A7192BAE5_.wvu.FilterData">'sort filter'!$A$1:$J$259</definedName>
    <definedName hidden="1" localSheetId="16" name="Z_30A002E0_AEB3_4C31_BED6_1ED66E0E12DB_.wvu.FilterData">'sort filter'!$A$1:$Y$259</definedName>
    <definedName hidden="1" localSheetId="16" name="Z_783578F7_78EA_4860_A1C3_2DEBF1DE1028_.wvu.FilterData">'sort filter'!$A$1:$Y$259</definedName>
    <definedName hidden="1" localSheetId="16" name="Z_427AC907_9D49_418A_90CE_CD823901D59D_.wvu.FilterData">'sort filter'!$A$1:$Z$59</definedName>
  </definedNames>
  <calcPr/>
  <customWorkbookViews>
    <customWorkbookView activeSheetId="0" maximized="1" windowHeight="0" windowWidth="0" guid="{3DDCC119-E411-4978-951D-57FD97DC6F64}" name="Canada GA"/>
    <customWorkbookView activeSheetId="0" maximized="1" windowHeight="0" windowWidth="0" guid="{E50F6544-B6B5-4B49-B5AC-581A7192BAE5}" name="Filtre 3"/>
    <customWorkbookView activeSheetId="0" maximized="1" windowHeight="0" windowWidth="0" guid="{30A002E0-AEB3-4C31-BED6-1ED66E0E12DB}" name="Filtre 2"/>
    <customWorkbookView activeSheetId="0" maximized="1" windowHeight="0" windowWidth="0" guid="{170F5120-9C9C-4224-B345-0F2B3F23C35D}" name="New york M M"/>
    <customWorkbookView activeSheetId="0" maximized="1" windowHeight="0" windowWidth="0" guid="{EFDE4367-4E8F-4800-83FC-CE6ED2BE1E33}" name="Filter 1"/>
    <customWorkbookView activeSheetId="0" maximized="1" windowHeight="0" windowWidth="0" guid="{427AC907-9D49-418A-90CE-CD823901D59D}" name="NewYork MM"/>
    <customWorkbookView activeSheetId="0" maximized="1" windowHeight="0" windowWidth="0" guid="{E53FDF96-D63A-4B5D-9EB9-C10E2B5E9C8F}" name="ak"/>
    <customWorkbookView activeSheetId="0" maximized="1" windowHeight="0" windowWidth="0" guid="{8B748508-632F-40C2-90D7-C8FE7028B44C}" name="female CA"/>
    <customWorkbookView activeSheetId="0" maximized="1" windowHeight="0" windowWidth="0" guid="{783578F7-78EA-4860-A1C3-2DEBF1DE1028}" name="Filtre 1"/>
  </customWorkbookViews>
</workbook>
</file>

<file path=xl/sharedStrings.xml><?xml version="1.0" encoding="utf-8"?>
<sst xmlns="http://schemas.openxmlformats.org/spreadsheetml/2006/main" count="1593" uniqueCount="452">
  <si>
    <t>Index</t>
  </si>
  <si>
    <t>Country</t>
  </si>
  <si>
    <t>Sales</t>
  </si>
  <si>
    <t>Tax</t>
  </si>
  <si>
    <t>Status</t>
  </si>
  <si>
    <t>Continent</t>
  </si>
  <si>
    <t>UNITED KINGDOM</t>
  </si>
  <si>
    <t>EUROPE</t>
  </si>
  <si>
    <t>ARGENTINA</t>
  </si>
  <si>
    <t>AMERICA</t>
  </si>
  <si>
    <t>AUSTRALIA</t>
  </si>
  <si>
    <t>AFRICA</t>
  </si>
  <si>
    <t>BAHAMAS</t>
  </si>
  <si>
    <t>BELGIUM</t>
  </si>
  <si>
    <t>BRAZIL</t>
  </si>
  <si>
    <t>CANADA</t>
  </si>
  <si>
    <t>CHINA</t>
  </si>
  <si>
    <t>COLOMBIA</t>
  </si>
  <si>
    <t>CUBA</t>
  </si>
  <si>
    <t>DOMINICAN REPUBLIC</t>
  </si>
  <si>
    <t>ECUADOR</t>
  </si>
  <si>
    <t>EL SALVADOR</t>
  </si>
  <si>
    <t>FRANCE</t>
  </si>
  <si>
    <t>GERMANY</t>
  </si>
  <si>
    <t>GUATEMALA</t>
  </si>
  <si>
    <t>HAITI</t>
  </si>
  <si>
    <t>HONDURAS</t>
  </si>
  <si>
    <t>INDIA</t>
  </si>
  <si>
    <t>IRELAND</t>
  </si>
  <si>
    <t>RHETORO</t>
  </si>
  <si>
    <t xml:space="preserve">Wheat prices rose sharply on international markets following the strike by a Russian drone against a Ukrainian port on the Danube River.
One grain silo at the port of Reni was hit and substantially damaged, according to geolocated images and video. 
At 9 a.m. ET, the price of wheat for September delivery on the Chicago exchange was nearly 6% higher than the previous close.
Markets are concerned about a tightening supply situation following the collapse of the Black Sea grain initiative last week and a sequence of Russian drone attacks against Ukrainian port infrastructure.  </t>
  </si>
  <si>
    <t>Wheat prices rose sharply on international markets following the strike by a Russian drone against a Ukrainian port on the Danube River.</t>
  </si>
  <si>
    <t>Hello World</t>
  </si>
  <si>
    <t>batch 223 harika.</t>
  </si>
  <si>
    <t>google sheet gerçekten çok kullanışlı.</t>
  </si>
  <si>
    <t>2020 yılına az bir zaman kaldı</t>
  </si>
  <si>
    <t>neden elma yedin</t>
  </si>
  <si>
    <t>çocuklar uyuyormu?</t>
  </si>
  <si>
    <t>ders çalışıyormusun</t>
  </si>
  <si>
    <t>MERGE</t>
  </si>
  <si>
    <t xml:space="preserve"> </t>
  </si>
  <si>
    <t>SPLIT</t>
  </si>
  <si>
    <t xml:space="preserve">Ahmet </t>
  </si>
  <si>
    <t>Şahin</t>
  </si>
  <si>
    <t>Ahmet  Şahin 45</t>
  </si>
  <si>
    <t>Tomato, Pear, Apple, Plum</t>
  </si>
  <si>
    <t>Yavuz</t>
  </si>
  <si>
    <t>Nur</t>
  </si>
  <si>
    <t>Yavuz Nur  45</t>
  </si>
  <si>
    <t>Elma, Portakal, Kayısı</t>
  </si>
  <si>
    <t>Sema</t>
  </si>
  <si>
    <t>Kaya</t>
  </si>
  <si>
    <t>Sema Kaya 60</t>
  </si>
  <si>
    <t>Tuba</t>
  </si>
  <si>
    <t>Kara</t>
  </si>
  <si>
    <t>Tuba Kara  34</t>
  </si>
  <si>
    <t>Eda</t>
  </si>
  <si>
    <t>Perçin</t>
  </si>
  <si>
    <t>Eda Perçin  45</t>
  </si>
  <si>
    <t>Tomato</t>
  </si>
  <si>
    <t xml:space="preserve"> Pear</t>
  </si>
  <si>
    <t xml:space="preserve"> Apple</t>
  </si>
  <si>
    <t xml:space="preserve"> Plum</t>
  </si>
  <si>
    <t>Aydın</t>
  </si>
  <si>
    <t>Ahmet  Aydın  55</t>
  </si>
  <si>
    <t>Elif</t>
  </si>
  <si>
    <t>Doğu</t>
  </si>
  <si>
    <t>Elif Doğu 21</t>
  </si>
  <si>
    <t>Emel</t>
  </si>
  <si>
    <t>Esen</t>
  </si>
  <si>
    <t>Emel Esen 27</t>
  </si>
  <si>
    <t>Yusuf</t>
  </si>
  <si>
    <t>Özkan</t>
  </si>
  <si>
    <t>Yusuf Özkan 38</t>
  </si>
  <si>
    <t>Sezgin</t>
  </si>
  <si>
    <t>Kıyılı</t>
  </si>
  <si>
    <t>Sezgin Kıyılı  50</t>
  </si>
  <si>
    <t>Name</t>
  </si>
  <si>
    <t>Jan</t>
  </si>
  <si>
    <t>Feb</t>
  </si>
  <si>
    <t>Mar</t>
  </si>
  <si>
    <t>Nazlı</t>
  </si>
  <si>
    <t>Nilüfer</t>
  </si>
  <si>
    <t>Cafer</t>
  </si>
  <si>
    <t>Ziya</t>
  </si>
  <si>
    <t>Total:</t>
  </si>
  <si>
    <t>George</t>
  </si>
  <si>
    <t>David</t>
  </si>
  <si>
    <t>Michail</t>
  </si>
  <si>
    <t>sum</t>
  </si>
  <si>
    <t>MINUS</t>
  </si>
  <si>
    <t>SUM</t>
  </si>
  <si>
    <t xml:space="preserve">TECHPRO EDUCATION </t>
  </si>
  <si>
    <t>LOWER</t>
  </si>
  <si>
    <t xml:space="preserve">Techpro Education </t>
  </si>
  <si>
    <t>UPPER</t>
  </si>
  <si>
    <t xml:space="preserve">techpro education </t>
  </si>
  <si>
    <t>PROPER</t>
  </si>
  <si>
    <t>ARTIFICIAL INTELLINGENCE</t>
  </si>
  <si>
    <t>LEN</t>
  </si>
  <si>
    <t xml:space="preserve">      Deep Learning    </t>
  </si>
  <si>
    <t>TRIM</t>
  </si>
  <si>
    <t>ROUND</t>
  </si>
  <si>
    <t>INT</t>
  </si>
  <si>
    <t>EVEN</t>
  </si>
  <si>
    <t>ODD</t>
  </si>
  <si>
    <t>PRODUCT</t>
  </si>
  <si>
    <t>DIVIDE</t>
  </si>
  <si>
    <t>QUOTIENT</t>
  </si>
  <si>
    <t>MEAN</t>
  </si>
  <si>
    <t>MEDIAN</t>
  </si>
  <si>
    <t>MODE</t>
  </si>
  <si>
    <t>TODAY</t>
  </si>
  <si>
    <t>NOW</t>
  </si>
  <si>
    <t>Project</t>
  </si>
  <si>
    <t>Deadline</t>
  </si>
  <si>
    <t>Days to deadline</t>
  </si>
  <si>
    <t>Thesis</t>
  </si>
  <si>
    <t>Wedding Anniversary</t>
  </si>
  <si>
    <t>UNIQUE</t>
  </si>
  <si>
    <t>UNIQUE (multiple columns)</t>
  </si>
  <si>
    <t>Ahmet  Şahin</t>
  </si>
  <si>
    <t>Yavuz Nur</t>
  </si>
  <si>
    <t>Sema Kaya</t>
  </si>
  <si>
    <t>Tuba Kara</t>
  </si>
  <si>
    <t>Eda Perçin</t>
  </si>
  <si>
    <t>Ahmet  Aydın</t>
  </si>
  <si>
    <t>Elif Doğu</t>
  </si>
  <si>
    <t>Emel Esen</t>
  </si>
  <si>
    <t>Yusuf Özkan</t>
  </si>
  <si>
    <t>Sezgin Kıyılı</t>
  </si>
  <si>
    <t>COUNT</t>
  </si>
  <si>
    <t>COUNTA</t>
  </si>
  <si>
    <t>IF</t>
  </si>
  <si>
    <t>IFS</t>
  </si>
  <si>
    <t>ID</t>
  </si>
  <si>
    <t>Family</t>
  </si>
  <si>
    <t>Mark</t>
  </si>
  <si>
    <t>Result</t>
  </si>
  <si>
    <t>Smythe</t>
  </si>
  <si>
    <t>Erica</t>
  </si>
  <si>
    <t>Walton</t>
  </si>
  <si>
    <t>Sam</t>
  </si>
  <si>
    <t>Cheng</t>
  </si>
  <si>
    <t>Violet</t>
  </si>
  <si>
    <t>Faragun</t>
  </si>
  <si>
    <t>Sonia</t>
  </si>
  <si>
    <t>Goot</t>
  </si>
  <si>
    <t>John</t>
  </si>
  <si>
    <t>Smith</t>
  </si>
  <si>
    <t>Stone</t>
  </si>
  <si>
    <t>Katy</t>
  </si>
  <si>
    <t>Iron</t>
  </si>
  <si>
    <t xml:space="preserve">Eric </t>
  </si>
  <si>
    <t>Hay</t>
  </si>
  <si>
    <t>Marsia</t>
  </si>
  <si>
    <t>A</t>
  </si>
  <si>
    <t>B</t>
  </si>
  <si>
    <t>C</t>
  </si>
  <si>
    <t>D</t>
  </si>
  <si>
    <t>ADIDAS</t>
  </si>
  <si>
    <t>NIKE</t>
  </si>
  <si>
    <t>NEW BALANCE</t>
  </si>
  <si>
    <t>TURBO</t>
  </si>
  <si>
    <t>XT</t>
  </si>
  <si>
    <t>sumif</t>
  </si>
  <si>
    <t>averageif</t>
  </si>
  <si>
    <t>countif</t>
  </si>
  <si>
    <t>Year</t>
  </si>
  <si>
    <t>Total</t>
  </si>
  <si>
    <t>FirstName</t>
  </si>
  <si>
    <t>LastName</t>
  </si>
  <si>
    <t>Street</t>
  </si>
  <si>
    <t>City</t>
  </si>
  <si>
    <t>State</t>
  </si>
  <si>
    <t>Zip</t>
  </si>
  <si>
    <t>Gender</t>
  </si>
  <si>
    <t>Marital Status</t>
  </si>
  <si>
    <t>Age</t>
  </si>
  <si>
    <t>Mail</t>
  </si>
  <si>
    <t>Kati</t>
  </si>
  <si>
    <t>Butterfly</t>
  </si>
  <si>
    <t>6983 Dorselt</t>
  </si>
  <si>
    <t>Abilene</t>
  </si>
  <si>
    <t>KS</t>
  </si>
  <si>
    <t>F</t>
  </si>
  <si>
    <t>Married</t>
  </si>
  <si>
    <t>kati@rulapaugh.com</t>
  </si>
  <si>
    <t>Teddy</t>
  </si>
  <si>
    <t>Hairstone</t>
  </si>
  <si>
    <t>6981 Dorselt</t>
  </si>
  <si>
    <t>Divorced</t>
  </si>
  <si>
    <t>Bard</t>
  </si>
  <si>
    <t>Lion</t>
  </si>
  <si>
    <t>6986 Dorselt</t>
  </si>
  <si>
    <t>M</t>
  </si>
  <si>
    <t>Single</t>
  </si>
  <si>
    <t>Kinder</t>
  </si>
  <si>
    <t>Rigid</t>
  </si>
  <si>
    <t>6985 Dorselt</t>
  </si>
  <si>
    <t>Rulapaugh</t>
  </si>
  <si>
    <t>6980 Dorselt</t>
  </si>
  <si>
    <t>6987 Dorselt</t>
  </si>
  <si>
    <t>Kevin</t>
  </si>
  <si>
    <t>6982 Dorselt</t>
  </si>
  <si>
    <t>Wolf</t>
  </si>
  <si>
    <t>Space</t>
  </si>
  <si>
    <t>6984 Dorselt</t>
  </si>
  <si>
    <t>Jina</t>
  </si>
  <si>
    <t>Briddick</t>
  </si>
  <si>
    <t>38986 Park Blvd</t>
  </si>
  <si>
    <t>Boston</t>
  </si>
  <si>
    <t>MA</t>
  </si>
  <si>
    <t>jina@briddick.com</t>
  </si>
  <si>
    <t>Nora</t>
  </si>
  <si>
    <t>Dimple</t>
  </si>
  <si>
    <t>38985 Park Blvd</t>
  </si>
  <si>
    <t>Tarry</t>
  </si>
  <si>
    <t>Fairland</t>
  </si>
  <si>
    <t>38984 Park Blvd</t>
  </si>
  <si>
    <t>Paradise</t>
  </si>
  <si>
    <t>38983 Park Blvd</t>
  </si>
  <si>
    <t>Rozella</t>
  </si>
  <si>
    <t>Ostrosky</t>
  </si>
  <si>
    <t>17 Morena</t>
  </si>
  <si>
    <t>Camarillo</t>
  </si>
  <si>
    <t>CA</t>
  </si>
  <si>
    <t>rozella@ostrosky.com</t>
  </si>
  <si>
    <t>Rose</t>
  </si>
  <si>
    <t>27 Morena</t>
  </si>
  <si>
    <t>Albina</t>
  </si>
  <si>
    <t>Aachest</t>
  </si>
  <si>
    <t>4 Ralph</t>
  </si>
  <si>
    <t>Dunellen</t>
  </si>
  <si>
    <t>NU</t>
  </si>
  <si>
    <t>albina@glick.com</t>
  </si>
  <si>
    <t>Judie</t>
  </si>
  <si>
    <t>Fly</t>
  </si>
  <si>
    <t>5 Ralph</t>
  </si>
  <si>
    <t>Dark</t>
  </si>
  <si>
    <t>Fox</t>
  </si>
  <si>
    <t>7 Ralph</t>
  </si>
  <si>
    <t>Glick</t>
  </si>
  <si>
    <t>8 Ralph</t>
  </si>
  <si>
    <t>Eileve</t>
  </si>
  <si>
    <t>6 Ralph</t>
  </si>
  <si>
    <t>Roxane</t>
  </si>
  <si>
    <t>Campain</t>
  </si>
  <si>
    <t>1048 Main St</t>
  </si>
  <si>
    <t>Falrbanks</t>
  </si>
  <si>
    <t>AK</t>
  </si>
  <si>
    <t>roxane@campain.com</t>
  </si>
  <si>
    <t>Erick</t>
  </si>
  <si>
    <t>Ferencz</t>
  </si>
  <si>
    <t>20 S Babcock</t>
  </si>
  <si>
    <t>erick@ferencz.com</t>
  </si>
  <si>
    <t>Fatima</t>
  </si>
  <si>
    <t>Dracula</t>
  </si>
  <si>
    <t>5 Lighthouse</t>
  </si>
  <si>
    <t>Hopkins</t>
  </si>
  <si>
    <t>MN</t>
  </si>
  <si>
    <t>fatima@saylors.com</t>
  </si>
  <si>
    <t>Field</t>
  </si>
  <si>
    <t>4 Lighthouse</t>
  </si>
  <si>
    <t>Hale</t>
  </si>
  <si>
    <t>Ocean</t>
  </si>
  <si>
    <t>3 Lighthouse</t>
  </si>
  <si>
    <t>Saylors</t>
  </si>
  <si>
    <t>2 Lighthouse</t>
  </si>
  <si>
    <t>Kanisha</t>
  </si>
  <si>
    <t>Waycott</t>
  </si>
  <si>
    <t>5 Tomahawk</t>
  </si>
  <si>
    <t>Los Angeles</t>
  </si>
  <si>
    <t>awaycott@gfail.com</t>
  </si>
  <si>
    <t>Solange</t>
  </si>
  <si>
    <t>Foggy</t>
  </si>
  <si>
    <t>426 Wolf St</t>
  </si>
  <si>
    <t>Matalrie</t>
  </si>
  <si>
    <t>LA</t>
  </si>
  <si>
    <t>solange@shinko.com</t>
  </si>
  <si>
    <t>Henpecked</t>
  </si>
  <si>
    <t>429 Wolf St</t>
  </si>
  <si>
    <t>Richard</t>
  </si>
  <si>
    <t>Ken</t>
  </si>
  <si>
    <t>428 Wolf St</t>
  </si>
  <si>
    <t>ken@gmail.com</t>
  </si>
  <si>
    <t>Rutteri</t>
  </si>
  <si>
    <t>Shinko</t>
  </si>
  <si>
    <t>Alberto</t>
  </si>
  <si>
    <t>Sunny</t>
  </si>
  <si>
    <t>427 Wolf St</t>
  </si>
  <si>
    <t>Lavera</t>
  </si>
  <si>
    <t>Nerin</t>
  </si>
  <si>
    <t>678 3rd Ave</t>
  </si>
  <si>
    <t>Miami</t>
  </si>
  <si>
    <t>FL</t>
  </si>
  <si>
    <t>lavera@Nerin.com</t>
  </si>
  <si>
    <t>Robert</t>
  </si>
  <si>
    <t>Pebble</t>
  </si>
  <si>
    <t>Jose</t>
  </si>
  <si>
    <t>Bird</t>
  </si>
  <si>
    <t>128 Bransten</t>
  </si>
  <si>
    <t>New York</t>
  </si>
  <si>
    <t>NL</t>
  </si>
  <si>
    <t>astockham@gmail.com</t>
  </si>
  <si>
    <t>Helen</t>
  </si>
  <si>
    <t>Dreadful</t>
  </si>
  <si>
    <t>129 Bransten</t>
  </si>
  <si>
    <t>Dream</t>
  </si>
  <si>
    <t>130 Bransten</t>
  </si>
  <si>
    <t>Sebastian</t>
  </si>
  <si>
    <t>Love</t>
  </si>
  <si>
    <t>2744 Dist</t>
  </si>
  <si>
    <t>asergi@gmail.com</t>
  </si>
  <si>
    <t>Alishia</t>
  </si>
  <si>
    <t>Sergi</t>
  </si>
  <si>
    <t>2742 Dist</t>
  </si>
  <si>
    <t>2745 Dist</t>
  </si>
  <si>
    <t>Nvidia</t>
  </si>
  <si>
    <t>2743 Dist</t>
  </si>
  <si>
    <t>Adam</t>
  </si>
  <si>
    <t>Stockham</t>
  </si>
  <si>
    <t>Deedy</t>
  </si>
  <si>
    <t>Oldroyd</t>
  </si>
  <si>
    <t>7221 Woodfield</t>
  </si>
  <si>
    <t>Overland Park</t>
  </si>
  <si>
    <t>aoldroyd@gfail.com</t>
  </si>
  <si>
    <t>Dyan</t>
  </si>
  <si>
    <t>7219 Woodfield</t>
  </si>
  <si>
    <t>Angel</t>
  </si>
  <si>
    <t>Wall</t>
  </si>
  <si>
    <t>7220 Woodfield</t>
  </si>
  <si>
    <t>Water</t>
  </si>
  <si>
    <t>7222 Woodfield</t>
  </si>
  <si>
    <t>Charlie</t>
  </si>
  <si>
    <t>Bold</t>
  </si>
  <si>
    <t>2883 Lewis Rd</t>
  </si>
  <si>
    <t>Prineville</t>
  </si>
  <si>
    <t>OR</t>
  </si>
  <si>
    <t>youlanda@schemmer.com</t>
  </si>
  <si>
    <t>Brave</t>
  </si>
  <si>
    <t>2884 Lewis Rd</t>
  </si>
  <si>
    <t>Brayn</t>
  </si>
  <si>
    <t>Bridge</t>
  </si>
  <si>
    <t>2882 Lewis Rd</t>
  </si>
  <si>
    <t>Akın</t>
  </si>
  <si>
    <t>Schemmer</t>
  </si>
  <si>
    <t>2881 Lewis Rd</t>
  </si>
  <si>
    <t>Youlanda</t>
  </si>
  <si>
    <t>2885 Lewis Rd</t>
  </si>
  <si>
    <t>Gillian</t>
  </si>
  <si>
    <t>980 W 17th St</t>
  </si>
  <si>
    <t>San Antonia</t>
  </si>
  <si>
    <t>TX</t>
  </si>
  <si>
    <t>agillian@gmail.com</t>
  </si>
  <si>
    <t>Valentine</t>
  </si>
  <si>
    <t>981 W 17th St</t>
  </si>
  <si>
    <t>Marcello</t>
  </si>
  <si>
    <t>978 W 17th St</t>
  </si>
  <si>
    <t>Trill</t>
  </si>
  <si>
    <t>977 W 17th St</t>
  </si>
  <si>
    <t>975 W 17th St</t>
  </si>
  <si>
    <t>Mike</t>
  </si>
  <si>
    <t>979 W 17th St</t>
  </si>
  <si>
    <t>Young</t>
  </si>
  <si>
    <t>976 W 17th St</t>
  </si>
  <si>
    <t>Sales_Rep</t>
  </si>
  <si>
    <t>Brand</t>
  </si>
  <si>
    <t>COGS (Cost of Goods Sales)
Satış Maliyeti</t>
  </si>
  <si>
    <t>Profit 
Kar</t>
  </si>
  <si>
    <t>Amelia</t>
  </si>
  <si>
    <t>GA</t>
  </si>
  <si>
    <t>CALVIN KLEIN</t>
  </si>
  <si>
    <t>Elijah</t>
  </si>
  <si>
    <t>Ralph Lauren</t>
  </si>
  <si>
    <t>Evelyn</t>
  </si>
  <si>
    <t>TN</t>
  </si>
  <si>
    <t>JESSICA SIMPSON</t>
  </si>
  <si>
    <t>Harper</t>
  </si>
  <si>
    <t>James</t>
  </si>
  <si>
    <t>Olivia</t>
  </si>
  <si>
    <t>Ava</t>
  </si>
  <si>
    <t>MEXICO</t>
  </si>
  <si>
    <t>NV</t>
  </si>
  <si>
    <t>TOMMY HILFIGER</t>
  </si>
  <si>
    <t>Henry</t>
  </si>
  <si>
    <t>Alexander</t>
  </si>
  <si>
    <t>USA</t>
  </si>
  <si>
    <t>Benjamin</t>
  </si>
  <si>
    <t>Charlotte</t>
  </si>
  <si>
    <t>NY</t>
  </si>
  <si>
    <t>Emma</t>
  </si>
  <si>
    <t>Isabella</t>
  </si>
  <si>
    <t>Liam</t>
  </si>
  <si>
    <t>IL</t>
  </si>
  <si>
    <t>Lucas</t>
  </si>
  <si>
    <t>Mia</t>
  </si>
  <si>
    <t>Noah</t>
  </si>
  <si>
    <t>Oliver</t>
  </si>
  <si>
    <t>Sophia</t>
  </si>
  <si>
    <t>William</t>
  </si>
  <si>
    <t>IN</t>
  </si>
  <si>
    <t>NO</t>
  </si>
  <si>
    <t>Surname</t>
  </si>
  <si>
    <t>COGS</t>
  </si>
  <si>
    <t>FULL NAME</t>
  </si>
  <si>
    <t>Product Category</t>
  </si>
  <si>
    <t>Profit</t>
  </si>
  <si>
    <t>Profit Status</t>
  </si>
  <si>
    <t>COUNT PRODUCT</t>
  </si>
  <si>
    <t>PRODUCT TOTAL SALES</t>
  </si>
  <si>
    <t>AVERAGE TOTAL SALES</t>
  </si>
  <si>
    <t>Butter</t>
  </si>
  <si>
    <t>Watter</t>
  </si>
  <si>
    <t>Plantes</t>
  </si>
  <si>
    <t>NEW BALANCe</t>
  </si>
  <si>
    <t>Gogg</t>
  </si>
  <si>
    <t>Barry</t>
  </si>
  <si>
    <t>Duster</t>
  </si>
  <si>
    <t>Traix</t>
  </si>
  <si>
    <t>Heeds</t>
  </si>
  <si>
    <t>Neary</t>
  </si>
  <si>
    <t>Liban</t>
  </si>
  <si>
    <t>JESSICa SIMPSON</t>
  </si>
  <si>
    <t>Radyy</t>
  </si>
  <si>
    <t>Clacky</t>
  </si>
  <si>
    <t>Trust</t>
  </si>
  <si>
    <t>Benits</t>
  </si>
  <si>
    <t>Boats</t>
  </si>
  <si>
    <t>Lamyl</t>
  </si>
  <si>
    <t>Metty</t>
  </si>
  <si>
    <t>Tickl</t>
  </si>
  <si>
    <t>JESSICA SIMpSON</t>
  </si>
  <si>
    <t>Cloud</t>
  </si>
  <si>
    <t xml:space="preserve">Sky </t>
  </si>
  <si>
    <t>Earty</t>
  </si>
  <si>
    <t>Snieziy</t>
  </si>
  <si>
    <t>Sharp</t>
  </si>
  <si>
    <t>Katsayı</t>
  </si>
  <si>
    <t>total</t>
  </si>
  <si>
    <t>Ahmet</t>
  </si>
  <si>
    <t>Can</t>
  </si>
  <si>
    <t xml:space="preserve">Fatih </t>
  </si>
  <si>
    <t>Zafer</t>
  </si>
  <si>
    <t>Cemal</t>
  </si>
  <si>
    <t>Torun</t>
  </si>
  <si>
    <t>STOK Miktarı</t>
  </si>
  <si>
    <t xml:space="preserve">Artı Stok </t>
  </si>
  <si>
    <t>stok miktarına 20 ekleyelim</t>
  </si>
  <si>
    <t>Buzdolabı</t>
  </si>
  <si>
    <t>Çamaşır Makinası</t>
  </si>
  <si>
    <t>Kurutma Makinası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</si>
</sst>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&quot;$&quot;#,##0"/>
    <numFmt numFmtId="165" formatCode="[$¥]#,##0.00"/>
    <numFmt numFmtId="166" formatCode="m/d/yyyy h:mm:ss"/>
    <numFmt numFmtId="167" formatCode="#,##0.00;(#,##0.00)"/>
    <numFmt numFmtId="168" formatCode="mm/dd/yyyy"/>
    <numFmt numFmtId="169" formatCode="m/d/yyyy"/>
    <numFmt numFmtId="170" formatCode="&quot;$&quot;#,##0.00"/>
  </numFmts>
  <fonts count="33">
    <font>
      <sz val="10.0"/>
      <color rgb="FF000000"/>
      <name val="Arial"/>
      <scheme val="minor"/>
    </font>
    <font>
      <color theme="1"/>
      <name val="Arial"/>
    </font>
    <font>
      <color rgb="FF000000"/>
      <name val="Arial"/>
    </font>
    <font>
      <color rgb="FF000000"/>
      <name val="Inherit"/>
    </font>
    <font>
      <b/>
      <i/>
      <sz val="11.0"/>
      <color rgb="FF000000"/>
      <name val="Inherit"/>
    </font>
    <font>
      <color theme="1"/>
      <name val="Arial"/>
      <scheme val="minor"/>
    </font>
    <font>
      <sz val="16.0"/>
      <color rgb="FFFFFFFF"/>
      <name val="Monospace"/>
    </font>
    <font>
      <sz val="14.0"/>
      <color theme="1"/>
      <name val="Arial"/>
    </font>
    <font>
      <b/>
      <sz val="14.0"/>
      <color theme="1"/>
      <name val="Arial"/>
    </font>
    <font>
      <b/>
      <sz val="14.0"/>
      <color theme="1"/>
      <name val="Calibri"/>
    </font>
    <font>
      <b/>
      <sz val="18.0"/>
      <color theme="1"/>
      <name val="Arial"/>
    </font>
    <font>
      <sz val="11.0"/>
      <color theme="1"/>
      <name val="Arial"/>
    </font>
    <font>
      <b/>
      <sz val="11.0"/>
      <color theme="1"/>
      <name val="Arial"/>
    </font>
    <font>
      <sz val="18.0"/>
      <color theme="1"/>
      <name val="Arial"/>
    </font>
    <font>
      <sz val="12.0"/>
      <color theme="1"/>
      <name val="Arial"/>
    </font>
    <font>
      <b/>
      <sz val="24.0"/>
      <color theme="1"/>
      <name val="Arial"/>
    </font>
    <font>
      <color rgb="FF374151"/>
      <name val="Söhne"/>
    </font>
    <font>
      <sz val="11.0"/>
      <color theme="1"/>
      <name val="Calibri"/>
    </font>
    <font>
      <b/>
      <sz val="24.0"/>
      <color rgb="FF000000"/>
      <name val="Arial"/>
    </font>
    <font>
      <sz val="19.0"/>
      <color theme="1"/>
      <name val="Arial"/>
    </font>
    <font>
      <sz val="11.0"/>
      <color rgb="FF008000"/>
      <name val="Courier New"/>
    </font>
    <font>
      <sz val="12.0"/>
      <color theme="1"/>
      <name val="Calibri"/>
    </font>
    <font>
      <u/>
      <sz val="12.0"/>
      <color rgb="FF0563C1"/>
      <name val="Calibri"/>
    </font>
    <font>
      <b/>
      <sz val="11.0"/>
      <color rgb="FF000000"/>
      <name val="Calibri"/>
    </font>
    <font>
      <b/>
      <sz val="11.0"/>
      <color theme="1"/>
      <name val="Calibri"/>
    </font>
    <font>
      <sz val="11.0"/>
      <color rgb="FF212121"/>
      <name val="Arial"/>
    </font>
    <font>
      <sz val="11.0"/>
      <color rgb="FF212121"/>
      <name val="Quattrocento Sans"/>
    </font>
    <font>
      <sz val="11.0"/>
      <color rgb="FF000000"/>
      <name val="Arial"/>
    </font>
    <font>
      <sz val="11.0"/>
      <color theme="1"/>
      <name val="Inconsolata"/>
    </font>
    <font>
      <b/>
      <sz val="25.0"/>
      <color theme="1"/>
      <name val="Arial"/>
    </font>
    <font>
      <b/>
      <sz val="21.0"/>
      <color theme="1"/>
      <name val="Arial"/>
    </font>
    <font>
      <b/>
      <sz val="14.0"/>
      <color rgb="FF000000"/>
      <name val="Calibri"/>
    </font>
    <font>
      <sz val="12.0"/>
      <color rgb="FF000000"/>
      <name val="Calibri"/>
    </font>
  </fonts>
  <fills count="11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FF0000"/>
        <bgColor rgb="FFFF0000"/>
      </patternFill>
    </fill>
    <fill>
      <patternFill patternType="solid">
        <fgColor rgb="FF4C5866"/>
        <bgColor rgb="FF4C5866"/>
      </patternFill>
    </fill>
    <fill>
      <patternFill patternType="solid">
        <fgColor rgb="FFFF9900"/>
        <bgColor rgb="FFFF9900"/>
      </patternFill>
    </fill>
    <fill>
      <patternFill patternType="solid">
        <fgColor rgb="FF00FF00"/>
        <bgColor rgb="FF00FF00"/>
      </patternFill>
    </fill>
    <fill>
      <patternFill patternType="solid">
        <fgColor rgb="FF980000"/>
        <bgColor rgb="FF980000"/>
      </patternFill>
    </fill>
    <fill>
      <patternFill patternType="solid">
        <fgColor rgb="FFF7F7F8"/>
        <bgColor rgb="FFF7F7F8"/>
      </patternFill>
    </fill>
    <fill>
      <patternFill patternType="solid">
        <fgColor rgb="FFBDBDBD"/>
        <bgColor rgb="FFBDBDBD"/>
      </patternFill>
    </fill>
  </fills>
  <borders count="12">
    <border/>
    <border>
      <left style="double">
        <color rgb="FF000000"/>
      </left>
      <right style="double">
        <color rgb="FF000000"/>
      </right>
      <top style="double">
        <color rgb="FF000000"/>
      </top>
      <bottom style="double">
        <color rgb="FF000000"/>
      </bottom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double">
        <color rgb="FF000000"/>
      </right>
      <top style="double">
        <color rgb="FF000000"/>
      </top>
      <bottom style="double">
        <color rgb="FF000000"/>
      </bottom>
    </border>
    <border>
      <left style="double">
        <color rgb="FF000000"/>
      </left>
      <right style="double">
        <color rgb="FF000000"/>
      </right>
      <bottom style="double">
        <color rgb="FF000000"/>
      </bottom>
    </border>
    <border>
      <right style="double">
        <color rgb="FF000000"/>
      </right>
      <bottom style="double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159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1" numFmtId="0" xfId="0" applyFont="1"/>
    <xf borderId="1" fillId="2" fontId="2" numFmtId="0" xfId="0" applyAlignment="1" applyBorder="1" applyFill="1" applyFont="1">
      <alignment horizontal="center" shrinkToFit="0" vertical="center" wrapText="0"/>
    </xf>
    <xf borderId="1" fillId="2" fontId="2" numFmtId="0" xfId="0" applyAlignment="1" applyBorder="1" applyFont="1">
      <alignment shrinkToFit="0" vertical="bottom" wrapText="0"/>
    </xf>
    <xf borderId="1" fillId="2" fontId="2" numFmtId="164" xfId="0" applyAlignment="1" applyBorder="1" applyFont="1" applyNumberFormat="1">
      <alignment shrinkToFit="0" vertical="bottom" wrapText="0"/>
    </xf>
    <xf borderId="1" fillId="3" fontId="3" numFmtId="0" xfId="0" applyAlignment="1" applyBorder="1" applyFill="1" applyFont="1">
      <alignment horizontal="center" shrinkToFit="0" textRotation="90" vertical="center" wrapText="0"/>
    </xf>
    <xf borderId="1" fillId="3" fontId="4" numFmtId="0" xfId="0" applyAlignment="1" applyBorder="1" applyFont="1">
      <alignment horizontal="left" shrinkToFit="0" vertical="bottom" wrapText="0"/>
    </xf>
    <xf borderId="1" fillId="3" fontId="3" numFmtId="164" xfId="0" applyAlignment="1" applyBorder="1" applyFont="1" applyNumberFormat="1">
      <alignment horizontal="left" shrinkToFit="0" vertical="bottom" wrapText="0"/>
    </xf>
    <xf borderId="1" fillId="3" fontId="3" numFmtId="165" xfId="0" applyAlignment="1" applyBorder="1" applyFont="1" applyNumberFormat="1">
      <alignment horizontal="left" shrinkToFit="0" vertical="bottom" wrapText="0"/>
    </xf>
    <xf borderId="1" fillId="3" fontId="3" numFmtId="0" xfId="0" applyAlignment="1" applyBorder="1" applyFont="1">
      <alignment horizontal="left" shrinkToFit="0" vertical="bottom" wrapText="0"/>
    </xf>
    <xf borderId="1" fillId="0" fontId="1" numFmtId="0" xfId="0" applyBorder="1" applyFont="1"/>
    <xf borderId="1" fillId="3" fontId="3" numFmtId="0" xfId="0" applyAlignment="1" applyBorder="1" applyFont="1">
      <alignment horizontal="left" shrinkToFit="0" vertical="bottom" wrapText="0"/>
    </xf>
    <xf borderId="0" fillId="0" fontId="1" numFmtId="0" xfId="0" applyAlignment="1" applyFont="1">
      <alignment vertical="center"/>
    </xf>
    <xf borderId="0" fillId="0" fontId="1" numFmtId="164" xfId="0" applyFont="1" applyNumberFormat="1"/>
    <xf borderId="0" fillId="4" fontId="1" numFmtId="0" xfId="0" applyFill="1" applyFont="1"/>
    <xf borderId="0" fillId="0" fontId="1" numFmtId="0" xfId="0" applyFont="1"/>
    <xf borderId="0" fillId="0" fontId="1" numFmtId="0" xfId="0" applyAlignment="1" applyFont="1">
      <alignment readingOrder="0"/>
    </xf>
    <xf borderId="0" fillId="0" fontId="5" numFmtId="0" xfId="0" applyAlignment="1" applyFont="1">
      <alignment readingOrder="0"/>
    </xf>
    <xf borderId="0" fillId="5" fontId="6" numFmtId="0" xfId="0" applyAlignment="1" applyFill="1" applyFont="1">
      <alignment horizontal="left"/>
    </xf>
    <xf borderId="0" fillId="0" fontId="5" numFmtId="166" xfId="0" applyFont="1" applyNumberFormat="1"/>
    <xf borderId="0" fillId="0" fontId="5" numFmtId="0" xfId="0" applyFont="1"/>
    <xf borderId="0" fillId="0" fontId="7" numFmtId="0" xfId="0" applyAlignment="1" applyFont="1">
      <alignment readingOrder="0" vertical="bottom"/>
    </xf>
    <xf borderId="0" fillId="0" fontId="7" numFmtId="0" xfId="0" applyAlignment="1" applyFont="1">
      <alignment vertical="bottom"/>
    </xf>
    <xf borderId="0" fillId="0" fontId="7" numFmtId="0" xfId="0" applyFont="1"/>
    <xf borderId="0" fillId="4" fontId="8" numFmtId="0" xfId="0" applyFont="1"/>
    <xf borderId="0" fillId="0" fontId="8" numFmtId="0" xfId="0" applyFont="1"/>
    <xf borderId="2" fillId="0" fontId="1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0" fillId="0" fontId="1" numFmtId="0" xfId="0" applyAlignment="1" applyFont="1">
      <alignment vertical="bottom"/>
    </xf>
    <xf borderId="2" fillId="0" fontId="1" numFmtId="0" xfId="0" applyBorder="1" applyFont="1"/>
    <xf borderId="2" fillId="2" fontId="1" numFmtId="0" xfId="0" applyBorder="1" applyFont="1"/>
    <xf borderId="2" fillId="0" fontId="8" numFmtId="167" xfId="0" applyAlignment="1" applyBorder="1" applyFont="1" applyNumberFormat="1">
      <alignment horizontal="left" vertical="bottom"/>
    </xf>
    <xf borderId="2" fillId="0" fontId="8" numFmtId="167" xfId="0" applyAlignment="1" applyBorder="1" applyFont="1" applyNumberFormat="1">
      <alignment horizontal="center" vertical="bottom"/>
    </xf>
    <xf borderId="2" fillId="0" fontId="9" numFmtId="167" xfId="0" applyAlignment="1" applyBorder="1" applyFont="1" applyNumberFormat="1">
      <alignment horizontal="center" vertical="bottom"/>
    </xf>
    <xf borderId="0" fillId="0" fontId="7" numFmtId="0" xfId="0" applyAlignment="1" applyFont="1">
      <alignment horizontal="left"/>
    </xf>
    <xf borderId="2" fillId="0" fontId="7" numFmtId="167" xfId="0" applyAlignment="1" applyBorder="1" applyFont="1" applyNumberFormat="1">
      <alignment vertical="bottom"/>
    </xf>
    <xf borderId="2" fillId="0" fontId="7" numFmtId="167" xfId="0" applyAlignment="1" applyBorder="1" applyFont="1" applyNumberFormat="1">
      <alignment horizontal="right" vertical="bottom"/>
    </xf>
    <xf borderId="0" fillId="0" fontId="7" numFmtId="167" xfId="0" applyAlignment="1" applyFont="1" applyNumberFormat="1">
      <alignment vertical="bottom"/>
    </xf>
    <xf borderId="2" fillId="2" fontId="8" numFmtId="167" xfId="0" applyAlignment="1" applyBorder="1" applyFont="1" applyNumberFormat="1">
      <alignment vertical="bottom"/>
    </xf>
    <xf borderId="1" fillId="0" fontId="7" numFmtId="0" xfId="0" applyBorder="1" applyFont="1"/>
    <xf borderId="0" fillId="0" fontId="10" numFmtId="0" xfId="0" applyAlignment="1" applyFont="1">
      <alignment horizontal="center"/>
    </xf>
    <xf borderId="0" fillId="0" fontId="11" numFmtId="0" xfId="0" applyAlignment="1" applyFont="1">
      <alignment vertical="center"/>
    </xf>
    <xf borderId="1" fillId="0" fontId="12" numFmtId="0" xfId="0" applyAlignment="1" applyBorder="1" applyFont="1">
      <alignment horizontal="center" vertical="center"/>
    </xf>
    <xf borderId="0" fillId="6" fontId="12" numFmtId="0" xfId="0" applyAlignment="1" applyFill="1" applyFont="1">
      <alignment horizontal="center" vertical="center"/>
    </xf>
    <xf borderId="0" fillId="4" fontId="12" numFmtId="0" xfId="0" applyAlignment="1" applyFont="1">
      <alignment horizontal="center" vertical="center"/>
    </xf>
    <xf borderId="0" fillId="0" fontId="12" numFmtId="0" xfId="0" applyAlignment="1" applyFont="1">
      <alignment horizontal="center" vertical="center"/>
    </xf>
    <xf borderId="2" fillId="0" fontId="13" numFmtId="0" xfId="0" applyAlignment="1" applyBorder="1" applyFont="1">
      <alignment horizontal="left" vertical="center"/>
    </xf>
    <xf borderId="2" fillId="2" fontId="13" numFmtId="0" xfId="0" applyAlignment="1" applyBorder="1" applyFont="1">
      <alignment horizontal="left" vertical="center"/>
    </xf>
    <xf borderId="2" fillId="0" fontId="13" numFmtId="0" xfId="0" applyAlignment="1" applyBorder="1" applyFont="1">
      <alignment horizontal="right" vertical="center"/>
    </xf>
    <xf borderId="0" fillId="0" fontId="13" numFmtId="0" xfId="0" applyAlignment="1" applyFont="1">
      <alignment horizontal="left" vertical="center"/>
    </xf>
    <xf borderId="1" fillId="0" fontId="10" numFmtId="0" xfId="0" applyAlignment="1" applyBorder="1" applyFont="1">
      <alignment horizontal="center"/>
    </xf>
    <xf borderId="0" fillId="7" fontId="10" numFmtId="0" xfId="0" applyAlignment="1" applyFill="1" applyFont="1">
      <alignment horizontal="center"/>
    </xf>
    <xf borderId="0" fillId="4" fontId="10" numFmtId="0" xfId="0" applyAlignment="1" applyFont="1">
      <alignment horizontal="center"/>
    </xf>
    <xf borderId="2" fillId="0" fontId="8" numFmtId="0" xfId="0" applyAlignment="1" applyBorder="1" applyFont="1">
      <alignment horizontal="center"/>
    </xf>
    <xf borderId="0" fillId="0" fontId="8" numFmtId="0" xfId="0" applyAlignment="1" applyFont="1">
      <alignment horizontal="center"/>
    </xf>
    <xf borderId="2" fillId="2" fontId="7" numFmtId="0" xfId="0" applyAlignment="1" applyBorder="1" applyFont="1">
      <alignment horizontal="center"/>
    </xf>
    <xf borderId="2" fillId="0" fontId="7" numFmtId="0" xfId="0" applyAlignment="1" applyBorder="1" applyFont="1">
      <alignment horizontal="center"/>
    </xf>
    <xf borderId="0" fillId="0" fontId="10" numFmtId="0" xfId="0" applyAlignment="1" applyFont="1">
      <alignment vertical="center"/>
    </xf>
    <xf borderId="0" fillId="0" fontId="10" numFmtId="0" xfId="0" applyAlignment="1" applyFont="1">
      <alignment horizontal="right" vertical="center"/>
    </xf>
    <xf borderId="2" fillId="0" fontId="10" numFmtId="14" xfId="0" applyAlignment="1" applyBorder="1" applyFont="1" applyNumberFormat="1">
      <alignment vertical="center"/>
    </xf>
    <xf borderId="2" fillId="2" fontId="10" numFmtId="0" xfId="0" applyAlignment="1" applyBorder="1" applyFont="1">
      <alignment horizontal="right" vertical="center"/>
    </xf>
    <xf borderId="0" fillId="0" fontId="10" numFmtId="166" xfId="0" applyAlignment="1" applyFont="1" applyNumberFormat="1">
      <alignment vertical="center"/>
    </xf>
    <xf borderId="2" fillId="0" fontId="10" numFmtId="166" xfId="0" applyAlignment="1" applyBorder="1" applyFont="1" applyNumberFormat="1">
      <alignment vertical="center"/>
    </xf>
    <xf borderId="0" fillId="0" fontId="10" numFmtId="14" xfId="0" applyAlignment="1" applyFont="1" applyNumberFormat="1">
      <alignment vertical="center"/>
    </xf>
    <xf borderId="2" fillId="4" fontId="10" numFmtId="0" xfId="0" applyAlignment="1" applyBorder="1" applyFont="1">
      <alignment vertical="center"/>
    </xf>
    <xf borderId="2" fillId="4" fontId="10" numFmtId="0" xfId="0" applyAlignment="1" applyBorder="1" applyFont="1">
      <alignment horizontal="left" vertical="center"/>
    </xf>
    <xf borderId="2" fillId="0" fontId="10" numFmtId="0" xfId="0" applyAlignment="1" applyBorder="1" applyFont="1">
      <alignment horizontal="left" vertical="center"/>
    </xf>
    <xf borderId="2" fillId="0" fontId="10" numFmtId="168" xfId="0" applyAlignment="1" applyBorder="1" applyFont="1" applyNumberFormat="1">
      <alignment horizontal="left" vertical="center"/>
    </xf>
    <xf borderId="0" fillId="0" fontId="10" numFmtId="0" xfId="0" applyAlignment="1" applyFont="1">
      <alignment horizontal="left" vertical="center"/>
    </xf>
    <xf borderId="2" fillId="0" fontId="10" numFmtId="168" xfId="0" applyAlignment="1" applyBorder="1" applyFont="1" applyNumberFormat="1">
      <alignment horizontal="left" readingOrder="0" vertical="center"/>
    </xf>
    <xf borderId="0" fillId="4" fontId="10" numFmtId="0" xfId="0" applyAlignment="1" applyFont="1">
      <alignment horizontal="center" vertical="center"/>
    </xf>
    <xf borderId="1" fillId="0" fontId="1" numFmtId="0" xfId="0" applyAlignment="1" applyBorder="1" applyFont="1">
      <alignment vertical="center"/>
    </xf>
    <xf borderId="0" fillId="0" fontId="14" numFmtId="0" xfId="0" applyFont="1"/>
    <xf borderId="1" fillId="0" fontId="14" numFmtId="0" xfId="0" applyBorder="1" applyFont="1"/>
    <xf borderId="1" fillId="0" fontId="14" numFmtId="169" xfId="0" applyBorder="1" applyFont="1" applyNumberFormat="1"/>
    <xf borderId="0" fillId="2" fontId="15" numFmtId="0" xfId="0" applyAlignment="1" applyFont="1">
      <alignment vertical="center"/>
    </xf>
    <xf borderId="1" fillId="0" fontId="7" numFmtId="0" xfId="0" applyAlignment="1" applyBorder="1" applyFont="1">
      <alignment horizontal="left"/>
    </xf>
    <xf borderId="1" fillId="8" fontId="1" numFmtId="0" xfId="0" applyBorder="1" applyFill="1" applyFont="1"/>
    <xf borderId="3" fillId="6" fontId="16" numFmtId="0" xfId="0" applyAlignment="1" applyBorder="1" applyFont="1">
      <alignment horizontal="center" vertical="bottom"/>
    </xf>
    <xf borderId="3" fillId="6" fontId="1" numFmtId="0" xfId="0" applyAlignment="1" applyBorder="1" applyFont="1">
      <alignment horizontal="center"/>
    </xf>
    <xf borderId="3" fillId="2" fontId="16" numFmtId="0" xfId="0" applyAlignment="1" applyBorder="1" applyFont="1">
      <alignment horizontal="left"/>
    </xf>
    <xf borderId="3" fillId="2" fontId="1" numFmtId="0" xfId="0" applyBorder="1" applyFont="1"/>
    <xf borderId="0" fillId="2" fontId="7" numFmtId="0" xfId="0" applyFont="1"/>
    <xf borderId="3" fillId="9" fontId="16" numFmtId="0" xfId="0" applyAlignment="1" applyBorder="1" applyFill="1" applyFont="1">
      <alignment horizontal="left"/>
    </xf>
    <xf borderId="3" fillId="0" fontId="1" numFmtId="0" xfId="0" applyBorder="1" applyFont="1"/>
    <xf borderId="0" fillId="0" fontId="17" numFmtId="0" xfId="0" applyFont="1"/>
    <xf borderId="0" fillId="3" fontId="18" numFmtId="0" xfId="0" applyFont="1"/>
    <xf borderId="0" fillId="0" fontId="19" numFmtId="0" xfId="0" applyFont="1"/>
    <xf borderId="0" fillId="0" fontId="7" numFmtId="0" xfId="0" applyFont="1"/>
    <xf borderId="0" fillId="0" fontId="7" numFmtId="0" xfId="0" applyAlignment="1" applyFont="1">
      <alignment horizontal="left"/>
    </xf>
    <xf borderId="0" fillId="2" fontId="15" numFmtId="0" xfId="0" applyAlignment="1" applyFont="1">
      <alignment vertical="center"/>
    </xf>
    <xf borderId="1" fillId="0" fontId="7" numFmtId="0" xfId="0" applyAlignment="1" applyBorder="1" applyFont="1">
      <alignment horizontal="left"/>
    </xf>
    <xf borderId="1" fillId="0" fontId="7" numFmtId="170" xfId="0" applyAlignment="1" applyBorder="1" applyFont="1" applyNumberFormat="1">
      <alignment horizontal="left"/>
    </xf>
    <xf borderId="1" fillId="0" fontId="7" numFmtId="170" xfId="0" applyAlignment="1" applyBorder="1" applyFont="1" applyNumberFormat="1">
      <alignment horizontal="left"/>
    </xf>
    <xf borderId="0" fillId="3" fontId="20" numFmtId="0" xfId="0" applyFont="1"/>
    <xf borderId="1" fillId="10" fontId="9" numFmtId="0" xfId="0" applyAlignment="1" applyBorder="1" applyFill="1" applyFont="1">
      <alignment shrinkToFit="0" vertical="center" wrapText="1"/>
    </xf>
    <xf borderId="4" fillId="10" fontId="9" numFmtId="0" xfId="0" applyAlignment="1" applyBorder="1" applyFont="1">
      <alignment shrinkToFit="0" vertical="center" wrapText="1"/>
    </xf>
    <xf borderId="4" fillId="10" fontId="9" numFmtId="0" xfId="0" applyAlignment="1" applyBorder="1" applyFont="1">
      <alignment horizontal="center" shrinkToFit="0" vertical="center" wrapText="1"/>
    </xf>
    <xf borderId="4" fillId="10" fontId="9" numFmtId="0" xfId="0" applyAlignment="1" applyBorder="1" applyFont="1">
      <alignment shrinkToFit="0" vertical="center" wrapText="1"/>
    </xf>
    <xf borderId="5" fillId="3" fontId="21" numFmtId="0" xfId="0" applyBorder="1" applyFont="1"/>
    <xf borderId="6" fillId="3" fontId="21" numFmtId="0" xfId="0" applyBorder="1" applyFont="1"/>
    <xf borderId="6" fillId="3" fontId="21" numFmtId="0" xfId="0" applyAlignment="1" applyBorder="1" applyFont="1">
      <alignment horizontal="right"/>
    </xf>
    <xf borderId="6" fillId="3" fontId="21" numFmtId="0" xfId="0" applyAlignment="1" applyBorder="1" applyFont="1">
      <alignment horizontal="center"/>
    </xf>
    <xf borderId="6" fillId="3" fontId="22" numFmtId="0" xfId="0" applyBorder="1" applyFont="1"/>
    <xf borderId="0" fillId="0" fontId="1" numFmtId="0" xfId="0" applyAlignment="1" applyFont="1">
      <alignment vertical="bottom"/>
    </xf>
    <xf borderId="3" fillId="2" fontId="23" numFmtId="0" xfId="0" applyAlignment="1" applyBorder="1" applyFont="1">
      <alignment horizontal="left" shrinkToFit="0" vertical="center" wrapText="0"/>
    </xf>
    <xf borderId="7" fillId="2" fontId="23" numFmtId="0" xfId="0" applyAlignment="1" applyBorder="1" applyFont="1">
      <alignment horizontal="left" shrinkToFit="0" vertical="center" wrapText="0"/>
    </xf>
    <xf borderId="3" fillId="2" fontId="24" numFmtId="0" xfId="0" applyAlignment="1" applyBorder="1" applyFont="1">
      <alignment horizontal="left" vertical="center"/>
    </xf>
    <xf borderId="0" fillId="0" fontId="1" numFmtId="0" xfId="0" applyAlignment="1" applyFont="1">
      <alignment horizontal="left" vertical="center"/>
    </xf>
    <xf borderId="3" fillId="3" fontId="25" numFmtId="0" xfId="0" applyAlignment="1" applyBorder="1" applyFont="1">
      <alignment horizontal="left" vertical="center"/>
    </xf>
    <xf borderId="7" fillId="3" fontId="26" numFmtId="0" xfId="0" applyAlignment="1" applyBorder="1" applyFont="1">
      <alignment horizontal="left" vertical="center"/>
    </xf>
    <xf borderId="7" fillId="0" fontId="17" numFmtId="0" xfId="0" applyAlignment="1" applyBorder="1" applyFont="1">
      <alignment horizontal="left" vertical="center"/>
    </xf>
    <xf borderId="8" fillId="3" fontId="25" numFmtId="0" xfId="0" applyAlignment="1" applyBorder="1" applyFont="1">
      <alignment horizontal="left" vertical="center"/>
    </xf>
    <xf borderId="9" fillId="3" fontId="26" numFmtId="0" xfId="0" applyAlignment="1" applyBorder="1" applyFont="1">
      <alignment horizontal="left" vertical="center"/>
    </xf>
    <xf borderId="9" fillId="0" fontId="17" numFmtId="0" xfId="0" applyAlignment="1" applyBorder="1" applyFont="1">
      <alignment horizontal="left" vertical="center"/>
    </xf>
    <xf borderId="0" fillId="0" fontId="27" numFmtId="0" xfId="0" applyAlignment="1" applyFont="1">
      <alignment horizontal="left" shrinkToFit="0" vertical="center" wrapText="0"/>
    </xf>
    <xf borderId="3" fillId="2" fontId="12" numFmtId="0" xfId="0" applyAlignment="1" applyBorder="1" applyFont="1">
      <alignment horizontal="left" shrinkToFit="0" vertical="center" wrapText="1"/>
    </xf>
    <xf borderId="7" fillId="2" fontId="12" numFmtId="0" xfId="0" applyAlignment="1" applyBorder="1" applyFont="1">
      <alignment horizontal="left" shrinkToFit="0" vertical="center" wrapText="1"/>
    </xf>
    <xf borderId="7" fillId="2" fontId="12" numFmtId="170" xfId="0" applyAlignment="1" applyBorder="1" applyFont="1" applyNumberFormat="1">
      <alignment horizontal="left" shrinkToFit="0" vertical="center" wrapText="1"/>
    </xf>
    <xf borderId="8" fillId="3" fontId="25" numFmtId="0" xfId="0" applyAlignment="1" applyBorder="1" applyFont="1">
      <alignment horizontal="left" shrinkToFit="0" vertical="center" wrapText="1"/>
    </xf>
    <xf borderId="9" fillId="3" fontId="25" numFmtId="0" xfId="0" applyAlignment="1" applyBorder="1" applyFont="1">
      <alignment horizontal="left" shrinkToFit="0" vertical="center" wrapText="1"/>
    </xf>
    <xf borderId="9" fillId="0" fontId="11" numFmtId="0" xfId="0" applyAlignment="1" applyBorder="1" applyFont="1">
      <alignment horizontal="left" shrinkToFit="0" vertical="center" wrapText="1"/>
    </xf>
    <xf borderId="9" fillId="4" fontId="14" numFmtId="0" xfId="0" applyAlignment="1" applyBorder="1" applyFont="1">
      <alignment horizontal="left" shrinkToFit="0" vertical="center" wrapText="1"/>
    </xf>
    <xf borderId="9" fillId="0" fontId="11" numFmtId="170" xfId="0" applyAlignment="1" applyBorder="1" applyFont="1" applyNumberFormat="1">
      <alignment horizontal="left" shrinkToFit="0" vertical="center" wrapText="1"/>
    </xf>
    <xf borderId="9" fillId="4" fontId="11" numFmtId="0" xfId="0" applyAlignment="1" applyBorder="1" applyFont="1">
      <alignment horizontal="left" shrinkToFit="0" vertical="center" wrapText="1"/>
    </xf>
    <xf borderId="9" fillId="4" fontId="11" numFmtId="170" xfId="0" applyAlignment="1" applyBorder="1" applyFont="1" applyNumberFormat="1">
      <alignment horizontal="left" shrinkToFit="0" vertical="center" wrapText="1"/>
    </xf>
    <xf borderId="9" fillId="7" fontId="11" numFmtId="0" xfId="0" applyAlignment="1" applyBorder="1" applyFont="1">
      <alignment horizontal="left" shrinkToFit="0" vertical="center" wrapText="1"/>
    </xf>
    <xf borderId="9" fillId="4" fontId="11" numFmtId="0" xfId="0" applyAlignment="1" applyBorder="1" applyFont="1">
      <alignment horizontal="left" vertical="center"/>
    </xf>
    <xf borderId="9" fillId="2" fontId="11" numFmtId="170" xfId="0" applyAlignment="1" applyBorder="1" applyFont="1" applyNumberFormat="1">
      <alignment horizontal="left" shrinkToFit="0" vertical="center" wrapText="1"/>
    </xf>
    <xf borderId="9" fillId="7" fontId="11" numFmtId="170" xfId="0" applyAlignment="1" applyBorder="1" applyFont="1" applyNumberFormat="1">
      <alignment horizontal="left" shrinkToFit="0" vertical="center" wrapText="1"/>
    </xf>
    <xf borderId="9" fillId="3" fontId="11" numFmtId="0" xfId="0" applyAlignment="1" applyBorder="1" applyFont="1">
      <alignment horizontal="left" shrinkToFit="0" vertical="center" wrapText="1"/>
    </xf>
    <xf borderId="9" fillId="6" fontId="11" numFmtId="170" xfId="0" applyAlignment="1" applyBorder="1" applyFont="1" applyNumberFormat="1">
      <alignment horizontal="left" shrinkToFit="0" vertical="center" wrapText="1"/>
    </xf>
    <xf borderId="9" fillId="2" fontId="11" numFmtId="0" xfId="0" applyAlignment="1" applyBorder="1" applyFont="1">
      <alignment horizontal="left" shrinkToFit="0" vertical="center" wrapText="1"/>
    </xf>
    <xf borderId="0" fillId="4" fontId="11" numFmtId="170" xfId="0" applyAlignment="1" applyFont="1" applyNumberFormat="1">
      <alignment horizontal="left" shrinkToFit="0" vertical="center" wrapText="1"/>
    </xf>
    <xf borderId="0" fillId="4" fontId="28" numFmtId="170" xfId="0" applyAlignment="1" applyFont="1" applyNumberFormat="1">
      <alignment horizontal="left" shrinkToFit="0" vertical="center" wrapText="1"/>
    </xf>
    <xf borderId="0" fillId="0" fontId="1" numFmtId="170" xfId="0" applyAlignment="1" applyFont="1" applyNumberFormat="1">
      <alignment horizontal="left" vertical="center"/>
    </xf>
    <xf borderId="0" fillId="3" fontId="1" numFmtId="0" xfId="0" applyAlignment="1" applyFont="1">
      <alignment horizontal="left" vertical="center"/>
    </xf>
    <xf borderId="0" fillId="0" fontId="29" numFmtId="0" xfId="0" applyFont="1"/>
    <xf borderId="0" fillId="0" fontId="29" numFmtId="0" xfId="0" applyAlignment="1" applyFont="1">
      <alignment horizontal="center"/>
    </xf>
    <xf borderId="0" fillId="2" fontId="29" numFmtId="0" xfId="0" applyFont="1"/>
    <xf borderId="0" fillId="4" fontId="29" numFmtId="0" xfId="0" applyAlignment="1" applyFont="1">
      <alignment horizontal="center"/>
    </xf>
    <xf borderId="3" fillId="0" fontId="29" numFmtId="0" xfId="0" applyAlignment="1" applyBorder="1" applyFont="1">
      <alignment horizontal="center"/>
    </xf>
    <xf borderId="3" fillId="0" fontId="29" numFmtId="0" xfId="0" applyBorder="1" applyFont="1"/>
    <xf borderId="3" fillId="0" fontId="29" numFmtId="1" xfId="0" applyBorder="1" applyFont="1" applyNumberFormat="1"/>
    <xf borderId="3" fillId="6" fontId="29" numFmtId="0" xfId="0" applyAlignment="1" applyBorder="1" applyFont="1">
      <alignment horizontal="center"/>
    </xf>
    <xf borderId="0" fillId="7" fontId="29" numFmtId="0" xfId="0" applyFont="1"/>
    <xf borderId="0" fillId="7" fontId="1" numFmtId="0" xfId="0" applyFont="1"/>
    <xf borderId="3" fillId="0" fontId="30" numFmtId="0" xfId="0" applyBorder="1" applyFont="1"/>
    <xf borderId="1" fillId="4" fontId="31" numFmtId="0" xfId="0" applyAlignment="1" applyBorder="1" applyFont="1">
      <alignment shrinkToFit="0" vertical="center" wrapText="0"/>
    </xf>
    <xf borderId="1" fillId="0" fontId="32" numFmtId="0" xfId="0" applyAlignment="1" applyBorder="1" applyFont="1">
      <alignment shrinkToFit="0" vertical="center" wrapText="0"/>
    </xf>
    <xf borderId="1" fillId="0" fontId="32" numFmtId="0" xfId="0" applyAlignment="1" applyBorder="1" applyFont="1">
      <alignment horizontal="right" shrinkToFit="0" vertical="center" wrapText="0"/>
    </xf>
    <xf borderId="1" fillId="4" fontId="31" numFmtId="0" xfId="0" applyAlignment="1" applyBorder="1" applyFont="1">
      <alignment horizontal="center" shrinkToFit="0" vertical="center" wrapText="0"/>
    </xf>
    <xf borderId="1" fillId="0" fontId="32" numFmtId="0" xfId="0" applyAlignment="1" applyBorder="1" applyFont="1">
      <alignment horizontal="center" shrinkToFit="0" vertical="center" wrapText="0"/>
    </xf>
    <xf borderId="10" fillId="0" fontId="1" numFmtId="0" xfId="0" applyAlignment="1" applyBorder="1" applyFont="1">
      <alignment vertical="bottom"/>
    </xf>
    <xf borderId="11" fillId="0" fontId="1" numFmtId="0" xfId="0" applyAlignment="1" applyBorder="1" applyFont="1">
      <alignment vertical="bottom"/>
    </xf>
    <xf borderId="9" fillId="4" fontId="1" numFmtId="0" xfId="0" applyAlignment="1" applyBorder="1" applyFont="1">
      <alignment horizontal="center" vertical="bottom"/>
    </xf>
    <xf borderId="9" fillId="0" fontId="1" numFmtId="0" xfId="0" applyAlignment="1" applyBorder="1" applyFont="1">
      <alignment horizontal="center" vertical="bottom"/>
    </xf>
    <xf borderId="2" fillId="0" fontId="1" numFmtId="0" xfId="0" applyAlignment="1" applyBorder="1" applyFont="1">
      <alignment horizontal="center" vertical="bottom"/>
    </xf>
  </cellXfs>
  <cellStyles count="1">
    <cellStyle xfId="0" name="Normal" builtinId="0"/>
  </cellStyles>
  <dxfs count="20">
    <dxf>
      <font/>
      <fill>
        <patternFill patternType="solid">
          <fgColor rgb="FFB7E1CD"/>
          <bgColor rgb="FFB7E1CD"/>
        </patternFill>
      </fill>
      <border/>
    </dxf>
    <dxf>
      <font>
        <b/>
        <i/>
      </font>
      <fill>
        <patternFill patternType="solid">
          <fgColor rgb="FF00FFFF"/>
          <bgColor rgb="FF00FFFF"/>
        </patternFill>
      </fill>
      <border/>
    </dxf>
    <dxf>
      <font>
        <b/>
        <i/>
        <u/>
      </font>
      <fill>
        <patternFill patternType="solid">
          <fgColor rgb="FFFF00FF"/>
          <bgColor rgb="FFFF00FF"/>
        </patternFill>
      </fill>
      <border/>
    </dxf>
    <dxf>
      <font/>
      <fill>
        <patternFill patternType="solid">
          <fgColor rgb="FF00FF00"/>
          <bgColor rgb="FF00FF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FE6DD"/>
          <bgColor rgb="FFFFE6DD"/>
        </patternFill>
      </fill>
      <border/>
    </dxf>
    <dxf>
      <font/>
      <fill>
        <patternFill patternType="solid">
          <fgColor rgb="FF4DD0E1"/>
          <bgColor rgb="FF4DD0E1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DBDBD"/>
          <bgColor rgb="FFBDBDBD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>
        <b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>
        <b/>
      </font>
      <fill>
        <patternFill patternType="solid">
          <fgColor rgb="FFFF9900"/>
          <bgColor rgb="FFFF9900"/>
        </patternFill>
      </fill>
      <border/>
    </dxf>
    <dxf>
      <font>
        <b/>
        <i/>
        <color rgb="FFA4C2F4"/>
      </font>
      <fill>
        <patternFill patternType="solid">
          <fgColor rgb="FF0B5394"/>
          <bgColor rgb="FF0B5394"/>
        </patternFill>
      </fill>
      <border/>
    </dxf>
    <dxf>
      <font/>
      <fill>
        <patternFill patternType="solid">
          <fgColor rgb="FF3C78D8"/>
          <bgColor rgb="FF3C78D8"/>
        </patternFill>
      </fill>
      <border/>
    </dxf>
    <dxf>
      <font/>
      <fill>
        <patternFill patternType="solid">
          <fgColor rgb="FF00FFFF"/>
          <bgColor rgb="FF00FFFF"/>
        </patternFill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</dxfs>
  <tableStyles count="6">
    <tableStyle count="3" pivot="0" name="alternative colors-style">
      <tableStyleElement dxfId="5" type="headerRow"/>
      <tableStyleElement dxfId="6" type="firstRowStripe"/>
      <tableStyleElement dxfId="7" type="secondRowStripe"/>
    </tableStyle>
    <tableStyle count="3" pivot="0" name="alternative colors-style 2">
      <tableStyleElement dxfId="8" type="headerRow"/>
      <tableStyleElement dxfId="9" type="firstRowStripe"/>
      <tableStyleElement dxfId="5" type="secondRowStripe"/>
    </tableStyle>
    <tableStyle count="3" pivot="0" name="checkbox-style">
      <tableStyleElement dxfId="10" type="headerRow"/>
      <tableStyleElement dxfId="6" type="firstRowStripe"/>
      <tableStyleElement dxfId="11" type="secondRowStripe"/>
    </tableStyle>
    <tableStyle count="2" pivot="0" name="sumif-style">
      <tableStyleElement dxfId="6" type="firstRowStripe"/>
      <tableStyleElement dxfId="11" type="secondRowStripe"/>
    </tableStyle>
    <tableStyle count="3" pivot="0" name="sort filter-style">
      <tableStyleElement dxfId="10" type="headerRow"/>
      <tableStyleElement dxfId="6" type="firstRowStripe"/>
      <tableStyleElement dxfId="11" type="secondRowStripe"/>
    </tableStyle>
    <tableStyle count="3" pivot="0" name="transposed-style">
      <tableStyleElement dxfId="18" type="headerRow"/>
      <tableStyleElement dxfId="6" type="firstRowStripe"/>
      <tableStyleElement dxfId="19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5" Type="http://schemas.openxmlformats.org/officeDocument/2006/relationships/worksheet" Target="worksheets/sheet22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Relationship Id="rId2" Type="http://schemas.openxmlformats.org/officeDocument/2006/relationships/image" Target="../media/image4.jpg"/><Relationship Id="rId3" Type="http://schemas.openxmlformats.org/officeDocument/2006/relationships/image" Target="../media/image2.jpg"/><Relationship Id="rId4" Type="http://schemas.openxmlformats.org/officeDocument/2006/relationships/image" Target="../media/image6.gif"/><Relationship Id="rId5" Type="http://schemas.openxmlformats.org/officeDocument/2006/relationships/image" Target="../media/image5.jpg"/><Relationship Id="rId6" Type="http://schemas.openxmlformats.org/officeDocument/2006/relationships/image" Target="../media/image3.gif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657225</xdr:colOff>
      <xdr:row>0</xdr:row>
      <xdr:rowOff>0</xdr:rowOff>
    </xdr:from>
    <xdr:ext cx="5981700" cy="676275"/>
    <xdr:sp>
      <xdr:nvSpPr>
        <xdr:cNvPr id="3" name="Shape 3"/>
        <xdr:cNvSpPr txBox="1"/>
      </xdr:nvSpPr>
      <xdr:spPr>
        <a:xfrm>
          <a:off x="2359913" y="3446625"/>
          <a:ext cx="5972175" cy="66675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900"/>
            <a:buFont typeface="Roboto"/>
            <a:buNone/>
          </a:pP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=IF(AND(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A2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&gt;</a:t>
          </a:r>
          <a:r>
            <a:rPr lang="en-US" sz="900">
              <a:solidFill>
                <a:srgbClr val="1155CC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10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, </a:t>
          </a:r>
          <a:r>
            <a:rPr lang="en-US" sz="900">
              <a:solidFill>
                <a:srgbClr val="7E3794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D2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"ADIDAS"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),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"BÜYÜK"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"KÜÇÜK"</a:t>
          </a:r>
          <a:r>
            <a:rPr lang="en-US" sz="900">
              <a:highlight>
                <a:srgbClr val="FFFFFF"/>
              </a:highlight>
              <a:latin typeface="Roboto"/>
              <a:ea typeface="Roboto"/>
              <a:cs typeface="Roboto"/>
              <a:sym typeface="Roboto"/>
            </a:rPr>
            <a:t>)</a:t>
          </a:r>
          <a:endParaRPr sz="1400"/>
        </a:p>
      </xdr:txBody>
    </xdr:sp>
    <xdr:clientData fLocksWithSheet="0"/>
  </xdr:oneCellAnchor>
  <xdr:oneCellAnchor>
    <xdr:from>
      <xdr:col>6</xdr:col>
      <xdr:colOff>142875</xdr:colOff>
      <xdr:row>3</xdr:row>
      <xdr:rowOff>133350</xdr:rowOff>
    </xdr:from>
    <xdr:ext cx="6334125" cy="676275"/>
    <xdr:sp>
      <xdr:nvSpPr>
        <xdr:cNvPr id="4" name="Shape 4"/>
        <xdr:cNvSpPr txBox="1"/>
      </xdr:nvSpPr>
      <xdr:spPr>
        <a:xfrm>
          <a:off x="2183700" y="3446625"/>
          <a:ext cx="6324600" cy="666750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900"/>
            <a:buFont typeface="Arial"/>
            <a:buNone/>
          </a:pPr>
          <a:r>
            <a:rPr lang="en-US" sz="900">
              <a:highlight>
                <a:srgbClr val="FFFFFF"/>
              </a:highlight>
            </a:rPr>
            <a:t>=IF(AND(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A7</a:t>
          </a:r>
          <a:r>
            <a:rPr lang="en-US" sz="900">
              <a:highlight>
                <a:srgbClr val="FFFFFF"/>
              </a:highlight>
            </a:rPr>
            <a:t>&gt;</a:t>
          </a:r>
          <a:r>
            <a:rPr lang="en-US" sz="900">
              <a:solidFill>
                <a:srgbClr val="1155CC"/>
              </a:solidFill>
              <a:highlight>
                <a:srgbClr val="FFFFFF"/>
              </a:highlight>
            </a:rPr>
            <a:t>10</a:t>
          </a:r>
          <a:r>
            <a:rPr lang="en-US" sz="900">
              <a:highlight>
                <a:srgbClr val="FFFFFF"/>
              </a:highlight>
            </a:rPr>
            <a:t>, </a:t>
          </a:r>
          <a:r>
            <a:rPr lang="en-US" sz="900">
              <a:solidFill>
                <a:srgbClr val="7E3794"/>
              </a:solidFill>
              <a:highlight>
                <a:srgbClr val="FFFFFF"/>
              </a:highlight>
            </a:rPr>
            <a:t>D7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"ADIDAS"</a:t>
          </a:r>
          <a:r>
            <a:rPr lang="en-US" sz="900">
              <a:highlight>
                <a:srgbClr val="FFFFFF"/>
              </a:highlight>
            </a:rPr>
            <a:t>),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"BÜYÜK"</a:t>
          </a:r>
          <a:r>
            <a:rPr lang="en-US" sz="900">
              <a:highlight>
                <a:srgbClr val="FFFFFF"/>
              </a:highlight>
            </a:rPr>
            <a:t>, 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"KÜÇÜK"</a:t>
          </a:r>
          <a:r>
            <a:rPr lang="en-US" sz="900">
              <a:highlight>
                <a:srgbClr val="FFFFFF"/>
              </a:highlight>
            </a:rPr>
            <a:t>)</a:t>
          </a:r>
          <a:endParaRPr sz="1400"/>
        </a:p>
      </xdr:txBody>
    </xdr:sp>
    <xdr:clientData fLocksWithSheet="0"/>
  </xdr:oneCellAnchor>
  <xdr:oneCellAnchor>
    <xdr:from>
      <xdr:col>2</xdr:col>
      <xdr:colOff>742950</xdr:colOff>
      <xdr:row>14</xdr:row>
      <xdr:rowOff>38100</xdr:rowOff>
    </xdr:from>
    <xdr:ext cx="7972425" cy="800100"/>
    <xdr:sp>
      <xdr:nvSpPr>
        <xdr:cNvPr id="5" name="Shape 5"/>
        <xdr:cNvSpPr txBox="1"/>
      </xdr:nvSpPr>
      <xdr:spPr>
        <a:xfrm>
          <a:off x="1364550" y="3384713"/>
          <a:ext cx="7962900" cy="790575"/>
        </a:xfrm>
        <a:prstGeom prst="rect">
          <a:avLst/>
        </a:prstGeom>
        <a:noFill/>
        <a:ln>
          <a:noFill/>
        </a:ln>
      </xdr:spPr>
      <xdr:txBody>
        <a:bodyPr anchorCtr="0" anchor="t" bIns="91425" lIns="91425" spcFirstLastPara="1" rIns="91425" wrap="square" tIns="91425">
          <a:sp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SzPts val="900"/>
            <a:buFont typeface="Arial"/>
            <a:buNone/>
          </a:pPr>
          <a:r>
            <a:rPr lang="en-US" sz="900">
              <a:highlight>
                <a:srgbClr val="FFFFFF"/>
              </a:highlight>
            </a:rPr>
            <a:t>=IF(OR(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D2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"ADIDAS"</a:t>
          </a:r>
          <a:r>
            <a:rPr lang="en-US" sz="900">
              <a:highlight>
                <a:srgbClr val="FFFFFF"/>
              </a:highlight>
            </a:rPr>
            <a:t>,</a:t>
          </a:r>
          <a:r>
            <a:rPr lang="en-US" sz="900">
              <a:solidFill>
                <a:srgbClr val="F7981D"/>
              </a:solidFill>
              <a:highlight>
                <a:srgbClr val="FFFFFF"/>
              </a:highlight>
            </a:rPr>
            <a:t>D2</a:t>
          </a:r>
          <a:r>
            <a:rPr lang="en-US" sz="900">
              <a:highlight>
                <a:srgbClr val="FFFFFF"/>
              </a:highlight>
            </a:rPr>
            <a:t>=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"NIKE"</a:t>
          </a:r>
          <a:r>
            <a:rPr lang="en-US" sz="900">
              <a:highlight>
                <a:srgbClr val="FFFFFF"/>
              </a:highlight>
            </a:rPr>
            <a:t>),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"Seçildi"</a:t>
          </a:r>
          <a:r>
            <a:rPr lang="en-US" sz="900">
              <a:highlight>
                <a:srgbClr val="FFFFFF"/>
              </a:highlight>
            </a:rPr>
            <a:t>,</a:t>
          </a:r>
          <a:r>
            <a:rPr lang="en-US" sz="900">
              <a:solidFill>
                <a:srgbClr val="008000"/>
              </a:solidFill>
              <a:highlight>
                <a:srgbClr val="FFFFFF"/>
              </a:highlight>
            </a:rPr>
            <a:t>"Seçilmedi"</a:t>
          </a:r>
          <a:r>
            <a:rPr lang="en-US" sz="900">
              <a:highlight>
                <a:srgbClr val="FFFFFF"/>
              </a:highlight>
            </a:rPr>
            <a:t>)</a:t>
          </a:r>
          <a:endParaRPr sz="1400"/>
        </a:p>
      </xdr:txBody>
    </xdr:sp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152400</xdr:colOff>
      <xdr:row>1</xdr:row>
      <xdr:rowOff>152400</xdr:rowOff>
    </xdr:from>
    <xdr:ext cx="6334125" cy="4467225"/>
    <xdr:pic>
      <xdr:nvPicPr>
        <xdr:cNvPr id="0" name="image1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152400</xdr:colOff>
      <xdr:row>9</xdr:row>
      <xdr:rowOff>152400</xdr:rowOff>
    </xdr:from>
    <xdr:ext cx="6391275" cy="4257675"/>
    <xdr:pic>
      <xdr:nvPicPr>
        <xdr:cNvPr id="0" name="image4.jp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819150</xdr:colOff>
      <xdr:row>32</xdr:row>
      <xdr:rowOff>104775</xdr:rowOff>
    </xdr:from>
    <xdr:ext cx="5057775" cy="4257675"/>
    <xdr:pic>
      <xdr:nvPicPr>
        <xdr:cNvPr id="0" name="image2.jp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152400</xdr:colOff>
      <xdr:row>36</xdr:row>
      <xdr:rowOff>152400</xdr:rowOff>
    </xdr:from>
    <xdr:ext cx="4257675" cy="4257675"/>
    <xdr:pic>
      <xdr:nvPicPr>
        <xdr:cNvPr id="0" name="image6.gif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0</xdr:colOff>
      <xdr:row>6</xdr:row>
      <xdr:rowOff>0</xdr:rowOff>
    </xdr:from>
    <xdr:ext cx="285750" cy="190500"/>
    <xdr:pic>
      <xdr:nvPicPr>
        <xdr:cNvPr id="0" name="image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30</xdr:row>
      <xdr:rowOff>0</xdr:rowOff>
    </xdr:from>
    <xdr:ext cx="952500" cy="638175"/>
    <xdr:pic>
      <xdr:nvPicPr>
        <xdr:cNvPr id="0" name="image5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33</xdr:row>
      <xdr:rowOff>0</xdr:rowOff>
    </xdr:from>
    <xdr:ext cx="1133475" cy="876300"/>
    <xdr:pic>
      <xdr:nvPicPr>
        <xdr:cNvPr id="0" name="image3.gif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L25" displayName="Table_1" id="1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alternative colors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2.xml><?xml version="1.0" encoding="utf-8"?>
<table xmlns="http://schemas.openxmlformats.org/spreadsheetml/2006/main" headerRowCount="0" ref="N2:W24" displayName="Table_2" id="2">
  <tableColumns count="10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</tableColumns>
  <tableStyleInfo name="alternative colors-style 2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3.xml><?xml version="1.0" encoding="utf-8"?>
<table xmlns="http://schemas.openxmlformats.org/spreadsheetml/2006/main" headerRowCount="0" ref="E7:E21" displayName="Table_3" id="3">
  <tableColumns count="1">
    <tableColumn name="Column1" id="1"/>
  </tableColumns>
  <tableStyleInfo name="checkbox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ables/table4.xml><?xml version="1.0" encoding="utf-8"?>
<table xmlns="http://schemas.openxmlformats.org/spreadsheetml/2006/main" headerRowCount="0" ref="A1:D20" displayName="Table_4" id="4">
  <tableColumns count="4">
    <tableColumn name="Column1" id="1"/>
    <tableColumn name="Column2" id="2"/>
    <tableColumn name="Column3" id="3"/>
    <tableColumn name="Column4" id="4"/>
  </tableColumns>
  <tableStyleInfo name="sumif-style" showColumnStripes="0" showFirstColumn="1" showLastColumn="1" showRowStripes="1"/>
</table>
</file>

<file path=xl/tables/table5.xml><?xml version="1.0" encoding="utf-8"?>
<table xmlns="http://schemas.openxmlformats.org/spreadsheetml/2006/main" ref="A1:J259" displayName="Table_5" id="5">
  <tableColumns count="10">
    <tableColumn name="FirstName" id="1"/>
    <tableColumn name="LastName" id="2"/>
    <tableColumn name="Street" id="3"/>
    <tableColumn name="City" id="4"/>
    <tableColumn name="State" id="5"/>
    <tableColumn name="Zip" id="6"/>
    <tableColumn name="Sales" id="7"/>
    <tableColumn name="Gender" id="8"/>
    <tableColumn name="Marital Status" id="9"/>
    <tableColumn name="Age" id="10"/>
  </tableColumns>
  <tableStyleInfo name="sort filter-style" showColumnStripes="0" showFirstColumn="1" showLastColumn="1" showRowStripes="1"/>
</table>
</file>

<file path=xl/tables/table6.xml><?xml version="1.0" encoding="utf-8"?>
<table xmlns="http://schemas.openxmlformats.org/spreadsheetml/2006/main" ref="P40:X44" displayName="Table_6" id="6">
  <tableColumns count="9">
    <tableColumn name="FirstName" id="1"/>
    <tableColumn name="LastName" id="2"/>
    <tableColumn name="Street" id="3"/>
    <tableColumn name="City" id="4"/>
    <tableColumn name="State" id="5"/>
    <tableColumn name="Zip" id="6"/>
    <tableColumn name="Sales" id="7"/>
    <tableColumn name="Gender" id="8"/>
    <tableColumn name="Age" id="9"/>
  </tableColumns>
  <tableStyleInfo name="transposed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4" Type="http://schemas.openxmlformats.org/officeDocument/2006/relationships/table" Target="../tables/table1.xml"/><Relationship Id="rId5" Type="http://schemas.openxmlformats.org/officeDocument/2006/relationships/table" Target="../tables/table2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3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Relationship Id="rId3" Type="http://schemas.openxmlformats.org/officeDocument/2006/relationships/table" Target="../tables/table4.xml"/></Relationships>
</file>

<file path=xl/worksheets/_rels/sheet17.xml.rels><?xml version="1.0" encoding="UTF-8" standalone="yes"?><Relationships xmlns="http://schemas.openxmlformats.org/package/2006/relationships"><Relationship Id="rId40" Type="http://schemas.openxmlformats.org/officeDocument/2006/relationships/hyperlink" Target="mailto:asergi@gmail.com" TargetMode="External"/><Relationship Id="rId42" Type="http://schemas.openxmlformats.org/officeDocument/2006/relationships/hyperlink" Target="mailto:aoldroyd@gfail.com" TargetMode="External"/><Relationship Id="rId41" Type="http://schemas.openxmlformats.org/officeDocument/2006/relationships/hyperlink" Target="mailto:astockham@gmail.com" TargetMode="External"/><Relationship Id="rId44" Type="http://schemas.openxmlformats.org/officeDocument/2006/relationships/hyperlink" Target="mailto:aoldroyd@gfail.com" TargetMode="External"/><Relationship Id="rId43" Type="http://schemas.openxmlformats.org/officeDocument/2006/relationships/hyperlink" Target="mailto:aoldroyd@gfail.com" TargetMode="External"/><Relationship Id="rId46" Type="http://schemas.openxmlformats.org/officeDocument/2006/relationships/hyperlink" Target="mailto:youlanda@schemmer.com" TargetMode="External"/><Relationship Id="rId45" Type="http://schemas.openxmlformats.org/officeDocument/2006/relationships/hyperlink" Target="mailto:aoldroyd@gfail.com" TargetMode="External"/><Relationship Id="rId1" Type="http://schemas.openxmlformats.org/officeDocument/2006/relationships/hyperlink" Target="mailto:kati@rulapaugh.com" TargetMode="External"/><Relationship Id="rId2" Type="http://schemas.openxmlformats.org/officeDocument/2006/relationships/hyperlink" Target="mailto:kati@rulapaugh.com" TargetMode="External"/><Relationship Id="rId3" Type="http://schemas.openxmlformats.org/officeDocument/2006/relationships/hyperlink" Target="mailto:kati@rulapaugh.com" TargetMode="External"/><Relationship Id="rId4" Type="http://schemas.openxmlformats.org/officeDocument/2006/relationships/hyperlink" Target="mailto:kati@rulapaugh.com" TargetMode="External"/><Relationship Id="rId9" Type="http://schemas.openxmlformats.org/officeDocument/2006/relationships/hyperlink" Target="mailto:jina@briddick.com" TargetMode="External"/><Relationship Id="rId48" Type="http://schemas.openxmlformats.org/officeDocument/2006/relationships/hyperlink" Target="mailto:youlanda@schemmer.com" TargetMode="External"/><Relationship Id="rId47" Type="http://schemas.openxmlformats.org/officeDocument/2006/relationships/hyperlink" Target="mailto:youlanda@schemmer.com" TargetMode="External"/><Relationship Id="rId49" Type="http://schemas.openxmlformats.org/officeDocument/2006/relationships/hyperlink" Target="mailto:youlanda@schemmer.com" TargetMode="External"/><Relationship Id="rId5" Type="http://schemas.openxmlformats.org/officeDocument/2006/relationships/hyperlink" Target="mailto:kati@rulapaugh.com" TargetMode="External"/><Relationship Id="rId6" Type="http://schemas.openxmlformats.org/officeDocument/2006/relationships/hyperlink" Target="mailto:kati@rulapaugh.com" TargetMode="External"/><Relationship Id="rId7" Type="http://schemas.openxmlformats.org/officeDocument/2006/relationships/hyperlink" Target="mailto:kati@rulapaugh.com" TargetMode="External"/><Relationship Id="rId8" Type="http://schemas.openxmlformats.org/officeDocument/2006/relationships/hyperlink" Target="mailto:kati@rulapaugh.com" TargetMode="External"/><Relationship Id="rId31" Type="http://schemas.openxmlformats.org/officeDocument/2006/relationships/hyperlink" Target="mailto:lavera@perin.com" TargetMode="External"/><Relationship Id="rId30" Type="http://schemas.openxmlformats.org/officeDocument/2006/relationships/hyperlink" Target="mailto:solange@shinko.com" TargetMode="External"/><Relationship Id="rId33" Type="http://schemas.openxmlformats.org/officeDocument/2006/relationships/hyperlink" Target="mailto:lavera@perin.com" TargetMode="External"/><Relationship Id="rId32" Type="http://schemas.openxmlformats.org/officeDocument/2006/relationships/hyperlink" Target="mailto:lavera@perin.com" TargetMode="External"/><Relationship Id="rId35" Type="http://schemas.openxmlformats.org/officeDocument/2006/relationships/hyperlink" Target="mailto:astockham@gmail.com" TargetMode="External"/><Relationship Id="rId34" Type="http://schemas.openxmlformats.org/officeDocument/2006/relationships/hyperlink" Target="mailto:astockham@gmail.com" TargetMode="External"/><Relationship Id="rId37" Type="http://schemas.openxmlformats.org/officeDocument/2006/relationships/hyperlink" Target="mailto:asergi@gmail.com" TargetMode="External"/><Relationship Id="rId36" Type="http://schemas.openxmlformats.org/officeDocument/2006/relationships/hyperlink" Target="mailto:astockham@gmail.com" TargetMode="External"/><Relationship Id="rId39" Type="http://schemas.openxmlformats.org/officeDocument/2006/relationships/hyperlink" Target="mailto:asergi@gmail.com" TargetMode="External"/><Relationship Id="rId38" Type="http://schemas.openxmlformats.org/officeDocument/2006/relationships/hyperlink" Target="mailto:asergi@gmail.com" TargetMode="External"/><Relationship Id="rId20" Type="http://schemas.openxmlformats.org/officeDocument/2006/relationships/hyperlink" Target="mailto:roxane@campain.com" TargetMode="External"/><Relationship Id="rId22" Type="http://schemas.openxmlformats.org/officeDocument/2006/relationships/hyperlink" Target="mailto:fatima@saylors.com" TargetMode="External"/><Relationship Id="rId21" Type="http://schemas.openxmlformats.org/officeDocument/2006/relationships/hyperlink" Target="mailto:erick@ferencz.com" TargetMode="External"/><Relationship Id="rId24" Type="http://schemas.openxmlformats.org/officeDocument/2006/relationships/hyperlink" Target="mailto:fatima@saylors.com" TargetMode="External"/><Relationship Id="rId23" Type="http://schemas.openxmlformats.org/officeDocument/2006/relationships/hyperlink" Target="mailto:fatima@saylors.com" TargetMode="External"/><Relationship Id="rId60" Type="http://schemas.openxmlformats.org/officeDocument/2006/relationships/table" Target="../tables/table5.xml"/><Relationship Id="rId26" Type="http://schemas.openxmlformats.org/officeDocument/2006/relationships/hyperlink" Target="mailto:awaycott@gfail.com" TargetMode="External"/><Relationship Id="rId25" Type="http://schemas.openxmlformats.org/officeDocument/2006/relationships/hyperlink" Target="mailto:fatima@saylors.com" TargetMode="External"/><Relationship Id="rId28" Type="http://schemas.openxmlformats.org/officeDocument/2006/relationships/hyperlink" Target="mailto:solange@shinko.com" TargetMode="External"/><Relationship Id="rId27" Type="http://schemas.openxmlformats.org/officeDocument/2006/relationships/hyperlink" Target="mailto:solange@shinko.com" TargetMode="External"/><Relationship Id="rId29" Type="http://schemas.openxmlformats.org/officeDocument/2006/relationships/hyperlink" Target="mailto:solange@shinko.com" TargetMode="External"/><Relationship Id="rId51" Type="http://schemas.openxmlformats.org/officeDocument/2006/relationships/hyperlink" Target="mailto:agillian@gmail.com" TargetMode="External"/><Relationship Id="rId50" Type="http://schemas.openxmlformats.org/officeDocument/2006/relationships/hyperlink" Target="mailto:youlanda@schemmer.com" TargetMode="External"/><Relationship Id="rId53" Type="http://schemas.openxmlformats.org/officeDocument/2006/relationships/hyperlink" Target="mailto:agillian@gmail.com" TargetMode="External"/><Relationship Id="rId52" Type="http://schemas.openxmlformats.org/officeDocument/2006/relationships/hyperlink" Target="mailto:agillian@gmail.com" TargetMode="External"/><Relationship Id="rId11" Type="http://schemas.openxmlformats.org/officeDocument/2006/relationships/hyperlink" Target="mailto:jina@briddick.com" TargetMode="External"/><Relationship Id="rId55" Type="http://schemas.openxmlformats.org/officeDocument/2006/relationships/hyperlink" Target="mailto:agillian@gmail.com" TargetMode="External"/><Relationship Id="rId10" Type="http://schemas.openxmlformats.org/officeDocument/2006/relationships/hyperlink" Target="mailto:jina@briddick.com" TargetMode="External"/><Relationship Id="rId54" Type="http://schemas.openxmlformats.org/officeDocument/2006/relationships/hyperlink" Target="mailto:agillian@gmail.com" TargetMode="External"/><Relationship Id="rId13" Type="http://schemas.openxmlformats.org/officeDocument/2006/relationships/hyperlink" Target="mailto:rozella@ostrosky.com" TargetMode="External"/><Relationship Id="rId57" Type="http://schemas.openxmlformats.org/officeDocument/2006/relationships/hyperlink" Target="mailto:agillian@gmail.com" TargetMode="External"/><Relationship Id="rId12" Type="http://schemas.openxmlformats.org/officeDocument/2006/relationships/hyperlink" Target="mailto:jina@briddick.com" TargetMode="External"/><Relationship Id="rId56" Type="http://schemas.openxmlformats.org/officeDocument/2006/relationships/hyperlink" Target="mailto:agillian@gmail.com" TargetMode="External"/><Relationship Id="rId15" Type="http://schemas.openxmlformats.org/officeDocument/2006/relationships/hyperlink" Target="mailto:albina@glick.com" TargetMode="External"/><Relationship Id="rId14" Type="http://schemas.openxmlformats.org/officeDocument/2006/relationships/hyperlink" Target="mailto:rozella@ostrosky.com" TargetMode="External"/><Relationship Id="rId58" Type="http://schemas.openxmlformats.org/officeDocument/2006/relationships/drawing" Target="../drawings/drawing17.xml"/><Relationship Id="rId17" Type="http://schemas.openxmlformats.org/officeDocument/2006/relationships/hyperlink" Target="mailto:albina@glick.com" TargetMode="External"/><Relationship Id="rId16" Type="http://schemas.openxmlformats.org/officeDocument/2006/relationships/hyperlink" Target="mailto:albina@glick.com" TargetMode="External"/><Relationship Id="rId19" Type="http://schemas.openxmlformats.org/officeDocument/2006/relationships/hyperlink" Target="mailto:albina@glick.com" TargetMode="External"/><Relationship Id="rId18" Type="http://schemas.openxmlformats.org/officeDocument/2006/relationships/hyperlink" Target="mailto:albina@glick.com" TargetMode="Externa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Relationship Id="rId3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N2" s="1"/>
      <c r="O2" s="1"/>
      <c r="P2" s="1"/>
      <c r="Q2" s="1"/>
      <c r="R2" s="1"/>
      <c r="S2" s="1"/>
      <c r="T2" s="1"/>
      <c r="U2" s="1"/>
      <c r="V2" s="1"/>
      <c r="W2" s="2"/>
    </row>
    <row r="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N3" s="1"/>
      <c r="O3" s="1"/>
      <c r="P3" s="1"/>
      <c r="Q3" s="1"/>
      <c r="R3" s="1"/>
      <c r="S3" s="1"/>
      <c r="T3" s="1"/>
      <c r="U3" s="1"/>
      <c r="V3" s="1"/>
      <c r="W3" s="2"/>
    </row>
    <row r="4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N4" s="1"/>
      <c r="O4" s="1"/>
      <c r="P4" s="1"/>
      <c r="Q4" s="1"/>
      <c r="R4" s="1"/>
      <c r="S4" s="1"/>
      <c r="T4" s="1"/>
      <c r="U4" s="1"/>
      <c r="V4" s="1"/>
      <c r="W4" s="2"/>
    </row>
    <row r="5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N5" s="1"/>
      <c r="O5" s="1"/>
      <c r="P5" s="1"/>
      <c r="Q5" s="1"/>
      <c r="R5" s="1"/>
      <c r="S5" s="1"/>
      <c r="T5" s="1"/>
      <c r="U5" s="1"/>
      <c r="V5" s="1"/>
      <c r="W5" s="2"/>
    </row>
    <row r="6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N6" s="1"/>
      <c r="O6" s="1"/>
      <c r="P6" s="1"/>
      <c r="Q6" s="1"/>
      <c r="R6" s="1"/>
      <c r="S6" s="1"/>
      <c r="T6" s="1"/>
      <c r="U6" s="1"/>
      <c r="V6" s="1"/>
      <c r="W6" s="2"/>
    </row>
    <row r="7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N7" s="1"/>
      <c r="O7" s="1"/>
      <c r="P7" s="1"/>
      <c r="Q7" s="1"/>
      <c r="R7" s="1"/>
      <c r="S7" s="1"/>
      <c r="T7" s="1"/>
      <c r="U7" s="1"/>
      <c r="V7" s="1"/>
      <c r="W7" s="2"/>
    </row>
    <row r="8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N8" s="1"/>
      <c r="O8" s="1"/>
      <c r="P8" s="1"/>
      <c r="Q8" s="1"/>
      <c r="R8" s="1"/>
      <c r="S8" s="1"/>
      <c r="T8" s="1"/>
      <c r="U8" s="1"/>
      <c r="V8" s="1"/>
      <c r="W8" s="2"/>
    </row>
    <row r="9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N9" s="1"/>
      <c r="O9" s="1"/>
      <c r="P9" s="1"/>
      <c r="Q9" s="1"/>
      <c r="R9" s="1"/>
      <c r="S9" s="1"/>
      <c r="T9" s="1"/>
      <c r="U9" s="1"/>
      <c r="V9" s="1"/>
      <c r="W9" s="2"/>
    </row>
    <row r="10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N10" s="1"/>
      <c r="O10" s="1"/>
      <c r="P10" s="1"/>
      <c r="Q10" s="1"/>
      <c r="R10" s="1"/>
      <c r="S10" s="1"/>
      <c r="T10" s="1"/>
      <c r="U10" s="1"/>
      <c r="V10" s="1"/>
      <c r="W10" s="2"/>
    </row>
    <row r="1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N11" s="1"/>
      <c r="O11" s="1"/>
      <c r="P11" s="1"/>
      <c r="Q11" s="1"/>
      <c r="R11" s="1"/>
      <c r="S11" s="1"/>
      <c r="T11" s="1"/>
      <c r="U11" s="1"/>
      <c r="V11" s="1"/>
      <c r="W11" s="1"/>
    </row>
    <row r="1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N12" s="1"/>
      <c r="O12" s="1"/>
      <c r="P12" s="1"/>
      <c r="Q12" s="1"/>
      <c r="R12" s="1"/>
      <c r="S12" s="1"/>
      <c r="T12" s="1"/>
      <c r="U12" s="1"/>
      <c r="V12" s="1"/>
      <c r="W12" s="1"/>
    </row>
    <row r="1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N13" s="1"/>
      <c r="O13" s="1"/>
      <c r="P13" s="1"/>
      <c r="Q13" s="1"/>
      <c r="R13" s="1"/>
      <c r="S13" s="1"/>
      <c r="T13" s="1"/>
      <c r="U13" s="1"/>
      <c r="V13" s="1"/>
      <c r="W13" s="1"/>
    </row>
    <row r="14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N14" s="1"/>
      <c r="O14" s="1"/>
      <c r="P14" s="1"/>
      <c r="Q14" s="1"/>
      <c r="R14" s="1"/>
      <c r="S14" s="1"/>
      <c r="T14" s="1"/>
      <c r="U14" s="1"/>
      <c r="V14" s="1"/>
      <c r="W14" s="1"/>
    </row>
    <row r="1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N15" s="1"/>
      <c r="O15" s="1"/>
      <c r="P15" s="1"/>
      <c r="Q15" s="1"/>
      <c r="R15" s="1"/>
      <c r="S15" s="1"/>
      <c r="T15" s="1"/>
      <c r="U15" s="1"/>
      <c r="V15" s="1"/>
      <c r="W15" s="1"/>
    </row>
    <row r="16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N16" s="1"/>
      <c r="O16" s="1"/>
      <c r="P16" s="1"/>
      <c r="Q16" s="1"/>
      <c r="R16" s="1"/>
      <c r="S16" s="1"/>
      <c r="T16" s="1"/>
      <c r="U16" s="1"/>
      <c r="V16" s="1"/>
      <c r="W16" s="1"/>
    </row>
    <row r="17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N17" s="1"/>
      <c r="O17" s="1"/>
      <c r="P17" s="1"/>
      <c r="Q17" s="1"/>
      <c r="R17" s="1"/>
      <c r="S17" s="1"/>
      <c r="T17" s="1"/>
      <c r="U17" s="1"/>
      <c r="V17" s="1"/>
      <c r="W17" s="1"/>
    </row>
    <row r="18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N18" s="1"/>
      <c r="O18" s="1"/>
      <c r="P18" s="1"/>
      <c r="Q18" s="1"/>
      <c r="R18" s="1"/>
      <c r="S18" s="1"/>
      <c r="T18" s="1"/>
      <c r="U18" s="1"/>
      <c r="V18" s="1"/>
      <c r="W18" s="1"/>
    </row>
    <row r="19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N19" s="1"/>
      <c r="O19" s="1"/>
      <c r="P19" s="1"/>
      <c r="Q19" s="1"/>
      <c r="R19" s="1"/>
      <c r="S19" s="1"/>
      <c r="T19" s="1"/>
      <c r="U19" s="1"/>
      <c r="V19" s="1"/>
      <c r="W19" s="2"/>
    </row>
    <row r="20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N20" s="1"/>
      <c r="O20" s="1"/>
      <c r="P20" s="1"/>
      <c r="Q20" s="1"/>
      <c r="R20" s="1"/>
      <c r="S20" s="1"/>
      <c r="T20" s="1"/>
      <c r="U20" s="1"/>
      <c r="V20" s="1"/>
      <c r="W20" s="2"/>
    </row>
    <row r="21" ht="15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N21" s="1"/>
      <c r="O21" s="1"/>
      <c r="P21" s="1"/>
      <c r="Q21" s="1"/>
      <c r="R21" s="1"/>
      <c r="S21" s="1"/>
      <c r="T21" s="1"/>
      <c r="U21" s="1"/>
      <c r="V21" s="1"/>
      <c r="W21" s="2"/>
    </row>
    <row r="22" ht="15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N22" s="1"/>
      <c r="O22" s="1"/>
      <c r="P22" s="1"/>
      <c r="Q22" s="1"/>
      <c r="R22" s="1"/>
      <c r="S22" s="1"/>
      <c r="T22" s="1"/>
      <c r="U22" s="1"/>
      <c r="V22" s="1"/>
      <c r="W22" s="2"/>
    </row>
    <row r="23" ht="15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N23" s="1"/>
      <c r="O23" s="1"/>
      <c r="P23" s="1"/>
      <c r="Q23" s="1"/>
      <c r="R23" s="1"/>
      <c r="S23" s="1"/>
      <c r="T23" s="1"/>
      <c r="U23" s="1"/>
      <c r="V23" s="1"/>
      <c r="W23" s="2"/>
    </row>
    <row r="24" ht="15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N24" s="1"/>
      <c r="O24" s="1"/>
      <c r="P24" s="1"/>
      <c r="Q24" s="1"/>
      <c r="R24" s="1"/>
      <c r="S24" s="1"/>
      <c r="T24" s="1"/>
      <c r="U24" s="1"/>
      <c r="V24" s="1"/>
      <c r="W24" s="2"/>
    </row>
    <row r="25" ht="15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1:L25">
    <cfRule type="notContainsBlanks" dxfId="0" priority="1">
      <formula>LEN(TRIM(A1))&gt;0</formula>
    </cfRule>
  </conditionalFormatting>
  <conditionalFormatting sqref="P1:P1000">
    <cfRule type="containsText" dxfId="1" priority="2" operator="containsText" text="muz">
      <formula>NOT(ISERROR(SEARCH(("muz"),(P1))))</formula>
    </cfRule>
  </conditionalFormatting>
  <conditionalFormatting sqref="P1:P1000">
    <cfRule type="containsText" dxfId="2" priority="3" operator="containsText" text="kayısı">
      <formula>NOT(ISERROR(SEARCH(("kayısı"),(P1))))</formula>
    </cfRule>
  </conditionalFormatting>
  <conditionalFormatting sqref="Q3:R14">
    <cfRule type="cellIs" dxfId="1" priority="4" operator="greaterThan">
      <formula>50</formula>
    </cfRule>
  </conditionalFormatting>
  <conditionalFormatting sqref="P1:P1000">
    <cfRule type="cellIs" dxfId="3" priority="5" operator="equal">
      <formula>"Kayısı"</formula>
    </cfRule>
  </conditionalFormatting>
  <drawing r:id="rId1"/>
  <tableParts count="2">
    <tablePart r:id="rId4"/>
    <tablePart r:id="rId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6.38"/>
    <col customWidth="1" min="2" max="2" width="25.0"/>
    <col customWidth="1" min="3" max="3" width="18.0"/>
    <col customWidth="1" min="4" max="4" width="17.75"/>
    <col customWidth="1" min="5" max="6" width="12.63"/>
    <col customWidth="1" min="7" max="8" width="18.5"/>
  </cols>
  <sheetData>
    <row r="1">
      <c r="A1" s="3" t="s">
        <v>0</v>
      </c>
      <c r="B1" s="4" t="s">
        <v>1</v>
      </c>
      <c r="C1" s="5" t="s">
        <v>2</v>
      </c>
      <c r="D1" s="4"/>
      <c r="E1" s="4" t="s">
        <v>3</v>
      </c>
      <c r="F1" s="4" t="s">
        <v>4</v>
      </c>
      <c r="G1" s="4" t="s">
        <v>5</v>
      </c>
      <c r="H1" s="4" t="s">
        <v>5</v>
      </c>
    </row>
    <row r="2">
      <c r="A2" s="6">
        <v>1.0</v>
      </c>
      <c r="B2" s="7" t="s">
        <v>6</v>
      </c>
      <c r="C2" s="8">
        <v>1.4562134E8</v>
      </c>
      <c r="D2" s="9">
        <v>1.4562134E8</v>
      </c>
      <c r="E2" s="10">
        <v>10.0</v>
      </c>
      <c r="F2" s="11" t="b">
        <v>0</v>
      </c>
      <c r="G2" s="11" t="s">
        <v>7</v>
      </c>
      <c r="H2" s="11"/>
    </row>
    <row r="3">
      <c r="A3" s="6">
        <v>2.0</v>
      </c>
      <c r="B3" s="7" t="s">
        <v>8</v>
      </c>
      <c r="C3" s="8">
        <v>3.45621469E8</v>
      </c>
      <c r="D3" s="9">
        <v>3.45621469E8</v>
      </c>
      <c r="E3" s="10">
        <v>20.0</v>
      </c>
      <c r="F3" s="11" t="b">
        <v>0</v>
      </c>
      <c r="G3" s="11" t="s">
        <v>9</v>
      </c>
      <c r="H3" s="11"/>
    </row>
    <row r="4">
      <c r="A4" s="6">
        <v>3.0</v>
      </c>
      <c r="B4" s="7" t="s">
        <v>10</v>
      </c>
      <c r="C4" s="8">
        <v>9.4562111E8</v>
      </c>
      <c r="D4" s="9">
        <v>9.4562111E8</v>
      </c>
      <c r="E4" s="10">
        <v>10.0</v>
      </c>
      <c r="F4" s="11" t="b">
        <v>0</v>
      </c>
      <c r="G4" s="11" t="s">
        <v>11</v>
      </c>
      <c r="H4" s="11"/>
    </row>
    <row r="5">
      <c r="A5" s="6">
        <v>4.0</v>
      </c>
      <c r="B5" s="7" t="s">
        <v>12</v>
      </c>
      <c r="C5" s="8">
        <v>7.4564134E8</v>
      </c>
      <c r="D5" s="9">
        <v>7.4564134E8</v>
      </c>
      <c r="E5" s="10">
        <v>30.0</v>
      </c>
      <c r="F5" s="11" t="b">
        <v>0</v>
      </c>
      <c r="G5" s="11"/>
      <c r="H5" s="11"/>
    </row>
    <row r="6">
      <c r="A6" s="6">
        <v>5.0</v>
      </c>
      <c r="B6" s="7" t="s">
        <v>13</v>
      </c>
      <c r="C6" s="8">
        <v>2.4562134E8</v>
      </c>
      <c r="D6" s="9">
        <v>2.4562134E8</v>
      </c>
      <c r="E6" s="10">
        <v>10.0</v>
      </c>
      <c r="F6" s="11" t="b">
        <v>0</v>
      </c>
      <c r="G6" s="11"/>
      <c r="H6" s="11"/>
    </row>
    <row r="7">
      <c r="A7" s="6">
        <v>6.0</v>
      </c>
      <c r="B7" s="7" t="s">
        <v>14</v>
      </c>
      <c r="C7" s="8">
        <v>3.4562134E8</v>
      </c>
      <c r="D7" s="9">
        <v>3.4562134E8</v>
      </c>
      <c r="E7" s="12">
        <v>20.0</v>
      </c>
      <c r="F7" s="11" t="b">
        <v>0</v>
      </c>
      <c r="G7" s="11"/>
      <c r="H7" s="11"/>
    </row>
    <row r="8">
      <c r="A8" s="6">
        <v>7.0</v>
      </c>
      <c r="B8" s="7" t="s">
        <v>15</v>
      </c>
      <c r="C8" s="8">
        <v>1.4562134E8</v>
      </c>
      <c r="D8" s="9">
        <v>1.4562134E8</v>
      </c>
      <c r="E8" s="12">
        <v>10.0</v>
      </c>
      <c r="F8" s="11" t="b">
        <v>0</v>
      </c>
      <c r="G8" s="11"/>
      <c r="H8" s="11"/>
    </row>
    <row r="9">
      <c r="A9" s="6">
        <v>8.0</v>
      </c>
      <c r="B9" s="7" t="s">
        <v>16</v>
      </c>
      <c r="C9" s="8">
        <v>3.45621469E8</v>
      </c>
      <c r="D9" s="9">
        <v>3.45621469E8</v>
      </c>
      <c r="E9" s="12">
        <v>30.0</v>
      </c>
      <c r="F9" s="11" t="b">
        <v>0</v>
      </c>
      <c r="G9" s="11"/>
      <c r="H9" s="11"/>
    </row>
    <row r="10">
      <c r="A10" s="6">
        <v>9.0</v>
      </c>
      <c r="B10" s="7" t="s">
        <v>17</v>
      </c>
      <c r="C10" s="8">
        <v>9.4562111E8</v>
      </c>
      <c r="D10" s="9">
        <v>9.4562111E8</v>
      </c>
      <c r="E10" s="12">
        <v>10.0</v>
      </c>
      <c r="F10" s="11" t="b">
        <v>0</v>
      </c>
      <c r="G10" s="11"/>
      <c r="H10" s="11"/>
    </row>
    <row r="11">
      <c r="A11" s="6">
        <v>10.0</v>
      </c>
      <c r="B11" s="7" t="s">
        <v>18</v>
      </c>
      <c r="C11" s="8">
        <v>7.4564134E8</v>
      </c>
      <c r="D11" s="9">
        <v>7.4564134E8</v>
      </c>
      <c r="E11" s="12">
        <v>20.0</v>
      </c>
      <c r="F11" s="11" t="b">
        <v>0</v>
      </c>
      <c r="G11" s="11"/>
      <c r="H11" s="11"/>
    </row>
    <row r="12">
      <c r="A12" s="6">
        <v>11.0</v>
      </c>
      <c r="B12" s="7" t="s">
        <v>19</v>
      </c>
      <c r="C12" s="8">
        <v>2.4562134E8</v>
      </c>
      <c r="D12" s="9">
        <v>2.4562134E8</v>
      </c>
      <c r="E12" s="12">
        <v>10.0</v>
      </c>
      <c r="F12" s="11" t="b">
        <v>0</v>
      </c>
      <c r="G12" s="11"/>
      <c r="H12" s="11"/>
    </row>
    <row r="13">
      <c r="A13" s="6">
        <v>12.0</v>
      </c>
      <c r="B13" s="7" t="s">
        <v>20</v>
      </c>
      <c r="C13" s="8">
        <v>3.4562134E8</v>
      </c>
      <c r="D13" s="9">
        <v>3.4562134E8</v>
      </c>
      <c r="E13" s="12">
        <v>30.0</v>
      </c>
      <c r="F13" s="11" t="b">
        <v>0</v>
      </c>
      <c r="G13" s="11"/>
      <c r="H13" s="11"/>
    </row>
    <row r="14">
      <c r="A14" s="6">
        <v>13.0</v>
      </c>
      <c r="B14" s="7" t="s">
        <v>21</v>
      </c>
      <c r="C14" s="8">
        <v>1.4562134E8</v>
      </c>
      <c r="D14" s="9">
        <v>1.4562134E8</v>
      </c>
      <c r="E14" s="12">
        <v>10.0</v>
      </c>
      <c r="F14" s="11" t="b">
        <v>0</v>
      </c>
      <c r="G14" s="11"/>
      <c r="H14" s="11"/>
    </row>
    <row r="15">
      <c r="A15" s="6">
        <v>14.0</v>
      </c>
      <c r="B15" s="7" t="s">
        <v>22</v>
      </c>
      <c r="C15" s="8">
        <v>3.45621469E8</v>
      </c>
      <c r="D15" s="9">
        <v>3.45621469E8</v>
      </c>
      <c r="E15" s="12">
        <v>20.0</v>
      </c>
      <c r="F15" s="11" t="b">
        <v>0</v>
      </c>
      <c r="G15" s="11"/>
      <c r="H15" s="11"/>
    </row>
    <row r="16">
      <c r="A16" s="6">
        <v>15.0</v>
      </c>
      <c r="B16" s="7" t="s">
        <v>23</v>
      </c>
      <c r="C16" s="8">
        <v>9.4562111E8</v>
      </c>
      <c r="D16" s="9">
        <v>9.4562111E8</v>
      </c>
      <c r="E16" s="12">
        <v>10.0</v>
      </c>
      <c r="F16" s="11" t="b">
        <v>0</v>
      </c>
      <c r="G16" s="11"/>
      <c r="H16" s="11"/>
    </row>
    <row r="17">
      <c r="A17" s="6">
        <v>16.0</v>
      </c>
      <c r="B17" s="7" t="s">
        <v>24</v>
      </c>
      <c r="C17" s="8">
        <v>7.4564134E8</v>
      </c>
      <c r="D17" s="9">
        <v>7.4564134E8</v>
      </c>
      <c r="E17" s="12">
        <v>30.0</v>
      </c>
      <c r="F17" s="11" t="b">
        <v>0</v>
      </c>
      <c r="G17" s="11"/>
      <c r="H17" s="11"/>
    </row>
    <row r="18">
      <c r="A18" s="6">
        <v>17.0</v>
      </c>
      <c r="B18" s="7" t="s">
        <v>25</v>
      </c>
      <c r="C18" s="8">
        <v>2.4562134E8</v>
      </c>
      <c r="D18" s="9">
        <v>2.4562134E8</v>
      </c>
      <c r="E18" s="12">
        <v>10.0</v>
      </c>
      <c r="F18" s="11" t="b">
        <v>0</v>
      </c>
      <c r="G18" s="11"/>
      <c r="H18" s="11"/>
    </row>
    <row r="19">
      <c r="A19" s="6">
        <v>18.0</v>
      </c>
      <c r="B19" s="7" t="s">
        <v>26</v>
      </c>
      <c r="C19" s="8">
        <v>3.4562134E8</v>
      </c>
      <c r="D19" s="9">
        <v>3.4562134E8</v>
      </c>
      <c r="E19" s="12">
        <v>20.0</v>
      </c>
      <c r="F19" s="11" t="b">
        <v>0</v>
      </c>
      <c r="G19" s="11"/>
      <c r="H19" s="11"/>
    </row>
    <row r="20">
      <c r="A20" s="6">
        <v>19.0</v>
      </c>
      <c r="B20" s="7" t="s">
        <v>27</v>
      </c>
      <c r="C20" s="8">
        <v>1.4562134E8</v>
      </c>
      <c r="D20" s="9">
        <v>1.4562134E8</v>
      </c>
      <c r="E20" s="12">
        <v>10.0</v>
      </c>
      <c r="F20" s="11" t="b">
        <v>0</v>
      </c>
      <c r="G20" s="11"/>
      <c r="H20" s="11"/>
    </row>
    <row r="21" ht="15.75" customHeight="1">
      <c r="A21" s="6">
        <v>20.0</v>
      </c>
      <c r="B21" s="7" t="s">
        <v>28</v>
      </c>
      <c r="C21" s="8">
        <v>3.45621469E8</v>
      </c>
      <c r="D21" s="9">
        <v>3.45621469E8</v>
      </c>
      <c r="E21" s="12">
        <v>30.0</v>
      </c>
      <c r="F21" s="11" t="b">
        <v>0</v>
      </c>
      <c r="G21" s="11"/>
      <c r="H21" s="11"/>
    </row>
    <row r="22" ht="15.75" customHeight="1">
      <c r="A22" s="13"/>
      <c r="C22" s="14"/>
    </row>
    <row r="23" ht="15.75" customHeight="1">
      <c r="A23" s="13"/>
      <c r="C23" s="14"/>
    </row>
    <row r="24" ht="15.75" customHeight="1">
      <c r="A24" s="13"/>
      <c r="C24" s="14"/>
    </row>
    <row r="25" ht="15.75" customHeight="1">
      <c r="A25" s="13"/>
      <c r="B25" s="15" t="s">
        <v>29</v>
      </c>
      <c r="C25" s="14"/>
    </row>
    <row r="26" ht="15.75" customHeight="1">
      <c r="A26" s="13"/>
      <c r="B26" s="16" t="s">
        <v>30</v>
      </c>
      <c r="C26" s="14"/>
    </row>
    <row r="27" ht="15.75" customHeight="1">
      <c r="A27" s="13"/>
      <c r="B27" s="17" t="s">
        <v>31</v>
      </c>
      <c r="C27" s="14"/>
    </row>
    <row r="28" ht="15.75" customHeight="1">
      <c r="A28" s="13"/>
      <c r="B28" s="18" t="s">
        <v>32</v>
      </c>
      <c r="C28" s="14"/>
    </row>
    <row r="29" ht="15.75" customHeight="1">
      <c r="A29" s="13"/>
      <c r="C29" s="14"/>
    </row>
    <row r="30" ht="15.75" customHeight="1">
      <c r="A30" s="13"/>
      <c r="B30" s="19" t="str">
        <f>IFERROR(__xludf.DUMMYFUNCTION("GOOGLEFINANCE(""GOOG"",""price"",""1/1/2021"",""12/31/2022"", ""DAILY"")"),"Date")</f>
        <v>Date</v>
      </c>
      <c r="C30" s="14" t="str">
        <f>IFERROR(__xludf.DUMMYFUNCTION("""COMPUTED_VALUE"""),"Close")</f>
        <v>Close</v>
      </c>
    </row>
    <row r="31" ht="15.75" customHeight="1">
      <c r="A31" s="13"/>
      <c r="B31" s="20">
        <f>IFERROR(__xludf.DUMMYFUNCTION("""COMPUTED_VALUE"""),44200.66666666667)</f>
        <v>44200.66667</v>
      </c>
      <c r="C31" s="14">
        <f>IFERROR(__xludf.DUMMYFUNCTION("""COMPUTED_VALUE"""),86.41)</f>
        <v>86.41</v>
      </c>
    </row>
    <row r="32" ht="15.75" customHeight="1">
      <c r="A32" s="13"/>
      <c r="B32" s="20">
        <f>IFERROR(__xludf.DUMMYFUNCTION("""COMPUTED_VALUE"""),44201.66666666667)</f>
        <v>44201.66667</v>
      </c>
      <c r="C32" s="14">
        <f>IFERROR(__xludf.DUMMYFUNCTION("""COMPUTED_VALUE"""),87.05)</f>
        <v>87.05</v>
      </c>
    </row>
    <row r="33" ht="15.75" customHeight="1">
      <c r="A33" s="13"/>
      <c r="B33" s="20">
        <f>IFERROR(__xludf.DUMMYFUNCTION("""COMPUTED_VALUE"""),44202.66666666667)</f>
        <v>44202.66667</v>
      </c>
      <c r="C33" s="14">
        <f>IFERROR(__xludf.DUMMYFUNCTION("""COMPUTED_VALUE"""),86.76)</f>
        <v>86.76</v>
      </c>
    </row>
    <row r="34" ht="15.75" customHeight="1">
      <c r="A34" s="13"/>
      <c r="B34" s="20">
        <f>IFERROR(__xludf.DUMMYFUNCTION("""COMPUTED_VALUE"""),44203.66666666667)</f>
        <v>44203.66667</v>
      </c>
      <c r="C34" s="14">
        <f>IFERROR(__xludf.DUMMYFUNCTION("""COMPUTED_VALUE"""),89.36)</f>
        <v>89.36</v>
      </c>
    </row>
    <row r="35" ht="15.75" customHeight="1">
      <c r="A35" s="13"/>
      <c r="B35" s="20">
        <f>IFERROR(__xludf.DUMMYFUNCTION("""COMPUTED_VALUE"""),44204.66666666667)</f>
        <v>44204.66667</v>
      </c>
      <c r="C35" s="14">
        <f>IFERROR(__xludf.DUMMYFUNCTION("""COMPUTED_VALUE"""),90.36)</f>
        <v>90.36</v>
      </c>
    </row>
    <row r="36" ht="15.75" customHeight="1">
      <c r="A36" s="13"/>
      <c r="B36" s="20">
        <f>IFERROR(__xludf.DUMMYFUNCTION("""COMPUTED_VALUE"""),44207.66666666667)</f>
        <v>44207.66667</v>
      </c>
      <c r="C36" s="14">
        <f>IFERROR(__xludf.DUMMYFUNCTION("""COMPUTED_VALUE"""),88.34)</f>
        <v>88.34</v>
      </c>
    </row>
    <row r="37" ht="15.75" customHeight="1">
      <c r="A37" s="13"/>
      <c r="B37" s="20">
        <f>IFERROR(__xludf.DUMMYFUNCTION("""COMPUTED_VALUE"""),44208.66666666667)</f>
        <v>44208.66667</v>
      </c>
      <c r="C37" s="14">
        <f>IFERROR(__xludf.DUMMYFUNCTION("""COMPUTED_VALUE"""),87.33)</f>
        <v>87.33</v>
      </c>
    </row>
    <row r="38" ht="15.75" customHeight="1">
      <c r="A38" s="13"/>
      <c r="B38" s="20">
        <f>IFERROR(__xludf.DUMMYFUNCTION("""COMPUTED_VALUE"""),44209.66666666667)</f>
        <v>44209.66667</v>
      </c>
      <c r="C38" s="14">
        <f>IFERROR(__xludf.DUMMYFUNCTION("""COMPUTED_VALUE"""),87.72)</f>
        <v>87.72</v>
      </c>
    </row>
    <row r="39" ht="15.75" customHeight="1">
      <c r="A39" s="13"/>
      <c r="B39" s="20">
        <f>IFERROR(__xludf.DUMMYFUNCTION("""COMPUTED_VALUE"""),44210.66666666667)</f>
        <v>44210.66667</v>
      </c>
      <c r="C39" s="14">
        <f>IFERROR(__xludf.DUMMYFUNCTION("""COMPUTED_VALUE"""),87.01)</f>
        <v>87.01</v>
      </c>
    </row>
    <row r="40" ht="15.75" customHeight="1">
      <c r="A40" s="13"/>
      <c r="B40" s="20">
        <f>IFERROR(__xludf.DUMMYFUNCTION("""COMPUTED_VALUE"""),44211.66666666667)</f>
        <v>44211.66667</v>
      </c>
      <c r="C40" s="14">
        <f>IFERROR(__xludf.DUMMYFUNCTION("""COMPUTED_VALUE"""),86.81)</f>
        <v>86.81</v>
      </c>
    </row>
    <row r="41" ht="15.75" customHeight="1">
      <c r="A41" s="13"/>
      <c r="B41" s="20">
        <f>IFERROR(__xludf.DUMMYFUNCTION("""COMPUTED_VALUE"""),44215.66666666667)</f>
        <v>44215.66667</v>
      </c>
      <c r="C41" s="14">
        <f>IFERROR(__xludf.DUMMYFUNCTION("""COMPUTED_VALUE"""),89.54)</f>
        <v>89.54</v>
      </c>
    </row>
    <row r="42" ht="15.75" customHeight="1">
      <c r="A42" s="13"/>
      <c r="B42" s="20">
        <f>IFERROR(__xludf.DUMMYFUNCTION("""COMPUTED_VALUE"""),44216.66666666667)</f>
        <v>44216.66667</v>
      </c>
      <c r="C42" s="14">
        <f>IFERROR(__xludf.DUMMYFUNCTION("""COMPUTED_VALUE"""),94.35)</f>
        <v>94.35</v>
      </c>
    </row>
    <row r="43" ht="15.75" customHeight="1">
      <c r="A43" s="13"/>
      <c r="B43" s="20">
        <f>IFERROR(__xludf.DUMMYFUNCTION("""COMPUTED_VALUE"""),44217.66666666667)</f>
        <v>44217.66667</v>
      </c>
      <c r="C43" s="14">
        <f>IFERROR(__xludf.DUMMYFUNCTION("""COMPUTED_VALUE"""),94.56)</f>
        <v>94.56</v>
      </c>
    </row>
    <row r="44" ht="15.75" customHeight="1">
      <c r="A44" s="13"/>
      <c r="B44" s="20">
        <f>IFERROR(__xludf.DUMMYFUNCTION("""COMPUTED_VALUE"""),44218.66666666667)</f>
        <v>44218.66667</v>
      </c>
      <c r="C44" s="14">
        <f>IFERROR(__xludf.DUMMYFUNCTION("""COMPUTED_VALUE"""),95.05)</f>
        <v>95.05</v>
      </c>
    </row>
    <row r="45" ht="15.75" customHeight="1">
      <c r="A45" s="13"/>
      <c r="B45" s="20">
        <f>IFERROR(__xludf.DUMMYFUNCTION("""COMPUTED_VALUE"""),44221.66666666667)</f>
        <v>44221.66667</v>
      </c>
      <c r="C45" s="14">
        <f>IFERROR(__xludf.DUMMYFUNCTION("""COMPUTED_VALUE"""),94.97)</f>
        <v>94.97</v>
      </c>
    </row>
    <row r="46" ht="15.75" customHeight="1">
      <c r="A46" s="13"/>
      <c r="B46" s="20">
        <f>IFERROR(__xludf.DUMMYFUNCTION("""COMPUTED_VALUE"""),44222.66666666667)</f>
        <v>44222.66667</v>
      </c>
      <c r="C46" s="14">
        <f>IFERROR(__xludf.DUMMYFUNCTION("""COMPUTED_VALUE"""),95.86)</f>
        <v>95.86</v>
      </c>
    </row>
    <row r="47" ht="15.75" customHeight="1">
      <c r="A47" s="13"/>
      <c r="B47" s="20">
        <f>IFERROR(__xludf.DUMMYFUNCTION("""COMPUTED_VALUE"""),44223.66666666667)</f>
        <v>44223.66667</v>
      </c>
      <c r="C47" s="14">
        <f>IFERROR(__xludf.DUMMYFUNCTION("""COMPUTED_VALUE"""),91.54)</f>
        <v>91.54</v>
      </c>
    </row>
    <row r="48" ht="15.75" customHeight="1">
      <c r="A48" s="13"/>
      <c r="B48" s="20">
        <f>IFERROR(__xludf.DUMMYFUNCTION("""COMPUTED_VALUE"""),44224.66666666667)</f>
        <v>44224.66667</v>
      </c>
      <c r="C48" s="14">
        <f>IFERROR(__xludf.DUMMYFUNCTION("""COMPUTED_VALUE"""),93.16)</f>
        <v>93.16</v>
      </c>
    </row>
    <row r="49" ht="15.75" customHeight="1">
      <c r="A49" s="13"/>
      <c r="B49" s="20">
        <f>IFERROR(__xludf.DUMMYFUNCTION("""COMPUTED_VALUE"""),44225.66666666667)</f>
        <v>44225.66667</v>
      </c>
      <c r="C49" s="14">
        <f>IFERROR(__xludf.DUMMYFUNCTION("""COMPUTED_VALUE"""),91.79)</f>
        <v>91.79</v>
      </c>
    </row>
    <row r="50" ht="15.75" customHeight="1">
      <c r="A50" s="13"/>
      <c r="B50" s="20">
        <f>IFERROR(__xludf.DUMMYFUNCTION("""COMPUTED_VALUE"""),44228.66666666667)</f>
        <v>44228.66667</v>
      </c>
      <c r="C50" s="14">
        <f>IFERROR(__xludf.DUMMYFUNCTION("""COMPUTED_VALUE"""),95.07)</f>
        <v>95.07</v>
      </c>
    </row>
    <row r="51" ht="15.75" customHeight="1">
      <c r="A51" s="13"/>
      <c r="B51" s="20">
        <f>IFERROR(__xludf.DUMMYFUNCTION("""COMPUTED_VALUE"""),44229.66666666667)</f>
        <v>44229.66667</v>
      </c>
      <c r="C51" s="14">
        <f>IFERROR(__xludf.DUMMYFUNCTION("""COMPUTED_VALUE"""),96.38)</f>
        <v>96.38</v>
      </c>
    </row>
    <row r="52" ht="15.75" customHeight="1">
      <c r="A52" s="13"/>
      <c r="B52" s="20">
        <f>IFERROR(__xludf.DUMMYFUNCTION("""COMPUTED_VALUE"""),44230.66666666667)</f>
        <v>44230.66667</v>
      </c>
      <c r="C52" s="14">
        <f>IFERROR(__xludf.DUMMYFUNCTION("""COMPUTED_VALUE"""),103.5)</f>
        <v>103.5</v>
      </c>
    </row>
    <row r="53" ht="15.75" customHeight="1">
      <c r="A53" s="13"/>
      <c r="B53" s="20">
        <f>IFERROR(__xludf.DUMMYFUNCTION("""COMPUTED_VALUE"""),44231.66666666667)</f>
        <v>44231.66667</v>
      </c>
      <c r="C53" s="14">
        <f>IFERROR(__xludf.DUMMYFUNCTION("""COMPUTED_VALUE"""),103.12)</f>
        <v>103.12</v>
      </c>
    </row>
    <row r="54" ht="15.75" customHeight="1">
      <c r="A54" s="13"/>
      <c r="B54" s="20">
        <f>IFERROR(__xludf.DUMMYFUNCTION("""COMPUTED_VALUE"""),44232.66666666667)</f>
        <v>44232.66667</v>
      </c>
      <c r="C54" s="14">
        <f>IFERROR(__xludf.DUMMYFUNCTION("""COMPUTED_VALUE"""),104.9)</f>
        <v>104.9</v>
      </c>
    </row>
    <row r="55" ht="15.75" customHeight="1">
      <c r="A55" s="13"/>
      <c r="B55" s="20">
        <f>IFERROR(__xludf.DUMMYFUNCTION("""COMPUTED_VALUE"""),44235.66666666667)</f>
        <v>44235.66667</v>
      </c>
      <c r="C55" s="14">
        <f>IFERROR(__xludf.DUMMYFUNCTION("""COMPUTED_VALUE"""),104.65)</f>
        <v>104.65</v>
      </c>
    </row>
    <row r="56" ht="15.75" customHeight="1">
      <c r="A56" s="13"/>
      <c r="B56" s="20">
        <f>IFERROR(__xludf.DUMMYFUNCTION("""COMPUTED_VALUE"""),44236.66666666667)</f>
        <v>44236.66667</v>
      </c>
      <c r="C56" s="14">
        <f>IFERROR(__xludf.DUMMYFUNCTION("""COMPUTED_VALUE"""),104.18)</f>
        <v>104.18</v>
      </c>
    </row>
    <row r="57" ht="15.75" customHeight="1">
      <c r="A57" s="13"/>
      <c r="B57" s="20">
        <f>IFERROR(__xludf.DUMMYFUNCTION("""COMPUTED_VALUE"""),44237.66666666667)</f>
        <v>44237.66667</v>
      </c>
      <c r="C57" s="14">
        <f>IFERROR(__xludf.DUMMYFUNCTION("""COMPUTED_VALUE"""),104.77)</f>
        <v>104.77</v>
      </c>
    </row>
    <row r="58" ht="15.75" customHeight="1">
      <c r="A58" s="13"/>
      <c r="B58" s="20">
        <f>IFERROR(__xludf.DUMMYFUNCTION("""COMPUTED_VALUE"""),44238.66666666667)</f>
        <v>44238.66667</v>
      </c>
      <c r="C58" s="14">
        <f>IFERROR(__xludf.DUMMYFUNCTION("""COMPUTED_VALUE"""),104.79)</f>
        <v>104.79</v>
      </c>
    </row>
    <row r="59" ht="15.75" customHeight="1">
      <c r="A59" s="13"/>
      <c r="B59" s="20">
        <f>IFERROR(__xludf.DUMMYFUNCTION("""COMPUTED_VALUE"""),44239.66666666667)</f>
        <v>44239.66667</v>
      </c>
      <c r="C59" s="14">
        <f>IFERROR(__xludf.DUMMYFUNCTION("""COMPUTED_VALUE"""),105.21)</f>
        <v>105.21</v>
      </c>
    </row>
    <row r="60" ht="15.75" customHeight="1">
      <c r="A60" s="13"/>
      <c r="B60" s="20">
        <f>IFERROR(__xludf.DUMMYFUNCTION("""COMPUTED_VALUE"""),44243.66666666667)</f>
        <v>44243.66667</v>
      </c>
      <c r="C60" s="14">
        <f>IFERROR(__xludf.DUMMYFUNCTION("""COMPUTED_VALUE"""),106.1)</f>
        <v>106.1</v>
      </c>
    </row>
    <row r="61" ht="15.75" customHeight="1">
      <c r="A61" s="13"/>
      <c r="B61" s="20">
        <f>IFERROR(__xludf.DUMMYFUNCTION("""COMPUTED_VALUE"""),44244.66666666667)</f>
        <v>44244.66667</v>
      </c>
      <c r="C61" s="14">
        <f>IFERROR(__xludf.DUMMYFUNCTION("""COMPUTED_VALUE"""),106.42)</f>
        <v>106.42</v>
      </c>
    </row>
    <row r="62" ht="15.75" customHeight="1">
      <c r="A62" s="13"/>
      <c r="B62" s="20">
        <f>IFERROR(__xludf.DUMMYFUNCTION("""COMPUTED_VALUE"""),44245.66666666667)</f>
        <v>44245.66667</v>
      </c>
      <c r="C62" s="14">
        <f>IFERROR(__xludf.DUMMYFUNCTION("""COMPUTED_VALUE"""),105.86)</f>
        <v>105.86</v>
      </c>
    </row>
    <row r="63" ht="15.75" customHeight="1">
      <c r="A63" s="13"/>
      <c r="B63" s="20">
        <f>IFERROR(__xludf.DUMMYFUNCTION("""COMPUTED_VALUE"""),44246.66666666667)</f>
        <v>44246.66667</v>
      </c>
      <c r="C63" s="14">
        <f>IFERROR(__xludf.DUMMYFUNCTION("""COMPUTED_VALUE"""),105.06)</f>
        <v>105.06</v>
      </c>
    </row>
    <row r="64" ht="15.75" customHeight="1">
      <c r="A64" s="13"/>
      <c r="B64" s="20">
        <f>IFERROR(__xludf.DUMMYFUNCTION("""COMPUTED_VALUE"""),44249.66666666667)</f>
        <v>44249.66667</v>
      </c>
      <c r="C64" s="14">
        <f>IFERROR(__xludf.DUMMYFUNCTION("""COMPUTED_VALUE"""),103.24)</f>
        <v>103.24</v>
      </c>
    </row>
    <row r="65" ht="15.75" customHeight="1">
      <c r="A65" s="13"/>
      <c r="B65" s="20">
        <f>IFERROR(__xludf.DUMMYFUNCTION("""COMPUTED_VALUE"""),44250.66666666667)</f>
        <v>44250.66667</v>
      </c>
      <c r="C65" s="14">
        <f>IFERROR(__xludf.DUMMYFUNCTION("""COMPUTED_VALUE"""),103.54)</f>
        <v>103.54</v>
      </c>
    </row>
    <row r="66" ht="15.75" customHeight="1">
      <c r="A66" s="13"/>
      <c r="B66" s="20">
        <f>IFERROR(__xludf.DUMMYFUNCTION("""COMPUTED_VALUE"""),44251.66666666667)</f>
        <v>44251.66667</v>
      </c>
      <c r="C66" s="14">
        <f>IFERROR(__xludf.DUMMYFUNCTION("""COMPUTED_VALUE"""),104.76)</f>
        <v>104.76</v>
      </c>
    </row>
    <row r="67" ht="15.75" customHeight="1">
      <c r="A67" s="13"/>
      <c r="B67" s="20">
        <f>IFERROR(__xludf.DUMMYFUNCTION("""COMPUTED_VALUE"""),44252.66666666667)</f>
        <v>44252.66667</v>
      </c>
      <c r="C67" s="14">
        <f>IFERROR(__xludf.DUMMYFUNCTION("""COMPUTED_VALUE"""),101.57)</f>
        <v>101.57</v>
      </c>
    </row>
    <row r="68" ht="15.75" customHeight="1">
      <c r="A68" s="13"/>
      <c r="B68" s="20">
        <f>IFERROR(__xludf.DUMMYFUNCTION("""COMPUTED_VALUE"""),44253.66666666667)</f>
        <v>44253.66667</v>
      </c>
      <c r="C68" s="14">
        <f>IFERROR(__xludf.DUMMYFUNCTION("""COMPUTED_VALUE"""),101.84)</f>
        <v>101.84</v>
      </c>
    </row>
    <row r="69" ht="15.75" customHeight="1">
      <c r="A69" s="13"/>
      <c r="B69" s="20">
        <f>IFERROR(__xludf.DUMMYFUNCTION("""COMPUTED_VALUE"""),44256.66666666667)</f>
        <v>44256.66667</v>
      </c>
      <c r="C69" s="14">
        <f>IFERROR(__xludf.DUMMYFUNCTION("""COMPUTED_VALUE"""),104.08)</f>
        <v>104.08</v>
      </c>
    </row>
    <row r="70" ht="15.75" customHeight="1">
      <c r="A70" s="13"/>
      <c r="B70" s="20">
        <f>IFERROR(__xludf.DUMMYFUNCTION("""COMPUTED_VALUE"""),44257.66666666667)</f>
        <v>44257.66667</v>
      </c>
      <c r="C70" s="14">
        <f>IFERROR(__xludf.DUMMYFUNCTION("""COMPUTED_VALUE"""),103.79)</f>
        <v>103.79</v>
      </c>
    </row>
    <row r="71" ht="15.75" customHeight="1">
      <c r="A71" s="13"/>
      <c r="B71" s="20">
        <f>IFERROR(__xludf.DUMMYFUNCTION("""COMPUTED_VALUE"""),44258.66666666667)</f>
        <v>44258.66667</v>
      </c>
      <c r="C71" s="14">
        <f>IFERROR(__xludf.DUMMYFUNCTION("""COMPUTED_VALUE"""),101.34)</f>
        <v>101.34</v>
      </c>
    </row>
    <row r="72" ht="15.75" customHeight="1">
      <c r="A72" s="13"/>
      <c r="B72" s="20">
        <f>IFERROR(__xludf.DUMMYFUNCTION("""COMPUTED_VALUE"""),44259.66666666667)</f>
        <v>44259.66667</v>
      </c>
      <c r="C72" s="14">
        <f>IFERROR(__xludf.DUMMYFUNCTION("""COMPUTED_VALUE"""),102.45)</f>
        <v>102.45</v>
      </c>
    </row>
    <row r="73" ht="15.75" customHeight="1">
      <c r="A73" s="13"/>
      <c r="B73" s="20">
        <f>IFERROR(__xludf.DUMMYFUNCTION("""COMPUTED_VALUE"""),44260.66666666667)</f>
        <v>44260.66667</v>
      </c>
      <c r="C73" s="14">
        <f>IFERROR(__xludf.DUMMYFUNCTION("""COMPUTED_VALUE"""),105.43)</f>
        <v>105.43</v>
      </c>
    </row>
    <row r="74" ht="15.75" customHeight="1">
      <c r="A74" s="13"/>
      <c r="B74" s="20">
        <f>IFERROR(__xludf.DUMMYFUNCTION("""COMPUTED_VALUE"""),44263.66666666667)</f>
        <v>44263.66667</v>
      </c>
      <c r="C74" s="14">
        <f>IFERROR(__xludf.DUMMYFUNCTION("""COMPUTED_VALUE"""),101.21)</f>
        <v>101.21</v>
      </c>
    </row>
    <row r="75" ht="15.75" customHeight="1">
      <c r="A75" s="13"/>
      <c r="B75" s="20">
        <f>IFERROR(__xludf.DUMMYFUNCTION("""COMPUTED_VALUE"""),44264.66666666667)</f>
        <v>44264.66667</v>
      </c>
      <c r="C75" s="14">
        <f>IFERROR(__xludf.DUMMYFUNCTION("""COMPUTED_VALUE"""),102.64)</f>
        <v>102.64</v>
      </c>
    </row>
    <row r="76" ht="15.75" customHeight="1">
      <c r="A76" s="13"/>
      <c r="B76" s="20">
        <f>IFERROR(__xludf.DUMMYFUNCTION("""COMPUTED_VALUE"""),44265.66666666667)</f>
        <v>44265.66667</v>
      </c>
      <c r="C76" s="14">
        <f>IFERROR(__xludf.DUMMYFUNCTION("""COMPUTED_VALUE"""),102.75)</f>
        <v>102.75</v>
      </c>
    </row>
    <row r="77" ht="15.75" customHeight="1">
      <c r="A77" s="13"/>
      <c r="B77" s="20">
        <f>IFERROR(__xludf.DUMMYFUNCTION("""COMPUTED_VALUE"""),44266.66666666667)</f>
        <v>44266.66667</v>
      </c>
      <c r="C77" s="14">
        <f>IFERROR(__xludf.DUMMYFUNCTION("""COMPUTED_VALUE"""),105.74)</f>
        <v>105.74</v>
      </c>
    </row>
    <row r="78" ht="15.75" customHeight="1">
      <c r="A78" s="13"/>
      <c r="B78" s="20">
        <f>IFERROR(__xludf.DUMMYFUNCTION("""COMPUTED_VALUE"""),44267.66666666667)</f>
        <v>44267.66667</v>
      </c>
      <c r="C78" s="14">
        <f>IFERROR(__xludf.DUMMYFUNCTION("""COMPUTED_VALUE"""),103.1)</f>
        <v>103.1</v>
      </c>
    </row>
    <row r="79" ht="15.75" customHeight="1">
      <c r="A79" s="13"/>
      <c r="B79" s="20">
        <f>IFERROR(__xludf.DUMMYFUNCTION("""COMPUTED_VALUE"""),44270.66666666667)</f>
        <v>44270.66667</v>
      </c>
      <c r="C79" s="14">
        <f>IFERROR(__xludf.DUMMYFUNCTION("""COMPUTED_VALUE"""),103.32)</f>
        <v>103.32</v>
      </c>
    </row>
    <row r="80" ht="15.75" customHeight="1">
      <c r="A80" s="13"/>
      <c r="B80" s="20">
        <f>IFERROR(__xludf.DUMMYFUNCTION("""COMPUTED_VALUE"""),44271.66666666667)</f>
        <v>44271.66667</v>
      </c>
      <c r="C80" s="14">
        <f>IFERROR(__xludf.DUMMYFUNCTION("""COMPUTED_VALUE"""),104.63)</f>
        <v>104.63</v>
      </c>
    </row>
    <row r="81" ht="15.75" customHeight="1">
      <c r="A81" s="13"/>
      <c r="B81" s="20">
        <f>IFERROR(__xludf.DUMMYFUNCTION("""COMPUTED_VALUE"""),44272.66666666667)</f>
        <v>44272.66667</v>
      </c>
      <c r="C81" s="14">
        <f>IFERROR(__xludf.DUMMYFUNCTION("""COMPUTED_VALUE"""),104.55)</f>
        <v>104.55</v>
      </c>
    </row>
    <row r="82" ht="15.75" customHeight="1">
      <c r="A82" s="13"/>
      <c r="B82" s="20">
        <f>IFERROR(__xludf.DUMMYFUNCTION("""COMPUTED_VALUE"""),44273.66666666667)</f>
        <v>44273.66667</v>
      </c>
      <c r="C82" s="14">
        <f>IFERROR(__xludf.DUMMYFUNCTION("""COMPUTED_VALUE"""),101.81)</f>
        <v>101.81</v>
      </c>
    </row>
    <row r="83" ht="15.75" customHeight="1">
      <c r="A83" s="13"/>
      <c r="B83" s="20">
        <f>IFERROR(__xludf.DUMMYFUNCTION("""COMPUTED_VALUE"""),44274.66666666667)</f>
        <v>44274.66667</v>
      </c>
      <c r="C83" s="14">
        <f>IFERROR(__xludf.DUMMYFUNCTION("""COMPUTED_VALUE"""),102.16)</f>
        <v>102.16</v>
      </c>
    </row>
    <row r="84" ht="15.75" customHeight="1">
      <c r="A84" s="13"/>
      <c r="B84" s="20">
        <f>IFERROR(__xludf.DUMMYFUNCTION("""COMPUTED_VALUE"""),44277.66666666667)</f>
        <v>44277.66667</v>
      </c>
      <c r="C84" s="14">
        <f>IFERROR(__xludf.DUMMYFUNCTION("""COMPUTED_VALUE"""),101.93)</f>
        <v>101.93</v>
      </c>
    </row>
    <row r="85" ht="15.75" customHeight="1">
      <c r="A85" s="13"/>
      <c r="B85" s="20">
        <f>IFERROR(__xludf.DUMMYFUNCTION("""COMPUTED_VALUE"""),44278.66666666667)</f>
        <v>44278.66667</v>
      </c>
      <c r="C85" s="14">
        <f>IFERROR(__xludf.DUMMYFUNCTION("""COMPUTED_VALUE"""),102.65)</f>
        <v>102.65</v>
      </c>
    </row>
    <row r="86" ht="15.75" customHeight="1">
      <c r="A86" s="13"/>
      <c r="B86" s="20">
        <f>IFERROR(__xludf.DUMMYFUNCTION("""COMPUTED_VALUE"""),44279.66666666667)</f>
        <v>44279.66667</v>
      </c>
      <c r="C86" s="14">
        <f>IFERROR(__xludf.DUMMYFUNCTION("""COMPUTED_VALUE"""),102.25)</f>
        <v>102.25</v>
      </c>
    </row>
    <row r="87" ht="15.75" customHeight="1">
      <c r="A87" s="13"/>
      <c r="B87" s="20">
        <f>IFERROR(__xludf.DUMMYFUNCTION("""COMPUTED_VALUE"""),44280.66666666667)</f>
        <v>44280.66667</v>
      </c>
      <c r="C87" s="14">
        <f>IFERROR(__xludf.DUMMYFUNCTION("""COMPUTED_VALUE"""),102.22)</f>
        <v>102.22</v>
      </c>
    </row>
    <row r="88" ht="15.75" customHeight="1">
      <c r="A88" s="13"/>
      <c r="B88" s="20">
        <f>IFERROR(__xludf.DUMMYFUNCTION("""COMPUTED_VALUE"""),44281.66666666667)</f>
        <v>44281.66667</v>
      </c>
      <c r="C88" s="14">
        <f>IFERROR(__xludf.DUMMYFUNCTION("""COMPUTED_VALUE"""),101.78)</f>
        <v>101.78</v>
      </c>
    </row>
    <row r="89" ht="15.75" customHeight="1">
      <c r="A89" s="13"/>
      <c r="B89" s="20">
        <f>IFERROR(__xludf.DUMMYFUNCTION("""COMPUTED_VALUE"""),44284.66666666667)</f>
        <v>44284.66667</v>
      </c>
      <c r="C89" s="14">
        <f>IFERROR(__xludf.DUMMYFUNCTION("""COMPUTED_VALUE"""),102.8)</f>
        <v>102.8</v>
      </c>
    </row>
    <row r="90" ht="15.75" customHeight="1">
      <c r="A90" s="13"/>
      <c r="B90" s="20">
        <f>IFERROR(__xludf.DUMMYFUNCTION("""COMPUTED_VALUE"""),44285.66666666667)</f>
        <v>44285.66667</v>
      </c>
      <c r="C90" s="14">
        <f>IFERROR(__xludf.DUMMYFUNCTION("""COMPUTED_VALUE"""),102.78)</f>
        <v>102.78</v>
      </c>
    </row>
    <row r="91" ht="15.75" customHeight="1">
      <c r="A91" s="13"/>
      <c r="B91" s="20">
        <f>IFERROR(__xludf.DUMMYFUNCTION("""COMPUTED_VALUE"""),44286.66666666667)</f>
        <v>44286.66667</v>
      </c>
      <c r="C91" s="14">
        <f>IFERROR(__xludf.DUMMYFUNCTION("""COMPUTED_VALUE"""),103.43)</f>
        <v>103.43</v>
      </c>
    </row>
    <row r="92" ht="15.75" customHeight="1">
      <c r="A92" s="13"/>
      <c r="B92" s="20">
        <f>IFERROR(__xludf.DUMMYFUNCTION("""COMPUTED_VALUE"""),44287.66666666667)</f>
        <v>44287.66667</v>
      </c>
      <c r="C92" s="14">
        <f>IFERROR(__xludf.DUMMYFUNCTION("""COMPUTED_VALUE"""),106.89)</f>
        <v>106.89</v>
      </c>
    </row>
    <row r="93" ht="15.75" customHeight="1">
      <c r="A93" s="13"/>
      <c r="B93" s="20">
        <f>IFERROR(__xludf.DUMMYFUNCTION("""COMPUTED_VALUE"""),44291.66666666667)</f>
        <v>44291.66667</v>
      </c>
      <c r="C93" s="14">
        <f>IFERROR(__xludf.DUMMYFUNCTION("""COMPUTED_VALUE"""),111.28)</f>
        <v>111.28</v>
      </c>
    </row>
    <row r="94" ht="15.75" customHeight="1">
      <c r="A94" s="13"/>
      <c r="B94" s="20">
        <f>IFERROR(__xludf.DUMMYFUNCTION("""COMPUTED_VALUE"""),44292.66666666667)</f>
        <v>44292.66667</v>
      </c>
      <c r="C94" s="14">
        <f>IFERROR(__xludf.DUMMYFUNCTION("""COMPUTED_VALUE"""),111.24)</f>
        <v>111.24</v>
      </c>
    </row>
    <row r="95" ht="15.75" customHeight="1">
      <c r="A95" s="13"/>
      <c r="B95" s="20">
        <f>IFERROR(__xludf.DUMMYFUNCTION("""COMPUTED_VALUE"""),44293.66666666667)</f>
        <v>44293.66667</v>
      </c>
      <c r="C95" s="14">
        <f>IFERROR(__xludf.DUMMYFUNCTION("""COMPUTED_VALUE"""),112.48)</f>
        <v>112.48</v>
      </c>
    </row>
    <row r="96" ht="15.75" customHeight="1">
      <c r="A96" s="13"/>
      <c r="B96" s="20">
        <f>IFERROR(__xludf.DUMMYFUNCTION("""COMPUTED_VALUE"""),44294.66666666667)</f>
        <v>44294.66667</v>
      </c>
      <c r="C96" s="14">
        <f>IFERROR(__xludf.DUMMYFUNCTION("""COMPUTED_VALUE"""),113.27)</f>
        <v>113.27</v>
      </c>
    </row>
    <row r="97" ht="15.75" customHeight="1">
      <c r="A97" s="13"/>
      <c r="B97" s="20">
        <f>IFERROR(__xludf.DUMMYFUNCTION("""COMPUTED_VALUE"""),44295.66666666667)</f>
        <v>44295.66667</v>
      </c>
      <c r="C97" s="14">
        <f>IFERROR(__xludf.DUMMYFUNCTION("""COMPUTED_VALUE"""),114.29)</f>
        <v>114.29</v>
      </c>
    </row>
    <row r="98" ht="15.75" customHeight="1">
      <c r="A98" s="13"/>
      <c r="B98" s="20">
        <f>IFERROR(__xludf.DUMMYFUNCTION("""COMPUTED_VALUE"""),44298.66666666667)</f>
        <v>44298.66667</v>
      </c>
      <c r="C98" s="14">
        <f>IFERROR(__xludf.DUMMYFUNCTION("""COMPUTED_VALUE"""),112.74)</f>
        <v>112.74</v>
      </c>
    </row>
    <row r="99" ht="15.75" customHeight="1">
      <c r="A99" s="13"/>
      <c r="B99" s="20">
        <f>IFERROR(__xludf.DUMMYFUNCTION("""COMPUTED_VALUE"""),44299.66666666667)</f>
        <v>44299.66667</v>
      </c>
      <c r="C99" s="14">
        <f>IFERROR(__xludf.DUMMYFUNCTION("""COMPUTED_VALUE"""),113.36)</f>
        <v>113.36</v>
      </c>
    </row>
    <row r="100" ht="15.75" customHeight="1">
      <c r="A100" s="13"/>
      <c r="B100" s="20">
        <f>IFERROR(__xludf.DUMMYFUNCTION("""COMPUTED_VALUE"""),44300.66666666667)</f>
        <v>44300.66667</v>
      </c>
      <c r="C100" s="14">
        <f>IFERROR(__xludf.DUMMYFUNCTION("""COMPUTED_VALUE"""),112.74)</f>
        <v>112.74</v>
      </c>
    </row>
    <row r="101" ht="15.75" customHeight="1">
      <c r="A101" s="13"/>
      <c r="B101" s="20">
        <f>IFERROR(__xludf.DUMMYFUNCTION("""COMPUTED_VALUE"""),44301.66666666667)</f>
        <v>44301.66667</v>
      </c>
      <c r="C101" s="14">
        <f>IFERROR(__xludf.DUMMYFUNCTION("""COMPUTED_VALUE"""),114.83)</f>
        <v>114.83</v>
      </c>
    </row>
    <row r="102" ht="15.75" customHeight="1">
      <c r="A102" s="13"/>
      <c r="B102" s="20">
        <f>IFERROR(__xludf.DUMMYFUNCTION("""COMPUTED_VALUE"""),44302.66666666667)</f>
        <v>44302.66667</v>
      </c>
      <c r="C102" s="14">
        <f>IFERROR(__xludf.DUMMYFUNCTION("""COMPUTED_VALUE"""),114.89)</f>
        <v>114.89</v>
      </c>
    </row>
    <row r="103" ht="15.75" customHeight="1">
      <c r="A103" s="13"/>
      <c r="B103" s="20">
        <f>IFERROR(__xludf.DUMMYFUNCTION("""COMPUTED_VALUE"""),44305.66666666667)</f>
        <v>44305.66667</v>
      </c>
      <c r="C103" s="14">
        <f>IFERROR(__xludf.DUMMYFUNCTION("""COMPUTED_VALUE"""),115.12)</f>
        <v>115.12</v>
      </c>
    </row>
    <row r="104" ht="15.75" customHeight="1">
      <c r="A104" s="13"/>
      <c r="B104" s="20">
        <f>IFERROR(__xludf.DUMMYFUNCTION("""COMPUTED_VALUE"""),44306.66666666667)</f>
        <v>44306.66667</v>
      </c>
      <c r="C104" s="14">
        <f>IFERROR(__xludf.DUMMYFUNCTION("""COMPUTED_VALUE"""),114.68)</f>
        <v>114.68</v>
      </c>
    </row>
    <row r="105" ht="15.75" customHeight="1">
      <c r="A105" s="13"/>
      <c r="B105" s="20">
        <f>IFERROR(__xludf.DUMMYFUNCTION("""COMPUTED_VALUE"""),44307.66666666667)</f>
        <v>44307.66667</v>
      </c>
      <c r="C105" s="14">
        <f>IFERROR(__xludf.DUMMYFUNCTION("""COMPUTED_VALUE"""),114.66)</f>
        <v>114.66</v>
      </c>
    </row>
    <row r="106" ht="15.75" customHeight="1">
      <c r="A106" s="13"/>
      <c r="B106" s="20">
        <f>IFERROR(__xludf.DUMMYFUNCTION("""COMPUTED_VALUE"""),44308.66666666667)</f>
        <v>44308.66667</v>
      </c>
      <c r="C106" s="14">
        <f>IFERROR(__xludf.DUMMYFUNCTION("""COMPUTED_VALUE"""),113.4)</f>
        <v>113.4</v>
      </c>
    </row>
    <row r="107" ht="15.75" customHeight="1">
      <c r="A107" s="13"/>
      <c r="B107" s="20">
        <f>IFERROR(__xludf.DUMMYFUNCTION("""COMPUTED_VALUE"""),44309.66666666667)</f>
        <v>44309.66667</v>
      </c>
      <c r="C107" s="14">
        <f>IFERROR(__xludf.DUMMYFUNCTION("""COMPUTED_VALUE"""),115.77)</f>
        <v>115.77</v>
      </c>
    </row>
    <row r="108" ht="15.75" customHeight="1">
      <c r="A108" s="13"/>
      <c r="B108" s="20">
        <f>IFERROR(__xludf.DUMMYFUNCTION("""COMPUTED_VALUE"""),44312.66666666667)</f>
        <v>44312.66667</v>
      </c>
      <c r="C108" s="14">
        <f>IFERROR(__xludf.DUMMYFUNCTION("""COMPUTED_VALUE"""),116.34)</f>
        <v>116.34</v>
      </c>
    </row>
    <row r="109" ht="15.75" customHeight="1">
      <c r="A109" s="13"/>
      <c r="B109" s="20">
        <f>IFERROR(__xludf.DUMMYFUNCTION("""COMPUTED_VALUE"""),44313.66666666667)</f>
        <v>44313.66667</v>
      </c>
      <c r="C109" s="14">
        <f>IFERROR(__xludf.DUMMYFUNCTION("""COMPUTED_VALUE"""),115.36)</f>
        <v>115.36</v>
      </c>
    </row>
    <row r="110" ht="15.75" customHeight="1">
      <c r="A110" s="13"/>
      <c r="B110" s="20">
        <f>IFERROR(__xludf.DUMMYFUNCTION("""COMPUTED_VALUE"""),44314.66666666667)</f>
        <v>44314.66667</v>
      </c>
      <c r="C110" s="14">
        <f>IFERROR(__xludf.DUMMYFUNCTION("""COMPUTED_VALUE"""),119.0)</f>
        <v>119</v>
      </c>
    </row>
    <row r="111" ht="15.75" customHeight="1">
      <c r="A111" s="13"/>
      <c r="B111" s="20">
        <f>IFERROR(__xludf.DUMMYFUNCTION("""COMPUTED_VALUE"""),44315.66666666667)</f>
        <v>44315.66667</v>
      </c>
      <c r="C111" s="14">
        <f>IFERROR(__xludf.DUMMYFUNCTION("""COMPUTED_VALUE"""),121.49)</f>
        <v>121.49</v>
      </c>
    </row>
    <row r="112" ht="15.75" customHeight="1">
      <c r="A112" s="13"/>
      <c r="B112" s="20">
        <f>IFERROR(__xludf.DUMMYFUNCTION("""COMPUTED_VALUE"""),44316.66666666667)</f>
        <v>44316.66667</v>
      </c>
      <c r="C112" s="14">
        <f>IFERROR(__xludf.DUMMYFUNCTION("""COMPUTED_VALUE"""),120.51)</f>
        <v>120.51</v>
      </c>
    </row>
    <row r="113" ht="15.75" customHeight="1">
      <c r="A113" s="13"/>
      <c r="B113" s="20">
        <f>IFERROR(__xludf.DUMMYFUNCTION("""COMPUTED_VALUE"""),44319.66666666667)</f>
        <v>44319.66667</v>
      </c>
      <c r="C113" s="14">
        <f>IFERROR(__xludf.DUMMYFUNCTION("""COMPUTED_VALUE"""),119.76)</f>
        <v>119.76</v>
      </c>
    </row>
    <row r="114" ht="15.75" customHeight="1">
      <c r="A114" s="13"/>
      <c r="B114" s="20">
        <f>IFERROR(__xludf.DUMMYFUNCTION("""COMPUTED_VALUE"""),44320.66666666667)</f>
        <v>44320.66667</v>
      </c>
      <c r="C114" s="14">
        <f>IFERROR(__xludf.DUMMYFUNCTION("""COMPUTED_VALUE"""),117.71)</f>
        <v>117.71</v>
      </c>
    </row>
    <row r="115" ht="15.75" customHeight="1">
      <c r="A115" s="13"/>
      <c r="B115" s="20">
        <f>IFERROR(__xludf.DUMMYFUNCTION("""COMPUTED_VALUE"""),44321.66666666667)</f>
        <v>44321.66667</v>
      </c>
      <c r="C115" s="14">
        <f>IFERROR(__xludf.DUMMYFUNCTION("""COMPUTED_VALUE"""),117.84)</f>
        <v>117.84</v>
      </c>
    </row>
    <row r="116" ht="15.75" customHeight="1">
      <c r="A116" s="13"/>
      <c r="B116" s="20">
        <f>IFERROR(__xludf.DUMMYFUNCTION("""COMPUTED_VALUE"""),44322.66666666667)</f>
        <v>44322.66667</v>
      </c>
      <c r="C116" s="14">
        <f>IFERROR(__xludf.DUMMYFUNCTION("""COMPUTED_VALUE"""),119.07)</f>
        <v>119.07</v>
      </c>
    </row>
    <row r="117" ht="15.75" customHeight="1">
      <c r="A117" s="13"/>
      <c r="B117" s="20">
        <f>IFERROR(__xludf.DUMMYFUNCTION("""COMPUTED_VALUE"""),44323.66666666667)</f>
        <v>44323.66667</v>
      </c>
      <c r="C117" s="14">
        <f>IFERROR(__xludf.DUMMYFUNCTION("""COMPUTED_VALUE"""),119.93)</f>
        <v>119.93</v>
      </c>
    </row>
    <row r="118" ht="15.75" customHeight="1">
      <c r="A118" s="13"/>
      <c r="B118" s="20">
        <f>IFERROR(__xludf.DUMMYFUNCTION("""COMPUTED_VALUE"""),44326.66666666667)</f>
        <v>44326.66667</v>
      </c>
      <c r="C118" s="14">
        <f>IFERROR(__xludf.DUMMYFUNCTION("""COMPUTED_VALUE"""),117.08)</f>
        <v>117.08</v>
      </c>
    </row>
    <row r="119" ht="15.75" customHeight="1">
      <c r="A119" s="13"/>
      <c r="B119" s="20">
        <f>IFERROR(__xludf.DUMMYFUNCTION("""COMPUTED_VALUE"""),44327.66666666667)</f>
        <v>44327.66667</v>
      </c>
      <c r="C119" s="14">
        <f>IFERROR(__xludf.DUMMYFUNCTION("""COMPUTED_VALUE"""),115.44)</f>
        <v>115.44</v>
      </c>
    </row>
    <row r="120" ht="15.75" customHeight="1">
      <c r="A120" s="13"/>
      <c r="B120" s="20">
        <f>IFERROR(__xludf.DUMMYFUNCTION("""COMPUTED_VALUE"""),44328.66666666667)</f>
        <v>44328.66667</v>
      </c>
      <c r="C120" s="14">
        <f>IFERROR(__xludf.DUMMYFUNCTION("""COMPUTED_VALUE"""),111.95)</f>
        <v>111.95</v>
      </c>
    </row>
    <row r="121" ht="15.75" customHeight="1">
      <c r="A121" s="13"/>
      <c r="B121" s="20">
        <f>IFERROR(__xludf.DUMMYFUNCTION("""COMPUTED_VALUE"""),44329.66666666667)</f>
        <v>44329.66667</v>
      </c>
      <c r="C121" s="14">
        <f>IFERROR(__xludf.DUMMYFUNCTION("""COMPUTED_VALUE"""),113.1)</f>
        <v>113.1</v>
      </c>
    </row>
    <row r="122" ht="15.75" customHeight="1">
      <c r="A122" s="13"/>
      <c r="B122" s="20">
        <f>IFERROR(__xludf.DUMMYFUNCTION("""COMPUTED_VALUE"""),44330.66666666667)</f>
        <v>44330.66667</v>
      </c>
      <c r="C122" s="14">
        <f>IFERROR(__xludf.DUMMYFUNCTION("""COMPUTED_VALUE"""),115.81)</f>
        <v>115.81</v>
      </c>
    </row>
    <row r="123" ht="15.75" customHeight="1">
      <c r="A123" s="13"/>
      <c r="B123" s="20">
        <f>IFERROR(__xludf.DUMMYFUNCTION("""COMPUTED_VALUE"""),44333.66666666667)</f>
        <v>44333.66667</v>
      </c>
      <c r="C123" s="14">
        <f>IFERROR(__xludf.DUMMYFUNCTION("""COMPUTED_VALUE"""),116.07)</f>
        <v>116.07</v>
      </c>
    </row>
    <row r="124" ht="15.75" customHeight="1">
      <c r="A124" s="13"/>
      <c r="B124" s="20">
        <f>IFERROR(__xludf.DUMMYFUNCTION("""COMPUTED_VALUE"""),44334.66666666667)</f>
        <v>44334.66667</v>
      </c>
      <c r="C124" s="14">
        <f>IFERROR(__xludf.DUMMYFUNCTION("""COMPUTED_VALUE"""),115.17)</f>
        <v>115.17</v>
      </c>
    </row>
    <row r="125" ht="15.75" customHeight="1">
      <c r="A125" s="13"/>
      <c r="B125" s="20">
        <f>IFERROR(__xludf.DUMMYFUNCTION("""COMPUTED_VALUE"""),44335.66666666667)</f>
        <v>44335.66667</v>
      </c>
      <c r="C125" s="14">
        <f>IFERROR(__xludf.DUMMYFUNCTION("""COMPUTED_VALUE"""),115.44)</f>
        <v>115.44</v>
      </c>
    </row>
    <row r="126" ht="15.75" customHeight="1">
      <c r="A126" s="13"/>
      <c r="B126" s="20">
        <f>IFERROR(__xludf.DUMMYFUNCTION("""COMPUTED_VALUE"""),44336.66666666667)</f>
        <v>44336.66667</v>
      </c>
      <c r="C126" s="14">
        <f>IFERROR(__xludf.DUMMYFUNCTION("""COMPUTED_VALUE"""),117.8)</f>
        <v>117.8</v>
      </c>
    </row>
    <row r="127" ht="15.75" customHeight="1">
      <c r="A127" s="13"/>
      <c r="B127" s="20">
        <f>IFERROR(__xludf.DUMMYFUNCTION("""COMPUTED_VALUE"""),44337.66666666667)</f>
        <v>44337.66667</v>
      </c>
      <c r="C127" s="14">
        <f>IFERROR(__xludf.DUMMYFUNCTION("""COMPUTED_VALUE"""),117.26)</f>
        <v>117.26</v>
      </c>
    </row>
    <row r="128" ht="15.75" customHeight="1">
      <c r="A128" s="13"/>
      <c r="B128" s="20">
        <f>IFERROR(__xludf.DUMMYFUNCTION("""COMPUTED_VALUE"""),44340.66666666667)</f>
        <v>44340.66667</v>
      </c>
      <c r="C128" s="14">
        <f>IFERROR(__xludf.DUMMYFUNCTION("""COMPUTED_VALUE"""),120.33)</f>
        <v>120.33</v>
      </c>
    </row>
    <row r="129" ht="15.75" customHeight="1">
      <c r="A129" s="13"/>
      <c r="B129" s="20">
        <f>IFERROR(__xludf.DUMMYFUNCTION("""COMPUTED_VALUE"""),44341.66666666667)</f>
        <v>44341.66667</v>
      </c>
      <c r="C129" s="14">
        <f>IFERROR(__xludf.DUMMYFUNCTION("""COMPUTED_VALUE"""),120.45)</f>
        <v>120.45</v>
      </c>
    </row>
    <row r="130" ht="15.75" customHeight="1">
      <c r="A130" s="13"/>
      <c r="B130" s="20">
        <f>IFERROR(__xludf.DUMMYFUNCTION("""COMPUTED_VALUE"""),44342.66666666667)</f>
        <v>44342.66667</v>
      </c>
      <c r="C130" s="14">
        <f>IFERROR(__xludf.DUMMYFUNCTION("""COMPUTED_VALUE"""),121.68)</f>
        <v>121.68</v>
      </c>
    </row>
    <row r="131" ht="15.75" customHeight="1">
      <c r="A131" s="13"/>
      <c r="B131" s="20">
        <f>IFERROR(__xludf.DUMMYFUNCTION("""COMPUTED_VALUE"""),44343.66666666667)</f>
        <v>44343.66667</v>
      </c>
      <c r="C131" s="14">
        <f>IFERROR(__xludf.DUMMYFUNCTION("""COMPUTED_VALUE"""),120.13)</f>
        <v>120.13</v>
      </c>
    </row>
    <row r="132" ht="15.75" customHeight="1">
      <c r="A132" s="13"/>
      <c r="B132" s="20">
        <f>IFERROR(__xludf.DUMMYFUNCTION("""COMPUTED_VALUE"""),44344.66666666667)</f>
        <v>44344.66667</v>
      </c>
      <c r="C132" s="14">
        <f>IFERROR(__xludf.DUMMYFUNCTION("""COMPUTED_VALUE"""),120.58)</f>
        <v>120.58</v>
      </c>
    </row>
    <row r="133" ht="15.75" customHeight="1">
      <c r="A133" s="13"/>
      <c r="B133" s="20">
        <f>IFERROR(__xludf.DUMMYFUNCTION("""COMPUTED_VALUE"""),44348.66666666667)</f>
        <v>44348.66667</v>
      </c>
      <c r="C133" s="14">
        <f>IFERROR(__xludf.DUMMYFUNCTION("""COMPUTED_VALUE"""),121.49)</f>
        <v>121.49</v>
      </c>
    </row>
    <row r="134" ht="15.75" customHeight="1">
      <c r="A134" s="13"/>
      <c r="B134" s="20">
        <f>IFERROR(__xludf.DUMMYFUNCTION("""COMPUTED_VALUE"""),44349.66666666667)</f>
        <v>44349.66667</v>
      </c>
      <c r="C134" s="14">
        <f>IFERROR(__xludf.DUMMYFUNCTION("""COMPUTED_VALUE"""),121.06)</f>
        <v>121.06</v>
      </c>
    </row>
    <row r="135" ht="15.75" customHeight="1">
      <c r="A135" s="13"/>
      <c r="B135" s="20">
        <f>IFERROR(__xludf.DUMMYFUNCTION("""COMPUTED_VALUE"""),44350.66666666667)</f>
        <v>44350.66667</v>
      </c>
      <c r="C135" s="14">
        <f>IFERROR(__xludf.DUMMYFUNCTION("""COMPUTED_VALUE"""),120.23)</f>
        <v>120.23</v>
      </c>
    </row>
    <row r="136" ht="15.75" customHeight="1">
      <c r="A136" s="13"/>
      <c r="B136" s="20">
        <f>IFERROR(__xludf.DUMMYFUNCTION("""COMPUTED_VALUE"""),44351.66666666667)</f>
        <v>44351.66667</v>
      </c>
      <c r="C136" s="14">
        <f>IFERROR(__xludf.DUMMYFUNCTION("""COMPUTED_VALUE"""),122.59)</f>
        <v>122.59</v>
      </c>
    </row>
    <row r="137" ht="15.75" customHeight="1">
      <c r="A137" s="13"/>
      <c r="B137" s="20">
        <f>IFERROR(__xludf.DUMMYFUNCTION("""COMPUTED_VALUE"""),44354.66666666667)</f>
        <v>44354.66667</v>
      </c>
      <c r="C137" s="14">
        <f>IFERROR(__xludf.DUMMYFUNCTION("""COMPUTED_VALUE"""),123.3)</f>
        <v>123.3</v>
      </c>
    </row>
    <row r="138" ht="15.75" customHeight="1">
      <c r="A138" s="13"/>
      <c r="B138" s="20">
        <f>IFERROR(__xludf.DUMMYFUNCTION("""COMPUTED_VALUE"""),44355.66666666667)</f>
        <v>44355.66667</v>
      </c>
      <c r="C138" s="14">
        <f>IFERROR(__xludf.DUMMYFUNCTION("""COMPUTED_VALUE"""),124.14)</f>
        <v>124.14</v>
      </c>
    </row>
    <row r="139" ht="15.75" customHeight="1">
      <c r="A139" s="13"/>
      <c r="B139" s="20">
        <f>IFERROR(__xludf.DUMMYFUNCTION("""COMPUTED_VALUE"""),44356.66666666667)</f>
        <v>44356.66667</v>
      </c>
      <c r="C139" s="14">
        <f>IFERROR(__xludf.DUMMYFUNCTION("""COMPUTED_VALUE"""),124.57)</f>
        <v>124.57</v>
      </c>
    </row>
    <row r="140" ht="15.75" customHeight="1">
      <c r="A140" s="13"/>
      <c r="B140" s="20">
        <f>IFERROR(__xludf.DUMMYFUNCTION("""COMPUTED_VALUE"""),44357.66666666667)</f>
        <v>44357.66667</v>
      </c>
      <c r="C140" s="14">
        <f>IFERROR(__xludf.DUMMYFUNCTION("""COMPUTED_VALUE"""),126.08)</f>
        <v>126.08</v>
      </c>
    </row>
    <row r="141" ht="15.75" customHeight="1">
      <c r="A141" s="13"/>
      <c r="B141" s="20">
        <f>IFERROR(__xludf.DUMMYFUNCTION("""COMPUTED_VALUE"""),44358.66666666667)</f>
        <v>44358.66667</v>
      </c>
      <c r="C141" s="14">
        <f>IFERROR(__xludf.DUMMYFUNCTION("""COMPUTED_VALUE"""),125.7)</f>
        <v>125.7</v>
      </c>
    </row>
    <row r="142" ht="15.75" customHeight="1">
      <c r="A142" s="13"/>
      <c r="B142" s="20">
        <f>IFERROR(__xludf.DUMMYFUNCTION("""COMPUTED_VALUE"""),44361.66666666667)</f>
        <v>44361.66667</v>
      </c>
      <c r="C142" s="14">
        <f>IFERROR(__xludf.DUMMYFUNCTION("""COMPUTED_VALUE"""),126.35)</f>
        <v>126.35</v>
      </c>
    </row>
    <row r="143" ht="15.75" customHeight="1">
      <c r="A143" s="13"/>
      <c r="B143" s="20">
        <f>IFERROR(__xludf.DUMMYFUNCTION("""COMPUTED_VALUE"""),44362.66666666667)</f>
        <v>44362.66667</v>
      </c>
      <c r="C143" s="14">
        <f>IFERROR(__xludf.DUMMYFUNCTION("""COMPUTED_VALUE"""),126.03)</f>
        <v>126.03</v>
      </c>
    </row>
    <row r="144" ht="15.75" customHeight="1">
      <c r="A144" s="13"/>
      <c r="B144" s="20">
        <f>IFERROR(__xludf.DUMMYFUNCTION("""COMPUTED_VALUE"""),44363.66666666667)</f>
        <v>44363.66667</v>
      </c>
      <c r="C144" s="14">
        <f>IFERROR(__xludf.DUMMYFUNCTION("""COMPUTED_VALUE"""),125.7)</f>
        <v>125.7</v>
      </c>
    </row>
    <row r="145" ht="15.75" customHeight="1">
      <c r="A145" s="13"/>
      <c r="B145" s="20">
        <f>IFERROR(__xludf.DUMMYFUNCTION("""COMPUTED_VALUE"""),44364.66666666667)</f>
        <v>44364.66667</v>
      </c>
      <c r="C145" s="14">
        <f>IFERROR(__xludf.DUMMYFUNCTION("""COMPUTED_VALUE"""),126.37)</f>
        <v>126.37</v>
      </c>
    </row>
    <row r="146" ht="15.75" customHeight="1">
      <c r="A146" s="13"/>
      <c r="B146" s="20">
        <f>IFERROR(__xludf.DUMMYFUNCTION("""COMPUTED_VALUE"""),44365.66666666667)</f>
        <v>44365.66667</v>
      </c>
      <c r="C146" s="14">
        <f>IFERROR(__xludf.DUMMYFUNCTION("""COMPUTED_VALUE"""),125.57)</f>
        <v>125.57</v>
      </c>
    </row>
    <row r="147" ht="15.75" customHeight="1">
      <c r="A147" s="13"/>
      <c r="B147" s="20">
        <f>IFERROR(__xludf.DUMMYFUNCTION("""COMPUTED_VALUE"""),44368.66666666667)</f>
        <v>44368.66667</v>
      </c>
      <c r="C147" s="14">
        <f>IFERROR(__xludf.DUMMYFUNCTION("""COMPUTED_VALUE"""),126.46)</f>
        <v>126.46</v>
      </c>
    </row>
    <row r="148" ht="15.75" customHeight="1">
      <c r="A148" s="13"/>
      <c r="B148" s="20">
        <f>IFERROR(__xludf.DUMMYFUNCTION("""COMPUTED_VALUE"""),44369.66666666667)</f>
        <v>44369.66667</v>
      </c>
      <c r="C148" s="14">
        <f>IFERROR(__xludf.DUMMYFUNCTION("""COMPUTED_VALUE"""),127.0)</f>
        <v>127</v>
      </c>
    </row>
    <row r="149" ht="15.75" customHeight="1">
      <c r="A149" s="13"/>
      <c r="B149" s="20">
        <f>IFERROR(__xludf.DUMMYFUNCTION("""COMPUTED_VALUE"""),44370.66666666667)</f>
        <v>44370.66667</v>
      </c>
      <c r="C149" s="14">
        <f>IFERROR(__xludf.DUMMYFUNCTION("""COMPUTED_VALUE"""),126.46)</f>
        <v>126.46</v>
      </c>
    </row>
    <row r="150" ht="15.75" customHeight="1">
      <c r="A150" s="13"/>
      <c r="B150" s="20">
        <f>IFERROR(__xludf.DUMMYFUNCTION("""COMPUTED_VALUE"""),44371.66666666667)</f>
        <v>44371.66667</v>
      </c>
      <c r="C150" s="14">
        <f>IFERROR(__xludf.DUMMYFUNCTION("""COMPUTED_VALUE"""),127.28)</f>
        <v>127.28</v>
      </c>
    </row>
    <row r="151" ht="15.75" customHeight="1">
      <c r="A151" s="13"/>
      <c r="B151" s="20">
        <f>IFERROR(__xludf.DUMMYFUNCTION("""COMPUTED_VALUE"""),44372.66666666667)</f>
        <v>44372.66667</v>
      </c>
      <c r="C151" s="14">
        <f>IFERROR(__xludf.DUMMYFUNCTION("""COMPUTED_VALUE"""),127.0)</f>
        <v>127</v>
      </c>
    </row>
    <row r="152" ht="15.75" customHeight="1">
      <c r="A152" s="13"/>
      <c r="B152" s="20">
        <f>IFERROR(__xludf.DUMMYFUNCTION("""COMPUTED_VALUE"""),44375.66666666667)</f>
        <v>44375.66667</v>
      </c>
      <c r="C152" s="14">
        <f>IFERROR(__xludf.DUMMYFUNCTION("""COMPUTED_VALUE"""),126.82)</f>
        <v>126.82</v>
      </c>
    </row>
    <row r="153" ht="15.75" customHeight="1">
      <c r="A153" s="13"/>
      <c r="B153" s="20">
        <f>IFERROR(__xludf.DUMMYFUNCTION("""COMPUTED_VALUE"""),44376.66666666667)</f>
        <v>44376.66667</v>
      </c>
      <c r="C153" s="14">
        <f>IFERROR(__xludf.DUMMYFUNCTION("""COMPUTED_VALUE"""),126.02)</f>
        <v>126.02</v>
      </c>
    </row>
    <row r="154" ht="15.75" customHeight="1">
      <c r="A154" s="13"/>
      <c r="B154" s="20">
        <f>IFERROR(__xludf.DUMMYFUNCTION("""COMPUTED_VALUE"""),44377.66666666667)</f>
        <v>44377.66667</v>
      </c>
      <c r="C154" s="14">
        <f>IFERROR(__xludf.DUMMYFUNCTION("""COMPUTED_VALUE"""),125.32)</f>
        <v>125.32</v>
      </c>
    </row>
    <row r="155" ht="15.75" customHeight="1">
      <c r="A155" s="13"/>
      <c r="B155" s="20">
        <f>IFERROR(__xludf.DUMMYFUNCTION("""COMPUTED_VALUE"""),44378.66666666667)</f>
        <v>44378.66667</v>
      </c>
      <c r="C155" s="14">
        <f>IFERROR(__xludf.DUMMYFUNCTION("""COMPUTED_VALUE"""),126.37)</f>
        <v>126.37</v>
      </c>
    </row>
    <row r="156" ht="15.75" customHeight="1">
      <c r="A156" s="13"/>
      <c r="B156" s="20">
        <f>IFERROR(__xludf.DUMMYFUNCTION("""COMPUTED_VALUE"""),44379.66666666667)</f>
        <v>44379.66667</v>
      </c>
      <c r="C156" s="14">
        <f>IFERROR(__xludf.DUMMYFUNCTION("""COMPUTED_VALUE"""),128.72)</f>
        <v>128.72</v>
      </c>
    </row>
    <row r="157" ht="15.75" customHeight="1">
      <c r="A157" s="13"/>
      <c r="B157" s="20">
        <f>IFERROR(__xludf.DUMMYFUNCTION("""COMPUTED_VALUE"""),44383.66666666667)</f>
        <v>44383.66667</v>
      </c>
      <c r="C157" s="14">
        <f>IFERROR(__xludf.DUMMYFUNCTION("""COMPUTED_VALUE"""),129.77)</f>
        <v>129.77</v>
      </c>
    </row>
    <row r="158" ht="15.75" customHeight="1">
      <c r="A158" s="13"/>
      <c r="B158" s="20">
        <f>IFERROR(__xludf.DUMMYFUNCTION("""COMPUTED_VALUE"""),44384.66666666667)</f>
        <v>44384.66667</v>
      </c>
      <c r="C158" s="14">
        <f>IFERROR(__xludf.DUMMYFUNCTION("""COMPUTED_VALUE"""),130.08)</f>
        <v>130.08</v>
      </c>
    </row>
    <row r="159" ht="15.75" customHeight="1">
      <c r="A159" s="13"/>
      <c r="B159" s="20">
        <f>IFERROR(__xludf.DUMMYFUNCTION("""COMPUTED_VALUE"""),44385.66666666667)</f>
        <v>44385.66667</v>
      </c>
      <c r="C159" s="14">
        <f>IFERROR(__xludf.DUMMYFUNCTION("""COMPUTED_VALUE"""),129.18)</f>
        <v>129.18</v>
      </c>
    </row>
    <row r="160" ht="15.75" customHeight="1">
      <c r="A160" s="13"/>
      <c r="B160" s="20">
        <f>IFERROR(__xludf.DUMMYFUNCTION("""COMPUTED_VALUE"""),44386.66666666667)</f>
        <v>44386.66667</v>
      </c>
      <c r="C160" s="14">
        <f>IFERROR(__xludf.DUMMYFUNCTION("""COMPUTED_VALUE"""),129.57)</f>
        <v>129.57</v>
      </c>
    </row>
    <row r="161" ht="15.75" customHeight="1">
      <c r="A161" s="13"/>
      <c r="B161" s="20">
        <f>IFERROR(__xludf.DUMMYFUNCTION("""COMPUTED_VALUE"""),44389.66666666667)</f>
        <v>44389.66667</v>
      </c>
      <c r="C161" s="14">
        <f>IFERROR(__xludf.DUMMYFUNCTION("""COMPUTED_VALUE"""),130.56)</f>
        <v>130.56</v>
      </c>
    </row>
    <row r="162" ht="15.75" customHeight="1">
      <c r="A162" s="13"/>
      <c r="B162" s="20">
        <f>IFERROR(__xludf.DUMMYFUNCTION("""COMPUTED_VALUE"""),44390.66666666667)</f>
        <v>44390.66667</v>
      </c>
      <c r="C162" s="14">
        <f>IFERROR(__xludf.DUMMYFUNCTION("""COMPUTED_VALUE"""),130.99)</f>
        <v>130.99</v>
      </c>
    </row>
    <row r="163" ht="15.75" customHeight="1">
      <c r="A163" s="13"/>
      <c r="B163" s="20">
        <f>IFERROR(__xludf.DUMMYFUNCTION("""COMPUTED_VALUE"""),44391.66666666667)</f>
        <v>44391.66667</v>
      </c>
      <c r="C163" s="14">
        <f>IFERROR(__xludf.DUMMYFUNCTION("""COMPUTED_VALUE"""),132.08)</f>
        <v>132.08</v>
      </c>
    </row>
    <row r="164" ht="15.75" customHeight="1">
      <c r="A164" s="13"/>
      <c r="B164" s="20">
        <f>IFERROR(__xludf.DUMMYFUNCTION("""COMPUTED_VALUE"""),44392.66666666667)</f>
        <v>44392.66667</v>
      </c>
      <c r="C164" s="14">
        <f>IFERROR(__xludf.DUMMYFUNCTION("""COMPUTED_VALUE"""),131.27)</f>
        <v>131.27</v>
      </c>
    </row>
    <row r="165" ht="15.75" customHeight="1">
      <c r="A165" s="13"/>
      <c r="B165" s="20">
        <f>IFERROR(__xludf.DUMMYFUNCTION("""COMPUTED_VALUE"""),44393.66666666667)</f>
        <v>44393.66667</v>
      </c>
      <c r="C165" s="14">
        <f>IFERROR(__xludf.DUMMYFUNCTION("""COMPUTED_VALUE"""),131.85)</f>
        <v>131.85</v>
      </c>
    </row>
    <row r="166" ht="15.75" customHeight="1">
      <c r="A166" s="13"/>
      <c r="B166" s="20">
        <f>IFERROR(__xludf.DUMMYFUNCTION("""COMPUTED_VALUE"""),44396.66666666667)</f>
        <v>44396.66667</v>
      </c>
      <c r="C166" s="14">
        <f>IFERROR(__xludf.DUMMYFUNCTION("""COMPUTED_VALUE"""),129.25)</f>
        <v>129.25</v>
      </c>
    </row>
    <row r="167" ht="15.75" customHeight="1">
      <c r="A167" s="13"/>
      <c r="B167" s="20">
        <f>IFERROR(__xludf.DUMMYFUNCTION("""COMPUTED_VALUE"""),44397.66666666667)</f>
        <v>44397.66667</v>
      </c>
      <c r="C167" s="14">
        <f>IFERROR(__xludf.DUMMYFUNCTION("""COMPUTED_VALUE"""),131.1)</f>
        <v>131.1</v>
      </c>
    </row>
    <row r="168" ht="15.75" customHeight="1">
      <c r="A168" s="13"/>
      <c r="B168" s="20">
        <f>IFERROR(__xludf.DUMMYFUNCTION("""COMPUTED_VALUE"""),44398.66666666667)</f>
        <v>44398.66667</v>
      </c>
      <c r="C168" s="14">
        <f>IFERROR(__xludf.DUMMYFUNCTION("""COMPUTED_VALUE"""),132.6)</f>
        <v>132.6</v>
      </c>
    </row>
    <row r="169" ht="15.75" customHeight="1">
      <c r="A169" s="13"/>
      <c r="B169" s="20">
        <f>IFERROR(__xludf.DUMMYFUNCTION("""COMPUTED_VALUE"""),44399.66666666667)</f>
        <v>44399.66667</v>
      </c>
      <c r="C169" s="14">
        <f>IFERROR(__xludf.DUMMYFUNCTION("""COMPUTED_VALUE"""),133.33)</f>
        <v>133.33</v>
      </c>
    </row>
    <row r="170" ht="15.75" customHeight="1">
      <c r="A170" s="13"/>
      <c r="B170" s="20">
        <f>IFERROR(__xludf.DUMMYFUNCTION("""COMPUTED_VALUE"""),44400.66666666667)</f>
        <v>44400.66667</v>
      </c>
      <c r="C170" s="14">
        <f>IFERROR(__xludf.DUMMYFUNCTION("""COMPUTED_VALUE"""),137.82)</f>
        <v>137.82</v>
      </c>
    </row>
    <row r="171" ht="15.75" customHeight="1">
      <c r="A171" s="13"/>
      <c r="B171" s="20">
        <f>IFERROR(__xludf.DUMMYFUNCTION("""COMPUTED_VALUE"""),44403.66666666667)</f>
        <v>44403.66667</v>
      </c>
      <c r="C171" s="14">
        <f>IFERROR(__xludf.DUMMYFUNCTION("""COMPUTED_VALUE"""),139.64)</f>
        <v>139.64</v>
      </c>
    </row>
    <row r="172" ht="15.75" customHeight="1">
      <c r="A172" s="13"/>
      <c r="B172" s="20">
        <f>IFERROR(__xludf.DUMMYFUNCTION("""COMPUTED_VALUE"""),44404.66666666667)</f>
        <v>44404.66667</v>
      </c>
      <c r="C172" s="14">
        <f>IFERROR(__xludf.DUMMYFUNCTION("""COMPUTED_VALUE"""),136.8)</f>
        <v>136.8</v>
      </c>
    </row>
    <row r="173" ht="15.75" customHeight="1">
      <c r="A173" s="13"/>
      <c r="B173" s="20">
        <f>IFERROR(__xludf.DUMMYFUNCTION("""COMPUTED_VALUE"""),44405.66666666667)</f>
        <v>44405.66667</v>
      </c>
      <c r="C173" s="14">
        <f>IFERROR(__xludf.DUMMYFUNCTION("""COMPUTED_VALUE"""),136.38)</f>
        <v>136.38</v>
      </c>
    </row>
    <row r="174" ht="15.75" customHeight="1">
      <c r="A174" s="13"/>
      <c r="B174" s="20">
        <f>IFERROR(__xludf.DUMMYFUNCTION("""COMPUTED_VALUE"""),44406.66666666667)</f>
        <v>44406.66667</v>
      </c>
      <c r="C174" s="14">
        <f>IFERROR(__xludf.DUMMYFUNCTION("""COMPUTED_VALUE"""),136.54)</f>
        <v>136.54</v>
      </c>
    </row>
    <row r="175" ht="15.75" customHeight="1">
      <c r="A175" s="13"/>
      <c r="B175" s="20">
        <f>IFERROR(__xludf.DUMMYFUNCTION("""COMPUTED_VALUE"""),44407.66666666667)</f>
        <v>44407.66667</v>
      </c>
      <c r="C175" s="14">
        <f>IFERROR(__xludf.DUMMYFUNCTION("""COMPUTED_VALUE"""),135.22)</f>
        <v>135.22</v>
      </c>
    </row>
    <row r="176" ht="15.75" customHeight="1">
      <c r="A176" s="13"/>
      <c r="B176" s="20">
        <f>IFERROR(__xludf.DUMMYFUNCTION("""COMPUTED_VALUE"""),44410.66666666667)</f>
        <v>44410.66667</v>
      </c>
      <c r="C176" s="14">
        <f>IFERROR(__xludf.DUMMYFUNCTION("""COMPUTED_VALUE"""),135.99)</f>
        <v>135.99</v>
      </c>
    </row>
    <row r="177" ht="15.75" customHeight="1">
      <c r="A177" s="13"/>
      <c r="B177" s="20">
        <f>IFERROR(__xludf.DUMMYFUNCTION("""COMPUTED_VALUE"""),44411.66666666667)</f>
        <v>44411.66667</v>
      </c>
      <c r="C177" s="14">
        <f>IFERROR(__xludf.DUMMYFUNCTION("""COMPUTED_VALUE"""),136.28)</f>
        <v>136.28</v>
      </c>
    </row>
    <row r="178" ht="15.75" customHeight="1">
      <c r="A178" s="13"/>
      <c r="B178" s="20">
        <f>IFERROR(__xludf.DUMMYFUNCTION("""COMPUTED_VALUE"""),44412.66666666667)</f>
        <v>44412.66667</v>
      </c>
      <c r="C178" s="14">
        <f>IFERROR(__xludf.DUMMYFUNCTION("""COMPUTED_VALUE"""),136.03)</f>
        <v>136.03</v>
      </c>
    </row>
    <row r="179" ht="15.75" customHeight="1">
      <c r="A179" s="13"/>
      <c r="B179" s="20">
        <f>IFERROR(__xludf.DUMMYFUNCTION("""COMPUTED_VALUE"""),44413.66666666667)</f>
        <v>44413.66667</v>
      </c>
      <c r="C179" s="14">
        <f>IFERROR(__xludf.DUMMYFUNCTION("""COMPUTED_VALUE"""),136.94)</f>
        <v>136.94</v>
      </c>
    </row>
    <row r="180" ht="15.75" customHeight="1">
      <c r="A180" s="13"/>
      <c r="B180" s="20">
        <f>IFERROR(__xludf.DUMMYFUNCTION("""COMPUTED_VALUE"""),44414.66666666667)</f>
        <v>44414.66667</v>
      </c>
      <c r="C180" s="14">
        <f>IFERROR(__xludf.DUMMYFUNCTION("""COMPUTED_VALUE"""),137.04)</f>
        <v>137.04</v>
      </c>
    </row>
    <row r="181" ht="15.75" customHeight="1">
      <c r="A181" s="13"/>
      <c r="B181" s="20">
        <f>IFERROR(__xludf.DUMMYFUNCTION("""COMPUTED_VALUE"""),44417.66666666667)</f>
        <v>44417.66667</v>
      </c>
      <c r="C181" s="14">
        <f>IFERROR(__xludf.DUMMYFUNCTION("""COMPUTED_VALUE"""),138.0)</f>
        <v>138</v>
      </c>
    </row>
    <row r="182" ht="15.75" customHeight="1">
      <c r="A182" s="13"/>
      <c r="B182" s="20">
        <f>IFERROR(__xludf.DUMMYFUNCTION("""COMPUTED_VALUE"""),44418.66666666667)</f>
        <v>44418.66667</v>
      </c>
      <c r="C182" s="14">
        <f>IFERROR(__xludf.DUMMYFUNCTION("""COMPUTED_VALUE"""),138.1)</f>
        <v>138.1</v>
      </c>
    </row>
    <row r="183" ht="15.75" customHeight="1">
      <c r="A183" s="13"/>
      <c r="B183" s="20">
        <f>IFERROR(__xludf.DUMMYFUNCTION("""COMPUTED_VALUE"""),44419.66666666667)</f>
        <v>44419.66667</v>
      </c>
      <c r="C183" s="14">
        <f>IFERROR(__xludf.DUMMYFUNCTION("""COMPUTED_VALUE"""),137.69)</f>
        <v>137.69</v>
      </c>
    </row>
    <row r="184" ht="15.75" customHeight="1">
      <c r="A184" s="13"/>
      <c r="B184" s="20">
        <f>IFERROR(__xludf.DUMMYFUNCTION("""COMPUTED_VALUE"""),44420.66666666667)</f>
        <v>44420.66667</v>
      </c>
      <c r="C184" s="14">
        <f>IFERROR(__xludf.DUMMYFUNCTION("""COMPUTED_VALUE"""),138.39)</f>
        <v>138.39</v>
      </c>
    </row>
    <row r="185" ht="15.75" customHeight="1">
      <c r="A185" s="13"/>
      <c r="B185" s="20">
        <f>IFERROR(__xludf.DUMMYFUNCTION("""COMPUTED_VALUE"""),44421.66666666667)</f>
        <v>44421.66667</v>
      </c>
      <c r="C185" s="14">
        <f>IFERROR(__xludf.DUMMYFUNCTION("""COMPUTED_VALUE"""),138.41)</f>
        <v>138.41</v>
      </c>
    </row>
    <row r="186" ht="15.75" customHeight="1">
      <c r="A186" s="13"/>
      <c r="B186" s="20">
        <f>IFERROR(__xludf.DUMMYFUNCTION("""COMPUTED_VALUE"""),44424.66666666667)</f>
        <v>44424.66667</v>
      </c>
      <c r="C186" s="14">
        <f>IFERROR(__xludf.DUMMYFUNCTION("""COMPUTED_VALUE"""),138.92)</f>
        <v>138.92</v>
      </c>
    </row>
    <row r="187" ht="15.75" customHeight="1">
      <c r="A187" s="13"/>
      <c r="B187" s="20">
        <f>IFERROR(__xludf.DUMMYFUNCTION("""COMPUTED_VALUE"""),44425.66666666667)</f>
        <v>44425.66667</v>
      </c>
      <c r="C187" s="14">
        <f>IFERROR(__xludf.DUMMYFUNCTION("""COMPUTED_VALUE"""),137.3)</f>
        <v>137.3</v>
      </c>
    </row>
    <row r="188" ht="15.75" customHeight="1">
      <c r="A188" s="13"/>
      <c r="B188" s="20">
        <f>IFERROR(__xludf.DUMMYFUNCTION("""COMPUTED_VALUE"""),44426.66666666667)</f>
        <v>44426.66667</v>
      </c>
      <c r="C188" s="14">
        <f>IFERROR(__xludf.DUMMYFUNCTION("""COMPUTED_VALUE"""),136.57)</f>
        <v>136.57</v>
      </c>
    </row>
    <row r="189" ht="15.75" customHeight="1">
      <c r="A189" s="13"/>
      <c r="B189" s="20">
        <f>IFERROR(__xludf.DUMMYFUNCTION("""COMPUTED_VALUE"""),44427.66666666667)</f>
        <v>44427.66667</v>
      </c>
      <c r="C189" s="14">
        <f>IFERROR(__xludf.DUMMYFUNCTION("""COMPUTED_VALUE"""),136.91)</f>
        <v>136.91</v>
      </c>
    </row>
    <row r="190" ht="15.75" customHeight="1">
      <c r="A190" s="13"/>
      <c r="B190" s="20">
        <f>IFERROR(__xludf.DUMMYFUNCTION("""COMPUTED_VALUE"""),44428.66666666667)</f>
        <v>44428.66667</v>
      </c>
      <c r="C190" s="14">
        <f>IFERROR(__xludf.DUMMYFUNCTION("""COMPUTED_VALUE"""),138.44)</f>
        <v>138.44</v>
      </c>
    </row>
    <row r="191" ht="15.75" customHeight="1">
      <c r="A191" s="13"/>
      <c r="B191" s="20">
        <f>IFERROR(__xludf.DUMMYFUNCTION("""COMPUTED_VALUE"""),44431.66666666667)</f>
        <v>44431.66667</v>
      </c>
      <c r="C191" s="14">
        <f>IFERROR(__xludf.DUMMYFUNCTION("""COMPUTED_VALUE"""),141.1)</f>
        <v>141.1</v>
      </c>
    </row>
    <row r="192" ht="15.75" customHeight="1">
      <c r="A192" s="13"/>
      <c r="B192" s="20">
        <f>IFERROR(__xludf.DUMMYFUNCTION("""COMPUTED_VALUE"""),44432.66666666667)</f>
        <v>44432.66667</v>
      </c>
      <c r="C192" s="14">
        <f>IFERROR(__xludf.DUMMYFUNCTION("""COMPUTED_VALUE"""),142.4)</f>
        <v>142.4</v>
      </c>
    </row>
    <row r="193" ht="15.75" customHeight="1">
      <c r="A193" s="13"/>
      <c r="B193" s="20">
        <f>IFERROR(__xludf.DUMMYFUNCTION("""COMPUTED_VALUE"""),44433.66666666667)</f>
        <v>44433.66667</v>
      </c>
      <c r="C193" s="14">
        <f>IFERROR(__xludf.DUMMYFUNCTION("""COMPUTED_VALUE"""),142.95)</f>
        <v>142.95</v>
      </c>
    </row>
    <row r="194" ht="15.75" customHeight="1">
      <c r="A194" s="13"/>
      <c r="B194" s="20">
        <f>IFERROR(__xludf.DUMMYFUNCTION("""COMPUTED_VALUE"""),44434.66666666667)</f>
        <v>44434.66667</v>
      </c>
      <c r="C194" s="14">
        <f>IFERROR(__xludf.DUMMYFUNCTION("""COMPUTED_VALUE"""),142.12)</f>
        <v>142.12</v>
      </c>
    </row>
    <row r="195" ht="15.75" customHeight="1">
      <c r="A195" s="13"/>
      <c r="B195" s="20">
        <f>IFERROR(__xludf.DUMMYFUNCTION("""COMPUTED_VALUE"""),44435.66666666667)</f>
        <v>44435.66667</v>
      </c>
      <c r="C195" s="14">
        <f>IFERROR(__xludf.DUMMYFUNCTION("""COMPUTED_VALUE"""),144.55)</f>
        <v>144.55</v>
      </c>
    </row>
    <row r="196" ht="15.75" customHeight="1">
      <c r="A196" s="13"/>
      <c r="B196" s="20">
        <f>IFERROR(__xludf.DUMMYFUNCTION("""COMPUTED_VALUE"""),44438.66666666667)</f>
        <v>44438.66667</v>
      </c>
      <c r="C196" s="14">
        <f>IFERROR(__xludf.DUMMYFUNCTION("""COMPUTED_VALUE"""),145.47)</f>
        <v>145.47</v>
      </c>
    </row>
    <row r="197" ht="15.75" customHeight="1">
      <c r="A197" s="13"/>
      <c r="B197" s="20">
        <f>IFERROR(__xludf.DUMMYFUNCTION("""COMPUTED_VALUE"""),44439.66666666667)</f>
        <v>44439.66667</v>
      </c>
      <c r="C197" s="14">
        <f>IFERROR(__xludf.DUMMYFUNCTION("""COMPUTED_VALUE"""),145.46)</f>
        <v>145.46</v>
      </c>
    </row>
    <row r="198" ht="15.75" customHeight="1">
      <c r="A198" s="13"/>
      <c r="B198" s="20">
        <f>IFERROR(__xludf.DUMMYFUNCTION("""COMPUTED_VALUE"""),44440.66666666667)</f>
        <v>44440.66667</v>
      </c>
      <c r="C198" s="14">
        <f>IFERROR(__xludf.DUMMYFUNCTION("""COMPUTED_VALUE"""),145.84)</f>
        <v>145.84</v>
      </c>
    </row>
    <row r="199" ht="15.75" customHeight="1">
      <c r="A199" s="13"/>
      <c r="B199" s="20">
        <f>IFERROR(__xludf.DUMMYFUNCTION("""COMPUTED_VALUE"""),44441.66666666667)</f>
        <v>44441.66667</v>
      </c>
      <c r="C199" s="14">
        <f>IFERROR(__xludf.DUMMYFUNCTION("""COMPUTED_VALUE"""),144.22)</f>
        <v>144.22</v>
      </c>
    </row>
    <row r="200" ht="15.75" customHeight="1">
      <c r="A200" s="13"/>
      <c r="B200" s="20">
        <f>IFERROR(__xludf.DUMMYFUNCTION("""COMPUTED_VALUE"""),44442.66666666667)</f>
        <v>44442.66667</v>
      </c>
      <c r="C200" s="14">
        <f>IFERROR(__xludf.DUMMYFUNCTION("""COMPUTED_VALUE"""),144.78)</f>
        <v>144.78</v>
      </c>
    </row>
    <row r="201" ht="15.75" customHeight="1">
      <c r="A201" s="13"/>
      <c r="B201" s="20">
        <f>IFERROR(__xludf.DUMMYFUNCTION("""COMPUTED_VALUE"""),44446.66666666667)</f>
        <v>44446.66667</v>
      </c>
      <c r="C201" s="14">
        <f>IFERROR(__xludf.DUMMYFUNCTION("""COMPUTED_VALUE"""),145.52)</f>
        <v>145.52</v>
      </c>
    </row>
    <row r="202" ht="15.75" customHeight="1">
      <c r="A202" s="13"/>
      <c r="B202" s="20">
        <f>IFERROR(__xludf.DUMMYFUNCTION("""COMPUTED_VALUE"""),44447.66666666667)</f>
        <v>44447.66667</v>
      </c>
      <c r="C202" s="14">
        <f>IFERROR(__xludf.DUMMYFUNCTION("""COMPUTED_VALUE"""),144.88)</f>
        <v>144.88</v>
      </c>
    </row>
    <row r="203" ht="15.75" customHeight="1">
      <c r="A203" s="13"/>
      <c r="B203" s="20">
        <f>IFERROR(__xludf.DUMMYFUNCTION("""COMPUTED_VALUE"""),44448.66666666667)</f>
        <v>44448.66667</v>
      </c>
      <c r="C203" s="14">
        <f>IFERROR(__xludf.DUMMYFUNCTION("""COMPUTED_VALUE"""),144.91)</f>
        <v>144.91</v>
      </c>
    </row>
    <row r="204" ht="15.75" customHeight="1">
      <c r="A204" s="13"/>
      <c r="B204" s="20">
        <f>IFERROR(__xludf.DUMMYFUNCTION("""COMPUTED_VALUE"""),44449.66666666667)</f>
        <v>44449.66667</v>
      </c>
      <c r="C204" s="14">
        <f>IFERROR(__xludf.DUMMYFUNCTION("""COMPUTED_VALUE"""),141.92)</f>
        <v>141.92</v>
      </c>
    </row>
    <row r="205" ht="15.75" customHeight="1">
      <c r="A205" s="13"/>
      <c r="B205" s="20">
        <f>IFERROR(__xludf.DUMMYFUNCTION("""COMPUTED_VALUE"""),44452.66666666667)</f>
        <v>44452.66667</v>
      </c>
      <c r="C205" s="14">
        <f>IFERROR(__xludf.DUMMYFUNCTION("""COMPUTED_VALUE"""),143.47)</f>
        <v>143.47</v>
      </c>
    </row>
    <row r="206" ht="15.75" customHeight="1">
      <c r="A206" s="13"/>
      <c r="B206" s="20">
        <f>IFERROR(__xludf.DUMMYFUNCTION("""COMPUTED_VALUE"""),44453.66666666667)</f>
        <v>44453.66667</v>
      </c>
      <c r="C206" s="14">
        <f>IFERROR(__xludf.DUMMYFUNCTION("""COMPUTED_VALUE"""),143.41)</f>
        <v>143.41</v>
      </c>
    </row>
    <row r="207" ht="15.75" customHeight="1">
      <c r="A207" s="13"/>
      <c r="B207" s="20">
        <f>IFERROR(__xludf.DUMMYFUNCTION("""COMPUTED_VALUE"""),44454.66666666667)</f>
        <v>44454.66667</v>
      </c>
      <c r="C207" s="14">
        <f>IFERROR(__xludf.DUMMYFUNCTION("""COMPUTED_VALUE"""),145.21)</f>
        <v>145.21</v>
      </c>
    </row>
    <row r="208" ht="15.75" customHeight="1">
      <c r="A208" s="13"/>
      <c r="B208" s="20">
        <f>IFERROR(__xludf.DUMMYFUNCTION("""COMPUTED_VALUE"""),44455.66666666667)</f>
        <v>44455.66667</v>
      </c>
      <c r="C208" s="14">
        <f>IFERROR(__xludf.DUMMYFUNCTION("""COMPUTED_VALUE"""),144.37)</f>
        <v>144.37</v>
      </c>
    </row>
    <row r="209" ht="15.75" customHeight="1">
      <c r="A209" s="13"/>
      <c r="B209" s="20">
        <f>IFERROR(__xludf.DUMMYFUNCTION("""COMPUTED_VALUE"""),44456.66666666667)</f>
        <v>44456.66667</v>
      </c>
      <c r="C209" s="14">
        <f>IFERROR(__xludf.DUMMYFUNCTION("""COMPUTED_VALUE"""),141.46)</f>
        <v>141.46</v>
      </c>
    </row>
    <row r="210" ht="15.75" customHeight="1">
      <c r="A210" s="13"/>
      <c r="B210" s="20">
        <f>IFERROR(__xludf.DUMMYFUNCTION("""COMPUTED_VALUE"""),44459.66666666667)</f>
        <v>44459.66667</v>
      </c>
      <c r="C210" s="14">
        <f>IFERROR(__xludf.DUMMYFUNCTION("""COMPUTED_VALUE"""),139.02)</f>
        <v>139.02</v>
      </c>
    </row>
    <row r="211" ht="15.75" customHeight="1">
      <c r="A211" s="13"/>
      <c r="B211" s="20">
        <f>IFERROR(__xludf.DUMMYFUNCTION("""COMPUTED_VALUE"""),44460.66666666667)</f>
        <v>44460.66667</v>
      </c>
      <c r="C211" s="14">
        <f>IFERROR(__xludf.DUMMYFUNCTION("""COMPUTED_VALUE"""),139.65)</f>
        <v>139.65</v>
      </c>
    </row>
    <row r="212" ht="15.75" customHeight="1">
      <c r="A212" s="13"/>
      <c r="B212" s="20">
        <f>IFERROR(__xludf.DUMMYFUNCTION("""COMPUTED_VALUE"""),44461.66666666667)</f>
        <v>44461.66667</v>
      </c>
      <c r="C212" s="14">
        <f>IFERROR(__xludf.DUMMYFUNCTION("""COMPUTED_VALUE"""),140.94)</f>
        <v>140.94</v>
      </c>
    </row>
    <row r="213" ht="15.75" customHeight="1">
      <c r="A213" s="13"/>
      <c r="B213" s="20">
        <f>IFERROR(__xludf.DUMMYFUNCTION("""COMPUTED_VALUE"""),44462.66666666667)</f>
        <v>44462.66667</v>
      </c>
      <c r="C213" s="14">
        <f>IFERROR(__xludf.DUMMYFUNCTION("""COMPUTED_VALUE"""),141.83)</f>
        <v>141.83</v>
      </c>
    </row>
    <row r="214" ht="15.75" customHeight="1">
      <c r="A214" s="13"/>
      <c r="B214" s="20">
        <f>IFERROR(__xludf.DUMMYFUNCTION("""COMPUTED_VALUE"""),44463.66666666667)</f>
        <v>44463.66667</v>
      </c>
      <c r="C214" s="14">
        <f>IFERROR(__xludf.DUMMYFUNCTION("""COMPUTED_VALUE"""),142.63)</f>
        <v>142.63</v>
      </c>
    </row>
    <row r="215" ht="15.75" customHeight="1">
      <c r="A215" s="13"/>
      <c r="B215" s="20">
        <f>IFERROR(__xludf.DUMMYFUNCTION("""COMPUTED_VALUE"""),44466.66666666667)</f>
        <v>44466.66667</v>
      </c>
      <c r="C215" s="14">
        <f>IFERROR(__xludf.DUMMYFUNCTION("""COMPUTED_VALUE"""),141.5)</f>
        <v>141.5</v>
      </c>
    </row>
    <row r="216" ht="15.75" customHeight="1">
      <c r="A216" s="13"/>
      <c r="B216" s="20">
        <f>IFERROR(__xludf.DUMMYFUNCTION("""COMPUTED_VALUE"""),44467.66666666667)</f>
        <v>44467.66667</v>
      </c>
      <c r="C216" s="14">
        <f>IFERROR(__xludf.DUMMYFUNCTION("""COMPUTED_VALUE"""),136.18)</f>
        <v>136.18</v>
      </c>
    </row>
    <row r="217" ht="15.75" customHeight="1">
      <c r="A217" s="13"/>
      <c r="B217" s="20">
        <f>IFERROR(__xludf.DUMMYFUNCTION("""COMPUTED_VALUE"""),44468.66666666667)</f>
        <v>44468.66667</v>
      </c>
      <c r="C217" s="14">
        <f>IFERROR(__xludf.DUMMYFUNCTION("""COMPUTED_VALUE"""),134.52)</f>
        <v>134.52</v>
      </c>
    </row>
    <row r="218" ht="15.75" customHeight="1">
      <c r="A218" s="13"/>
      <c r="B218" s="20">
        <f>IFERROR(__xludf.DUMMYFUNCTION("""COMPUTED_VALUE"""),44469.66666666667)</f>
        <v>44469.66667</v>
      </c>
      <c r="C218" s="14">
        <f>IFERROR(__xludf.DUMMYFUNCTION("""COMPUTED_VALUE"""),133.27)</f>
        <v>133.27</v>
      </c>
    </row>
    <row r="219" ht="15.75" customHeight="1">
      <c r="A219" s="13"/>
      <c r="B219" s="20">
        <f>IFERROR(__xludf.DUMMYFUNCTION("""COMPUTED_VALUE"""),44470.66666666667)</f>
        <v>44470.66667</v>
      </c>
      <c r="C219" s="14">
        <f>IFERROR(__xludf.DUMMYFUNCTION("""COMPUTED_VALUE"""),136.46)</f>
        <v>136.46</v>
      </c>
    </row>
    <row r="220" ht="15.75" customHeight="1">
      <c r="A220" s="13"/>
      <c r="B220" s="20">
        <f>IFERROR(__xludf.DUMMYFUNCTION("""COMPUTED_VALUE"""),44473.66666666667)</f>
        <v>44473.66667</v>
      </c>
      <c r="C220" s="14">
        <f>IFERROR(__xludf.DUMMYFUNCTION("""COMPUTED_VALUE"""),133.76)</f>
        <v>133.76</v>
      </c>
    </row>
    <row r="221" ht="15.75" customHeight="1">
      <c r="A221" s="13"/>
      <c r="B221" s="20">
        <f>IFERROR(__xludf.DUMMYFUNCTION("""COMPUTED_VALUE"""),44474.66666666667)</f>
        <v>44474.66667</v>
      </c>
      <c r="C221" s="14">
        <f>IFERROR(__xludf.DUMMYFUNCTION("""COMPUTED_VALUE"""),136.18)</f>
        <v>136.18</v>
      </c>
    </row>
    <row r="222" ht="15.75" customHeight="1">
      <c r="A222" s="13"/>
      <c r="B222" s="20">
        <f>IFERROR(__xludf.DUMMYFUNCTION("""COMPUTED_VALUE"""),44475.66666666667)</f>
        <v>44475.66667</v>
      </c>
      <c r="C222" s="14">
        <f>IFERROR(__xludf.DUMMYFUNCTION("""COMPUTED_VALUE"""),137.35)</f>
        <v>137.35</v>
      </c>
    </row>
    <row r="223" ht="15.75" customHeight="1">
      <c r="A223" s="13"/>
      <c r="B223" s="20">
        <f>IFERROR(__xludf.DUMMYFUNCTION("""COMPUTED_VALUE"""),44476.66666666667)</f>
        <v>44476.66667</v>
      </c>
      <c r="C223" s="14">
        <f>IFERROR(__xludf.DUMMYFUNCTION("""COMPUTED_VALUE"""),139.19)</f>
        <v>139.19</v>
      </c>
    </row>
    <row r="224" ht="15.75" customHeight="1">
      <c r="A224" s="13"/>
      <c r="B224" s="20">
        <f>IFERROR(__xludf.DUMMYFUNCTION("""COMPUTED_VALUE"""),44477.66666666667)</f>
        <v>44477.66667</v>
      </c>
      <c r="C224" s="14">
        <f>IFERROR(__xludf.DUMMYFUNCTION("""COMPUTED_VALUE"""),140.06)</f>
        <v>140.06</v>
      </c>
    </row>
    <row r="225" ht="15.75" customHeight="1">
      <c r="A225" s="13"/>
      <c r="B225" s="20">
        <f>IFERROR(__xludf.DUMMYFUNCTION("""COMPUTED_VALUE"""),44480.66666666667)</f>
        <v>44480.66667</v>
      </c>
      <c r="C225" s="14">
        <f>IFERROR(__xludf.DUMMYFUNCTION("""COMPUTED_VALUE"""),138.85)</f>
        <v>138.85</v>
      </c>
    </row>
    <row r="226" ht="15.75" customHeight="1">
      <c r="A226" s="13"/>
      <c r="B226" s="20">
        <f>IFERROR(__xludf.DUMMYFUNCTION("""COMPUTED_VALUE"""),44481.66666666667)</f>
        <v>44481.66667</v>
      </c>
      <c r="C226" s="14">
        <f>IFERROR(__xludf.DUMMYFUNCTION("""COMPUTED_VALUE"""),136.71)</f>
        <v>136.71</v>
      </c>
    </row>
    <row r="227" ht="15.75" customHeight="1">
      <c r="A227" s="13"/>
      <c r="B227" s="20">
        <f>IFERROR(__xludf.DUMMYFUNCTION("""COMPUTED_VALUE"""),44482.66666666667)</f>
        <v>44482.66667</v>
      </c>
      <c r="C227" s="14">
        <f>IFERROR(__xludf.DUMMYFUNCTION("""COMPUTED_VALUE"""),137.9)</f>
        <v>137.9</v>
      </c>
    </row>
    <row r="228" ht="15.75" customHeight="1">
      <c r="A228" s="13"/>
      <c r="B228" s="20">
        <f>IFERROR(__xludf.DUMMYFUNCTION("""COMPUTED_VALUE"""),44483.66666666667)</f>
        <v>44483.66667</v>
      </c>
      <c r="C228" s="14">
        <f>IFERROR(__xludf.DUMMYFUNCTION("""COMPUTED_VALUE"""),141.41)</f>
        <v>141.41</v>
      </c>
    </row>
    <row r="229" ht="15.75" customHeight="1">
      <c r="A229" s="13"/>
      <c r="B229" s="20">
        <f>IFERROR(__xludf.DUMMYFUNCTION("""COMPUTED_VALUE"""),44484.66666666667)</f>
        <v>44484.66667</v>
      </c>
      <c r="C229" s="14">
        <f>IFERROR(__xludf.DUMMYFUNCTION("""COMPUTED_VALUE"""),141.68)</f>
        <v>141.68</v>
      </c>
    </row>
    <row r="230" ht="15.75" customHeight="1">
      <c r="A230" s="13"/>
      <c r="B230" s="20">
        <f>IFERROR(__xludf.DUMMYFUNCTION("""COMPUTED_VALUE"""),44487.66666666667)</f>
        <v>44487.66667</v>
      </c>
      <c r="C230" s="14">
        <f>IFERROR(__xludf.DUMMYFUNCTION("""COMPUTED_VALUE"""),142.96)</f>
        <v>142.96</v>
      </c>
    </row>
    <row r="231" ht="15.75" customHeight="1">
      <c r="B231" s="20">
        <f>IFERROR(__xludf.DUMMYFUNCTION("""COMPUTED_VALUE"""),44488.66666666667)</f>
        <v>44488.66667</v>
      </c>
      <c r="C231" s="21">
        <f>IFERROR(__xludf.DUMMYFUNCTION("""COMPUTED_VALUE"""),143.82)</f>
        <v>143.82</v>
      </c>
    </row>
    <row r="232" ht="15.75" customHeight="1">
      <c r="B232" s="20">
        <f>IFERROR(__xludf.DUMMYFUNCTION("""COMPUTED_VALUE"""),44489.66666666667)</f>
        <v>44489.66667</v>
      </c>
      <c r="C232" s="21">
        <f>IFERROR(__xludf.DUMMYFUNCTION("""COMPUTED_VALUE"""),142.42)</f>
        <v>142.42</v>
      </c>
    </row>
    <row r="233" ht="15.75" customHeight="1">
      <c r="B233" s="20">
        <f>IFERROR(__xludf.DUMMYFUNCTION("""COMPUTED_VALUE"""),44490.66666666667)</f>
        <v>44490.66667</v>
      </c>
      <c r="C233" s="21">
        <f>IFERROR(__xludf.DUMMYFUNCTION("""COMPUTED_VALUE"""),142.78)</f>
        <v>142.78</v>
      </c>
    </row>
    <row r="234" ht="15.75" customHeight="1">
      <c r="B234" s="20">
        <f>IFERROR(__xludf.DUMMYFUNCTION("""COMPUTED_VALUE"""),44491.66666666667)</f>
        <v>44491.66667</v>
      </c>
      <c r="C234" s="21">
        <f>IFERROR(__xludf.DUMMYFUNCTION("""COMPUTED_VALUE"""),138.63)</f>
        <v>138.63</v>
      </c>
    </row>
    <row r="235" ht="15.75" customHeight="1">
      <c r="B235" s="20">
        <f>IFERROR(__xludf.DUMMYFUNCTION("""COMPUTED_VALUE"""),44494.66666666667)</f>
        <v>44494.66667</v>
      </c>
      <c r="C235" s="21">
        <f>IFERROR(__xludf.DUMMYFUNCTION("""COMPUTED_VALUE"""),138.77)</f>
        <v>138.77</v>
      </c>
    </row>
    <row r="236" ht="15.75" customHeight="1">
      <c r="B236" s="20">
        <f>IFERROR(__xludf.DUMMYFUNCTION("""COMPUTED_VALUE"""),44495.66666666667)</f>
        <v>44495.66667</v>
      </c>
      <c r="C236" s="21">
        <f>IFERROR(__xludf.DUMMYFUNCTION("""COMPUTED_VALUE"""),139.67)</f>
        <v>139.67</v>
      </c>
    </row>
    <row r="237" ht="15.75" customHeight="1">
      <c r="B237" s="20">
        <f>IFERROR(__xludf.DUMMYFUNCTION("""COMPUTED_VALUE"""),44496.66666666667)</f>
        <v>44496.66667</v>
      </c>
      <c r="C237" s="21">
        <f>IFERROR(__xludf.DUMMYFUNCTION("""COMPUTED_VALUE"""),146.43)</f>
        <v>146.43</v>
      </c>
    </row>
    <row r="238" ht="15.75" customHeight="1">
      <c r="B238" s="20">
        <f>IFERROR(__xludf.DUMMYFUNCTION("""COMPUTED_VALUE"""),44497.66666666667)</f>
        <v>44497.66667</v>
      </c>
      <c r="C238" s="21">
        <f>IFERROR(__xludf.DUMMYFUNCTION("""COMPUTED_VALUE"""),146.13)</f>
        <v>146.13</v>
      </c>
    </row>
    <row r="239" ht="15.75" customHeight="1">
      <c r="B239" s="20">
        <f>IFERROR(__xludf.DUMMYFUNCTION("""COMPUTED_VALUE"""),44498.66666666667)</f>
        <v>44498.66667</v>
      </c>
      <c r="C239" s="21">
        <f>IFERROR(__xludf.DUMMYFUNCTION("""COMPUTED_VALUE"""),148.27)</f>
        <v>148.27</v>
      </c>
    </row>
    <row r="240" ht="15.75" customHeight="1">
      <c r="B240" s="20">
        <f>IFERROR(__xludf.DUMMYFUNCTION("""COMPUTED_VALUE"""),44501.66666666667)</f>
        <v>44501.66667</v>
      </c>
      <c r="C240" s="21">
        <f>IFERROR(__xludf.DUMMYFUNCTION("""COMPUTED_VALUE"""),143.77)</f>
        <v>143.77</v>
      </c>
    </row>
    <row r="241" ht="15.75" customHeight="1">
      <c r="B241" s="20">
        <f>IFERROR(__xludf.DUMMYFUNCTION("""COMPUTED_VALUE"""),44502.66666666667)</f>
        <v>44502.66667</v>
      </c>
      <c r="C241" s="21">
        <f>IFERROR(__xludf.DUMMYFUNCTION("""COMPUTED_VALUE"""),145.86)</f>
        <v>145.86</v>
      </c>
    </row>
    <row r="242" ht="15.75" customHeight="1">
      <c r="B242" s="20">
        <f>IFERROR(__xludf.DUMMYFUNCTION("""COMPUTED_VALUE"""),44503.66666666667)</f>
        <v>44503.66667</v>
      </c>
      <c r="C242" s="21">
        <f>IFERROR(__xludf.DUMMYFUNCTION("""COMPUTED_VALUE"""),146.79)</f>
        <v>146.79</v>
      </c>
    </row>
    <row r="243" ht="15.75" customHeight="1">
      <c r="B243" s="20">
        <f>IFERROR(__xludf.DUMMYFUNCTION("""COMPUTED_VALUE"""),44504.66666666667)</f>
        <v>44504.66667</v>
      </c>
      <c r="C243" s="21">
        <f>IFERROR(__xludf.DUMMYFUNCTION("""COMPUTED_VALUE"""),148.68)</f>
        <v>148.68</v>
      </c>
    </row>
    <row r="244" ht="15.75" customHeight="1">
      <c r="B244" s="20">
        <f>IFERROR(__xludf.DUMMYFUNCTION("""COMPUTED_VALUE"""),44505.66666666667)</f>
        <v>44505.66667</v>
      </c>
      <c r="C244" s="21">
        <f>IFERROR(__xludf.DUMMYFUNCTION("""COMPUTED_VALUE"""),149.24)</f>
        <v>149.24</v>
      </c>
    </row>
    <row r="245" ht="15.75" customHeight="1">
      <c r="B245" s="20">
        <f>IFERROR(__xludf.DUMMYFUNCTION("""COMPUTED_VALUE"""),44508.66666666667)</f>
        <v>44508.66667</v>
      </c>
      <c r="C245" s="21">
        <f>IFERROR(__xludf.DUMMYFUNCTION("""COMPUTED_VALUE"""),149.35)</f>
        <v>149.35</v>
      </c>
    </row>
    <row r="246" ht="15.75" customHeight="1">
      <c r="B246" s="20">
        <f>IFERROR(__xludf.DUMMYFUNCTION("""COMPUTED_VALUE"""),44509.66666666667)</f>
        <v>44509.66667</v>
      </c>
      <c r="C246" s="21">
        <f>IFERROR(__xludf.DUMMYFUNCTION("""COMPUTED_VALUE"""),149.25)</f>
        <v>149.25</v>
      </c>
    </row>
    <row r="247" ht="15.75" customHeight="1">
      <c r="B247" s="20">
        <f>IFERROR(__xludf.DUMMYFUNCTION("""COMPUTED_VALUE"""),44510.66666666667)</f>
        <v>44510.66667</v>
      </c>
      <c r="C247" s="21">
        <f>IFERROR(__xludf.DUMMYFUNCTION("""COMPUTED_VALUE"""),146.63)</f>
        <v>146.63</v>
      </c>
    </row>
    <row r="248" ht="15.75" customHeight="1">
      <c r="B248" s="20">
        <f>IFERROR(__xludf.DUMMYFUNCTION("""COMPUTED_VALUE"""),44511.66666666667)</f>
        <v>44511.66667</v>
      </c>
      <c r="C248" s="21">
        <f>IFERROR(__xludf.DUMMYFUNCTION("""COMPUTED_VALUE"""),146.75)</f>
        <v>146.75</v>
      </c>
    </row>
    <row r="249" ht="15.75" customHeight="1">
      <c r="B249" s="20">
        <f>IFERROR(__xludf.DUMMYFUNCTION("""COMPUTED_VALUE"""),44512.66666666667)</f>
        <v>44512.66667</v>
      </c>
      <c r="C249" s="21">
        <f>IFERROR(__xludf.DUMMYFUNCTION("""COMPUTED_VALUE"""),149.65)</f>
        <v>149.65</v>
      </c>
    </row>
    <row r="250" ht="15.75" customHeight="1">
      <c r="B250" s="20">
        <f>IFERROR(__xludf.DUMMYFUNCTION("""COMPUTED_VALUE"""),44515.66666666667)</f>
        <v>44515.66667</v>
      </c>
      <c r="C250" s="21">
        <f>IFERROR(__xludf.DUMMYFUNCTION("""COMPUTED_VALUE"""),149.39)</f>
        <v>149.39</v>
      </c>
    </row>
    <row r="251" ht="15.75" customHeight="1">
      <c r="B251" s="20">
        <f>IFERROR(__xludf.DUMMYFUNCTION("""COMPUTED_VALUE"""),44516.66666666667)</f>
        <v>44516.66667</v>
      </c>
      <c r="C251" s="21">
        <f>IFERROR(__xludf.DUMMYFUNCTION("""COMPUTED_VALUE"""),149.08)</f>
        <v>149.08</v>
      </c>
    </row>
    <row r="252" ht="15.75" customHeight="1">
      <c r="B252" s="20">
        <f>IFERROR(__xludf.DUMMYFUNCTION("""COMPUTED_VALUE"""),44517.66666666667)</f>
        <v>44517.66667</v>
      </c>
      <c r="C252" s="21">
        <f>IFERROR(__xludf.DUMMYFUNCTION("""COMPUTED_VALUE"""),149.06)</f>
        <v>149.06</v>
      </c>
    </row>
    <row r="253" ht="15.75" customHeight="1">
      <c r="B253" s="20">
        <f>IFERROR(__xludf.DUMMYFUNCTION("""COMPUTED_VALUE"""),44518.66666666667)</f>
        <v>44518.66667</v>
      </c>
      <c r="C253" s="21">
        <f>IFERROR(__xludf.DUMMYFUNCTION("""COMPUTED_VALUE"""),150.71)</f>
        <v>150.71</v>
      </c>
    </row>
    <row r="254" ht="15.75" customHeight="1">
      <c r="B254" s="20">
        <f>IFERROR(__xludf.DUMMYFUNCTION("""COMPUTED_VALUE"""),44519.66666666667)</f>
        <v>44519.66667</v>
      </c>
      <c r="C254" s="21">
        <f>IFERROR(__xludf.DUMMYFUNCTION("""COMPUTED_VALUE"""),149.95)</f>
        <v>149.95</v>
      </c>
    </row>
    <row r="255" ht="15.75" customHeight="1">
      <c r="B255" s="20">
        <f>IFERROR(__xludf.DUMMYFUNCTION("""COMPUTED_VALUE"""),44522.66666666667)</f>
        <v>44522.66667</v>
      </c>
      <c r="C255" s="21">
        <f>IFERROR(__xludf.DUMMYFUNCTION("""COMPUTED_VALUE"""),147.08)</f>
        <v>147.08</v>
      </c>
    </row>
    <row r="256" ht="15.75" customHeight="1">
      <c r="B256" s="20">
        <f>IFERROR(__xludf.DUMMYFUNCTION("""COMPUTED_VALUE"""),44523.66666666667)</f>
        <v>44523.66667</v>
      </c>
      <c r="C256" s="21">
        <f>IFERROR(__xludf.DUMMYFUNCTION("""COMPUTED_VALUE"""),146.76)</f>
        <v>146.76</v>
      </c>
    </row>
    <row r="257" ht="15.75" customHeight="1">
      <c r="B257" s="20">
        <f>IFERROR(__xludf.DUMMYFUNCTION("""COMPUTED_VALUE"""),44524.66666666667)</f>
        <v>44524.66667</v>
      </c>
      <c r="C257" s="21">
        <f>IFERROR(__xludf.DUMMYFUNCTION("""COMPUTED_VALUE"""),146.72)</f>
        <v>146.72</v>
      </c>
    </row>
    <row r="258" ht="15.75" customHeight="1">
      <c r="B258" s="20">
        <f>IFERROR(__xludf.DUMMYFUNCTION("""COMPUTED_VALUE"""),44526.54166666667)</f>
        <v>44526.54167</v>
      </c>
      <c r="C258" s="21">
        <f>IFERROR(__xludf.DUMMYFUNCTION("""COMPUTED_VALUE"""),142.81)</f>
        <v>142.81</v>
      </c>
    </row>
    <row r="259" ht="15.75" customHeight="1">
      <c r="B259" s="20">
        <f>IFERROR(__xludf.DUMMYFUNCTION("""COMPUTED_VALUE"""),44529.66666666667)</f>
        <v>44529.66667</v>
      </c>
      <c r="C259" s="21">
        <f>IFERROR(__xludf.DUMMYFUNCTION("""COMPUTED_VALUE"""),146.11)</f>
        <v>146.11</v>
      </c>
    </row>
    <row r="260" ht="15.75" customHeight="1">
      <c r="B260" s="20">
        <f>IFERROR(__xludf.DUMMYFUNCTION("""COMPUTED_VALUE"""),44530.66666666667)</f>
        <v>44530.66667</v>
      </c>
      <c r="C260" s="21">
        <f>IFERROR(__xludf.DUMMYFUNCTION("""COMPUTED_VALUE"""),142.45)</f>
        <v>142.45</v>
      </c>
    </row>
    <row r="261" ht="15.75" customHeight="1">
      <c r="B261" s="20">
        <f>IFERROR(__xludf.DUMMYFUNCTION("""COMPUTED_VALUE"""),44531.66666666667)</f>
        <v>44531.66667</v>
      </c>
      <c r="C261" s="21">
        <f>IFERROR(__xludf.DUMMYFUNCTION("""COMPUTED_VALUE"""),141.62)</f>
        <v>141.62</v>
      </c>
    </row>
    <row r="262" ht="15.75" customHeight="1">
      <c r="B262" s="20">
        <f>IFERROR(__xludf.DUMMYFUNCTION("""COMPUTED_VALUE"""),44532.66666666667)</f>
        <v>44532.66667</v>
      </c>
      <c r="C262" s="21">
        <f>IFERROR(__xludf.DUMMYFUNCTION("""COMPUTED_VALUE"""),143.78)</f>
        <v>143.78</v>
      </c>
    </row>
    <row r="263" ht="15.75" customHeight="1">
      <c r="B263" s="20">
        <f>IFERROR(__xludf.DUMMYFUNCTION("""COMPUTED_VALUE"""),44533.66666666667)</f>
        <v>44533.66667</v>
      </c>
      <c r="C263" s="21">
        <f>IFERROR(__xludf.DUMMYFUNCTION("""COMPUTED_VALUE"""),142.52)</f>
        <v>142.52</v>
      </c>
    </row>
    <row r="264" ht="15.75" customHeight="1">
      <c r="B264" s="20">
        <f>IFERROR(__xludf.DUMMYFUNCTION("""COMPUTED_VALUE"""),44536.66666666667)</f>
        <v>44536.66667</v>
      </c>
      <c r="C264" s="21">
        <f>IFERROR(__xludf.DUMMYFUNCTION("""COMPUTED_VALUE"""),143.8)</f>
        <v>143.8</v>
      </c>
    </row>
    <row r="265" ht="15.75" customHeight="1">
      <c r="B265" s="20">
        <f>IFERROR(__xludf.DUMMYFUNCTION("""COMPUTED_VALUE"""),44537.66666666667)</f>
        <v>44537.66667</v>
      </c>
      <c r="C265" s="21">
        <f>IFERROR(__xludf.DUMMYFUNCTION("""COMPUTED_VALUE"""),148.04)</f>
        <v>148.04</v>
      </c>
    </row>
    <row r="266" ht="15.75" customHeight="1">
      <c r="B266" s="20">
        <f>IFERROR(__xludf.DUMMYFUNCTION("""COMPUTED_VALUE"""),44538.66666666667)</f>
        <v>44538.66667</v>
      </c>
      <c r="C266" s="21">
        <f>IFERROR(__xludf.DUMMYFUNCTION("""COMPUTED_VALUE"""),148.72)</f>
        <v>148.72</v>
      </c>
    </row>
    <row r="267" ht="15.75" customHeight="1">
      <c r="B267" s="20">
        <f>IFERROR(__xludf.DUMMYFUNCTION("""COMPUTED_VALUE"""),44539.66666666667)</f>
        <v>44539.66667</v>
      </c>
      <c r="C267" s="21">
        <f>IFERROR(__xludf.DUMMYFUNCTION("""COMPUTED_VALUE"""),148.11)</f>
        <v>148.11</v>
      </c>
    </row>
    <row r="268" ht="15.75" customHeight="1">
      <c r="B268" s="20">
        <f>IFERROR(__xludf.DUMMYFUNCTION("""COMPUTED_VALUE"""),44540.66666666667)</f>
        <v>44540.66667</v>
      </c>
      <c r="C268" s="21">
        <f>IFERROR(__xludf.DUMMYFUNCTION("""COMPUTED_VALUE"""),148.68)</f>
        <v>148.68</v>
      </c>
    </row>
    <row r="269" ht="15.75" customHeight="1">
      <c r="B269" s="20">
        <f>IFERROR(__xludf.DUMMYFUNCTION("""COMPUTED_VALUE"""),44543.66666666667)</f>
        <v>44543.66667</v>
      </c>
      <c r="C269" s="21">
        <f>IFERROR(__xludf.DUMMYFUNCTION("""COMPUTED_VALUE"""),146.7)</f>
        <v>146.7</v>
      </c>
    </row>
    <row r="270" ht="15.75" customHeight="1">
      <c r="B270" s="20">
        <f>IFERROR(__xludf.DUMMYFUNCTION("""COMPUTED_VALUE"""),44544.66666666667)</f>
        <v>44544.66667</v>
      </c>
      <c r="C270" s="21">
        <f>IFERROR(__xludf.DUMMYFUNCTION("""COMPUTED_VALUE"""),144.97)</f>
        <v>144.97</v>
      </c>
    </row>
    <row r="271" ht="15.75" customHeight="1">
      <c r="B271" s="20">
        <f>IFERROR(__xludf.DUMMYFUNCTION("""COMPUTED_VALUE"""),44545.66666666667)</f>
        <v>44545.66667</v>
      </c>
      <c r="C271" s="21">
        <f>IFERROR(__xludf.DUMMYFUNCTION("""COMPUTED_VALUE"""),147.37)</f>
        <v>147.37</v>
      </c>
    </row>
    <row r="272" ht="15.75" customHeight="1">
      <c r="B272" s="20">
        <f>IFERROR(__xludf.DUMMYFUNCTION("""COMPUTED_VALUE"""),44546.66666666667)</f>
        <v>44546.66667</v>
      </c>
      <c r="C272" s="21">
        <f>IFERROR(__xludf.DUMMYFUNCTION("""COMPUTED_VALUE"""),144.84)</f>
        <v>144.84</v>
      </c>
    </row>
    <row r="273" ht="15.75" customHeight="1">
      <c r="B273" s="20">
        <f>IFERROR(__xludf.DUMMYFUNCTION("""COMPUTED_VALUE"""),44547.66666666667)</f>
        <v>44547.66667</v>
      </c>
      <c r="C273" s="21">
        <f>IFERROR(__xludf.DUMMYFUNCTION("""COMPUTED_VALUE"""),142.8)</f>
        <v>142.8</v>
      </c>
    </row>
    <row r="274" ht="15.75" customHeight="1">
      <c r="B274" s="20">
        <f>IFERROR(__xludf.DUMMYFUNCTION("""COMPUTED_VALUE"""),44550.66666666667)</f>
        <v>44550.66667</v>
      </c>
      <c r="C274" s="21">
        <f>IFERROR(__xludf.DUMMYFUNCTION("""COMPUTED_VALUE"""),142.4)</f>
        <v>142.4</v>
      </c>
    </row>
    <row r="275" ht="15.75" customHeight="1">
      <c r="B275" s="20">
        <f>IFERROR(__xludf.DUMMYFUNCTION("""COMPUTED_VALUE"""),44551.66666666667)</f>
        <v>44551.66667</v>
      </c>
      <c r="C275" s="21">
        <f>IFERROR(__xludf.DUMMYFUNCTION("""COMPUTED_VALUE"""),144.22)</f>
        <v>144.22</v>
      </c>
    </row>
    <row r="276" ht="15.75" customHeight="1">
      <c r="B276" s="20">
        <f>IFERROR(__xludf.DUMMYFUNCTION("""COMPUTED_VALUE"""),44552.66666666667)</f>
        <v>44552.66667</v>
      </c>
      <c r="C276" s="21">
        <f>IFERROR(__xludf.DUMMYFUNCTION("""COMPUTED_VALUE"""),146.95)</f>
        <v>146.95</v>
      </c>
    </row>
    <row r="277" ht="15.75" customHeight="1">
      <c r="B277" s="20">
        <f>IFERROR(__xludf.DUMMYFUNCTION("""COMPUTED_VALUE"""),44553.66666666667)</f>
        <v>44553.66667</v>
      </c>
      <c r="C277" s="21">
        <f>IFERROR(__xludf.DUMMYFUNCTION("""COMPUTED_VALUE"""),147.14)</f>
        <v>147.14</v>
      </c>
    </row>
    <row r="278" ht="15.75" customHeight="1">
      <c r="B278" s="20">
        <f>IFERROR(__xludf.DUMMYFUNCTION("""COMPUTED_VALUE"""),44557.66666666667)</f>
        <v>44557.66667</v>
      </c>
      <c r="C278" s="21">
        <f>IFERROR(__xludf.DUMMYFUNCTION("""COMPUTED_VALUE"""),148.06)</f>
        <v>148.06</v>
      </c>
    </row>
    <row r="279" ht="15.75" customHeight="1">
      <c r="B279" s="20">
        <f>IFERROR(__xludf.DUMMYFUNCTION("""COMPUTED_VALUE"""),44558.66666666667)</f>
        <v>44558.66667</v>
      </c>
      <c r="C279" s="21">
        <f>IFERROR(__xludf.DUMMYFUNCTION("""COMPUTED_VALUE"""),146.45)</f>
        <v>146.45</v>
      </c>
    </row>
    <row r="280" ht="15.75" customHeight="1">
      <c r="B280" s="20">
        <f>IFERROR(__xludf.DUMMYFUNCTION("""COMPUTED_VALUE"""),44559.66666666667)</f>
        <v>44559.66667</v>
      </c>
      <c r="C280" s="21">
        <f>IFERROR(__xludf.DUMMYFUNCTION("""COMPUTED_VALUE"""),146.5)</f>
        <v>146.5</v>
      </c>
    </row>
    <row r="281" ht="15.75" customHeight="1">
      <c r="B281" s="20">
        <f>IFERROR(__xludf.DUMMYFUNCTION("""COMPUTED_VALUE"""),44560.66666666667)</f>
        <v>44560.66667</v>
      </c>
      <c r="C281" s="21">
        <f>IFERROR(__xludf.DUMMYFUNCTION("""COMPUTED_VALUE"""),146.0)</f>
        <v>146</v>
      </c>
    </row>
    <row r="282" ht="15.75" customHeight="1">
      <c r="B282" s="20">
        <f>IFERROR(__xludf.DUMMYFUNCTION("""COMPUTED_VALUE"""),44561.66666666667)</f>
        <v>44561.66667</v>
      </c>
      <c r="C282" s="21">
        <f>IFERROR(__xludf.DUMMYFUNCTION("""COMPUTED_VALUE"""),144.68)</f>
        <v>144.68</v>
      </c>
    </row>
    <row r="283" ht="15.75" customHeight="1">
      <c r="B283" s="20">
        <f>IFERROR(__xludf.DUMMYFUNCTION("""COMPUTED_VALUE"""),44564.66666666667)</f>
        <v>44564.66667</v>
      </c>
      <c r="C283" s="21">
        <f>IFERROR(__xludf.DUMMYFUNCTION("""COMPUTED_VALUE"""),145.07)</f>
        <v>145.07</v>
      </c>
    </row>
    <row r="284" ht="15.75" customHeight="1">
      <c r="B284" s="20">
        <f>IFERROR(__xludf.DUMMYFUNCTION("""COMPUTED_VALUE"""),44565.66666666667)</f>
        <v>44565.66667</v>
      </c>
      <c r="C284" s="21">
        <f>IFERROR(__xludf.DUMMYFUNCTION("""COMPUTED_VALUE"""),144.42)</f>
        <v>144.42</v>
      </c>
    </row>
    <row r="285" ht="15.75" customHeight="1">
      <c r="B285" s="20">
        <f>IFERROR(__xludf.DUMMYFUNCTION("""COMPUTED_VALUE"""),44566.66666666667)</f>
        <v>44566.66667</v>
      </c>
      <c r="C285" s="21">
        <f>IFERROR(__xludf.DUMMYFUNCTION("""COMPUTED_VALUE"""),137.65)</f>
        <v>137.65</v>
      </c>
    </row>
    <row r="286" ht="15.75" customHeight="1">
      <c r="B286" s="20">
        <f>IFERROR(__xludf.DUMMYFUNCTION("""COMPUTED_VALUE"""),44567.66666666667)</f>
        <v>44567.66667</v>
      </c>
      <c r="C286" s="21">
        <f>IFERROR(__xludf.DUMMYFUNCTION("""COMPUTED_VALUE"""),137.55)</f>
        <v>137.55</v>
      </c>
    </row>
    <row r="287" ht="15.75" customHeight="1">
      <c r="B287" s="20">
        <f>IFERROR(__xludf.DUMMYFUNCTION("""COMPUTED_VALUE"""),44568.66666666667)</f>
        <v>44568.66667</v>
      </c>
      <c r="C287" s="21">
        <f>IFERROR(__xludf.DUMMYFUNCTION("""COMPUTED_VALUE"""),137.0)</f>
        <v>137</v>
      </c>
    </row>
    <row r="288" ht="15.75" customHeight="1">
      <c r="B288" s="20">
        <f>IFERROR(__xludf.DUMMYFUNCTION("""COMPUTED_VALUE"""),44571.66666666667)</f>
        <v>44571.66667</v>
      </c>
      <c r="C288" s="21">
        <f>IFERROR(__xludf.DUMMYFUNCTION("""COMPUTED_VALUE"""),138.57)</f>
        <v>138.57</v>
      </c>
    </row>
    <row r="289" ht="15.75" customHeight="1">
      <c r="B289" s="20">
        <f>IFERROR(__xludf.DUMMYFUNCTION("""COMPUTED_VALUE"""),44572.66666666667)</f>
        <v>44572.66667</v>
      </c>
      <c r="C289" s="21">
        <f>IFERROR(__xludf.DUMMYFUNCTION("""COMPUTED_VALUE"""),140.02)</f>
        <v>140.02</v>
      </c>
    </row>
    <row r="290" ht="15.75" customHeight="1">
      <c r="B290" s="20">
        <f>IFERROR(__xludf.DUMMYFUNCTION("""COMPUTED_VALUE"""),44573.66666666667)</f>
        <v>44573.66667</v>
      </c>
      <c r="C290" s="21">
        <f>IFERROR(__xludf.DUMMYFUNCTION("""COMPUTED_VALUE"""),141.65)</f>
        <v>141.65</v>
      </c>
    </row>
    <row r="291" ht="15.75" customHeight="1">
      <c r="B291" s="20">
        <f>IFERROR(__xludf.DUMMYFUNCTION("""COMPUTED_VALUE"""),44574.66666666667)</f>
        <v>44574.66667</v>
      </c>
      <c r="C291" s="21">
        <f>IFERROR(__xludf.DUMMYFUNCTION("""COMPUTED_VALUE"""),139.13)</f>
        <v>139.13</v>
      </c>
    </row>
    <row r="292" ht="15.75" customHeight="1">
      <c r="B292" s="20">
        <f>IFERROR(__xludf.DUMMYFUNCTION("""COMPUTED_VALUE"""),44575.66666666667)</f>
        <v>44575.66667</v>
      </c>
      <c r="C292" s="21">
        <f>IFERROR(__xludf.DUMMYFUNCTION("""COMPUTED_VALUE"""),139.79)</f>
        <v>139.79</v>
      </c>
    </row>
    <row r="293" ht="15.75" customHeight="1">
      <c r="B293" s="20">
        <f>IFERROR(__xludf.DUMMYFUNCTION("""COMPUTED_VALUE"""),44579.66666666667)</f>
        <v>44579.66667</v>
      </c>
      <c r="C293" s="21">
        <f>IFERROR(__xludf.DUMMYFUNCTION("""COMPUTED_VALUE"""),136.29)</f>
        <v>136.29</v>
      </c>
    </row>
    <row r="294" ht="15.75" customHeight="1">
      <c r="B294" s="20">
        <f>IFERROR(__xludf.DUMMYFUNCTION("""COMPUTED_VALUE"""),44580.66666666667)</f>
        <v>44580.66667</v>
      </c>
      <c r="C294" s="21">
        <f>IFERROR(__xludf.DUMMYFUNCTION("""COMPUTED_VALUE"""),135.65)</f>
        <v>135.65</v>
      </c>
    </row>
    <row r="295" ht="15.75" customHeight="1">
      <c r="B295" s="20">
        <f>IFERROR(__xludf.DUMMYFUNCTION("""COMPUTED_VALUE"""),44581.66666666667)</f>
        <v>44581.66667</v>
      </c>
      <c r="C295" s="21">
        <f>IFERROR(__xludf.DUMMYFUNCTION("""COMPUTED_VALUE"""),133.51)</f>
        <v>133.51</v>
      </c>
    </row>
    <row r="296" ht="15.75" customHeight="1">
      <c r="B296" s="20">
        <f>IFERROR(__xludf.DUMMYFUNCTION("""COMPUTED_VALUE"""),44582.66666666667)</f>
        <v>44582.66667</v>
      </c>
      <c r="C296" s="21">
        <f>IFERROR(__xludf.DUMMYFUNCTION("""COMPUTED_VALUE"""),130.09)</f>
        <v>130.09</v>
      </c>
    </row>
    <row r="297" ht="15.75" customHeight="1">
      <c r="B297" s="20">
        <f>IFERROR(__xludf.DUMMYFUNCTION("""COMPUTED_VALUE"""),44585.66666666667)</f>
        <v>44585.66667</v>
      </c>
      <c r="C297" s="21">
        <f>IFERROR(__xludf.DUMMYFUNCTION("""COMPUTED_VALUE"""),130.37)</f>
        <v>130.37</v>
      </c>
    </row>
    <row r="298" ht="15.75" customHeight="1">
      <c r="B298" s="20">
        <f>IFERROR(__xludf.DUMMYFUNCTION("""COMPUTED_VALUE"""),44586.66666666667)</f>
        <v>44586.66667</v>
      </c>
      <c r="C298" s="21">
        <f>IFERROR(__xludf.DUMMYFUNCTION("""COMPUTED_VALUE"""),126.74)</f>
        <v>126.74</v>
      </c>
    </row>
    <row r="299" ht="15.75" customHeight="1">
      <c r="B299" s="20">
        <f>IFERROR(__xludf.DUMMYFUNCTION("""COMPUTED_VALUE"""),44587.66666666667)</f>
        <v>44587.66667</v>
      </c>
      <c r="C299" s="21">
        <f>IFERROR(__xludf.DUMMYFUNCTION("""COMPUTED_VALUE"""),129.24)</f>
        <v>129.24</v>
      </c>
    </row>
    <row r="300" ht="15.75" customHeight="1">
      <c r="B300" s="20">
        <f>IFERROR(__xludf.DUMMYFUNCTION("""COMPUTED_VALUE"""),44588.66666666667)</f>
        <v>44588.66667</v>
      </c>
      <c r="C300" s="21">
        <f>IFERROR(__xludf.DUMMYFUNCTION("""COMPUTED_VALUE"""),129.12)</f>
        <v>129.12</v>
      </c>
    </row>
    <row r="301" ht="15.75" customHeight="1">
      <c r="B301" s="20">
        <f>IFERROR(__xludf.DUMMYFUNCTION("""COMPUTED_VALUE"""),44589.66666666667)</f>
        <v>44589.66667</v>
      </c>
      <c r="C301" s="21">
        <f>IFERROR(__xludf.DUMMYFUNCTION("""COMPUTED_VALUE"""),133.29)</f>
        <v>133.29</v>
      </c>
    </row>
    <row r="302" ht="15.75" customHeight="1">
      <c r="B302" s="20">
        <f>IFERROR(__xludf.DUMMYFUNCTION("""COMPUTED_VALUE"""),44592.66666666667)</f>
        <v>44592.66667</v>
      </c>
      <c r="C302" s="21">
        <f>IFERROR(__xludf.DUMMYFUNCTION("""COMPUTED_VALUE"""),135.7)</f>
        <v>135.7</v>
      </c>
    </row>
    <row r="303" ht="15.75" customHeight="1">
      <c r="B303" s="20">
        <f>IFERROR(__xludf.DUMMYFUNCTION("""COMPUTED_VALUE"""),44593.66666666667)</f>
        <v>44593.66667</v>
      </c>
      <c r="C303" s="21">
        <f>IFERROR(__xludf.DUMMYFUNCTION("""COMPUTED_VALUE"""),137.88)</f>
        <v>137.88</v>
      </c>
    </row>
    <row r="304" ht="15.75" customHeight="1">
      <c r="B304" s="20">
        <f>IFERROR(__xludf.DUMMYFUNCTION("""COMPUTED_VALUE"""),44594.66666666667)</f>
        <v>44594.66667</v>
      </c>
      <c r="C304" s="21">
        <f>IFERROR(__xludf.DUMMYFUNCTION("""COMPUTED_VALUE"""),148.04)</f>
        <v>148.04</v>
      </c>
    </row>
    <row r="305" ht="15.75" customHeight="1">
      <c r="B305" s="20">
        <f>IFERROR(__xludf.DUMMYFUNCTION("""COMPUTED_VALUE"""),44595.66666666667)</f>
        <v>44595.66667</v>
      </c>
      <c r="C305" s="21">
        <f>IFERROR(__xludf.DUMMYFUNCTION("""COMPUTED_VALUE"""),142.65)</f>
        <v>142.65</v>
      </c>
    </row>
    <row r="306" ht="15.75" customHeight="1">
      <c r="B306" s="20">
        <f>IFERROR(__xludf.DUMMYFUNCTION("""COMPUTED_VALUE"""),44596.66666666667)</f>
        <v>44596.66667</v>
      </c>
      <c r="C306" s="21">
        <f>IFERROR(__xludf.DUMMYFUNCTION("""COMPUTED_VALUE"""),143.02)</f>
        <v>143.02</v>
      </c>
    </row>
    <row r="307" ht="15.75" customHeight="1">
      <c r="B307" s="20">
        <f>IFERROR(__xludf.DUMMYFUNCTION("""COMPUTED_VALUE"""),44599.66666666667)</f>
        <v>44599.66667</v>
      </c>
      <c r="C307" s="21">
        <f>IFERROR(__xludf.DUMMYFUNCTION("""COMPUTED_VALUE"""),138.94)</f>
        <v>138.94</v>
      </c>
    </row>
    <row r="308" ht="15.75" customHeight="1">
      <c r="B308" s="20">
        <f>IFERROR(__xludf.DUMMYFUNCTION("""COMPUTED_VALUE"""),44600.66666666667)</f>
        <v>44600.66667</v>
      </c>
      <c r="C308" s="21">
        <f>IFERROR(__xludf.DUMMYFUNCTION("""COMPUTED_VALUE"""),139.21)</f>
        <v>139.21</v>
      </c>
    </row>
    <row r="309" ht="15.75" customHeight="1">
      <c r="B309" s="20">
        <f>IFERROR(__xludf.DUMMYFUNCTION("""COMPUTED_VALUE"""),44601.66666666667)</f>
        <v>44601.66667</v>
      </c>
      <c r="C309" s="21">
        <f>IFERROR(__xludf.DUMMYFUNCTION("""COMPUTED_VALUE"""),141.45)</f>
        <v>141.45</v>
      </c>
    </row>
    <row r="310" ht="15.75" customHeight="1">
      <c r="B310" s="20">
        <f>IFERROR(__xludf.DUMMYFUNCTION("""COMPUTED_VALUE"""),44602.66666666667)</f>
        <v>44602.66667</v>
      </c>
      <c r="C310" s="21">
        <f>IFERROR(__xludf.DUMMYFUNCTION("""COMPUTED_VALUE"""),138.6)</f>
        <v>138.6</v>
      </c>
    </row>
    <row r="311" ht="15.75" customHeight="1">
      <c r="B311" s="20">
        <f>IFERROR(__xludf.DUMMYFUNCTION("""COMPUTED_VALUE"""),44603.66666666667)</f>
        <v>44603.66667</v>
      </c>
      <c r="C311" s="21">
        <f>IFERROR(__xludf.DUMMYFUNCTION("""COMPUTED_VALUE"""),134.13)</f>
        <v>134.13</v>
      </c>
    </row>
    <row r="312" ht="15.75" customHeight="1">
      <c r="B312" s="20">
        <f>IFERROR(__xludf.DUMMYFUNCTION("""COMPUTED_VALUE"""),44606.66666666667)</f>
        <v>44606.66667</v>
      </c>
      <c r="C312" s="21">
        <f>IFERROR(__xludf.DUMMYFUNCTION("""COMPUTED_VALUE"""),135.3)</f>
        <v>135.3</v>
      </c>
    </row>
    <row r="313" ht="15.75" customHeight="1">
      <c r="B313" s="20">
        <f>IFERROR(__xludf.DUMMYFUNCTION("""COMPUTED_VALUE"""),44607.66666666667)</f>
        <v>44607.66667</v>
      </c>
      <c r="C313" s="21">
        <f>IFERROR(__xludf.DUMMYFUNCTION("""COMPUTED_VALUE"""),136.43)</f>
        <v>136.43</v>
      </c>
    </row>
    <row r="314" ht="15.75" customHeight="1">
      <c r="B314" s="20">
        <f>IFERROR(__xludf.DUMMYFUNCTION("""COMPUTED_VALUE"""),44608.66666666667)</f>
        <v>44608.66667</v>
      </c>
      <c r="C314" s="21">
        <f>IFERROR(__xludf.DUMMYFUNCTION("""COMPUTED_VALUE"""),137.49)</f>
        <v>137.49</v>
      </c>
    </row>
    <row r="315" ht="15.75" customHeight="1">
      <c r="B315" s="20">
        <f>IFERROR(__xludf.DUMMYFUNCTION("""COMPUTED_VALUE"""),44609.66666666667)</f>
        <v>44609.66667</v>
      </c>
      <c r="C315" s="21">
        <f>IFERROR(__xludf.DUMMYFUNCTION("""COMPUTED_VALUE"""),132.31)</f>
        <v>132.31</v>
      </c>
    </row>
    <row r="316" ht="15.75" customHeight="1">
      <c r="B316" s="20">
        <f>IFERROR(__xludf.DUMMYFUNCTION("""COMPUTED_VALUE"""),44610.66666666667)</f>
        <v>44610.66667</v>
      </c>
      <c r="C316" s="21">
        <f>IFERROR(__xludf.DUMMYFUNCTION("""COMPUTED_VALUE"""),130.47)</f>
        <v>130.47</v>
      </c>
    </row>
    <row r="317" ht="15.75" customHeight="1">
      <c r="B317" s="20">
        <f>IFERROR(__xludf.DUMMYFUNCTION("""COMPUTED_VALUE"""),44614.66666666667)</f>
        <v>44614.66667</v>
      </c>
      <c r="C317" s="21">
        <f>IFERROR(__xludf.DUMMYFUNCTION("""COMPUTED_VALUE"""),129.4)</f>
        <v>129.4</v>
      </c>
    </row>
    <row r="318" ht="15.75" customHeight="1">
      <c r="B318" s="20">
        <f>IFERROR(__xludf.DUMMYFUNCTION("""COMPUTED_VALUE"""),44615.66666666667)</f>
        <v>44615.66667</v>
      </c>
      <c r="C318" s="21">
        <f>IFERROR(__xludf.DUMMYFUNCTION("""COMPUTED_VALUE"""),127.59)</f>
        <v>127.59</v>
      </c>
    </row>
    <row r="319" ht="15.75" customHeight="1">
      <c r="B319" s="20">
        <f>IFERROR(__xludf.DUMMYFUNCTION("""COMPUTED_VALUE"""),44616.66666666667)</f>
        <v>44616.66667</v>
      </c>
      <c r="C319" s="21">
        <f>IFERROR(__xludf.DUMMYFUNCTION("""COMPUTED_VALUE"""),132.67)</f>
        <v>132.67</v>
      </c>
    </row>
    <row r="320" ht="15.75" customHeight="1">
      <c r="B320" s="20">
        <f>IFERROR(__xludf.DUMMYFUNCTION("""COMPUTED_VALUE"""),44617.66666666667)</f>
        <v>44617.66667</v>
      </c>
      <c r="C320" s="21">
        <f>IFERROR(__xludf.DUMMYFUNCTION("""COMPUTED_VALUE"""),134.52)</f>
        <v>134.52</v>
      </c>
    </row>
    <row r="321" ht="15.75" customHeight="1">
      <c r="B321" s="20">
        <f>IFERROR(__xludf.DUMMYFUNCTION("""COMPUTED_VALUE"""),44620.66666666667)</f>
        <v>44620.66667</v>
      </c>
      <c r="C321" s="21">
        <f>IFERROR(__xludf.DUMMYFUNCTION("""COMPUTED_VALUE"""),134.89)</f>
        <v>134.89</v>
      </c>
    </row>
    <row r="322" ht="15.75" customHeight="1">
      <c r="B322" s="20">
        <f>IFERROR(__xludf.DUMMYFUNCTION("""COMPUTED_VALUE"""),44621.66666666667)</f>
        <v>44621.66667</v>
      </c>
      <c r="C322" s="21">
        <f>IFERROR(__xludf.DUMMYFUNCTION("""COMPUTED_VALUE"""),134.17)</f>
        <v>134.17</v>
      </c>
    </row>
    <row r="323" ht="15.75" customHeight="1">
      <c r="B323" s="20">
        <f>IFERROR(__xludf.DUMMYFUNCTION("""COMPUTED_VALUE"""),44622.66666666667)</f>
        <v>44622.66667</v>
      </c>
      <c r="C323" s="21">
        <f>IFERROR(__xludf.DUMMYFUNCTION("""COMPUTED_VALUE"""),134.75)</f>
        <v>134.75</v>
      </c>
    </row>
    <row r="324" ht="15.75" customHeight="1">
      <c r="B324" s="20">
        <f>IFERROR(__xludf.DUMMYFUNCTION("""COMPUTED_VALUE"""),44623.66666666667)</f>
        <v>44623.66667</v>
      </c>
      <c r="C324" s="21">
        <f>IFERROR(__xludf.DUMMYFUNCTION("""COMPUTED_VALUE"""),134.31)</f>
        <v>134.31</v>
      </c>
    </row>
    <row r="325" ht="15.75" customHeight="1">
      <c r="B325" s="20">
        <f>IFERROR(__xludf.DUMMYFUNCTION("""COMPUTED_VALUE"""),44624.66666666667)</f>
        <v>44624.66667</v>
      </c>
      <c r="C325" s="21">
        <f>IFERROR(__xludf.DUMMYFUNCTION("""COMPUTED_VALUE"""),132.12)</f>
        <v>132.12</v>
      </c>
    </row>
    <row r="326" ht="15.75" customHeight="1">
      <c r="B326" s="20">
        <f>IFERROR(__xludf.DUMMYFUNCTION("""COMPUTED_VALUE"""),44627.66666666667)</f>
        <v>44627.66667</v>
      </c>
      <c r="C326" s="21">
        <f>IFERROR(__xludf.DUMMYFUNCTION("""COMPUTED_VALUE"""),126.46)</f>
        <v>126.46</v>
      </c>
    </row>
    <row r="327" ht="15.75" customHeight="1">
      <c r="B327" s="20">
        <f>IFERROR(__xludf.DUMMYFUNCTION("""COMPUTED_VALUE"""),44628.66666666667)</f>
        <v>44628.66667</v>
      </c>
      <c r="C327" s="21">
        <f>IFERROR(__xludf.DUMMYFUNCTION("""COMPUTED_VALUE"""),127.28)</f>
        <v>127.28</v>
      </c>
    </row>
    <row r="328" ht="15.75" customHeight="1">
      <c r="B328" s="20">
        <f>IFERROR(__xludf.DUMMYFUNCTION("""COMPUTED_VALUE"""),44629.66666666667)</f>
        <v>44629.66667</v>
      </c>
      <c r="C328" s="21">
        <f>IFERROR(__xludf.DUMMYFUNCTION("""COMPUTED_VALUE"""),133.87)</f>
        <v>133.87</v>
      </c>
    </row>
    <row r="329" ht="15.75" customHeight="1">
      <c r="B329" s="20">
        <f>IFERROR(__xludf.DUMMYFUNCTION("""COMPUTED_VALUE"""),44630.66666666667)</f>
        <v>44630.66667</v>
      </c>
      <c r="C329" s="21">
        <f>IFERROR(__xludf.DUMMYFUNCTION("""COMPUTED_VALUE"""),132.68)</f>
        <v>132.68</v>
      </c>
    </row>
    <row r="330" ht="15.75" customHeight="1">
      <c r="B330" s="20">
        <f>IFERROR(__xludf.DUMMYFUNCTION("""COMPUTED_VALUE"""),44631.66666666667)</f>
        <v>44631.66667</v>
      </c>
      <c r="C330" s="21">
        <f>IFERROR(__xludf.DUMMYFUNCTION("""COMPUTED_VALUE"""),130.48)</f>
        <v>130.48</v>
      </c>
    </row>
    <row r="331" ht="15.75" customHeight="1">
      <c r="B331" s="20">
        <f>IFERROR(__xludf.DUMMYFUNCTION("""COMPUTED_VALUE"""),44634.66666666667)</f>
        <v>44634.66667</v>
      </c>
      <c r="C331" s="21">
        <f>IFERROR(__xludf.DUMMYFUNCTION("""COMPUTED_VALUE"""),126.74)</f>
        <v>126.74</v>
      </c>
    </row>
    <row r="332" ht="15.75" customHeight="1">
      <c r="B332" s="20">
        <f>IFERROR(__xludf.DUMMYFUNCTION("""COMPUTED_VALUE"""),44635.66666666667)</f>
        <v>44635.66667</v>
      </c>
      <c r="C332" s="21">
        <f>IFERROR(__xludf.DUMMYFUNCTION("""COMPUTED_VALUE"""),129.66)</f>
        <v>129.66</v>
      </c>
    </row>
    <row r="333" ht="15.75" customHeight="1">
      <c r="B333" s="20">
        <f>IFERROR(__xludf.DUMMYFUNCTION("""COMPUTED_VALUE"""),44636.66666666667)</f>
        <v>44636.66667</v>
      </c>
      <c r="C333" s="21">
        <f>IFERROR(__xludf.DUMMYFUNCTION("""COMPUTED_VALUE"""),133.69)</f>
        <v>133.69</v>
      </c>
    </row>
    <row r="334" ht="15.75" customHeight="1">
      <c r="B334" s="20">
        <f>IFERROR(__xludf.DUMMYFUNCTION("""COMPUTED_VALUE"""),44637.66666666667)</f>
        <v>44637.66667</v>
      </c>
      <c r="C334" s="21">
        <f>IFERROR(__xludf.DUMMYFUNCTION("""COMPUTED_VALUE"""),134.6)</f>
        <v>134.6</v>
      </c>
    </row>
    <row r="335" ht="15.75" customHeight="1">
      <c r="B335" s="20">
        <f>IFERROR(__xludf.DUMMYFUNCTION("""COMPUTED_VALUE"""),44638.66666666667)</f>
        <v>44638.66667</v>
      </c>
      <c r="C335" s="21">
        <f>IFERROR(__xludf.DUMMYFUNCTION("""COMPUTED_VALUE"""),136.8)</f>
        <v>136.8</v>
      </c>
    </row>
    <row r="336" ht="15.75" customHeight="1">
      <c r="B336" s="20">
        <f>IFERROR(__xludf.DUMMYFUNCTION("""COMPUTED_VALUE"""),44641.66666666667)</f>
        <v>44641.66667</v>
      </c>
      <c r="C336" s="21">
        <f>IFERROR(__xludf.DUMMYFUNCTION("""COMPUTED_VALUE"""),136.48)</f>
        <v>136.48</v>
      </c>
    </row>
    <row r="337" ht="15.75" customHeight="1">
      <c r="B337" s="20">
        <f>IFERROR(__xludf.DUMMYFUNCTION("""COMPUTED_VALUE"""),44642.66666666667)</f>
        <v>44642.66667</v>
      </c>
      <c r="C337" s="21">
        <f>IFERROR(__xludf.DUMMYFUNCTION("""COMPUTED_VALUE"""),140.28)</f>
        <v>140.28</v>
      </c>
    </row>
    <row r="338" ht="15.75" customHeight="1">
      <c r="B338" s="20">
        <f>IFERROR(__xludf.DUMMYFUNCTION("""COMPUTED_VALUE"""),44643.66666666667)</f>
        <v>44643.66667</v>
      </c>
      <c r="C338" s="21">
        <f>IFERROR(__xludf.DUMMYFUNCTION("""COMPUTED_VALUE"""),138.5)</f>
        <v>138.5</v>
      </c>
    </row>
    <row r="339" ht="15.75" customHeight="1">
      <c r="B339" s="20">
        <f>IFERROR(__xludf.DUMMYFUNCTION("""COMPUTED_VALUE"""),44644.66666666667)</f>
        <v>44644.66667</v>
      </c>
      <c r="C339" s="21">
        <f>IFERROR(__xludf.DUMMYFUNCTION("""COMPUTED_VALUE"""),141.31)</f>
        <v>141.31</v>
      </c>
    </row>
    <row r="340" ht="15.75" customHeight="1">
      <c r="B340" s="20">
        <f>IFERROR(__xludf.DUMMYFUNCTION("""COMPUTED_VALUE"""),44645.66666666667)</f>
        <v>44645.66667</v>
      </c>
      <c r="C340" s="21">
        <f>IFERROR(__xludf.DUMMYFUNCTION("""COMPUTED_VALUE"""),141.52)</f>
        <v>141.52</v>
      </c>
    </row>
    <row r="341" ht="15.75" customHeight="1">
      <c r="B341" s="20">
        <f>IFERROR(__xludf.DUMMYFUNCTION("""COMPUTED_VALUE"""),44648.66666666667)</f>
        <v>44648.66667</v>
      </c>
      <c r="C341" s="21">
        <f>IFERROR(__xludf.DUMMYFUNCTION("""COMPUTED_VALUE"""),141.95)</f>
        <v>141.95</v>
      </c>
    </row>
    <row r="342" ht="15.75" customHeight="1">
      <c r="B342" s="20">
        <f>IFERROR(__xludf.DUMMYFUNCTION("""COMPUTED_VALUE"""),44649.66666666667)</f>
        <v>44649.66667</v>
      </c>
      <c r="C342" s="21">
        <f>IFERROR(__xludf.DUMMYFUNCTION("""COMPUTED_VALUE"""),143.25)</f>
        <v>143.25</v>
      </c>
    </row>
    <row r="343" ht="15.75" customHeight="1">
      <c r="B343" s="20">
        <f>IFERROR(__xludf.DUMMYFUNCTION("""COMPUTED_VALUE"""),44650.66666666667)</f>
        <v>44650.66667</v>
      </c>
      <c r="C343" s="21">
        <f>IFERROR(__xludf.DUMMYFUNCTION("""COMPUTED_VALUE"""),142.64)</f>
        <v>142.64</v>
      </c>
    </row>
    <row r="344" ht="15.75" customHeight="1">
      <c r="B344" s="20">
        <f>IFERROR(__xludf.DUMMYFUNCTION("""COMPUTED_VALUE"""),44651.66666666667)</f>
        <v>44651.66667</v>
      </c>
      <c r="C344" s="21">
        <f>IFERROR(__xludf.DUMMYFUNCTION("""COMPUTED_VALUE"""),139.65)</f>
        <v>139.65</v>
      </c>
    </row>
    <row r="345" ht="15.75" customHeight="1">
      <c r="B345" s="20">
        <f>IFERROR(__xludf.DUMMYFUNCTION("""COMPUTED_VALUE"""),44652.66666666667)</f>
        <v>44652.66667</v>
      </c>
      <c r="C345" s="21">
        <f>IFERROR(__xludf.DUMMYFUNCTION("""COMPUTED_VALUE"""),140.7)</f>
        <v>140.7</v>
      </c>
    </row>
    <row r="346" ht="15.75" customHeight="1">
      <c r="B346" s="20">
        <f>IFERROR(__xludf.DUMMYFUNCTION("""COMPUTED_VALUE"""),44655.66666666667)</f>
        <v>44655.66667</v>
      </c>
      <c r="C346" s="21">
        <f>IFERROR(__xludf.DUMMYFUNCTION("""COMPUTED_VALUE"""),143.64)</f>
        <v>143.64</v>
      </c>
    </row>
    <row r="347" ht="15.75" customHeight="1">
      <c r="B347" s="20">
        <f>IFERROR(__xludf.DUMMYFUNCTION("""COMPUTED_VALUE"""),44656.66666666667)</f>
        <v>44656.66667</v>
      </c>
      <c r="C347" s="21">
        <f>IFERROR(__xludf.DUMMYFUNCTION("""COMPUTED_VALUE"""),141.06)</f>
        <v>141.06</v>
      </c>
    </row>
    <row r="348" ht="15.75" customHeight="1">
      <c r="B348" s="20">
        <f>IFERROR(__xludf.DUMMYFUNCTION("""COMPUTED_VALUE"""),44657.66666666667)</f>
        <v>44657.66667</v>
      </c>
      <c r="C348" s="21">
        <f>IFERROR(__xludf.DUMMYFUNCTION("""COMPUTED_VALUE"""),137.18)</f>
        <v>137.18</v>
      </c>
    </row>
    <row r="349" ht="15.75" customHeight="1">
      <c r="B349" s="20">
        <f>IFERROR(__xludf.DUMMYFUNCTION("""COMPUTED_VALUE"""),44658.66666666667)</f>
        <v>44658.66667</v>
      </c>
      <c r="C349" s="21">
        <f>IFERROR(__xludf.DUMMYFUNCTION("""COMPUTED_VALUE"""),136.47)</f>
        <v>136.47</v>
      </c>
    </row>
    <row r="350" ht="15.75" customHeight="1">
      <c r="B350" s="20">
        <f>IFERROR(__xludf.DUMMYFUNCTION("""COMPUTED_VALUE"""),44659.66666666667)</f>
        <v>44659.66667</v>
      </c>
      <c r="C350" s="21">
        <f>IFERROR(__xludf.DUMMYFUNCTION("""COMPUTED_VALUE"""),134.01)</f>
        <v>134.01</v>
      </c>
    </row>
    <row r="351" ht="15.75" customHeight="1">
      <c r="B351" s="20">
        <f>IFERROR(__xludf.DUMMYFUNCTION("""COMPUTED_VALUE"""),44662.66666666667)</f>
        <v>44662.66667</v>
      </c>
      <c r="C351" s="21">
        <f>IFERROR(__xludf.DUMMYFUNCTION("""COMPUTED_VALUE"""),129.8)</f>
        <v>129.8</v>
      </c>
    </row>
    <row r="352" ht="15.75" customHeight="1">
      <c r="B352" s="20">
        <f>IFERROR(__xludf.DUMMYFUNCTION("""COMPUTED_VALUE"""),44663.66666666667)</f>
        <v>44663.66667</v>
      </c>
      <c r="C352" s="21">
        <f>IFERROR(__xludf.DUMMYFUNCTION("""COMPUTED_VALUE"""),128.37)</f>
        <v>128.37</v>
      </c>
    </row>
    <row r="353" ht="15.75" customHeight="1">
      <c r="B353" s="20">
        <f>IFERROR(__xludf.DUMMYFUNCTION("""COMPUTED_VALUE"""),44664.66666666667)</f>
        <v>44664.66667</v>
      </c>
      <c r="C353" s="21">
        <f>IFERROR(__xludf.DUMMYFUNCTION("""COMPUTED_VALUE"""),130.29)</f>
        <v>130.29</v>
      </c>
    </row>
    <row r="354" ht="15.75" customHeight="1">
      <c r="B354" s="20">
        <f>IFERROR(__xludf.DUMMYFUNCTION("""COMPUTED_VALUE"""),44665.66666666667)</f>
        <v>44665.66667</v>
      </c>
      <c r="C354" s="21">
        <f>IFERROR(__xludf.DUMMYFUNCTION("""COMPUTED_VALUE"""),127.25)</f>
        <v>127.25</v>
      </c>
    </row>
    <row r="355" ht="15.75" customHeight="1">
      <c r="B355" s="20">
        <f>IFERROR(__xludf.DUMMYFUNCTION("""COMPUTED_VALUE"""),44669.66666666667)</f>
        <v>44669.66667</v>
      </c>
      <c r="C355" s="21">
        <f>IFERROR(__xludf.DUMMYFUNCTION("""COMPUTED_VALUE"""),127.96)</f>
        <v>127.96</v>
      </c>
    </row>
    <row r="356" ht="15.75" customHeight="1">
      <c r="B356" s="20">
        <f>IFERROR(__xludf.DUMMYFUNCTION("""COMPUTED_VALUE"""),44670.66666666667)</f>
        <v>44670.66667</v>
      </c>
      <c r="C356" s="21">
        <f>IFERROR(__xludf.DUMMYFUNCTION("""COMPUTED_VALUE"""),130.53)</f>
        <v>130.53</v>
      </c>
    </row>
    <row r="357" ht="15.75" customHeight="1">
      <c r="B357" s="20">
        <f>IFERROR(__xludf.DUMMYFUNCTION("""COMPUTED_VALUE"""),44671.66666666667)</f>
        <v>44671.66667</v>
      </c>
      <c r="C357" s="21">
        <f>IFERROR(__xludf.DUMMYFUNCTION("""COMPUTED_VALUE"""),128.25)</f>
        <v>128.25</v>
      </c>
    </row>
    <row r="358" ht="15.75" customHeight="1">
      <c r="B358" s="20">
        <f>IFERROR(__xludf.DUMMYFUNCTION("""COMPUTED_VALUE"""),44672.66666666667)</f>
        <v>44672.66667</v>
      </c>
      <c r="C358" s="21">
        <f>IFERROR(__xludf.DUMMYFUNCTION("""COMPUTED_VALUE"""),124.94)</f>
        <v>124.94</v>
      </c>
    </row>
    <row r="359" ht="15.75" customHeight="1">
      <c r="B359" s="20">
        <f>IFERROR(__xludf.DUMMYFUNCTION("""COMPUTED_VALUE"""),44673.66666666667)</f>
        <v>44673.66667</v>
      </c>
      <c r="C359" s="21">
        <f>IFERROR(__xludf.DUMMYFUNCTION("""COMPUTED_VALUE"""),119.61)</f>
        <v>119.61</v>
      </c>
    </row>
    <row r="360" ht="15.75" customHeight="1">
      <c r="B360" s="20">
        <f>IFERROR(__xludf.DUMMYFUNCTION("""COMPUTED_VALUE"""),44676.66666666667)</f>
        <v>44676.66667</v>
      </c>
      <c r="C360" s="21">
        <f>IFERROR(__xludf.DUMMYFUNCTION("""COMPUTED_VALUE"""),123.25)</f>
        <v>123.25</v>
      </c>
    </row>
    <row r="361" ht="15.75" customHeight="1">
      <c r="B361" s="20">
        <f>IFERROR(__xludf.DUMMYFUNCTION("""COMPUTED_VALUE"""),44677.66666666667)</f>
        <v>44677.66667</v>
      </c>
      <c r="C361" s="21">
        <f>IFERROR(__xludf.DUMMYFUNCTION("""COMPUTED_VALUE"""),119.51)</f>
        <v>119.51</v>
      </c>
    </row>
    <row r="362" ht="15.75" customHeight="1">
      <c r="B362" s="20">
        <f>IFERROR(__xludf.DUMMYFUNCTION("""COMPUTED_VALUE"""),44678.66666666667)</f>
        <v>44678.66667</v>
      </c>
      <c r="C362" s="21">
        <f>IFERROR(__xludf.DUMMYFUNCTION("""COMPUTED_VALUE"""),115.02)</f>
        <v>115.02</v>
      </c>
    </row>
    <row r="363" ht="15.75" customHeight="1">
      <c r="B363" s="20">
        <f>IFERROR(__xludf.DUMMYFUNCTION("""COMPUTED_VALUE"""),44679.66666666667)</f>
        <v>44679.66667</v>
      </c>
      <c r="C363" s="21">
        <f>IFERROR(__xludf.DUMMYFUNCTION("""COMPUTED_VALUE"""),119.41)</f>
        <v>119.41</v>
      </c>
    </row>
    <row r="364" ht="15.75" customHeight="1">
      <c r="B364" s="20">
        <f>IFERROR(__xludf.DUMMYFUNCTION("""COMPUTED_VALUE"""),44680.66666666667)</f>
        <v>44680.66667</v>
      </c>
      <c r="C364" s="21">
        <f>IFERROR(__xludf.DUMMYFUNCTION("""COMPUTED_VALUE"""),114.97)</f>
        <v>114.97</v>
      </c>
    </row>
    <row r="365" ht="15.75" customHeight="1">
      <c r="B365" s="20">
        <f>IFERROR(__xludf.DUMMYFUNCTION("""COMPUTED_VALUE"""),44683.66666666667)</f>
        <v>44683.66667</v>
      </c>
      <c r="C365" s="21">
        <f>IFERROR(__xludf.DUMMYFUNCTION("""COMPUTED_VALUE"""),117.16)</f>
        <v>117.16</v>
      </c>
    </row>
    <row r="366" ht="15.75" customHeight="1">
      <c r="B366" s="20">
        <f>IFERROR(__xludf.DUMMYFUNCTION("""COMPUTED_VALUE"""),44684.66666666667)</f>
        <v>44684.66667</v>
      </c>
      <c r="C366" s="21">
        <f>IFERROR(__xludf.DUMMYFUNCTION("""COMPUTED_VALUE"""),118.13)</f>
        <v>118.13</v>
      </c>
    </row>
    <row r="367" ht="15.75" customHeight="1">
      <c r="B367" s="20">
        <f>IFERROR(__xludf.DUMMYFUNCTION("""COMPUTED_VALUE"""),44685.66666666667)</f>
        <v>44685.66667</v>
      </c>
      <c r="C367" s="21">
        <f>IFERROR(__xludf.DUMMYFUNCTION("""COMPUTED_VALUE"""),122.58)</f>
        <v>122.58</v>
      </c>
    </row>
    <row r="368" ht="15.75" customHeight="1">
      <c r="B368" s="20">
        <f>IFERROR(__xludf.DUMMYFUNCTION("""COMPUTED_VALUE"""),44686.66666666667)</f>
        <v>44686.66667</v>
      </c>
      <c r="C368" s="21">
        <f>IFERROR(__xludf.DUMMYFUNCTION("""COMPUTED_VALUE"""),116.75)</f>
        <v>116.75</v>
      </c>
    </row>
    <row r="369" ht="15.75" customHeight="1">
      <c r="B369" s="20">
        <f>IFERROR(__xludf.DUMMYFUNCTION("""COMPUTED_VALUE"""),44687.66666666667)</f>
        <v>44687.66667</v>
      </c>
      <c r="C369" s="21">
        <f>IFERROR(__xludf.DUMMYFUNCTION("""COMPUTED_VALUE"""),115.66)</f>
        <v>115.66</v>
      </c>
    </row>
    <row r="370" ht="15.75" customHeight="1">
      <c r="B370" s="20">
        <f>IFERROR(__xludf.DUMMYFUNCTION("""COMPUTED_VALUE"""),44690.66666666667)</f>
        <v>44690.66667</v>
      </c>
      <c r="C370" s="21">
        <f>IFERROR(__xludf.DUMMYFUNCTION("""COMPUTED_VALUE"""),113.08)</f>
        <v>113.08</v>
      </c>
    </row>
    <row r="371" ht="15.75" customHeight="1">
      <c r="B371" s="20">
        <f>IFERROR(__xludf.DUMMYFUNCTION("""COMPUTED_VALUE"""),44691.66666666667)</f>
        <v>44691.66667</v>
      </c>
      <c r="C371" s="21">
        <f>IFERROR(__xludf.DUMMYFUNCTION("""COMPUTED_VALUE"""),114.58)</f>
        <v>114.58</v>
      </c>
    </row>
    <row r="372" ht="15.75" customHeight="1">
      <c r="B372" s="20">
        <f>IFERROR(__xludf.DUMMYFUNCTION("""COMPUTED_VALUE"""),44692.66666666667)</f>
        <v>44692.66667</v>
      </c>
      <c r="C372" s="21">
        <f>IFERROR(__xludf.DUMMYFUNCTION("""COMPUTED_VALUE"""),113.96)</f>
        <v>113.96</v>
      </c>
    </row>
    <row r="373" ht="15.75" customHeight="1">
      <c r="B373" s="20">
        <f>IFERROR(__xludf.DUMMYFUNCTION("""COMPUTED_VALUE"""),44693.66666666667)</f>
        <v>44693.66667</v>
      </c>
      <c r="C373" s="21">
        <f>IFERROR(__xludf.DUMMYFUNCTION("""COMPUTED_VALUE"""),113.16)</f>
        <v>113.16</v>
      </c>
    </row>
    <row r="374" ht="15.75" customHeight="1">
      <c r="B374" s="20">
        <f>IFERROR(__xludf.DUMMYFUNCTION("""COMPUTED_VALUE"""),44694.66666666667)</f>
        <v>44694.66667</v>
      </c>
      <c r="C374" s="21">
        <f>IFERROR(__xludf.DUMMYFUNCTION("""COMPUTED_VALUE"""),116.52)</f>
        <v>116.52</v>
      </c>
    </row>
    <row r="375" ht="15.75" customHeight="1">
      <c r="B375" s="20">
        <f>IFERROR(__xludf.DUMMYFUNCTION("""COMPUTED_VALUE"""),44697.66666666667)</f>
        <v>44697.66667</v>
      </c>
      <c r="C375" s="21">
        <f>IFERROR(__xludf.DUMMYFUNCTION("""COMPUTED_VALUE"""),114.79)</f>
        <v>114.79</v>
      </c>
    </row>
    <row r="376" ht="15.75" customHeight="1">
      <c r="B376" s="20">
        <f>IFERROR(__xludf.DUMMYFUNCTION("""COMPUTED_VALUE"""),44698.66666666667)</f>
        <v>44698.66667</v>
      </c>
      <c r="C376" s="21">
        <f>IFERROR(__xludf.DUMMYFUNCTION("""COMPUTED_VALUE"""),116.7)</f>
        <v>116.7</v>
      </c>
    </row>
    <row r="377" ht="15.75" customHeight="1">
      <c r="B377" s="20">
        <f>IFERROR(__xludf.DUMMYFUNCTION("""COMPUTED_VALUE"""),44699.66666666667)</f>
        <v>44699.66667</v>
      </c>
      <c r="C377" s="21">
        <f>IFERROR(__xludf.DUMMYFUNCTION("""COMPUTED_VALUE"""),112.4)</f>
        <v>112.4</v>
      </c>
    </row>
    <row r="378" ht="15.75" customHeight="1">
      <c r="B378" s="20">
        <f>IFERROR(__xludf.DUMMYFUNCTION("""COMPUTED_VALUE"""),44700.66666666667)</f>
        <v>44700.66667</v>
      </c>
      <c r="C378" s="21">
        <f>IFERROR(__xludf.DUMMYFUNCTION("""COMPUTED_VALUE"""),110.75)</f>
        <v>110.75</v>
      </c>
    </row>
    <row r="379" ht="15.75" customHeight="1">
      <c r="B379" s="20">
        <f>IFERROR(__xludf.DUMMYFUNCTION("""COMPUTED_VALUE"""),44701.66666666667)</f>
        <v>44701.66667</v>
      </c>
      <c r="C379" s="21">
        <f>IFERROR(__xludf.DUMMYFUNCTION("""COMPUTED_VALUE"""),109.31)</f>
        <v>109.31</v>
      </c>
    </row>
    <row r="380" ht="15.75" customHeight="1">
      <c r="B380" s="20">
        <f>IFERROR(__xludf.DUMMYFUNCTION("""COMPUTED_VALUE"""),44704.66666666667)</f>
        <v>44704.66667</v>
      </c>
      <c r="C380" s="21">
        <f>IFERROR(__xludf.DUMMYFUNCTION("""COMPUTED_VALUE"""),111.67)</f>
        <v>111.67</v>
      </c>
    </row>
    <row r="381" ht="15.75" customHeight="1">
      <c r="B381" s="20">
        <f>IFERROR(__xludf.DUMMYFUNCTION("""COMPUTED_VALUE"""),44705.66666666667)</f>
        <v>44705.66667</v>
      </c>
      <c r="C381" s="21">
        <f>IFERROR(__xludf.DUMMYFUNCTION("""COMPUTED_VALUE"""),105.93)</f>
        <v>105.93</v>
      </c>
    </row>
    <row r="382" ht="15.75" customHeight="1">
      <c r="B382" s="20">
        <f>IFERROR(__xludf.DUMMYFUNCTION("""COMPUTED_VALUE"""),44706.66666666667)</f>
        <v>44706.66667</v>
      </c>
      <c r="C382" s="21">
        <f>IFERROR(__xludf.DUMMYFUNCTION("""COMPUTED_VALUE"""),105.84)</f>
        <v>105.84</v>
      </c>
    </row>
    <row r="383" ht="15.75" customHeight="1">
      <c r="B383" s="20">
        <f>IFERROR(__xludf.DUMMYFUNCTION("""COMPUTED_VALUE"""),44707.66666666667)</f>
        <v>44707.66667</v>
      </c>
      <c r="C383" s="21">
        <f>IFERROR(__xludf.DUMMYFUNCTION("""COMPUTED_VALUE"""),108.3)</f>
        <v>108.3</v>
      </c>
    </row>
    <row r="384" ht="15.75" customHeight="1">
      <c r="B384" s="20">
        <f>IFERROR(__xludf.DUMMYFUNCTION("""COMPUTED_VALUE"""),44708.66666666667)</f>
        <v>44708.66667</v>
      </c>
      <c r="C384" s="21">
        <f>IFERROR(__xludf.DUMMYFUNCTION("""COMPUTED_VALUE"""),112.8)</f>
        <v>112.8</v>
      </c>
    </row>
    <row r="385" ht="15.75" customHeight="1">
      <c r="B385" s="20">
        <f>IFERROR(__xludf.DUMMYFUNCTION("""COMPUTED_VALUE"""),44712.66666666667)</f>
        <v>44712.66667</v>
      </c>
      <c r="C385" s="21">
        <f>IFERROR(__xludf.DUMMYFUNCTION("""COMPUTED_VALUE"""),114.04)</f>
        <v>114.04</v>
      </c>
    </row>
    <row r="386" ht="15.75" customHeight="1">
      <c r="B386" s="20">
        <f>IFERROR(__xludf.DUMMYFUNCTION("""COMPUTED_VALUE"""),44713.66666666667)</f>
        <v>44713.66667</v>
      </c>
      <c r="C386" s="21">
        <f>IFERROR(__xludf.DUMMYFUNCTION("""COMPUTED_VALUE"""),114.14)</f>
        <v>114.14</v>
      </c>
    </row>
    <row r="387" ht="15.75" customHeight="1">
      <c r="B387" s="20">
        <f>IFERROR(__xludf.DUMMYFUNCTION("""COMPUTED_VALUE"""),44714.66666666667)</f>
        <v>44714.66667</v>
      </c>
      <c r="C387" s="21">
        <f>IFERROR(__xludf.DUMMYFUNCTION("""COMPUTED_VALUE"""),117.75)</f>
        <v>117.75</v>
      </c>
    </row>
    <row r="388" ht="15.75" customHeight="1">
      <c r="B388" s="20">
        <f>IFERROR(__xludf.DUMMYFUNCTION("""COMPUTED_VALUE"""),44715.66666666667)</f>
        <v>44715.66667</v>
      </c>
      <c r="C388" s="21">
        <f>IFERROR(__xludf.DUMMYFUNCTION("""COMPUTED_VALUE"""),114.56)</f>
        <v>114.56</v>
      </c>
    </row>
    <row r="389" ht="15.75" customHeight="1">
      <c r="B389" s="20">
        <f>IFERROR(__xludf.DUMMYFUNCTION("""COMPUTED_VALUE"""),44718.66666666667)</f>
        <v>44718.66667</v>
      </c>
      <c r="C389" s="21">
        <f>IFERROR(__xludf.DUMMYFUNCTION("""COMPUTED_VALUE"""),117.01)</f>
        <v>117.01</v>
      </c>
    </row>
    <row r="390" ht="15.75" customHeight="1">
      <c r="B390" s="20">
        <f>IFERROR(__xludf.DUMMYFUNCTION("""COMPUTED_VALUE"""),44719.66666666667)</f>
        <v>44719.66667</v>
      </c>
      <c r="C390" s="21">
        <f>IFERROR(__xludf.DUMMYFUNCTION("""COMPUTED_VALUE"""),117.23)</f>
        <v>117.23</v>
      </c>
    </row>
    <row r="391" ht="15.75" customHeight="1">
      <c r="B391" s="20">
        <f>IFERROR(__xludf.DUMMYFUNCTION("""COMPUTED_VALUE"""),44720.66666666667)</f>
        <v>44720.66667</v>
      </c>
      <c r="C391" s="21">
        <f>IFERROR(__xludf.DUMMYFUNCTION("""COMPUTED_VALUE"""),117.24)</f>
        <v>117.24</v>
      </c>
    </row>
    <row r="392" ht="15.75" customHeight="1">
      <c r="B392" s="20">
        <f>IFERROR(__xludf.DUMMYFUNCTION("""COMPUTED_VALUE"""),44721.66666666667)</f>
        <v>44721.66667</v>
      </c>
      <c r="C392" s="21">
        <f>IFERROR(__xludf.DUMMYFUNCTION("""COMPUTED_VALUE"""),114.92)</f>
        <v>114.92</v>
      </c>
    </row>
    <row r="393" ht="15.75" customHeight="1">
      <c r="B393" s="20">
        <f>IFERROR(__xludf.DUMMYFUNCTION("""COMPUTED_VALUE"""),44722.66666666667)</f>
        <v>44722.66667</v>
      </c>
      <c r="C393" s="21">
        <f>IFERROR(__xludf.DUMMYFUNCTION("""COMPUTED_VALUE"""),111.43)</f>
        <v>111.43</v>
      </c>
    </row>
    <row r="394" ht="15.75" customHeight="1">
      <c r="B394" s="20">
        <f>IFERROR(__xludf.DUMMYFUNCTION("""COMPUTED_VALUE"""),44725.66666666667)</f>
        <v>44725.66667</v>
      </c>
      <c r="C394" s="21">
        <f>IFERROR(__xludf.DUMMYFUNCTION("""COMPUTED_VALUE"""),106.88)</f>
        <v>106.88</v>
      </c>
    </row>
    <row r="395" ht="15.75" customHeight="1">
      <c r="B395" s="20">
        <f>IFERROR(__xludf.DUMMYFUNCTION("""COMPUTED_VALUE"""),44726.66666666667)</f>
        <v>44726.66667</v>
      </c>
      <c r="C395" s="21">
        <f>IFERROR(__xludf.DUMMYFUNCTION("""COMPUTED_VALUE"""),107.19)</f>
        <v>107.19</v>
      </c>
    </row>
    <row r="396" ht="15.75" customHeight="1">
      <c r="B396" s="20">
        <f>IFERROR(__xludf.DUMMYFUNCTION("""COMPUTED_VALUE"""),44727.66666666667)</f>
        <v>44727.66667</v>
      </c>
      <c r="C396" s="21">
        <f>IFERROR(__xludf.DUMMYFUNCTION("""COMPUTED_VALUE"""),110.39)</f>
        <v>110.39</v>
      </c>
    </row>
    <row r="397" ht="15.75" customHeight="1">
      <c r="B397" s="20">
        <f>IFERROR(__xludf.DUMMYFUNCTION("""COMPUTED_VALUE"""),44728.66666666667)</f>
        <v>44728.66667</v>
      </c>
      <c r="C397" s="21">
        <f>IFERROR(__xludf.DUMMYFUNCTION("""COMPUTED_VALUE"""),106.64)</f>
        <v>106.64</v>
      </c>
    </row>
    <row r="398" ht="15.75" customHeight="1">
      <c r="B398" s="20">
        <f>IFERROR(__xludf.DUMMYFUNCTION("""COMPUTED_VALUE"""),44729.66666666667)</f>
        <v>44729.66667</v>
      </c>
      <c r="C398" s="21">
        <f>IFERROR(__xludf.DUMMYFUNCTION("""COMPUTED_VALUE"""),107.87)</f>
        <v>107.87</v>
      </c>
    </row>
    <row r="399" ht="15.75" customHeight="1">
      <c r="B399" s="20">
        <f>IFERROR(__xludf.DUMMYFUNCTION("""COMPUTED_VALUE"""),44733.66666666667)</f>
        <v>44733.66667</v>
      </c>
      <c r="C399" s="21">
        <f>IFERROR(__xludf.DUMMYFUNCTION("""COMPUTED_VALUE"""),112.02)</f>
        <v>112.02</v>
      </c>
    </row>
    <row r="400" ht="15.75" customHeight="1">
      <c r="B400" s="20">
        <f>IFERROR(__xludf.DUMMYFUNCTION("""COMPUTED_VALUE"""),44734.66666666667)</f>
        <v>44734.66667</v>
      </c>
      <c r="C400" s="21">
        <f>IFERROR(__xludf.DUMMYFUNCTION("""COMPUTED_VALUE"""),112.03)</f>
        <v>112.03</v>
      </c>
    </row>
    <row r="401" ht="15.75" customHeight="1">
      <c r="B401" s="20">
        <f>IFERROR(__xludf.DUMMYFUNCTION("""COMPUTED_VALUE"""),44735.66666666667)</f>
        <v>44735.66667</v>
      </c>
      <c r="C401" s="21">
        <f>IFERROR(__xludf.DUMMYFUNCTION("""COMPUTED_VALUE"""),112.68)</f>
        <v>112.68</v>
      </c>
    </row>
    <row r="402" ht="15.75" customHeight="1">
      <c r="B402" s="20">
        <f>IFERROR(__xludf.DUMMYFUNCTION("""COMPUTED_VALUE"""),44736.66666666667)</f>
        <v>44736.66667</v>
      </c>
      <c r="C402" s="21">
        <f>IFERROR(__xludf.DUMMYFUNCTION("""COMPUTED_VALUE"""),118.54)</f>
        <v>118.54</v>
      </c>
    </row>
    <row r="403" ht="15.75" customHeight="1">
      <c r="B403" s="20">
        <f>IFERROR(__xludf.DUMMYFUNCTION("""COMPUTED_VALUE"""),44739.66666666667)</f>
        <v>44739.66667</v>
      </c>
      <c r="C403" s="21">
        <f>IFERROR(__xludf.DUMMYFUNCTION("""COMPUTED_VALUE"""),116.62)</f>
        <v>116.62</v>
      </c>
    </row>
    <row r="404" ht="15.75" customHeight="1">
      <c r="B404" s="20">
        <f>IFERROR(__xludf.DUMMYFUNCTION("""COMPUTED_VALUE"""),44740.66666666667)</f>
        <v>44740.66667</v>
      </c>
      <c r="C404" s="21">
        <f>IFERROR(__xludf.DUMMYFUNCTION("""COMPUTED_VALUE"""),112.57)</f>
        <v>112.57</v>
      </c>
    </row>
    <row r="405" ht="15.75" customHeight="1">
      <c r="B405" s="20">
        <f>IFERROR(__xludf.DUMMYFUNCTION("""COMPUTED_VALUE"""),44741.66666666667)</f>
        <v>44741.66667</v>
      </c>
      <c r="C405" s="21">
        <f>IFERROR(__xludf.DUMMYFUNCTION("""COMPUTED_VALUE"""),112.26)</f>
        <v>112.26</v>
      </c>
    </row>
    <row r="406" ht="15.75" customHeight="1">
      <c r="B406" s="20">
        <f>IFERROR(__xludf.DUMMYFUNCTION("""COMPUTED_VALUE"""),44742.66666666667)</f>
        <v>44742.66667</v>
      </c>
      <c r="C406" s="21">
        <f>IFERROR(__xludf.DUMMYFUNCTION("""COMPUTED_VALUE"""),109.37)</f>
        <v>109.37</v>
      </c>
    </row>
    <row r="407" ht="15.75" customHeight="1">
      <c r="B407" s="20">
        <f>IFERROR(__xludf.DUMMYFUNCTION("""COMPUTED_VALUE"""),44743.66666666667)</f>
        <v>44743.66667</v>
      </c>
      <c r="C407" s="21">
        <f>IFERROR(__xludf.DUMMYFUNCTION("""COMPUTED_VALUE"""),109.08)</f>
        <v>109.08</v>
      </c>
    </row>
    <row r="408" ht="15.75" customHeight="1">
      <c r="B408" s="20">
        <f>IFERROR(__xludf.DUMMYFUNCTION("""COMPUTED_VALUE"""),44747.66666666667)</f>
        <v>44747.66667</v>
      </c>
      <c r="C408" s="21">
        <f>IFERROR(__xludf.DUMMYFUNCTION("""COMPUTED_VALUE"""),113.89)</f>
        <v>113.89</v>
      </c>
    </row>
    <row r="409" ht="15.75" customHeight="1">
      <c r="B409" s="20">
        <f>IFERROR(__xludf.DUMMYFUNCTION("""COMPUTED_VALUE"""),44748.66666666667)</f>
        <v>44748.66667</v>
      </c>
      <c r="C409" s="21">
        <f>IFERROR(__xludf.DUMMYFUNCTION("""COMPUTED_VALUE"""),115.21)</f>
        <v>115.21</v>
      </c>
    </row>
    <row r="410" ht="15.75" customHeight="1">
      <c r="B410" s="20">
        <f>IFERROR(__xludf.DUMMYFUNCTION("""COMPUTED_VALUE"""),44749.66666666667)</f>
        <v>44749.66667</v>
      </c>
      <c r="C410" s="21">
        <f>IFERROR(__xludf.DUMMYFUNCTION("""COMPUTED_VALUE"""),119.31)</f>
        <v>119.31</v>
      </c>
    </row>
    <row r="411" ht="15.75" customHeight="1">
      <c r="B411" s="20">
        <f>IFERROR(__xludf.DUMMYFUNCTION("""COMPUTED_VALUE"""),44750.66666666667)</f>
        <v>44750.66667</v>
      </c>
      <c r="C411" s="21">
        <f>IFERROR(__xludf.DUMMYFUNCTION("""COMPUTED_VALUE"""),120.17)</f>
        <v>120.17</v>
      </c>
    </row>
    <row r="412" ht="15.75" customHeight="1">
      <c r="B412" s="20">
        <f>IFERROR(__xludf.DUMMYFUNCTION("""COMPUTED_VALUE"""),44753.66666666667)</f>
        <v>44753.66667</v>
      </c>
      <c r="C412" s="21">
        <f>IFERROR(__xludf.DUMMYFUNCTION("""COMPUTED_VALUE"""),116.52)</f>
        <v>116.52</v>
      </c>
    </row>
    <row r="413" ht="15.75" customHeight="1">
      <c r="B413" s="20">
        <f>IFERROR(__xludf.DUMMYFUNCTION("""COMPUTED_VALUE"""),44754.66666666667)</f>
        <v>44754.66667</v>
      </c>
      <c r="C413" s="21">
        <f>IFERROR(__xludf.DUMMYFUNCTION("""COMPUTED_VALUE"""),114.85)</f>
        <v>114.85</v>
      </c>
    </row>
    <row r="414" ht="15.75" customHeight="1">
      <c r="B414" s="20">
        <f>IFERROR(__xludf.DUMMYFUNCTION("""COMPUTED_VALUE"""),44755.66666666667)</f>
        <v>44755.66667</v>
      </c>
      <c r="C414" s="21">
        <f>IFERROR(__xludf.DUMMYFUNCTION("""COMPUTED_VALUE"""),112.19)</f>
        <v>112.19</v>
      </c>
    </row>
    <row r="415" ht="15.75" customHeight="1">
      <c r="B415" s="20">
        <f>IFERROR(__xludf.DUMMYFUNCTION("""COMPUTED_VALUE"""),44756.66666666667)</f>
        <v>44756.66667</v>
      </c>
      <c r="C415" s="21">
        <f>IFERROR(__xludf.DUMMYFUNCTION("""COMPUTED_VALUE"""),111.44)</f>
        <v>111.44</v>
      </c>
    </row>
    <row r="416" ht="15.75" customHeight="1">
      <c r="B416" s="20">
        <f>IFERROR(__xludf.DUMMYFUNCTION("""COMPUTED_VALUE"""),44757.66666666667)</f>
        <v>44757.66667</v>
      </c>
      <c r="C416" s="21">
        <f>IFERROR(__xludf.DUMMYFUNCTION("""COMPUTED_VALUE"""),112.77)</f>
        <v>112.77</v>
      </c>
    </row>
    <row r="417" ht="15.75" customHeight="1">
      <c r="B417" s="20">
        <f>IFERROR(__xludf.DUMMYFUNCTION("""COMPUTED_VALUE"""),44760.66666666667)</f>
        <v>44760.66667</v>
      </c>
      <c r="C417" s="21">
        <f>IFERROR(__xludf.DUMMYFUNCTION("""COMPUTED_VALUE"""),109.91)</f>
        <v>109.91</v>
      </c>
    </row>
    <row r="418" ht="15.75" customHeight="1">
      <c r="B418" s="20">
        <f>IFERROR(__xludf.DUMMYFUNCTION("""COMPUTED_VALUE"""),44761.66666666667)</f>
        <v>44761.66667</v>
      </c>
      <c r="C418" s="21">
        <f>IFERROR(__xludf.DUMMYFUNCTION("""COMPUTED_VALUE"""),114.62)</f>
        <v>114.62</v>
      </c>
    </row>
    <row r="419" ht="15.75" customHeight="1">
      <c r="B419" s="20">
        <f>IFERROR(__xludf.DUMMYFUNCTION("""COMPUTED_VALUE"""),44762.66666666667)</f>
        <v>44762.66667</v>
      </c>
      <c r="C419" s="21">
        <f>IFERROR(__xludf.DUMMYFUNCTION("""COMPUTED_VALUE"""),114.7)</f>
        <v>114.7</v>
      </c>
    </row>
    <row r="420" ht="15.75" customHeight="1">
      <c r="B420" s="20">
        <f>IFERROR(__xludf.DUMMYFUNCTION("""COMPUTED_VALUE"""),44763.66666666667)</f>
        <v>44763.66667</v>
      </c>
      <c r="C420" s="21">
        <f>IFERROR(__xludf.DUMMYFUNCTION("""COMPUTED_VALUE"""),115.04)</f>
        <v>115.04</v>
      </c>
    </row>
    <row r="421" ht="15.75" customHeight="1">
      <c r="B421" s="20">
        <f>IFERROR(__xludf.DUMMYFUNCTION("""COMPUTED_VALUE"""),44764.66666666667)</f>
        <v>44764.66667</v>
      </c>
      <c r="C421" s="21">
        <f>IFERROR(__xludf.DUMMYFUNCTION("""COMPUTED_VALUE"""),108.36)</f>
        <v>108.36</v>
      </c>
    </row>
    <row r="422" ht="15.75" customHeight="1">
      <c r="B422" s="20">
        <f>IFERROR(__xludf.DUMMYFUNCTION("""COMPUTED_VALUE"""),44767.66666666667)</f>
        <v>44767.66667</v>
      </c>
      <c r="C422" s="21">
        <f>IFERROR(__xludf.DUMMYFUNCTION("""COMPUTED_VALUE"""),108.21)</f>
        <v>108.21</v>
      </c>
    </row>
    <row r="423" ht="15.75" customHeight="1">
      <c r="B423" s="20">
        <f>IFERROR(__xludf.DUMMYFUNCTION("""COMPUTED_VALUE"""),44768.66666666667)</f>
        <v>44768.66667</v>
      </c>
      <c r="C423" s="21">
        <f>IFERROR(__xludf.DUMMYFUNCTION("""COMPUTED_VALUE"""),105.44)</f>
        <v>105.44</v>
      </c>
    </row>
    <row r="424" ht="15.75" customHeight="1">
      <c r="B424" s="20">
        <f>IFERROR(__xludf.DUMMYFUNCTION("""COMPUTED_VALUE"""),44769.66666666667)</f>
        <v>44769.66667</v>
      </c>
      <c r="C424" s="21">
        <f>IFERROR(__xludf.DUMMYFUNCTION("""COMPUTED_VALUE"""),113.6)</f>
        <v>113.6</v>
      </c>
    </row>
    <row r="425" ht="15.75" customHeight="1">
      <c r="B425" s="20">
        <f>IFERROR(__xludf.DUMMYFUNCTION("""COMPUTED_VALUE"""),44770.66666666667)</f>
        <v>44770.66667</v>
      </c>
      <c r="C425" s="21">
        <f>IFERROR(__xludf.DUMMYFUNCTION("""COMPUTED_VALUE"""),114.59)</f>
        <v>114.59</v>
      </c>
    </row>
    <row r="426" ht="15.75" customHeight="1">
      <c r="B426" s="20">
        <f>IFERROR(__xludf.DUMMYFUNCTION("""COMPUTED_VALUE"""),44771.66666666667)</f>
        <v>44771.66667</v>
      </c>
      <c r="C426" s="21">
        <f>IFERROR(__xludf.DUMMYFUNCTION("""COMPUTED_VALUE"""),116.64)</f>
        <v>116.64</v>
      </c>
    </row>
    <row r="427" ht="15.75" customHeight="1">
      <c r="B427" s="20">
        <f>IFERROR(__xludf.DUMMYFUNCTION("""COMPUTED_VALUE"""),44774.66666666667)</f>
        <v>44774.66667</v>
      </c>
      <c r="C427" s="21">
        <f>IFERROR(__xludf.DUMMYFUNCTION("""COMPUTED_VALUE"""),115.48)</f>
        <v>115.48</v>
      </c>
    </row>
    <row r="428" ht="15.75" customHeight="1">
      <c r="B428" s="20">
        <f>IFERROR(__xludf.DUMMYFUNCTION("""COMPUTED_VALUE"""),44775.66666666667)</f>
        <v>44775.66667</v>
      </c>
      <c r="C428" s="21">
        <f>IFERROR(__xludf.DUMMYFUNCTION("""COMPUTED_VALUE"""),115.9)</f>
        <v>115.9</v>
      </c>
    </row>
    <row r="429" ht="15.75" customHeight="1">
      <c r="B429" s="20">
        <f>IFERROR(__xludf.DUMMYFUNCTION("""COMPUTED_VALUE"""),44776.66666666667)</f>
        <v>44776.66667</v>
      </c>
      <c r="C429" s="21">
        <f>IFERROR(__xludf.DUMMYFUNCTION("""COMPUTED_VALUE"""),118.78)</f>
        <v>118.78</v>
      </c>
    </row>
    <row r="430" ht="15.75" customHeight="1">
      <c r="B430" s="20">
        <f>IFERROR(__xludf.DUMMYFUNCTION("""COMPUTED_VALUE"""),44777.66666666667)</f>
        <v>44777.66667</v>
      </c>
      <c r="C430" s="21">
        <f>IFERROR(__xludf.DUMMYFUNCTION("""COMPUTED_VALUE"""),118.87)</f>
        <v>118.87</v>
      </c>
    </row>
    <row r="431" ht="15.75" customHeight="1">
      <c r="B431" s="20">
        <f>IFERROR(__xludf.DUMMYFUNCTION("""COMPUTED_VALUE"""),44778.66666666667)</f>
        <v>44778.66667</v>
      </c>
      <c r="C431" s="21">
        <f>IFERROR(__xludf.DUMMYFUNCTION("""COMPUTED_VALUE"""),118.22)</f>
        <v>118.22</v>
      </c>
    </row>
    <row r="432" ht="15.75" customHeight="1">
      <c r="B432" s="20">
        <f>IFERROR(__xludf.DUMMYFUNCTION("""COMPUTED_VALUE"""),44781.66666666667)</f>
        <v>44781.66667</v>
      </c>
      <c r="C432" s="21">
        <f>IFERROR(__xludf.DUMMYFUNCTION("""COMPUTED_VALUE"""),118.14)</f>
        <v>118.14</v>
      </c>
    </row>
    <row r="433" ht="15.75" customHeight="1">
      <c r="B433" s="20">
        <f>IFERROR(__xludf.DUMMYFUNCTION("""COMPUTED_VALUE"""),44782.66666666667)</f>
        <v>44782.66667</v>
      </c>
      <c r="C433" s="21">
        <f>IFERROR(__xludf.DUMMYFUNCTION("""COMPUTED_VALUE"""),117.5)</f>
        <v>117.5</v>
      </c>
    </row>
    <row r="434" ht="15.75" customHeight="1">
      <c r="B434" s="20">
        <f>IFERROR(__xludf.DUMMYFUNCTION("""COMPUTED_VALUE"""),44783.66666666667)</f>
        <v>44783.66667</v>
      </c>
      <c r="C434" s="21">
        <f>IFERROR(__xludf.DUMMYFUNCTION("""COMPUTED_VALUE"""),120.65)</f>
        <v>120.65</v>
      </c>
    </row>
    <row r="435" ht="15.75" customHeight="1">
      <c r="B435" s="20">
        <f>IFERROR(__xludf.DUMMYFUNCTION("""COMPUTED_VALUE"""),44784.66666666667)</f>
        <v>44784.66667</v>
      </c>
      <c r="C435" s="21">
        <f>IFERROR(__xludf.DUMMYFUNCTION("""COMPUTED_VALUE"""),119.82)</f>
        <v>119.82</v>
      </c>
    </row>
    <row r="436" ht="15.75" customHeight="1">
      <c r="B436" s="20">
        <f>IFERROR(__xludf.DUMMYFUNCTION("""COMPUTED_VALUE"""),44785.66666666667)</f>
        <v>44785.66667</v>
      </c>
      <c r="C436" s="21">
        <f>IFERROR(__xludf.DUMMYFUNCTION("""COMPUTED_VALUE"""),122.65)</f>
        <v>122.65</v>
      </c>
    </row>
    <row r="437" ht="15.75" customHeight="1">
      <c r="B437" s="20">
        <f>IFERROR(__xludf.DUMMYFUNCTION("""COMPUTED_VALUE"""),44788.66666666667)</f>
        <v>44788.66667</v>
      </c>
      <c r="C437" s="21">
        <f>IFERROR(__xludf.DUMMYFUNCTION("""COMPUTED_VALUE"""),122.88)</f>
        <v>122.88</v>
      </c>
    </row>
    <row r="438" ht="15.75" customHeight="1">
      <c r="B438" s="20">
        <f>IFERROR(__xludf.DUMMYFUNCTION("""COMPUTED_VALUE"""),44789.66666666667)</f>
        <v>44789.66667</v>
      </c>
      <c r="C438" s="21">
        <f>IFERROR(__xludf.DUMMYFUNCTION("""COMPUTED_VALUE"""),122.51)</f>
        <v>122.51</v>
      </c>
    </row>
    <row r="439" ht="15.75" customHeight="1">
      <c r="B439" s="20">
        <f>IFERROR(__xludf.DUMMYFUNCTION("""COMPUTED_VALUE"""),44790.66666666667)</f>
        <v>44790.66667</v>
      </c>
      <c r="C439" s="21">
        <f>IFERROR(__xludf.DUMMYFUNCTION("""COMPUTED_VALUE"""),120.32)</f>
        <v>120.32</v>
      </c>
    </row>
    <row r="440" ht="15.75" customHeight="1">
      <c r="B440" s="20">
        <f>IFERROR(__xludf.DUMMYFUNCTION("""COMPUTED_VALUE"""),44791.66666666667)</f>
        <v>44791.66667</v>
      </c>
      <c r="C440" s="21">
        <f>IFERROR(__xludf.DUMMYFUNCTION("""COMPUTED_VALUE"""),120.86)</f>
        <v>120.86</v>
      </c>
    </row>
    <row r="441" ht="15.75" customHeight="1">
      <c r="B441" s="20">
        <f>IFERROR(__xludf.DUMMYFUNCTION("""COMPUTED_VALUE"""),44792.66666666667)</f>
        <v>44792.66667</v>
      </c>
      <c r="C441" s="21">
        <f>IFERROR(__xludf.DUMMYFUNCTION("""COMPUTED_VALUE"""),118.12)</f>
        <v>118.12</v>
      </c>
    </row>
    <row r="442" ht="15.75" customHeight="1">
      <c r="B442" s="20">
        <f>IFERROR(__xludf.DUMMYFUNCTION("""COMPUTED_VALUE"""),44795.66666666667)</f>
        <v>44795.66667</v>
      </c>
      <c r="C442" s="21">
        <f>IFERROR(__xludf.DUMMYFUNCTION("""COMPUTED_VALUE"""),115.07)</f>
        <v>115.07</v>
      </c>
    </row>
    <row r="443" ht="15.75" customHeight="1">
      <c r="B443" s="20">
        <f>IFERROR(__xludf.DUMMYFUNCTION("""COMPUTED_VALUE"""),44796.66666666667)</f>
        <v>44796.66667</v>
      </c>
      <c r="C443" s="21">
        <f>IFERROR(__xludf.DUMMYFUNCTION("""COMPUTED_VALUE"""),114.77)</f>
        <v>114.77</v>
      </c>
    </row>
    <row r="444" ht="15.75" customHeight="1">
      <c r="B444" s="20">
        <f>IFERROR(__xludf.DUMMYFUNCTION("""COMPUTED_VALUE"""),44797.66666666667)</f>
        <v>44797.66667</v>
      </c>
      <c r="C444" s="21">
        <f>IFERROR(__xludf.DUMMYFUNCTION("""COMPUTED_VALUE"""),114.7)</f>
        <v>114.7</v>
      </c>
    </row>
    <row r="445" ht="15.75" customHeight="1">
      <c r="B445" s="20">
        <f>IFERROR(__xludf.DUMMYFUNCTION("""COMPUTED_VALUE"""),44798.66666666667)</f>
        <v>44798.66667</v>
      </c>
      <c r="C445" s="21">
        <f>IFERROR(__xludf.DUMMYFUNCTION("""COMPUTED_VALUE"""),117.7)</f>
        <v>117.7</v>
      </c>
    </row>
    <row r="446" ht="15.75" customHeight="1">
      <c r="B446" s="20">
        <f>IFERROR(__xludf.DUMMYFUNCTION("""COMPUTED_VALUE"""),44799.66666666667)</f>
        <v>44799.66667</v>
      </c>
      <c r="C446" s="21">
        <f>IFERROR(__xludf.DUMMYFUNCTION("""COMPUTED_VALUE"""),111.3)</f>
        <v>111.3</v>
      </c>
    </row>
    <row r="447" ht="15.75" customHeight="1">
      <c r="B447" s="20">
        <f>IFERROR(__xludf.DUMMYFUNCTION("""COMPUTED_VALUE"""),44802.66666666667)</f>
        <v>44802.66667</v>
      </c>
      <c r="C447" s="21">
        <f>IFERROR(__xludf.DUMMYFUNCTION("""COMPUTED_VALUE"""),110.34)</f>
        <v>110.34</v>
      </c>
    </row>
    <row r="448" ht="15.75" customHeight="1">
      <c r="B448" s="20">
        <f>IFERROR(__xludf.DUMMYFUNCTION("""COMPUTED_VALUE"""),44803.66666666667)</f>
        <v>44803.66667</v>
      </c>
      <c r="C448" s="21">
        <f>IFERROR(__xludf.DUMMYFUNCTION("""COMPUTED_VALUE"""),109.91)</f>
        <v>109.91</v>
      </c>
    </row>
    <row r="449" ht="15.75" customHeight="1">
      <c r="B449" s="20">
        <f>IFERROR(__xludf.DUMMYFUNCTION("""COMPUTED_VALUE"""),44804.66666666667)</f>
        <v>44804.66667</v>
      </c>
      <c r="C449" s="21">
        <f>IFERROR(__xludf.DUMMYFUNCTION("""COMPUTED_VALUE"""),109.15)</f>
        <v>109.15</v>
      </c>
    </row>
    <row r="450" ht="15.75" customHeight="1">
      <c r="B450" s="20">
        <f>IFERROR(__xludf.DUMMYFUNCTION("""COMPUTED_VALUE"""),44805.66666666667)</f>
        <v>44805.66667</v>
      </c>
      <c r="C450" s="21">
        <f>IFERROR(__xludf.DUMMYFUNCTION("""COMPUTED_VALUE"""),110.55)</f>
        <v>110.55</v>
      </c>
    </row>
    <row r="451" ht="15.75" customHeight="1">
      <c r="B451" s="20">
        <f>IFERROR(__xludf.DUMMYFUNCTION("""COMPUTED_VALUE"""),44806.66666666667)</f>
        <v>44806.66667</v>
      </c>
      <c r="C451" s="21">
        <f>IFERROR(__xludf.DUMMYFUNCTION("""COMPUTED_VALUE"""),108.68)</f>
        <v>108.68</v>
      </c>
    </row>
    <row r="452" ht="15.75" customHeight="1">
      <c r="B452" s="20">
        <f>IFERROR(__xludf.DUMMYFUNCTION("""COMPUTED_VALUE"""),44810.66666666667)</f>
        <v>44810.66667</v>
      </c>
      <c r="C452" s="21">
        <f>IFERROR(__xludf.DUMMYFUNCTION("""COMPUTED_VALUE"""),107.48)</f>
        <v>107.48</v>
      </c>
    </row>
    <row r="453" ht="15.75" customHeight="1">
      <c r="B453" s="20">
        <f>IFERROR(__xludf.DUMMYFUNCTION("""COMPUTED_VALUE"""),44811.66666666667)</f>
        <v>44811.66667</v>
      </c>
      <c r="C453" s="21">
        <f>IFERROR(__xludf.DUMMYFUNCTION("""COMPUTED_VALUE"""),110.48)</f>
        <v>110.48</v>
      </c>
    </row>
    <row r="454" ht="15.75" customHeight="1">
      <c r="B454" s="20">
        <f>IFERROR(__xludf.DUMMYFUNCTION("""COMPUTED_VALUE"""),44812.66666666667)</f>
        <v>44812.66667</v>
      </c>
      <c r="C454" s="21">
        <f>IFERROR(__xludf.DUMMYFUNCTION("""COMPUTED_VALUE"""),109.42)</f>
        <v>109.42</v>
      </c>
    </row>
    <row r="455" ht="15.75" customHeight="1">
      <c r="B455" s="20">
        <f>IFERROR(__xludf.DUMMYFUNCTION("""COMPUTED_VALUE"""),44813.66666666667)</f>
        <v>44813.66667</v>
      </c>
      <c r="C455" s="21">
        <f>IFERROR(__xludf.DUMMYFUNCTION("""COMPUTED_VALUE"""),111.78)</f>
        <v>111.78</v>
      </c>
    </row>
    <row r="456" ht="15.75" customHeight="1">
      <c r="B456" s="20">
        <f>IFERROR(__xludf.DUMMYFUNCTION("""COMPUTED_VALUE"""),44816.66666666667)</f>
        <v>44816.66667</v>
      </c>
      <c r="C456" s="21">
        <f>IFERROR(__xludf.DUMMYFUNCTION("""COMPUTED_VALUE"""),111.87)</f>
        <v>111.87</v>
      </c>
    </row>
    <row r="457" ht="15.75" customHeight="1">
      <c r="B457" s="20">
        <f>IFERROR(__xludf.DUMMYFUNCTION("""COMPUTED_VALUE"""),44817.66666666667)</f>
        <v>44817.66667</v>
      </c>
      <c r="C457" s="21">
        <f>IFERROR(__xludf.DUMMYFUNCTION("""COMPUTED_VALUE"""),105.31)</f>
        <v>105.31</v>
      </c>
    </row>
    <row r="458" ht="15.75" customHeight="1">
      <c r="B458" s="20">
        <f>IFERROR(__xludf.DUMMYFUNCTION("""COMPUTED_VALUE"""),44818.66666666667)</f>
        <v>44818.66667</v>
      </c>
      <c r="C458" s="21">
        <f>IFERROR(__xludf.DUMMYFUNCTION("""COMPUTED_VALUE"""),105.87)</f>
        <v>105.87</v>
      </c>
    </row>
    <row r="459" ht="15.75" customHeight="1">
      <c r="B459" s="20">
        <f>IFERROR(__xludf.DUMMYFUNCTION("""COMPUTED_VALUE"""),44819.66666666667)</f>
        <v>44819.66667</v>
      </c>
      <c r="C459" s="21">
        <f>IFERROR(__xludf.DUMMYFUNCTION("""COMPUTED_VALUE"""),103.9)</f>
        <v>103.9</v>
      </c>
    </row>
    <row r="460" ht="15.75" customHeight="1">
      <c r="B460" s="20">
        <f>IFERROR(__xludf.DUMMYFUNCTION("""COMPUTED_VALUE"""),44820.66666666667)</f>
        <v>44820.66667</v>
      </c>
      <c r="C460" s="21">
        <f>IFERROR(__xludf.DUMMYFUNCTION("""COMPUTED_VALUE"""),103.63)</f>
        <v>103.63</v>
      </c>
    </row>
    <row r="461" ht="15.75" customHeight="1">
      <c r="B461" s="20">
        <f>IFERROR(__xludf.DUMMYFUNCTION("""COMPUTED_VALUE"""),44823.66666666667)</f>
        <v>44823.66667</v>
      </c>
      <c r="C461" s="21">
        <f>IFERROR(__xludf.DUMMYFUNCTION("""COMPUTED_VALUE"""),103.85)</f>
        <v>103.85</v>
      </c>
    </row>
    <row r="462" ht="15.75" customHeight="1">
      <c r="B462" s="20">
        <f>IFERROR(__xludf.DUMMYFUNCTION("""COMPUTED_VALUE"""),44824.66666666667)</f>
        <v>44824.66667</v>
      </c>
      <c r="C462" s="21">
        <f>IFERROR(__xludf.DUMMYFUNCTION("""COMPUTED_VALUE"""),101.83)</f>
        <v>101.83</v>
      </c>
    </row>
    <row r="463" ht="15.75" customHeight="1">
      <c r="B463" s="20">
        <f>IFERROR(__xludf.DUMMYFUNCTION("""COMPUTED_VALUE"""),44825.66666666667)</f>
        <v>44825.66667</v>
      </c>
      <c r="C463" s="21">
        <f>IFERROR(__xludf.DUMMYFUNCTION("""COMPUTED_VALUE"""),100.01)</f>
        <v>100.01</v>
      </c>
    </row>
    <row r="464" ht="15.75" customHeight="1">
      <c r="B464" s="20">
        <f>IFERROR(__xludf.DUMMYFUNCTION("""COMPUTED_VALUE"""),44826.66666666667)</f>
        <v>44826.66667</v>
      </c>
      <c r="C464" s="21">
        <f>IFERROR(__xludf.DUMMYFUNCTION("""COMPUTED_VALUE"""),100.57)</f>
        <v>100.57</v>
      </c>
    </row>
    <row r="465" ht="15.75" customHeight="1">
      <c r="B465" s="20">
        <f>IFERROR(__xludf.DUMMYFUNCTION("""COMPUTED_VALUE"""),44827.66666666667)</f>
        <v>44827.66667</v>
      </c>
      <c r="C465" s="21">
        <f>IFERROR(__xludf.DUMMYFUNCTION("""COMPUTED_VALUE"""),99.17)</f>
        <v>99.17</v>
      </c>
    </row>
    <row r="466" ht="15.75" customHeight="1">
      <c r="B466" s="20">
        <f>IFERROR(__xludf.DUMMYFUNCTION("""COMPUTED_VALUE"""),44830.66666666667)</f>
        <v>44830.66667</v>
      </c>
      <c r="C466" s="21">
        <f>IFERROR(__xludf.DUMMYFUNCTION("""COMPUTED_VALUE"""),98.81)</f>
        <v>98.81</v>
      </c>
    </row>
    <row r="467" ht="15.75" customHeight="1">
      <c r="B467" s="20">
        <f>IFERROR(__xludf.DUMMYFUNCTION("""COMPUTED_VALUE"""),44831.66666666667)</f>
        <v>44831.66667</v>
      </c>
      <c r="C467" s="21">
        <f>IFERROR(__xludf.DUMMYFUNCTION("""COMPUTED_VALUE"""),98.09)</f>
        <v>98.09</v>
      </c>
    </row>
    <row r="468" ht="15.75" customHeight="1">
      <c r="B468" s="20">
        <f>IFERROR(__xludf.DUMMYFUNCTION("""COMPUTED_VALUE"""),44832.66666666667)</f>
        <v>44832.66667</v>
      </c>
      <c r="C468" s="21">
        <f>IFERROR(__xludf.DUMMYFUNCTION("""COMPUTED_VALUE"""),100.74)</f>
        <v>100.74</v>
      </c>
    </row>
    <row r="469" ht="15.75" customHeight="1">
      <c r="B469" s="20">
        <f>IFERROR(__xludf.DUMMYFUNCTION("""COMPUTED_VALUE"""),44833.66666666667)</f>
        <v>44833.66667</v>
      </c>
      <c r="C469" s="21">
        <f>IFERROR(__xludf.DUMMYFUNCTION("""COMPUTED_VALUE"""),98.09)</f>
        <v>98.09</v>
      </c>
    </row>
    <row r="470" ht="15.75" customHeight="1">
      <c r="B470" s="20">
        <f>IFERROR(__xludf.DUMMYFUNCTION("""COMPUTED_VALUE"""),44834.66666666667)</f>
        <v>44834.66667</v>
      </c>
      <c r="C470" s="21">
        <f>IFERROR(__xludf.DUMMYFUNCTION("""COMPUTED_VALUE"""),96.15)</f>
        <v>96.15</v>
      </c>
    </row>
    <row r="471" ht="15.75" customHeight="1">
      <c r="B471" s="20">
        <f>IFERROR(__xludf.DUMMYFUNCTION("""COMPUTED_VALUE"""),44837.66666666667)</f>
        <v>44837.66667</v>
      </c>
      <c r="C471" s="21">
        <f>IFERROR(__xludf.DUMMYFUNCTION("""COMPUTED_VALUE"""),99.3)</f>
        <v>99.3</v>
      </c>
    </row>
    <row r="472" ht="15.75" customHeight="1">
      <c r="B472" s="20">
        <f>IFERROR(__xludf.DUMMYFUNCTION("""COMPUTED_VALUE"""),44838.66666666667)</f>
        <v>44838.66667</v>
      </c>
      <c r="C472" s="21">
        <f>IFERROR(__xludf.DUMMYFUNCTION("""COMPUTED_VALUE"""),102.41)</f>
        <v>102.41</v>
      </c>
    </row>
    <row r="473" ht="15.75" customHeight="1">
      <c r="B473" s="20">
        <f>IFERROR(__xludf.DUMMYFUNCTION("""COMPUTED_VALUE"""),44839.66666666667)</f>
        <v>44839.66667</v>
      </c>
      <c r="C473" s="21">
        <f>IFERROR(__xludf.DUMMYFUNCTION("""COMPUTED_VALUE"""),102.22)</f>
        <v>102.22</v>
      </c>
    </row>
    <row r="474" ht="15.75" customHeight="1">
      <c r="B474" s="20">
        <f>IFERROR(__xludf.DUMMYFUNCTION("""COMPUTED_VALUE"""),44840.66666666667)</f>
        <v>44840.66667</v>
      </c>
      <c r="C474" s="21">
        <f>IFERROR(__xludf.DUMMYFUNCTION("""COMPUTED_VALUE"""),102.24)</f>
        <v>102.24</v>
      </c>
    </row>
    <row r="475" ht="15.75" customHeight="1">
      <c r="B475" s="20">
        <f>IFERROR(__xludf.DUMMYFUNCTION("""COMPUTED_VALUE"""),44841.66666666667)</f>
        <v>44841.66667</v>
      </c>
      <c r="C475" s="21">
        <f>IFERROR(__xludf.DUMMYFUNCTION("""COMPUTED_VALUE"""),99.57)</f>
        <v>99.57</v>
      </c>
    </row>
    <row r="476" ht="15.75" customHeight="1">
      <c r="B476" s="20">
        <f>IFERROR(__xludf.DUMMYFUNCTION("""COMPUTED_VALUE"""),44844.66666666667)</f>
        <v>44844.66667</v>
      </c>
      <c r="C476" s="21">
        <f>IFERROR(__xludf.DUMMYFUNCTION("""COMPUTED_VALUE"""),98.71)</f>
        <v>98.71</v>
      </c>
    </row>
    <row r="477" ht="15.75" customHeight="1">
      <c r="B477" s="20">
        <f>IFERROR(__xludf.DUMMYFUNCTION("""COMPUTED_VALUE"""),44845.66666666667)</f>
        <v>44845.66667</v>
      </c>
      <c r="C477" s="21">
        <f>IFERROR(__xludf.DUMMYFUNCTION("""COMPUTED_VALUE"""),98.05)</f>
        <v>98.05</v>
      </c>
    </row>
    <row r="478" ht="15.75" customHeight="1">
      <c r="B478" s="20">
        <f>IFERROR(__xludf.DUMMYFUNCTION("""COMPUTED_VALUE"""),44846.66666666667)</f>
        <v>44846.66667</v>
      </c>
      <c r="C478" s="21">
        <f>IFERROR(__xludf.DUMMYFUNCTION("""COMPUTED_VALUE"""),98.3)</f>
        <v>98.3</v>
      </c>
    </row>
    <row r="479" ht="15.75" customHeight="1">
      <c r="B479" s="20">
        <f>IFERROR(__xludf.DUMMYFUNCTION("""COMPUTED_VALUE"""),44847.66666666667)</f>
        <v>44847.66667</v>
      </c>
      <c r="C479" s="21">
        <f>IFERROR(__xludf.DUMMYFUNCTION("""COMPUTED_VALUE"""),99.71)</f>
        <v>99.71</v>
      </c>
    </row>
    <row r="480" ht="15.75" customHeight="1">
      <c r="B480" s="20">
        <f>IFERROR(__xludf.DUMMYFUNCTION("""COMPUTED_VALUE"""),44848.66666666667)</f>
        <v>44848.66667</v>
      </c>
      <c r="C480" s="21">
        <f>IFERROR(__xludf.DUMMYFUNCTION("""COMPUTED_VALUE"""),97.18)</f>
        <v>97.18</v>
      </c>
    </row>
    <row r="481" ht="15.75" customHeight="1">
      <c r="B481" s="20">
        <f>IFERROR(__xludf.DUMMYFUNCTION("""COMPUTED_VALUE"""),44851.66666666667)</f>
        <v>44851.66667</v>
      </c>
      <c r="C481" s="21">
        <f>IFERROR(__xludf.DUMMYFUNCTION("""COMPUTED_VALUE"""),100.78)</f>
        <v>100.78</v>
      </c>
    </row>
    <row r="482" ht="15.75" customHeight="1">
      <c r="B482" s="20">
        <f>IFERROR(__xludf.DUMMYFUNCTION("""COMPUTED_VALUE"""),44852.66666666667)</f>
        <v>44852.66667</v>
      </c>
      <c r="C482" s="21">
        <f>IFERROR(__xludf.DUMMYFUNCTION("""COMPUTED_VALUE"""),101.39)</f>
        <v>101.39</v>
      </c>
    </row>
    <row r="483" ht="15.75" customHeight="1">
      <c r="B483" s="20">
        <f>IFERROR(__xludf.DUMMYFUNCTION("""COMPUTED_VALUE"""),44853.66666666667)</f>
        <v>44853.66667</v>
      </c>
      <c r="C483" s="21">
        <f>IFERROR(__xludf.DUMMYFUNCTION("""COMPUTED_VALUE"""),100.29)</f>
        <v>100.29</v>
      </c>
    </row>
    <row r="484" ht="15.75" customHeight="1">
      <c r="B484" s="20">
        <f>IFERROR(__xludf.DUMMYFUNCTION("""COMPUTED_VALUE"""),44854.66666666667)</f>
        <v>44854.66667</v>
      </c>
      <c r="C484" s="21">
        <f>IFERROR(__xludf.DUMMYFUNCTION("""COMPUTED_VALUE"""),100.53)</f>
        <v>100.53</v>
      </c>
    </row>
    <row r="485" ht="15.75" customHeight="1">
      <c r="B485" s="20">
        <f>IFERROR(__xludf.DUMMYFUNCTION("""COMPUTED_VALUE"""),44855.66666666667)</f>
        <v>44855.66667</v>
      </c>
      <c r="C485" s="21">
        <f>IFERROR(__xludf.DUMMYFUNCTION("""COMPUTED_VALUE"""),101.48)</f>
        <v>101.48</v>
      </c>
    </row>
    <row r="486" ht="15.75" customHeight="1">
      <c r="B486" s="20">
        <f>IFERROR(__xludf.DUMMYFUNCTION("""COMPUTED_VALUE"""),44858.66666666667)</f>
        <v>44858.66667</v>
      </c>
      <c r="C486" s="21">
        <f>IFERROR(__xludf.DUMMYFUNCTION("""COMPUTED_VALUE"""),102.97)</f>
        <v>102.97</v>
      </c>
    </row>
    <row r="487" ht="15.75" customHeight="1">
      <c r="B487" s="20">
        <f>IFERROR(__xludf.DUMMYFUNCTION("""COMPUTED_VALUE"""),44859.66666666667)</f>
        <v>44859.66667</v>
      </c>
      <c r="C487" s="21">
        <f>IFERROR(__xludf.DUMMYFUNCTION("""COMPUTED_VALUE"""),104.93)</f>
        <v>104.93</v>
      </c>
    </row>
    <row r="488" ht="15.75" customHeight="1">
      <c r="B488" s="20">
        <f>IFERROR(__xludf.DUMMYFUNCTION("""COMPUTED_VALUE"""),44860.66666666667)</f>
        <v>44860.66667</v>
      </c>
      <c r="C488" s="21">
        <f>IFERROR(__xludf.DUMMYFUNCTION("""COMPUTED_VALUE"""),94.82)</f>
        <v>94.82</v>
      </c>
    </row>
    <row r="489" ht="15.75" customHeight="1">
      <c r="B489" s="20">
        <f>IFERROR(__xludf.DUMMYFUNCTION("""COMPUTED_VALUE"""),44861.66666666667)</f>
        <v>44861.66667</v>
      </c>
      <c r="C489" s="21">
        <f>IFERROR(__xludf.DUMMYFUNCTION("""COMPUTED_VALUE"""),92.6)</f>
        <v>92.6</v>
      </c>
    </row>
    <row r="490" ht="15.75" customHeight="1">
      <c r="B490" s="20">
        <f>IFERROR(__xludf.DUMMYFUNCTION("""COMPUTED_VALUE"""),44862.66666666667)</f>
        <v>44862.66667</v>
      </c>
      <c r="C490" s="21">
        <f>IFERROR(__xludf.DUMMYFUNCTION("""COMPUTED_VALUE"""),96.58)</f>
        <v>96.58</v>
      </c>
    </row>
    <row r="491" ht="15.75" customHeight="1">
      <c r="B491" s="20">
        <f>IFERROR(__xludf.DUMMYFUNCTION("""COMPUTED_VALUE"""),44865.66666666667)</f>
        <v>44865.66667</v>
      </c>
      <c r="C491" s="21">
        <f>IFERROR(__xludf.DUMMYFUNCTION("""COMPUTED_VALUE"""),94.66)</f>
        <v>94.66</v>
      </c>
    </row>
    <row r="492" ht="15.75" customHeight="1">
      <c r="B492" s="20">
        <f>IFERROR(__xludf.DUMMYFUNCTION("""COMPUTED_VALUE"""),44866.66666666667)</f>
        <v>44866.66667</v>
      </c>
      <c r="C492" s="21">
        <f>IFERROR(__xludf.DUMMYFUNCTION("""COMPUTED_VALUE"""),90.5)</f>
        <v>90.5</v>
      </c>
    </row>
    <row r="493" ht="15.75" customHeight="1">
      <c r="B493" s="20">
        <f>IFERROR(__xludf.DUMMYFUNCTION("""COMPUTED_VALUE"""),44867.66666666667)</f>
        <v>44867.66667</v>
      </c>
      <c r="C493" s="21">
        <f>IFERROR(__xludf.DUMMYFUNCTION("""COMPUTED_VALUE"""),87.07)</f>
        <v>87.07</v>
      </c>
    </row>
    <row r="494" ht="15.75" customHeight="1">
      <c r="B494" s="20">
        <f>IFERROR(__xludf.DUMMYFUNCTION("""COMPUTED_VALUE"""),44868.66666666667)</f>
        <v>44868.66667</v>
      </c>
      <c r="C494" s="21">
        <f>IFERROR(__xludf.DUMMYFUNCTION("""COMPUTED_VALUE"""),83.49)</f>
        <v>83.49</v>
      </c>
    </row>
    <row r="495" ht="15.75" customHeight="1">
      <c r="B495" s="20">
        <f>IFERROR(__xludf.DUMMYFUNCTION("""COMPUTED_VALUE"""),44869.66666666667)</f>
        <v>44869.66667</v>
      </c>
      <c r="C495" s="21">
        <f>IFERROR(__xludf.DUMMYFUNCTION("""COMPUTED_VALUE"""),86.7)</f>
        <v>86.7</v>
      </c>
    </row>
    <row r="496" ht="15.75" customHeight="1">
      <c r="B496" s="20">
        <f>IFERROR(__xludf.DUMMYFUNCTION("""COMPUTED_VALUE"""),44872.66666666667)</f>
        <v>44872.66667</v>
      </c>
      <c r="C496" s="21">
        <f>IFERROR(__xludf.DUMMYFUNCTION("""COMPUTED_VALUE"""),88.65)</f>
        <v>88.65</v>
      </c>
    </row>
    <row r="497" ht="15.75" customHeight="1">
      <c r="B497" s="20">
        <f>IFERROR(__xludf.DUMMYFUNCTION("""COMPUTED_VALUE"""),44873.66666666667)</f>
        <v>44873.66667</v>
      </c>
      <c r="C497" s="21">
        <f>IFERROR(__xludf.DUMMYFUNCTION("""COMPUTED_VALUE"""),88.91)</f>
        <v>88.91</v>
      </c>
    </row>
    <row r="498" ht="15.75" customHeight="1">
      <c r="B498" s="20">
        <f>IFERROR(__xludf.DUMMYFUNCTION("""COMPUTED_VALUE"""),44874.66666666667)</f>
        <v>44874.66667</v>
      </c>
      <c r="C498" s="21">
        <f>IFERROR(__xludf.DUMMYFUNCTION("""COMPUTED_VALUE"""),87.4)</f>
        <v>87.4</v>
      </c>
    </row>
    <row r="499" ht="15.75" customHeight="1">
      <c r="B499" s="20">
        <f>IFERROR(__xludf.DUMMYFUNCTION("""COMPUTED_VALUE"""),44875.66666666667)</f>
        <v>44875.66667</v>
      </c>
      <c r="C499" s="21">
        <f>IFERROR(__xludf.DUMMYFUNCTION("""COMPUTED_VALUE"""),94.17)</f>
        <v>94.17</v>
      </c>
    </row>
    <row r="500" ht="15.75" customHeight="1">
      <c r="B500" s="20">
        <f>IFERROR(__xludf.DUMMYFUNCTION("""COMPUTED_VALUE"""),44876.66666666667)</f>
        <v>44876.66667</v>
      </c>
      <c r="C500" s="21">
        <f>IFERROR(__xludf.DUMMYFUNCTION("""COMPUTED_VALUE"""),96.73)</f>
        <v>96.73</v>
      </c>
    </row>
    <row r="501" ht="15.75" customHeight="1">
      <c r="B501" s="20">
        <f>IFERROR(__xludf.DUMMYFUNCTION("""COMPUTED_VALUE"""),44879.66666666667)</f>
        <v>44879.66667</v>
      </c>
      <c r="C501" s="21">
        <f>IFERROR(__xludf.DUMMYFUNCTION("""COMPUTED_VALUE"""),96.03)</f>
        <v>96.03</v>
      </c>
    </row>
    <row r="502" ht="15.75" customHeight="1">
      <c r="B502" s="20">
        <f>IFERROR(__xludf.DUMMYFUNCTION("""COMPUTED_VALUE"""),44880.66666666667)</f>
        <v>44880.66667</v>
      </c>
      <c r="C502" s="21">
        <f>IFERROR(__xludf.DUMMYFUNCTION("""COMPUTED_VALUE"""),98.72)</f>
        <v>98.72</v>
      </c>
    </row>
    <row r="503" ht="15.75" customHeight="1">
      <c r="B503" s="20">
        <f>IFERROR(__xludf.DUMMYFUNCTION("""COMPUTED_VALUE"""),44881.66666666667)</f>
        <v>44881.66667</v>
      </c>
      <c r="C503" s="21">
        <f>IFERROR(__xludf.DUMMYFUNCTION("""COMPUTED_VALUE"""),98.99)</f>
        <v>98.99</v>
      </c>
    </row>
    <row r="504" ht="15.75" customHeight="1">
      <c r="B504" s="20">
        <f>IFERROR(__xludf.DUMMYFUNCTION("""COMPUTED_VALUE"""),44882.66666666667)</f>
        <v>44882.66667</v>
      </c>
      <c r="C504" s="21">
        <f>IFERROR(__xludf.DUMMYFUNCTION("""COMPUTED_VALUE"""),98.5)</f>
        <v>98.5</v>
      </c>
    </row>
    <row r="505" ht="15.75" customHeight="1">
      <c r="B505" s="20">
        <f>IFERROR(__xludf.DUMMYFUNCTION("""COMPUTED_VALUE"""),44883.66666666667)</f>
        <v>44883.66667</v>
      </c>
      <c r="C505" s="21">
        <f>IFERROR(__xludf.DUMMYFUNCTION("""COMPUTED_VALUE"""),97.8)</f>
        <v>97.8</v>
      </c>
    </row>
    <row r="506" ht="15.75" customHeight="1">
      <c r="B506" s="20">
        <f>IFERROR(__xludf.DUMMYFUNCTION("""COMPUTED_VALUE"""),44886.66666666667)</f>
        <v>44886.66667</v>
      </c>
      <c r="C506" s="21">
        <f>IFERROR(__xludf.DUMMYFUNCTION("""COMPUTED_VALUE"""),95.83)</f>
        <v>95.83</v>
      </c>
    </row>
    <row r="507" ht="15.75" customHeight="1">
      <c r="B507" s="20">
        <f>IFERROR(__xludf.DUMMYFUNCTION("""COMPUTED_VALUE"""),44887.66666666667)</f>
        <v>44887.66667</v>
      </c>
      <c r="C507" s="21">
        <f>IFERROR(__xludf.DUMMYFUNCTION("""COMPUTED_VALUE"""),97.33)</f>
        <v>97.33</v>
      </c>
    </row>
    <row r="508" ht="15.75" customHeight="1">
      <c r="B508" s="20">
        <f>IFERROR(__xludf.DUMMYFUNCTION("""COMPUTED_VALUE"""),44888.66666666667)</f>
        <v>44888.66667</v>
      </c>
      <c r="C508" s="21">
        <f>IFERROR(__xludf.DUMMYFUNCTION("""COMPUTED_VALUE"""),98.82)</f>
        <v>98.82</v>
      </c>
    </row>
    <row r="509" ht="15.75" customHeight="1">
      <c r="B509" s="20">
        <f>IFERROR(__xludf.DUMMYFUNCTION("""COMPUTED_VALUE"""),44890.54513888889)</f>
        <v>44890.54514</v>
      </c>
      <c r="C509" s="21">
        <f>IFERROR(__xludf.DUMMYFUNCTION("""COMPUTED_VALUE"""),97.6)</f>
        <v>97.6</v>
      </c>
    </row>
    <row r="510" ht="15.75" customHeight="1">
      <c r="B510" s="20">
        <f>IFERROR(__xludf.DUMMYFUNCTION("""COMPUTED_VALUE"""),44893.66666666667)</f>
        <v>44893.66667</v>
      </c>
      <c r="C510" s="21">
        <f>IFERROR(__xludf.DUMMYFUNCTION("""COMPUTED_VALUE"""),96.25)</f>
        <v>96.25</v>
      </c>
    </row>
    <row r="511" ht="15.75" customHeight="1">
      <c r="B511" s="20">
        <f>IFERROR(__xludf.DUMMYFUNCTION("""COMPUTED_VALUE"""),44894.66666666667)</f>
        <v>44894.66667</v>
      </c>
      <c r="C511" s="21">
        <f>IFERROR(__xludf.DUMMYFUNCTION("""COMPUTED_VALUE"""),95.44)</f>
        <v>95.44</v>
      </c>
    </row>
    <row r="512" ht="15.75" customHeight="1">
      <c r="B512" s="20">
        <f>IFERROR(__xludf.DUMMYFUNCTION("""COMPUTED_VALUE"""),44895.66666666667)</f>
        <v>44895.66667</v>
      </c>
      <c r="C512" s="21">
        <f>IFERROR(__xludf.DUMMYFUNCTION("""COMPUTED_VALUE"""),101.45)</f>
        <v>101.45</v>
      </c>
    </row>
    <row r="513" ht="15.75" customHeight="1">
      <c r="B513" s="20">
        <f>IFERROR(__xludf.DUMMYFUNCTION("""COMPUTED_VALUE"""),44896.66666666667)</f>
        <v>44896.66667</v>
      </c>
      <c r="C513" s="21">
        <f>IFERROR(__xludf.DUMMYFUNCTION("""COMPUTED_VALUE"""),101.28)</f>
        <v>101.28</v>
      </c>
    </row>
    <row r="514" ht="15.75" customHeight="1">
      <c r="B514" s="20">
        <f>IFERROR(__xludf.DUMMYFUNCTION("""COMPUTED_VALUE"""),44897.66666666667)</f>
        <v>44897.66667</v>
      </c>
      <c r="C514" s="21">
        <f>IFERROR(__xludf.DUMMYFUNCTION("""COMPUTED_VALUE"""),100.83)</f>
        <v>100.83</v>
      </c>
    </row>
    <row r="515" ht="15.75" customHeight="1">
      <c r="B515" s="20">
        <f>IFERROR(__xludf.DUMMYFUNCTION("""COMPUTED_VALUE"""),44900.66666666667)</f>
        <v>44900.66667</v>
      </c>
      <c r="C515" s="21">
        <f>IFERROR(__xludf.DUMMYFUNCTION("""COMPUTED_VALUE"""),99.87)</f>
        <v>99.87</v>
      </c>
    </row>
    <row r="516" ht="15.75" customHeight="1">
      <c r="B516" s="20">
        <f>IFERROR(__xludf.DUMMYFUNCTION("""COMPUTED_VALUE"""),44901.66666666667)</f>
        <v>44901.66667</v>
      </c>
      <c r="C516" s="21">
        <f>IFERROR(__xludf.DUMMYFUNCTION("""COMPUTED_VALUE"""),97.31)</f>
        <v>97.31</v>
      </c>
    </row>
    <row r="517" ht="15.75" customHeight="1">
      <c r="B517" s="20">
        <f>IFERROR(__xludf.DUMMYFUNCTION("""COMPUTED_VALUE"""),44902.66666666667)</f>
        <v>44902.66667</v>
      </c>
      <c r="C517" s="21">
        <f>IFERROR(__xludf.DUMMYFUNCTION("""COMPUTED_VALUE"""),95.15)</f>
        <v>95.15</v>
      </c>
    </row>
    <row r="518" ht="15.75" customHeight="1">
      <c r="B518" s="20">
        <f>IFERROR(__xludf.DUMMYFUNCTION("""COMPUTED_VALUE"""),44903.66666666667)</f>
        <v>44903.66667</v>
      </c>
      <c r="C518" s="21">
        <f>IFERROR(__xludf.DUMMYFUNCTION("""COMPUTED_VALUE"""),93.95)</f>
        <v>93.95</v>
      </c>
    </row>
    <row r="519" ht="15.75" customHeight="1">
      <c r="B519" s="20">
        <f>IFERROR(__xludf.DUMMYFUNCTION("""COMPUTED_VALUE"""),44904.66666666667)</f>
        <v>44904.66667</v>
      </c>
      <c r="C519" s="21">
        <f>IFERROR(__xludf.DUMMYFUNCTION("""COMPUTED_VALUE"""),93.07)</f>
        <v>93.07</v>
      </c>
    </row>
    <row r="520" ht="15.75" customHeight="1">
      <c r="B520" s="20">
        <f>IFERROR(__xludf.DUMMYFUNCTION("""COMPUTED_VALUE"""),44907.66666666667)</f>
        <v>44907.66667</v>
      </c>
      <c r="C520" s="21">
        <f>IFERROR(__xludf.DUMMYFUNCTION("""COMPUTED_VALUE"""),93.56)</f>
        <v>93.56</v>
      </c>
    </row>
    <row r="521" ht="15.75" customHeight="1">
      <c r="B521" s="20">
        <f>IFERROR(__xludf.DUMMYFUNCTION("""COMPUTED_VALUE"""),44908.66666666667)</f>
        <v>44908.66667</v>
      </c>
      <c r="C521" s="21">
        <f>IFERROR(__xludf.DUMMYFUNCTION("""COMPUTED_VALUE"""),95.85)</f>
        <v>95.85</v>
      </c>
    </row>
    <row r="522" ht="15.75" customHeight="1">
      <c r="B522" s="20">
        <f>IFERROR(__xludf.DUMMYFUNCTION("""COMPUTED_VALUE"""),44909.66666666667)</f>
        <v>44909.66667</v>
      </c>
      <c r="C522" s="21">
        <f>IFERROR(__xludf.DUMMYFUNCTION("""COMPUTED_VALUE"""),95.31)</f>
        <v>95.31</v>
      </c>
    </row>
    <row r="523" ht="15.75" customHeight="1">
      <c r="B523" s="20">
        <f>IFERROR(__xludf.DUMMYFUNCTION("""COMPUTED_VALUE"""),44910.66666666667)</f>
        <v>44910.66667</v>
      </c>
      <c r="C523" s="21">
        <f>IFERROR(__xludf.DUMMYFUNCTION("""COMPUTED_VALUE"""),91.2)</f>
        <v>91.2</v>
      </c>
    </row>
    <row r="524" ht="15.75" customHeight="1">
      <c r="B524" s="20">
        <f>IFERROR(__xludf.DUMMYFUNCTION("""COMPUTED_VALUE"""),44911.66666666667)</f>
        <v>44911.66667</v>
      </c>
      <c r="C524" s="21">
        <f>IFERROR(__xludf.DUMMYFUNCTION("""COMPUTED_VALUE"""),90.86)</f>
        <v>90.86</v>
      </c>
    </row>
    <row r="525" ht="15.75" customHeight="1">
      <c r="B525" s="20">
        <f>IFERROR(__xludf.DUMMYFUNCTION("""COMPUTED_VALUE"""),44914.66666666667)</f>
        <v>44914.66667</v>
      </c>
      <c r="C525" s="21">
        <f>IFERROR(__xludf.DUMMYFUNCTION("""COMPUTED_VALUE"""),89.15)</f>
        <v>89.15</v>
      </c>
    </row>
    <row r="526" ht="15.75" customHeight="1">
      <c r="B526" s="20">
        <f>IFERROR(__xludf.DUMMYFUNCTION("""COMPUTED_VALUE"""),44915.66666666667)</f>
        <v>44915.66667</v>
      </c>
      <c r="C526" s="21">
        <f>IFERROR(__xludf.DUMMYFUNCTION("""COMPUTED_VALUE"""),89.63)</f>
        <v>89.63</v>
      </c>
    </row>
    <row r="527" ht="15.75" customHeight="1">
      <c r="B527" s="20">
        <f>IFERROR(__xludf.DUMMYFUNCTION("""COMPUTED_VALUE"""),44916.66666666667)</f>
        <v>44916.66667</v>
      </c>
      <c r="C527" s="21">
        <f>IFERROR(__xludf.DUMMYFUNCTION("""COMPUTED_VALUE"""),90.25)</f>
        <v>90.25</v>
      </c>
    </row>
    <row r="528" ht="15.75" customHeight="1">
      <c r="B528" s="20">
        <f>IFERROR(__xludf.DUMMYFUNCTION("""COMPUTED_VALUE"""),44917.66666666667)</f>
        <v>44917.66667</v>
      </c>
      <c r="C528" s="21">
        <f>IFERROR(__xludf.DUMMYFUNCTION("""COMPUTED_VALUE"""),88.26)</f>
        <v>88.26</v>
      </c>
    </row>
    <row r="529" ht="15.75" customHeight="1">
      <c r="B529" s="20">
        <f>IFERROR(__xludf.DUMMYFUNCTION("""COMPUTED_VALUE"""),44918.66666666667)</f>
        <v>44918.66667</v>
      </c>
      <c r="C529" s="21">
        <f>IFERROR(__xludf.DUMMYFUNCTION("""COMPUTED_VALUE"""),89.81)</f>
        <v>89.81</v>
      </c>
    </row>
    <row r="530" ht="15.75" customHeight="1">
      <c r="B530" s="20">
        <f>IFERROR(__xludf.DUMMYFUNCTION("""COMPUTED_VALUE"""),44922.66666666667)</f>
        <v>44922.66667</v>
      </c>
      <c r="C530" s="21">
        <f>IFERROR(__xludf.DUMMYFUNCTION("""COMPUTED_VALUE"""),87.93)</f>
        <v>87.93</v>
      </c>
    </row>
    <row r="531" ht="15.75" customHeight="1">
      <c r="B531" s="20">
        <f>IFERROR(__xludf.DUMMYFUNCTION("""COMPUTED_VALUE"""),44923.66666666667)</f>
        <v>44923.66667</v>
      </c>
      <c r="C531" s="21">
        <f>IFERROR(__xludf.DUMMYFUNCTION("""COMPUTED_VALUE"""),86.46)</f>
        <v>86.46</v>
      </c>
    </row>
    <row r="532" ht="15.75" customHeight="1">
      <c r="B532" s="20">
        <f>IFERROR(__xludf.DUMMYFUNCTION("""COMPUTED_VALUE"""),44924.66666666667)</f>
        <v>44924.66667</v>
      </c>
      <c r="C532" s="21">
        <f>IFERROR(__xludf.DUMMYFUNCTION("""COMPUTED_VALUE"""),88.95)</f>
        <v>88.95</v>
      </c>
    </row>
    <row r="533" ht="15.75" customHeight="1">
      <c r="B533" s="20">
        <f>IFERROR(__xludf.DUMMYFUNCTION("""COMPUTED_VALUE"""),44925.66666666667)</f>
        <v>44925.66667</v>
      </c>
      <c r="C533" s="21">
        <f>IFERROR(__xludf.DUMMYFUNCTION("""COMPUTED_VALUE"""),88.73)</f>
        <v>88.73</v>
      </c>
    </row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E7:E21">
    <cfRule type="notContainsBlanks" dxfId="0" priority="1">
      <formula>LEN(TRIM(E7))&gt;0</formula>
    </cfRule>
  </conditionalFormatting>
  <dataValidations>
    <dataValidation type="list" allowBlank="1" showErrorMessage="1" sqref="G2:G21">
      <formula1>"EUROPE,ASIA,AMERICA,AFRICA"</formula1>
    </dataValidation>
  </dataValidations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42.75"/>
    <col customWidth="1" min="3" max="3" width="48.25"/>
    <col customWidth="1" min="4" max="5" width="42.75"/>
    <col customWidth="1" min="6" max="6" width="12.63"/>
  </cols>
  <sheetData>
    <row r="1" ht="15.75" customHeight="1"/>
    <row r="2" ht="15.75" customHeight="1"/>
    <row r="3" ht="15.75" customHeight="1">
      <c r="A3" s="22" t="s">
        <v>33</v>
      </c>
      <c r="B3" s="23" t="str">
        <f>IFERROR(__xludf.DUMMYFUNCTION("GOOGLETRANSLATE(A3, ""TR"",""EN"")"),"Batch 223 is great.")</f>
        <v>Batch 223 is great.</v>
      </c>
      <c r="C3" s="23" t="str">
        <f>IFERROR(__xludf.DUMMYFUNCTION("GOOGLETRANSLATE(B3, ""EN"",""FR"")"),"Le lot 223 est super.")</f>
        <v>Le lot 223 est super.</v>
      </c>
      <c r="D3" s="23" t="str">
        <f>IFERROR(__xludf.DUMMYFUNCTION("GOOGLETRANSLATE(C3, ""FR"",""EN"")"),"Lot 223 is great.")</f>
        <v>Lot 223 is great.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ht="15.75" customHeight="1">
      <c r="A4" s="22" t="s">
        <v>34</v>
      </c>
      <c r="B4" s="23" t="str">
        <f>IFERROR(__xludf.DUMMYFUNCTION("GOOGLETRANSLATE(A4, ""TR"",""EN"")"),"Google Sheet is really useful.")</f>
        <v>Google Sheet is really useful.</v>
      </c>
      <c r="C4" s="23" t="str">
        <f>IFERROR(__xludf.DUMMYFUNCTION("GOOGLETRANSLATE(B4, ""EN"",""FR"")"),"Google Sheet est vraiment utile.")</f>
        <v>Google Sheet est vraiment utile.</v>
      </c>
      <c r="D4" s="23" t="str">
        <f>IFERROR(__xludf.DUMMYFUNCTION("GOOGLETRANSLATE(C4, ""FR"",""EN"")"),"Google Sheet is really useful.")</f>
        <v>Google Sheet is really useful.</v>
      </c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 ht="15.75" customHeight="1">
      <c r="A5" s="23" t="s">
        <v>35</v>
      </c>
      <c r="B5" s="23" t="str">
        <f>IFERROR(__xludf.DUMMYFUNCTION("GOOGLETRANSLATE(A5, ""TR"",""EN"")"),"Less than 2020")</f>
        <v>Less than 2020</v>
      </c>
      <c r="C5" s="23" t="str">
        <f>IFERROR(__xludf.DUMMYFUNCTION("GOOGLETRANSLATE(B5, ""EN"",""FR"")"),"Moins de 2020")</f>
        <v>Moins de 2020</v>
      </c>
      <c r="D5" s="23" t="str">
        <f>IFERROR(__xludf.DUMMYFUNCTION("GOOGLETRANSLATE(C5, ""FR"",""EN"")"),"Less than 2020")</f>
        <v>Less than 2020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 ht="15.75" customHeight="1">
      <c r="A6" s="22" t="s">
        <v>36</v>
      </c>
      <c r="B6" s="23" t="str">
        <f>IFERROR(__xludf.DUMMYFUNCTION("GOOGLETRANSLATE(A6, ""TR"",""EN"")"),"Why did you eat apples")</f>
        <v>Why did you eat apples</v>
      </c>
      <c r="C6" s="23" t="str">
        <f>IFERROR(__xludf.DUMMYFUNCTION("GOOGLETRANSLATE(B6, ""EN"",""FR"")"),"Pourquoi as-tu mangé des pommes")</f>
        <v>Pourquoi as-tu mangé des pommes</v>
      </c>
      <c r="D6" s="23" t="str">
        <f>IFERROR(__xludf.DUMMYFUNCTION("GOOGLETRANSLATE(C6, ""FR"",""EN"")"),"Why did you eat apples")</f>
        <v>Why did you eat apples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 ht="15.75" customHeight="1">
      <c r="A7" s="23" t="s">
        <v>37</v>
      </c>
      <c r="B7" s="23" t="str">
        <f>IFERROR(__xludf.DUMMYFUNCTION("GOOGLETRANSLATE(A7, ""TR"",""EN"")"),"Do children sleep?")</f>
        <v>Do children sleep?</v>
      </c>
      <c r="C7" s="23" t="str">
        <f>IFERROR(__xludf.DUMMYFUNCTION("GOOGLETRANSLATE(B7, ""EN"",""FR"")"),"Les enfants dorment-ils?")</f>
        <v>Les enfants dorment-ils?</v>
      </c>
      <c r="D7" s="23" t="str">
        <f>IFERROR(__xludf.DUMMYFUNCTION("GOOGLETRANSLATE(C7, ""FR"",""EN"")"),"Do children sleep?")</f>
        <v>Do children sleep?</v>
      </c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ht="15.75" customHeight="1">
      <c r="A8" s="23" t="s">
        <v>38</v>
      </c>
      <c r="B8" s="23" t="str">
        <f>IFERROR(__xludf.DUMMYFUNCTION("GOOGLETRANSLATE(A8, ""TR"",""EN"")"),"do you study")</f>
        <v>do you study</v>
      </c>
      <c r="C8" s="23" t="str">
        <f>IFERROR(__xludf.DUMMYFUNCTION("GOOGLETRANSLATE(B8, ""EN"",""FR"")"),"étudies-tu")</f>
        <v>étudies-tu</v>
      </c>
      <c r="D8" s="23" t="str">
        <f>IFERROR(__xludf.DUMMYFUNCTION("GOOGLETRANSLATE(C8, ""FR"",""EN"")"),"Do you study")</f>
        <v>Do you study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20.5"/>
    <col customWidth="1" min="4" max="4" width="4.88"/>
    <col customWidth="1" min="5" max="5" width="22.0"/>
    <col customWidth="1" min="6" max="7" width="12.25"/>
    <col customWidth="1" min="9" max="9" width="5.13"/>
    <col customWidth="1" min="10" max="10" width="22.88"/>
    <col customWidth="1" min="14" max="14" width="27.0"/>
  </cols>
  <sheetData>
    <row r="1" ht="15.75" customHeight="1"/>
    <row r="2" ht="15.75" customHeight="1">
      <c r="C2" s="25" t="s">
        <v>39</v>
      </c>
      <c r="D2" s="26"/>
      <c r="E2" s="26" t="s">
        <v>40</v>
      </c>
      <c r="H2" s="25" t="s">
        <v>41</v>
      </c>
    </row>
    <row r="3" ht="15.75" customHeight="1"/>
    <row r="4" ht="25.5" customHeight="1">
      <c r="A4" s="27" t="s">
        <v>42</v>
      </c>
      <c r="B4" s="27" t="s">
        <v>43</v>
      </c>
      <c r="C4" s="28" t="str">
        <f t="shared" ref="C4:C13" si="1">join(" ", A4:B4)</f>
        <v>Ahmet  Şahin</v>
      </c>
      <c r="D4" s="29"/>
      <c r="E4" s="27" t="s">
        <v>44</v>
      </c>
      <c r="F4" s="28" t="str">
        <f>IFERROR(__xludf.DUMMYFUNCTION("SPLIT(E4, "" "")"),"Ahmet")</f>
        <v>Ahmet</v>
      </c>
      <c r="G4" s="28" t="str">
        <f>IFERROR(__xludf.DUMMYFUNCTION("""COMPUTED_VALUE"""),"Şahin")</f>
        <v>Şahin</v>
      </c>
      <c r="H4" s="28">
        <f>IFERROR(__xludf.DUMMYFUNCTION("""COMPUTED_VALUE"""),45.0)</f>
        <v>45</v>
      </c>
      <c r="I4" s="29"/>
      <c r="J4" s="27" t="s">
        <v>45</v>
      </c>
      <c r="K4" s="28" t="str">
        <f>IFERROR(__xludf.DUMMYFUNCTION(" SPLIT(J4, "","")"),"Tomato")</f>
        <v>Tomato</v>
      </c>
      <c r="L4" s="28" t="str">
        <f>IFERROR(__xludf.DUMMYFUNCTION("""COMPUTED_VALUE""")," Pear")</f>
        <v> Pear</v>
      </c>
      <c r="M4" s="28" t="str">
        <f>IFERROR(__xludf.DUMMYFUNCTION("""COMPUTED_VALUE""")," Apple")</f>
        <v> Apple</v>
      </c>
      <c r="N4" s="28" t="str">
        <f>IFERROR(__xludf.DUMMYFUNCTION("""COMPUTED_VALUE""")," Plum")</f>
        <v> Plum</v>
      </c>
      <c r="O4" s="29"/>
      <c r="P4" s="29"/>
      <c r="Q4" s="29"/>
      <c r="R4" s="29"/>
      <c r="S4" s="29"/>
    </row>
    <row r="5" ht="25.5" customHeight="1">
      <c r="A5" s="30" t="s">
        <v>46</v>
      </c>
      <c r="B5" s="30" t="s">
        <v>47</v>
      </c>
      <c r="C5" s="28" t="str">
        <f t="shared" si="1"/>
        <v>Yavuz Nur</v>
      </c>
      <c r="E5" s="30" t="s">
        <v>48</v>
      </c>
      <c r="F5" s="28" t="str">
        <f>IFERROR(__xludf.DUMMYFUNCTION("SPLIT(E5, "" "")"),"Yavuz")</f>
        <v>Yavuz</v>
      </c>
      <c r="G5" s="31" t="str">
        <f>IFERROR(__xludf.DUMMYFUNCTION("""COMPUTED_VALUE"""),"Nur")</f>
        <v>Nur</v>
      </c>
      <c r="H5" s="31">
        <f>IFERROR(__xludf.DUMMYFUNCTION("""COMPUTED_VALUE"""),45.0)</f>
        <v>45</v>
      </c>
      <c r="J5" s="30" t="s">
        <v>49</v>
      </c>
      <c r="K5" s="28" t="str">
        <f>IFERROR(__xludf.DUMMYFUNCTION(" SPLIT(J5, "","")"),"Elma")</f>
        <v>Elma</v>
      </c>
      <c r="L5" s="31" t="str">
        <f>IFERROR(__xludf.DUMMYFUNCTION("""COMPUTED_VALUE""")," Portakal")</f>
        <v> Portakal</v>
      </c>
      <c r="M5" s="31" t="str">
        <f>IFERROR(__xludf.DUMMYFUNCTION("""COMPUTED_VALUE""")," Kayısı")</f>
        <v> Kayısı</v>
      </c>
      <c r="N5" s="31"/>
    </row>
    <row r="6" ht="25.5" customHeight="1">
      <c r="A6" s="30" t="s">
        <v>50</v>
      </c>
      <c r="B6" s="30" t="s">
        <v>51</v>
      </c>
      <c r="C6" s="28" t="str">
        <f t="shared" si="1"/>
        <v>Sema Kaya</v>
      </c>
      <c r="E6" s="30" t="s">
        <v>52</v>
      </c>
      <c r="F6" s="28" t="str">
        <f>IFERROR(__xludf.DUMMYFUNCTION("SPLIT(E6, "" "")"),"Sema")</f>
        <v>Sema</v>
      </c>
      <c r="G6" s="31" t="str">
        <f>IFERROR(__xludf.DUMMYFUNCTION("""COMPUTED_VALUE"""),"Kaya")</f>
        <v>Kaya</v>
      </c>
      <c r="H6" s="31">
        <f>IFERROR(__xludf.DUMMYFUNCTION("""COMPUTED_VALUE"""),60.0)</f>
        <v>60</v>
      </c>
    </row>
    <row r="7" ht="25.5" customHeight="1">
      <c r="A7" s="30" t="s">
        <v>53</v>
      </c>
      <c r="B7" s="30" t="s">
        <v>54</v>
      </c>
      <c r="C7" s="28" t="str">
        <f t="shared" si="1"/>
        <v>Tuba Kara</v>
      </c>
      <c r="E7" s="30" t="s">
        <v>55</v>
      </c>
      <c r="F7" s="28" t="str">
        <f>IFERROR(__xludf.DUMMYFUNCTION("SPLIT(E7, "" "")"),"Tuba")</f>
        <v>Tuba</v>
      </c>
      <c r="G7" s="31" t="str">
        <f>IFERROR(__xludf.DUMMYFUNCTION("""COMPUTED_VALUE"""),"Kara")</f>
        <v>Kara</v>
      </c>
      <c r="H7" s="31">
        <f>IFERROR(__xludf.DUMMYFUNCTION("""COMPUTED_VALUE"""),34.0)</f>
        <v>34</v>
      </c>
    </row>
    <row r="8" ht="25.5" customHeight="1">
      <c r="A8" s="30" t="s">
        <v>56</v>
      </c>
      <c r="B8" s="30" t="s">
        <v>57</v>
      </c>
      <c r="C8" s="28" t="str">
        <f t="shared" si="1"/>
        <v>Eda Perçin</v>
      </c>
      <c r="E8" s="30" t="s">
        <v>58</v>
      </c>
      <c r="F8" s="28" t="str">
        <f>IFERROR(__xludf.DUMMYFUNCTION("SPLIT(E8, "" "")"),"Eda")</f>
        <v>Eda</v>
      </c>
      <c r="G8" s="31" t="str">
        <f>IFERROR(__xludf.DUMMYFUNCTION("""COMPUTED_VALUE"""),"Perçin")</f>
        <v>Perçin</v>
      </c>
      <c r="H8" s="31">
        <f>IFERROR(__xludf.DUMMYFUNCTION("""COMPUTED_VALUE"""),45.0)</f>
        <v>45</v>
      </c>
      <c r="J8" s="30" t="s">
        <v>59</v>
      </c>
      <c r="K8" s="30" t="s">
        <v>60</v>
      </c>
      <c r="L8" s="30" t="s">
        <v>61</v>
      </c>
      <c r="M8" s="30" t="s">
        <v>62</v>
      </c>
      <c r="N8" s="28" t="str">
        <f>join(" ",J8:M8)</f>
        <v>Tomato  Pear  Apple  Plum</v>
      </c>
    </row>
    <row r="9" ht="25.5" customHeight="1">
      <c r="A9" s="30" t="s">
        <v>42</v>
      </c>
      <c r="B9" s="30" t="s">
        <v>63</v>
      </c>
      <c r="C9" s="28" t="str">
        <f t="shared" si="1"/>
        <v>Ahmet  Aydın</v>
      </c>
      <c r="E9" s="30" t="s">
        <v>64</v>
      </c>
      <c r="F9" s="28" t="str">
        <f>IFERROR(__xludf.DUMMYFUNCTION("SPLIT(E9, "" "")"),"Ahmet")</f>
        <v>Ahmet</v>
      </c>
      <c r="G9" s="31" t="str">
        <f>IFERROR(__xludf.DUMMYFUNCTION("""COMPUTED_VALUE"""),"Aydın")</f>
        <v>Aydın</v>
      </c>
      <c r="H9" s="31">
        <f>IFERROR(__xludf.DUMMYFUNCTION("""COMPUTED_VALUE"""),55.0)</f>
        <v>55</v>
      </c>
    </row>
    <row r="10" ht="25.5" customHeight="1">
      <c r="A10" s="30" t="s">
        <v>65</v>
      </c>
      <c r="B10" s="30" t="s">
        <v>66</v>
      </c>
      <c r="C10" s="28" t="str">
        <f t="shared" si="1"/>
        <v>Elif Doğu</v>
      </c>
      <c r="E10" s="30" t="s">
        <v>67</v>
      </c>
      <c r="F10" s="28" t="str">
        <f>IFERROR(__xludf.DUMMYFUNCTION("SPLIT(E10, "" "")"),"Elif")</f>
        <v>Elif</v>
      </c>
      <c r="G10" s="31" t="str">
        <f>IFERROR(__xludf.DUMMYFUNCTION("""COMPUTED_VALUE"""),"Doğu")</f>
        <v>Doğu</v>
      </c>
      <c r="H10" s="31">
        <f>IFERROR(__xludf.DUMMYFUNCTION("""COMPUTED_VALUE"""),21.0)</f>
        <v>21</v>
      </c>
    </row>
    <row r="11" ht="25.5" customHeight="1">
      <c r="A11" s="30" t="s">
        <v>68</v>
      </c>
      <c r="B11" s="30" t="s">
        <v>69</v>
      </c>
      <c r="C11" s="28" t="str">
        <f t="shared" si="1"/>
        <v>Emel Esen</v>
      </c>
      <c r="E11" s="30" t="s">
        <v>70</v>
      </c>
      <c r="F11" s="28" t="str">
        <f>IFERROR(__xludf.DUMMYFUNCTION("SPLIT(E11, "" "")"),"Emel")</f>
        <v>Emel</v>
      </c>
      <c r="G11" s="31" t="str">
        <f>IFERROR(__xludf.DUMMYFUNCTION("""COMPUTED_VALUE"""),"Esen")</f>
        <v>Esen</v>
      </c>
      <c r="H11" s="31">
        <f>IFERROR(__xludf.DUMMYFUNCTION("""COMPUTED_VALUE"""),27.0)</f>
        <v>27</v>
      </c>
    </row>
    <row r="12" ht="25.5" customHeight="1">
      <c r="A12" s="30" t="s">
        <v>71</v>
      </c>
      <c r="B12" s="30" t="s">
        <v>72</v>
      </c>
      <c r="C12" s="28" t="str">
        <f t="shared" si="1"/>
        <v>Yusuf Özkan</v>
      </c>
      <c r="E12" s="30" t="s">
        <v>73</v>
      </c>
      <c r="F12" s="28" t="str">
        <f>IFERROR(__xludf.DUMMYFUNCTION("SPLIT(E12, "" "")"),"Yusuf")</f>
        <v>Yusuf</v>
      </c>
      <c r="G12" s="31" t="str">
        <f>IFERROR(__xludf.DUMMYFUNCTION("""COMPUTED_VALUE"""),"Özkan")</f>
        <v>Özkan</v>
      </c>
      <c r="H12" s="31">
        <f>IFERROR(__xludf.DUMMYFUNCTION("""COMPUTED_VALUE"""),38.0)</f>
        <v>38</v>
      </c>
    </row>
    <row r="13" ht="25.5" customHeight="1">
      <c r="A13" s="30" t="s">
        <v>74</v>
      </c>
      <c r="B13" s="30" t="s">
        <v>75</v>
      </c>
      <c r="C13" s="28" t="str">
        <f t="shared" si="1"/>
        <v>Sezgin Kıyılı</v>
      </c>
      <c r="E13" s="30" t="s">
        <v>76</v>
      </c>
      <c r="F13" s="28" t="str">
        <f>IFERROR(__xludf.DUMMYFUNCTION("SPLIT(E13, "" "")"),"Sezgin")</f>
        <v>Sezgin</v>
      </c>
      <c r="G13" s="31" t="str">
        <f>IFERROR(__xludf.DUMMYFUNCTION("""COMPUTED_VALUE"""),"Kıyılı")</f>
        <v>Kıyılı</v>
      </c>
      <c r="H13" s="31">
        <f>IFERROR(__xludf.DUMMYFUNCTION("""COMPUTED_VALUE"""),50.0)</f>
        <v>50</v>
      </c>
    </row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4" width="28.88"/>
    <col customWidth="1" min="5" max="6" width="12.63"/>
  </cols>
  <sheetData>
    <row r="1" ht="15.75" customHeight="1"/>
    <row r="2" ht="24.75" customHeight="1">
      <c r="A2" s="32" t="s">
        <v>77</v>
      </c>
      <c r="B2" s="33" t="s">
        <v>78</v>
      </c>
      <c r="C2" s="33" t="s">
        <v>79</v>
      </c>
      <c r="D2" s="34" t="s">
        <v>80</v>
      </c>
      <c r="E2" s="35"/>
      <c r="F2" s="35"/>
      <c r="G2" s="35"/>
      <c r="H2" s="35"/>
      <c r="I2" s="35"/>
      <c r="J2" s="35"/>
      <c r="K2" s="35"/>
      <c r="L2" s="35"/>
      <c r="M2" s="35"/>
      <c r="N2" s="35"/>
      <c r="O2" s="35"/>
      <c r="P2" s="35"/>
      <c r="Q2" s="35"/>
      <c r="R2" s="35"/>
      <c r="S2" s="35"/>
      <c r="T2" s="35"/>
      <c r="U2" s="35"/>
      <c r="V2" s="35"/>
      <c r="W2" s="35"/>
      <c r="X2" s="35"/>
    </row>
    <row r="3" ht="24.75" customHeight="1">
      <c r="A3" s="36" t="s">
        <v>81</v>
      </c>
      <c r="B3" s="37">
        <v>500.0</v>
      </c>
      <c r="C3" s="37">
        <v>400.0</v>
      </c>
      <c r="D3" s="37">
        <v>100.0</v>
      </c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</row>
    <row r="4" ht="24.75" customHeight="1">
      <c r="A4" s="36" t="s">
        <v>82</v>
      </c>
      <c r="B4" s="37">
        <v>500.0</v>
      </c>
      <c r="C4" s="37">
        <v>500.0</v>
      </c>
      <c r="D4" s="37">
        <v>56.0</v>
      </c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</row>
    <row r="5" ht="24.75" customHeight="1">
      <c r="A5" s="36" t="s">
        <v>83</v>
      </c>
      <c r="B5" s="37">
        <v>500.0</v>
      </c>
      <c r="C5" s="37">
        <v>700.0</v>
      </c>
      <c r="D5" s="37">
        <v>67.0</v>
      </c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</row>
    <row r="6" ht="24.75" customHeight="1">
      <c r="A6" s="36" t="s">
        <v>84</v>
      </c>
      <c r="B6" s="37">
        <v>500.0</v>
      </c>
      <c r="C6" s="37">
        <v>900.0</v>
      </c>
      <c r="D6" s="37">
        <v>83.0</v>
      </c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</row>
    <row r="7" ht="24.75" customHeight="1">
      <c r="A7" s="38"/>
      <c r="B7" s="38"/>
      <c r="C7" s="38"/>
      <c r="D7" s="38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</row>
    <row r="8" ht="24.75" customHeight="1">
      <c r="A8" s="39" t="s">
        <v>85</v>
      </c>
      <c r="B8" s="37">
        <f t="shared" ref="B8:D8" si="1">SUM(B3:B6)</f>
        <v>2000</v>
      </c>
      <c r="C8" s="37">
        <f t="shared" si="1"/>
        <v>2500</v>
      </c>
      <c r="D8" s="37">
        <f t="shared" si="1"/>
        <v>306</v>
      </c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</row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40" t="s">
        <v>86</v>
      </c>
      <c r="E3" s="40" t="s">
        <v>87</v>
      </c>
      <c r="H3" s="40" t="s">
        <v>88</v>
      </c>
    </row>
    <row r="4" ht="15.75" customHeight="1">
      <c r="B4" s="40">
        <v>17000.0</v>
      </c>
      <c r="E4" s="40">
        <v>45000.0</v>
      </c>
      <c r="H4" s="40">
        <v>35678.0</v>
      </c>
    </row>
    <row r="5" ht="15.75" customHeight="1">
      <c r="B5" s="40">
        <v>22.0</v>
      </c>
      <c r="E5" s="40">
        <v>56.0</v>
      </c>
      <c r="H5" s="40">
        <v>56000.0</v>
      </c>
    </row>
    <row r="6" ht="15.75" customHeight="1">
      <c r="B6" s="40">
        <v>33.0</v>
      </c>
      <c r="E6" s="40">
        <v>78.0</v>
      </c>
      <c r="H6" s="40">
        <v>789.0</v>
      </c>
    </row>
    <row r="7" ht="15.75" customHeight="1">
      <c r="B7" s="40">
        <v>77.0</v>
      </c>
      <c r="E7" s="40">
        <v>34.0</v>
      </c>
      <c r="H7" s="40">
        <v>34.0</v>
      </c>
    </row>
    <row r="8" ht="15.75" customHeight="1">
      <c r="B8" s="40">
        <v>67.0</v>
      </c>
      <c r="E8" s="40">
        <v>2.0</v>
      </c>
      <c r="H8" s="40">
        <v>2.0</v>
      </c>
    </row>
    <row r="9" ht="15.75" customHeight="1">
      <c r="B9" s="40">
        <v>87.0</v>
      </c>
      <c r="E9" s="40">
        <v>32.0</v>
      </c>
      <c r="H9" s="40">
        <v>32.0</v>
      </c>
    </row>
    <row r="10" ht="15.75" customHeight="1">
      <c r="B10" s="40">
        <v>56.0</v>
      </c>
      <c r="E10" s="40">
        <v>11.0</v>
      </c>
      <c r="H10" s="40">
        <v>11.0</v>
      </c>
    </row>
    <row r="11" ht="15.75" customHeight="1">
      <c r="B11" s="40">
        <v>44.0</v>
      </c>
      <c r="E11" s="40">
        <v>22.0</v>
      </c>
      <c r="H11" s="40">
        <v>22.0</v>
      </c>
    </row>
    <row r="12" ht="22.5" customHeight="1">
      <c r="A12" s="40" t="s">
        <v>89</v>
      </c>
      <c r="B12" s="40">
        <f>SUM(B4:B11)</f>
        <v>17386</v>
      </c>
      <c r="D12" s="40" t="s">
        <v>89</v>
      </c>
      <c r="E12" s="40">
        <f>SUM(E4:E11)</f>
        <v>45235</v>
      </c>
      <c r="G12" s="40" t="s">
        <v>89</v>
      </c>
      <c r="H12" s="40">
        <f>SUM(H4:H11)</f>
        <v>92568</v>
      </c>
    </row>
    <row r="13" ht="15.75" customHeight="1"/>
    <row r="14" ht="15.75" customHeight="1"/>
    <row r="15" ht="15.75" customHeight="1">
      <c r="B15" s="40">
        <v>17386.0</v>
      </c>
    </row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13"/>
    <col customWidth="1" min="2" max="6" width="12.63"/>
    <col customWidth="1" min="9" max="9" width="21.38"/>
  </cols>
  <sheetData>
    <row r="1" ht="15.75" customHeight="1">
      <c r="B1" s="41"/>
    </row>
    <row r="2" ht="18.0" customHeight="1">
      <c r="A2" s="42"/>
      <c r="B2" s="43">
        <v>39.0</v>
      </c>
      <c r="C2" s="42"/>
      <c r="D2" s="42"/>
      <c r="E2" s="42"/>
      <c r="F2" s="43">
        <v>39.0</v>
      </c>
      <c r="G2" s="43">
        <v>45.0</v>
      </c>
      <c r="H2" s="43">
        <v>40.0</v>
      </c>
      <c r="I2" s="43">
        <v>30.0</v>
      </c>
      <c r="J2" s="42"/>
      <c r="K2" s="42"/>
      <c r="L2" s="42"/>
      <c r="M2" s="42"/>
      <c r="N2" s="42"/>
      <c r="O2" s="42"/>
      <c r="P2" s="42"/>
      <c r="Q2" s="42"/>
      <c r="R2" s="42"/>
      <c r="S2" s="42"/>
      <c r="T2" s="42"/>
      <c r="U2" s="42"/>
      <c r="V2" s="42"/>
      <c r="W2" s="42"/>
      <c r="X2" s="42"/>
      <c r="Y2" s="42"/>
      <c r="Z2" s="42"/>
    </row>
    <row r="3" ht="18.0" customHeight="1">
      <c r="A3" s="42"/>
      <c r="B3" s="43">
        <v>16.0</v>
      </c>
      <c r="C3" s="42"/>
      <c r="D3" s="42"/>
      <c r="E3" s="42"/>
      <c r="F3" s="43">
        <v>16.0</v>
      </c>
      <c r="G3" s="43">
        <v>30.0</v>
      </c>
      <c r="H3" s="43">
        <v>4.0</v>
      </c>
      <c r="I3" s="43">
        <v>3.0</v>
      </c>
      <c r="J3" s="42"/>
      <c r="K3" s="42"/>
      <c r="L3" s="42"/>
      <c r="M3" s="42"/>
      <c r="N3" s="42"/>
      <c r="O3" s="42"/>
      <c r="P3" s="42"/>
      <c r="Q3" s="42"/>
      <c r="R3" s="42"/>
      <c r="S3" s="42"/>
      <c r="T3" s="42"/>
      <c r="U3" s="42"/>
      <c r="V3" s="42"/>
      <c r="W3" s="42"/>
      <c r="X3" s="42"/>
      <c r="Y3" s="42"/>
      <c r="Z3" s="42"/>
    </row>
    <row r="4" ht="18.0" customHeight="1">
      <c r="A4" s="42"/>
      <c r="B4" s="43">
        <v>13.0</v>
      </c>
      <c r="C4" s="42"/>
      <c r="D4" s="42"/>
      <c r="E4" s="42"/>
      <c r="F4" s="43">
        <v>13.0</v>
      </c>
      <c r="G4" s="43">
        <v>2.0</v>
      </c>
      <c r="H4" s="43">
        <v>3.0</v>
      </c>
      <c r="I4" s="43">
        <v>7.0</v>
      </c>
      <c r="J4" s="42"/>
      <c r="K4" s="42"/>
      <c r="L4" s="42"/>
      <c r="M4" s="42"/>
      <c r="N4" s="42"/>
      <c r="O4" s="42"/>
      <c r="P4" s="42"/>
      <c r="Q4" s="42"/>
      <c r="R4" s="42"/>
      <c r="S4" s="42"/>
      <c r="T4" s="42"/>
      <c r="U4" s="42"/>
      <c r="V4" s="42"/>
      <c r="W4" s="42"/>
      <c r="X4" s="42"/>
      <c r="Y4" s="42"/>
      <c r="Z4" s="42"/>
    </row>
    <row r="5" ht="18.0" customHeight="1">
      <c r="A5" s="42"/>
      <c r="B5" s="43"/>
      <c r="C5" s="42"/>
      <c r="D5" s="42"/>
      <c r="E5" s="42"/>
      <c r="F5" s="43"/>
      <c r="G5" s="42"/>
      <c r="H5" s="42"/>
      <c r="I5" s="42"/>
      <c r="J5" s="42"/>
      <c r="K5" s="42"/>
      <c r="L5" s="42"/>
      <c r="M5" s="42"/>
      <c r="N5" s="42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</row>
    <row r="6" ht="18.0" customHeight="1">
      <c r="A6" s="42"/>
      <c r="B6" s="43"/>
      <c r="C6" s="42"/>
      <c r="D6" s="42"/>
      <c r="E6" s="42"/>
      <c r="F6" s="43"/>
      <c r="G6" s="42"/>
      <c r="H6" s="42"/>
      <c r="I6" s="42"/>
      <c r="J6" s="42"/>
      <c r="K6" s="42"/>
      <c r="L6" s="42"/>
      <c r="M6" s="42"/>
      <c r="N6" s="42"/>
      <c r="O6" s="42"/>
      <c r="P6" s="42"/>
      <c r="Q6" s="42"/>
      <c r="R6" s="42"/>
      <c r="S6" s="42"/>
      <c r="T6" s="42"/>
      <c r="U6" s="42"/>
      <c r="V6" s="42"/>
      <c r="W6" s="42"/>
      <c r="X6" s="42"/>
      <c r="Y6" s="42"/>
      <c r="Z6" s="42"/>
    </row>
    <row r="7" ht="18.0" customHeight="1">
      <c r="A7" s="44" t="s">
        <v>90</v>
      </c>
      <c r="B7" s="43">
        <f>B2-B3</f>
        <v>23</v>
      </c>
      <c r="C7" s="42"/>
      <c r="D7" s="42"/>
      <c r="E7" s="45" t="s">
        <v>91</v>
      </c>
      <c r="F7" s="43">
        <f t="shared" ref="F7:I7" si="1">F2+F3</f>
        <v>55</v>
      </c>
      <c r="G7" s="43">
        <f t="shared" si="1"/>
        <v>75</v>
      </c>
      <c r="H7" s="43">
        <f t="shared" si="1"/>
        <v>44</v>
      </c>
      <c r="I7" s="43">
        <f t="shared" si="1"/>
        <v>33</v>
      </c>
      <c r="J7" s="42"/>
      <c r="K7" s="42"/>
      <c r="L7" s="42"/>
      <c r="M7" s="42"/>
      <c r="N7" s="42"/>
      <c r="O7" s="42"/>
      <c r="P7" s="42"/>
      <c r="Q7" s="42"/>
      <c r="R7" s="42"/>
      <c r="S7" s="42"/>
      <c r="T7" s="42"/>
      <c r="U7" s="42"/>
      <c r="V7" s="42"/>
      <c r="W7" s="42"/>
      <c r="X7" s="42"/>
      <c r="Y7" s="42"/>
      <c r="Z7" s="42"/>
    </row>
    <row r="8" ht="18.0" customHeight="1">
      <c r="A8" s="44" t="s">
        <v>90</v>
      </c>
      <c r="B8" s="43">
        <f>MINUS(B2,B3)</f>
        <v>23</v>
      </c>
      <c r="C8" s="42"/>
      <c r="D8" s="42"/>
      <c r="E8" s="45" t="s">
        <v>91</v>
      </c>
      <c r="F8" s="43">
        <f t="shared" ref="F8:I8" si="2">SUM($F$2,F3)</f>
        <v>55</v>
      </c>
      <c r="G8" s="43">
        <f t="shared" si="2"/>
        <v>69</v>
      </c>
      <c r="H8" s="43">
        <f t="shared" si="2"/>
        <v>43</v>
      </c>
      <c r="I8" s="43">
        <f t="shared" si="2"/>
        <v>42</v>
      </c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</row>
    <row r="9" ht="18.0" customHeight="1">
      <c r="A9" s="42"/>
      <c r="B9" s="46"/>
      <c r="C9" s="42"/>
      <c r="D9" s="42"/>
      <c r="E9" s="42"/>
      <c r="F9" s="42"/>
      <c r="G9" s="42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/>
      <c r="W9" s="42"/>
      <c r="X9" s="42"/>
      <c r="Y9" s="42"/>
      <c r="Z9" s="42"/>
    </row>
    <row r="10" ht="18.0" customHeight="1">
      <c r="A10" s="42"/>
      <c r="B10" s="46"/>
      <c r="C10" s="42"/>
      <c r="D10" s="42"/>
      <c r="E10" s="45" t="s">
        <v>91</v>
      </c>
      <c r="F10" s="43">
        <f>SUM(F2:F4)</f>
        <v>68</v>
      </c>
      <c r="G10" s="42"/>
      <c r="H10" s="42"/>
      <c r="I10" s="42"/>
      <c r="J10" s="42"/>
      <c r="K10" s="42"/>
      <c r="L10" s="42"/>
      <c r="M10" s="42"/>
      <c r="N10" s="42"/>
      <c r="O10" s="42"/>
      <c r="P10" s="42"/>
      <c r="Q10" s="42"/>
      <c r="R10" s="42"/>
      <c r="S10" s="42"/>
      <c r="T10" s="42"/>
      <c r="U10" s="42"/>
      <c r="V10" s="42"/>
      <c r="W10" s="42"/>
      <c r="X10" s="42"/>
      <c r="Y10" s="42"/>
      <c r="Z10" s="42"/>
    </row>
    <row r="11" ht="15.75" customHeight="1">
      <c r="B11" s="41"/>
    </row>
    <row r="12" ht="15.75" customHeight="1">
      <c r="B12" s="41"/>
    </row>
    <row r="13" ht="15.75" customHeight="1">
      <c r="B13" s="41"/>
    </row>
    <row r="14" ht="15.75" customHeight="1">
      <c r="B14" s="41"/>
    </row>
    <row r="15" ht="15.75" customHeight="1">
      <c r="B15" s="41"/>
    </row>
    <row r="16" ht="15.75" customHeight="1">
      <c r="B16" s="41"/>
    </row>
    <row r="17" ht="15.75" customHeight="1">
      <c r="B17" s="41"/>
    </row>
    <row r="18" ht="15.75" customHeight="1">
      <c r="B18" s="41"/>
    </row>
    <row r="19" ht="15.75" customHeight="1">
      <c r="B19" s="41"/>
    </row>
    <row r="20" ht="15.75" customHeight="1">
      <c r="B20" s="41"/>
    </row>
    <row r="21" ht="15.75" customHeight="1">
      <c r="B21" s="41"/>
    </row>
    <row r="22" ht="15.75" customHeight="1">
      <c r="B22" s="41"/>
    </row>
    <row r="23" ht="15.75" customHeight="1">
      <c r="B23" s="41"/>
    </row>
    <row r="24" ht="15.75" customHeight="1">
      <c r="B24" s="41"/>
    </row>
    <row r="25" ht="15.75" customHeight="1">
      <c r="B25" s="41"/>
    </row>
    <row r="26" ht="15.75" customHeight="1">
      <c r="B26" s="41"/>
    </row>
    <row r="27" ht="15.75" customHeight="1">
      <c r="B27" s="41"/>
    </row>
    <row r="28" ht="15.75" customHeight="1">
      <c r="B28" s="41"/>
    </row>
    <row r="29" ht="15.75" customHeight="1">
      <c r="B29" s="41"/>
    </row>
    <row r="30" ht="15.75" customHeight="1">
      <c r="B30" s="41"/>
    </row>
    <row r="31" ht="15.75" customHeight="1">
      <c r="B31" s="41"/>
    </row>
    <row r="32" ht="15.75" customHeight="1">
      <c r="B32" s="41"/>
    </row>
    <row r="33" ht="15.75" customHeight="1">
      <c r="B33" s="41"/>
    </row>
    <row r="34" ht="15.75" customHeight="1">
      <c r="B34" s="41"/>
    </row>
    <row r="35" ht="15.75" customHeight="1">
      <c r="B35" s="41"/>
    </row>
    <row r="36" ht="15.75" customHeight="1">
      <c r="B36" s="41"/>
    </row>
    <row r="37" ht="15.75" customHeight="1">
      <c r="B37" s="41"/>
    </row>
    <row r="38" ht="15.75" customHeight="1">
      <c r="B38" s="41"/>
    </row>
    <row r="39" ht="15.75" customHeight="1">
      <c r="B39" s="41"/>
    </row>
    <row r="40" ht="15.75" customHeight="1">
      <c r="B40" s="41"/>
    </row>
    <row r="41" ht="15.75" customHeight="1">
      <c r="B41" s="41"/>
    </row>
    <row r="42" ht="15.75" customHeight="1">
      <c r="B42" s="41"/>
    </row>
    <row r="43" ht="15.75" customHeight="1">
      <c r="B43" s="41"/>
    </row>
    <row r="44" ht="15.75" customHeight="1">
      <c r="B44" s="41"/>
    </row>
    <row r="45" ht="15.75" customHeight="1">
      <c r="B45" s="41"/>
    </row>
    <row r="46" ht="15.75" customHeight="1">
      <c r="B46" s="41"/>
    </row>
    <row r="47" ht="15.75" customHeight="1">
      <c r="B47" s="41"/>
    </row>
    <row r="48" ht="15.75" customHeight="1">
      <c r="B48" s="41"/>
    </row>
    <row r="49" ht="15.75" customHeight="1">
      <c r="B49" s="41"/>
    </row>
    <row r="50" ht="15.75" customHeight="1">
      <c r="B50" s="41"/>
    </row>
    <row r="51" ht="15.75" customHeight="1">
      <c r="B51" s="41"/>
    </row>
    <row r="52" ht="15.75" customHeight="1">
      <c r="B52" s="41"/>
    </row>
    <row r="53" ht="15.75" customHeight="1">
      <c r="B53" s="41"/>
    </row>
    <row r="54" ht="15.75" customHeight="1">
      <c r="B54" s="41"/>
    </row>
    <row r="55" ht="15.75" customHeight="1">
      <c r="B55" s="41"/>
    </row>
    <row r="56" ht="15.75" customHeight="1">
      <c r="B56" s="41"/>
    </row>
    <row r="57" ht="15.75" customHeight="1">
      <c r="B57" s="41"/>
    </row>
    <row r="58" ht="15.75" customHeight="1">
      <c r="B58" s="41"/>
    </row>
    <row r="59" ht="15.75" customHeight="1">
      <c r="B59" s="41"/>
    </row>
    <row r="60" ht="15.75" customHeight="1">
      <c r="B60" s="41"/>
    </row>
    <row r="61" ht="15.75" customHeight="1">
      <c r="B61" s="41"/>
    </row>
    <row r="62" ht="15.75" customHeight="1">
      <c r="B62" s="41"/>
    </row>
    <row r="63" ht="15.75" customHeight="1">
      <c r="B63" s="41"/>
    </row>
    <row r="64" ht="15.75" customHeight="1">
      <c r="B64" s="41"/>
    </row>
    <row r="65" ht="15.75" customHeight="1">
      <c r="B65" s="41"/>
    </row>
    <row r="66" ht="15.75" customHeight="1">
      <c r="B66" s="41"/>
    </row>
    <row r="67" ht="15.75" customHeight="1">
      <c r="B67" s="41"/>
    </row>
    <row r="68" ht="15.75" customHeight="1">
      <c r="B68" s="41"/>
    </row>
    <row r="69" ht="15.75" customHeight="1">
      <c r="B69" s="41"/>
    </row>
    <row r="70" ht="15.75" customHeight="1">
      <c r="B70" s="41"/>
    </row>
    <row r="71" ht="15.75" customHeight="1">
      <c r="B71" s="41"/>
    </row>
    <row r="72" ht="15.75" customHeight="1">
      <c r="B72" s="41"/>
    </row>
    <row r="73" ht="15.75" customHeight="1">
      <c r="B73" s="41"/>
    </row>
    <row r="74" ht="15.75" customHeight="1">
      <c r="B74" s="41"/>
    </row>
    <row r="75" ht="15.75" customHeight="1">
      <c r="B75" s="41"/>
    </row>
    <row r="76" ht="15.75" customHeight="1">
      <c r="B76" s="41"/>
    </row>
    <row r="77" ht="15.75" customHeight="1">
      <c r="B77" s="41"/>
    </row>
    <row r="78" ht="15.75" customHeight="1">
      <c r="B78" s="41"/>
    </row>
    <row r="79" ht="15.75" customHeight="1">
      <c r="B79" s="41"/>
    </row>
    <row r="80" ht="15.75" customHeight="1">
      <c r="B80" s="41"/>
    </row>
    <row r="81" ht="15.75" customHeight="1">
      <c r="B81" s="41"/>
    </row>
    <row r="82" ht="15.75" customHeight="1">
      <c r="B82" s="41"/>
    </row>
    <row r="83" ht="15.75" customHeight="1">
      <c r="B83" s="41"/>
    </row>
    <row r="84" ht="15.75" customHeight="1">
      <c r="B84" s="41"/>
    </row>
    <row r="85" ht="15.75" customHeight="1">
      <c r="B85" s="41"/>
    </row>
    <row r="86" ht="15.75" customHeight="1">
      <c r="B86" s="41"/>
    </row>
    <row r="87" ht="15.75" customHeight="1">
      <c r="B87" s="41"/>
    </row>
    <row r="88" ht="15.75" customHeight="1">
      <c r="B88" s="41"/>
    </row>
    <row r="89" ht="15.75" customHeight="1">
      <c r="B89" s="41"/>
    </row>
    <row r="90" ht="15.75" customHeight="1">
      <c r="B90" s="41"/>
    </row>
    <row r="91" ht="15.75" customHeight="1">
      <c r="B91" s="41"/>
    </row>
    <row r="92" ht="15.75" customHeight="1">
      <c r="B92" s="41"/>
    </row>
    <row r="93" ht="15.75" customHeight="1">
      <c r="B93" s="41"/>
    </row>
    <row r="94" ht="15.75" customHeight="1">
      <c r="B94" s="41"/>
    </row>
    <row r="95" ht="15.75" customHeight="1">
      <c r="B95" s="41"/>
    </row>
    <row r="96" ht="15.75" customHeight="1">
      <c r="B96" s="41"/>
    </row>
    <row r="97" ht="15.75" customHeight="1">
      <c r="B97" s="41"/>
    </row>
    <row r="98" ht="15.75" customHeight="1">
      <c r="B98" s="41"/>
    </row>
    <row r="99" ht="15.75" customHeight="1">
      <c r="B99" s="41"/>
    </row>
    <row r="100" ht="15.75" customHeight="1">
      <c r="B100" s="41"/>
    </row>
    <row r="101" ht="15.75" customHeight="1">
      <c r="B101" s="41"/>
    </row>
    <row r="102" ht="15.75" customHeight="1">
      <c r="B102" s="41"/>
    </row>
    <row r="103" ht="15.75" customHeight="1">
      <c r="B103" s="41"/>
    </row>
    <row r="104" ht="15.75" customHeight="1">
      <c r="B104" s="41"/>
    </row>
    <row r="105" ht="15.75" customHeight="1">
      <c r="B105" s="41"/>
    </row>
    <row r="106" ht="15.75" customHeight="1">
      <c r="B106" s="41"/>
    </row>
    <row r="107" ht="15.75" customHeight="1">
      <c r="B107" s="41"/>
    </row>
    <row r="108" ht="15.75" customHeight="1">
      <c r="B108" s="41"/>
    </row>
    <row r="109" ht="15.75" customHeight="1">
      <c r="B109" s="41"/>
    </row>
    <row r="110" ht="15.75" customHeight="1">
      <c r="B110" s="41"/>
    </row>
    <row r="111" ht="15.75" customHeight="1">
      <c r="B111" s="41"/>
    </row>
    <row r="112" ht="15.75" customHeight="1">
      <c r="B112" s="41"/>
    </row>
    <row r="113" ht="15.75" customHeight="1">
      <c r="B113" s="41"/>
    </row>
    <row r="114" ht="15.75" customHeight="1">
      <c r="B114" s="41"/>
    </row>
    <row r="115" ht="15.75" customHeight="1">
      <c r="B115" s="41"/>
    </row>
    <row r="116" ht="15.75" customHeight="1">
      <c r="B116" s="41"/>
    </row>
    <row r="117" ht="15.75" customHeight="1">
      <c r="B117" s="41"/>
    </row>
    <row r="118" ht="15.75" customHeight="1">
      <c r="B118" s="41"/>
    </row>
    <row r="119" ht="15.75" customHeight="1">
      <c r="B119" s="41"/>
    </row>
    <row r="120" ht="15.75" customHeight="1">
      <c r="B120" s="41"/>
    </row>
    <row r="121" ht="15.75" customHeight="1">
      <c r="B121" s="41"/>
    </row>
    <row r="122" ht="15.75" customHeight="1">
      <c r="B122" s="41"/>
    </row>
    <row r="123" ht="15.75" customHeight="1">
      <c r="B123" s="41"/>
    </row>
    <row r="124" ht="15.75" customHeight="1">
      <c r="B124" s="41"/>
    </row>
    <row r="125" ht="15.75" customHeight="1">
      <c r="B125" s="41"/>
    </row>
    <row r="126" ht="15.75" customHeight="1">
      <c r="B126" s="41"/>
    </row>
    <row r="127" ht="15.75" customHeight="1">
      <c r="B127" s="41"/>
    </row>
    <row r="128" ht="15.75" customHeight="1">
      <c r="B128" s="41"/>
    </row>
    <row r="129" ht="15.75" customHeight="1">
      <c r="B129" s="41"/>
    </row>
    <row r="130" ht="15.75" customHeight="1">
      <c r="B130" s="41"/>
    </row>
    <row r="131" ht="15.75" customHeight="1">
      <c r="B131" s="41"/>
    </row>
    <row r="132" ht="15.75" customHeight="1">
      <c r="B132" s="41"/>
    </row>
    <row r="133" ht="15.75" customHeight="1">
      <c r="B133" s="41"/>
    </row>
    <row r="134" ht="15.75" customHeight="1">
      <c r="B134" s="41"/>
    </row>
    <row r="135" ht="15.75" customHeight="1">
      <c r="B135" s="41"/>
    </row>
    <row r="136" ht="15.75" customHeight="1">
      <c r="B136" s="41"/>
    </row>
    <row r="137" ht="15.75" customHeight="1">
      <c r="B137" s="41"/>
    </row>
    <row r="138" ht="15.75" customHeight="1">
      <c r="B138" s="41"/>
    </row>
    <row r="139" ht="15.75" customHeight="1">
      <c r="B139" s="41"/>
    </row>
    <row r="140" ht="15.75" customHeight="1">
      <c r="B140" s="41"/>
    </row>
    <row r="141" ht="15.75" customHeight="1">
      <c r="B141" s="41"/>
    </row>
    <row r="142" ht="15.75" customHeight="1">
      <c r="B142" s="41"/>
    </row>
    <row r="143" ht="15.75" customHeight="1">
      <c r="B143" s="41"/>
    </row>
    <row r="144" ht="15.75" customHeight="1">
      <c r="B144" s="41"/>
    </row>
    <row r="145" ht="15.75" customHeight="1">
      <c r="B145" s="41"/>
    </row>
    <row r="146" ht="15.75" customHeight="1">
      <c r="B146" s="41"/>
    </row>
    <row r="147" ht="15.75" customHeight="1">
      <c r="B147" s="41"/>
    </row>
    <row r="148" ht="15.75" customHeight="1">
      <c r="B148" s="41"/>
    </row>
    <row r="149" ht="15.75" customHeight="1">
      <c r="B149" s="41"/>
    </row>
    <row r="150" ht="15.75" customHeight="1">
      <c r="B150" s="41"/>
    </row>
    <row r="151" ht="15.75" customHeight="1">
      <c r="B151" s="41"/>
    </row>
    <row r="152" ht="15.75" customHeight="1">
      <c r="B152" s="41"/>
    </row>
    <row r="153" ht="15.75" customHeight="1">
      <c r="B153" s="41"/>
    </row>
    <row r="154" ht="15.75" customHeight="1">
      <c r="B154" s="41"/>
    </row>
    <row r="155" ht="15.75" customHeight="1">
      <c r="B155" s="41"/>
    </row>
    <row r="156" ht="15.75" customHeight="1">
      <c r="B156" s="41"/>
    </row>
    <row r="157" ht="15.75" customHeight="1">
      <c r="B157" s="41"/>
    </row>
    <row r="158" ht="15.75" customHeight="1">
      <c r="B158" s="41"/>
    </row>
    <row r="159" ht="15.75" customHeight="1">
      <c r="B159" s="41"/>
    </row>
    <row r="160" ht="15.75" customHeight="1">
      <c r="B160" s="41"/>
    </row>
    <row r="161" ht="15.75" customHeight="1">
      <c r="B161" s="41"/>
    </row>
    <row r="162" ht="15.75" customHeight="1">
      <c r="B162" s="41"/>
    </row>
    <row r="163" ht="15.75" customHeight="1">
      <c r="B163" s="41"/>
    </row>
    <row r="164" ht="15.75" customHeight="1">
      <c r="B164" s="41"/>
    </row>
    <row r="165" ht="15.75" customHeight="1">
      <c r="B165" s="41"/>
    </row>
    <row r="166" ht="15.75" customHeight="1">
      <c r="B166" s="41"/>
    </row>
    <row r="167" ht="15.75" customHeight="1">
      <c r="B167" s="41"/>
    </row>
    <row r="168" ht="15.75" customHeight="1">
      <c r="B168" s="41"/>
    </row>
    <row r="169" ht="15.75" customHeight="1">
      <c r="B169" s="41"/>
    </row>
    <row r="170" ht="15.75" customHeight="1">
      <c r="B170" s="41"/>
    </row>
    <row r="171" ht="15.75" customHeight="1">
      <c r="B171" s="41"/>
    </row>
    <row r="172" ht="15.75" customHeight="1">
      <c r="B172" s="41"/>
    </row>
    <row r="173" ht="15.75" customHeight="1">
      <c r="B173" s="41"/>
    </row>
    <row r="174" ht="15.75" customHeight="1">
      <c r="B174" s="41"/>
    </row>
    <row r="175" ht="15.75" customHeight="1">
      <c r="B175" s="41"/>
    </row>
    <row r="176" ht="15.75" customHeight="1">
      <c r="B176" s="41"/>
    </row>
    <row r="177" ht="15.75" customHeight="1">
      <c r="B177" s="41"/>
    </row>
    <row r="178" ht="15.75" customHeight="1">
      <c r="B178" s="41"/>
    </row>
    <row r="179" ht="15.75" customHeight="1">
      <c r="B179" s="41"/>
    </row>
    <row r="180" ht="15.75" customHeight="1">
      <c r="B180" s="41"/>
    </row>
    <row r="181" ht="15.75" customHeight="1">
      <c r="B181" s="41"/>
    </row>
    <row r="182" ht="15.75" customHeight="1">
      <c r="B182" s="41"/>
    </row>
    <row r="183" ht="15.75" customHeight="1">
      <c r="B183" s="41"/>
    </row>
    <row r="184" ht="15.75" customHeight="1">
      <c r="B184" s="41"/>
    </row>
    <row r="185" ht="15.75" customHeight="1">
      <c r="B185" s="41"/>
    </row>
    <row r="186" ht="15.75" customHeight="1">
      <c r="B186" s="41"/>
    </row>
    <row r="187" ht="15.75" customHeight="1">
      <c r="B187" s="41"/>
    </row>
    <row r="188" ht="15.75" customHeight="1">
      <c r="B188" s="41"/>
    </row>
    <row r="189" ht="15.75" customHeight="1">
      <c r="B189" s="41"/>
    </row>
    <row r="190" ht="15.75" customHeight="1">
      <c r="B190" s="41"/>
    </row>
    <row r="191" ht="15.75" customHeight="1">
      <c r="B191" s="41"/>
    </row>
    <row r="192" ht="15.75" customHeight="1">
      <c r="B192" s="41"/>
    </row>
    <row r="193" ht="15.75" customHeight="1">
      <c r="B193" s="41"/>
    </row>
    <row r="194" ht="15.75" customHeight="1">
      <c r="B194" s="41"/>
    </row>
    <row r="195" ht="15.75" customHeight="1">
      <c r="B195" s="41"/>
    </row>
    <row r="196" ht="15.75" customHeight="1">
      <c r="B196" s="41"/>
    </row>
    <row r="197" ht="15.75" customHeight="1">
      <c r="B197" s="41"/>
    </row>
    <row r="198" ht="15.75" customHeight="1">
      <c r="B198" s="41"/>
    </row>
    <row r="199" ht="15.75" customHeight="1">
      <c r="B199" s="41"/>
    </row>
    <row r="200" ht="15.75" customHeight="1">
      <c r="B200" s="41"/>
    </row>
    <row r="201" ht="15.75" customHeight="1">
      <c r="B201" s="41"/>
    </row>
    <row r="202" ht="15.75" customHeight="1">
      <c r="B202" s="41"/>
    </row>
    <row r="203" ht="15.75" customHeight="1">
      <c r="B203" s="41"/>
    </row>
    <row r="204" ht="15.75" customHeight="1">
      <c r="B204" s="41"/>
    </row>
    <row r="205" ht="15.75" customHeight="1">
      <c r="B205" s="41"/>
    </row>
    <row r="206" ht="15.75" customHeight="1">
      <c r="B206" s="41"/>
    </row>
    <row r="207" ht="15.75" customHeight="1">
      <c r="B207" s="41"/>
    </row>
    <row r="208" ht="15.75" customHeight="1">
      <c r="B208" s="41"/>
    </row>
    <row r="209" ht="15.75" customHeight="1">
      <c r="B209" s="41"/>
    </row>
    <row r="210" ht="15.75" customHeight="1">
      <c r="B210" s="41"/>
    </row>
    <row r="211" ht="15.75" customHeight="1">
      <c r="B211" s="41"/>
    </row>
    <row r="212" ht="15.75" customHeight="1">
      <c r="B212" s="41"/>
    </row>
    <row r="213" ht="15.75" customHeight="1">
      <c r="B213" s="41"/>
    </row>
    <row r="214" ht="15.75" customHeight="1">
      <c r="B214" s="41"/>
    </row>
    <row r="215" ht="15.75" customHeight="1">
      <c r="B215" s="41"/>
    </row>
    <row r="216" ht="15.75" customHeight="1">
      <c r="B216" s="41"/>
    </row>
    <row r="217" ht="15.75" customHeight="1">
      <c r="B217" s="41"/>
    </row>
    <row r="218" ht="15.75" customHeight="1">
      <c r="B218" s="41"/>
    </row>
    <row r="219" ht="15.75" customHeight="1">
      <c r="B219" s="41"/>
    </row>
    <row r="220" ht="15.75" customHeight="1">
      <c r="B220" s="4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8.88"/>
    <col customWidth="1" min="2" max="2" width="43.38"/>
    <col customWidth="1" min="3" max="3" width="42.38"/>
    <col customWidth="1" min="4" max="6" width="12.63"/>
  </cols>
  <sheetData>
    <row r="1" ht="48.75" customHeight="1">
      <c r="A1" s="47" t="s">
        <v>92</v>
      </c>
      <c r="B1" s="48" t="str">
        <f>lower(A1)</f>
        <v>techpro education </v>
      </c>
      <c r="C1" s="49" t="s">
        <v>93</v>
      </c>
      <c r="D1" s="50"/>
      <c r="E1" s="50"/>
      <c r="F1" s="50"/>
      <c r="G1" s="50"/>
      <c r="H1" s="50"/>
      <c r="I1" s="50"/>
      <c r="J1" s="50"/>
      <c r="K1" s="50"/>
      <c r="L1" s="50"/>
      <c r="M1" s="50"/>
      <c r="N1" s="50"/>
      <c r="O1" s="50"/>
      <c r="P1" s="50"/>
      <c r="Q1" s="50"/>
      <c r="R1" s="50"/>
      <c r="S1" s="50"/>
      <c r="T1" s="50"/>
      <c r="U1" s="50"/>
      <c r="V1" s="50"/>
      <c r="W1" s="50"/>
    </row>
    <row r="2" ht="48.75" customHeight="1">
      <c r="A2" s="47" t="s">
        <v>94</v>
      </c>
      <c r="B2" s="48" t="str">
        <f>UPPER(A2)</f>
        <v>TECHPRO EDUCATION </v>
      </c>
      <c r="C2" s="49" t="s">
        <v>95</v>
      </c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  <c r="Q2" s="50"/>
      <c r="R2" s="50"/>
      <c r="S2" s="50"/>
      <c r="T2" s="50"/>
      <c r="U2" s="50"/>
      <c r="V2" s="50"/>
      <c r="W2" s="50"/>
    </row>
    <row r="3" ht="48.75" customHeight="1">
      <c r="A3" s="47" t="s">
        <v>96</v>
      </c>
      <c r="B3" s="48" t="str">
        <f>PROPER(A3)</f>
        <v>Techpro Education </v>
      </c>
      <c r="C3" s="49" t="s">
        <v>97</v>
      </c>
      <c r="D3" s="50"/>
      <c r="E3" s="50"/>
      <c r="F3" s="50"/>
      <c r="G3" s="50"/>
      <c r="H3" s="50"/>
      <c r="I3" s="50"/>
      <c r="J3" s="50"/>
      <c r="K3" s="50"/>
      <c r="L3" s="50"/>
      <c r="M3" s="50"/>
      <c r="N3" s="50"/>
      <c r="O3" s="50"/>
      <c r="P3" s="50"/>
      <c r="Q3" s="50"/>
      <c r="R3" s="50"/>
      <c r="S3" s="50"/>
      <c r="T3" s="50"/>
      <c r="U3" s="50"/>
      <c r="V3" s="50"/>
      <c r="W3" s="50"/>
    </row>
    <row r="4" ht="48.75" customHeight="1">
      <c r="A4" s="47" t="s">
        <v>98</v>
      </c>
      <c r="B4" s="48">
        <f>LEN(A4)</f>
        <v>24</v>
      </c>
      <c r="C4" s="49" t="s">
        <v>99</v>
      </c>
      <c r="D4" s="50"/>
      <c r="E4" s="50"/>
      <c r="F4" s="50"/>
      <c r="G4" s="50"/>
      <c r="H4" s="50"/>
      <c r="I4" s="50"/>
      <c r="J4" s="50"/>
      <c r="K4" s="50"/>
      <c r="L4" s="50"/>
      <c r="M4" s="50"/>
      <c r="N4" s="50"/>
      <c r="O4" s="50"/>
      <c r="P4" s="50"/>
      <c r="Q4" s="50"/>
      <c r="R4" s="50"/>
      <c r="S4" s="50"/>
      <c r="T4" s="50"/>
      <c r="U4" s="50"/>
      <c r="V4" s="50"/>
      <c r="W4" s="50"/>
    </row>
    <row r="5" ht="48.75" customHeight="1">
      <c r="A5" s="47" t="s">
        <v>100</v>
      </c>
      <c r="B5" s="48" t="str">
        <f>TRIM(A5)</f>
        <v>Deep Learning</v>
      </c>
      <c r="C5" s="49" t="s">
        <v>101</v>
      </c>
      <c r="D5" s="50"/>
      <c r="E5" s="50"/>
      <c r="F5" s="50"/>
      <c r="G5" s="50"/>
      <c r="H5" s="50"/>
      <c r="I5" s="50"/>
      <c r="J5" s="50"/>
      <c r="K5" s="50"/>
      <c r="L5" s="50"/>
      <c r="M5" s="50"/>
      <c r="N5" s="50"/>
      <c r="O5" s="50"/>
      <c r="P5" s="50"/>
      <c r="Q5" s="50"/>
      <c r="R5" s="50"/>
      <c r="S5" s="50"/>
      <c r="T5" s="50"/>
      <c r="U5" s="50"/>
      <c r="V5" s="50"/>
      <c r="W5" s="50"/>
    </row>
    <row r="6" ht="48.75" customHeight="1">
      <c r="A6" s="47">
        <v>20.34</v>
      </c>
      <c r="B6" s="48">
        <f>ROUND(A6,0)</f>
        <v>20</v>
      </c>
      <c r="C6" s="49" t="s">
        <v>102</v>
      </c>
      <c r="D6" s="50"/>
      <c r="E6" s="50"/>
      <c r="F6" s="50"/>
      <c r="G6" s="50"/>
      <c r="H6" s="50"/>
      <c r="I6" s="50"/>
      <c r="J6" s="50"/>
      <c r="K6" s="50"/>
      <c r="L6" s="50"/>
      <c r="M6" s="50"/>
      <c r="N6" s="50"/>
      <c r="O6" s="50"/>
      <c r="P6" s="50"/>
      <c r="Q6" s="50"/>
      <c r="R6" s="50"/>
      <c r="S6" s="50"/>
      <c r="T6" s="50"/>
      <c r="U6" s="50"/>
      <c r="V6" s="50"/>
      <c r="W6" s="50"/>
    </row>
    <row r="7" ht="48.75" customHeight="1">
      <c r="A7" s="47">
        <v>20.5486878768</v>
      </c>
      <c r="B7" s="48">
        <f>INT(A7)</f>
        <v>20</v>
      </c>
      <c r="C7" s="49" t="s">
        <v>103</v>
      </c>
      <c r="D7" s="50"/>
      <c r="E7" s="50"/>
      <c r="F7" s="50"/>
      <c r="G7" s="50"/>
      <c r="H7" s="50"/>
      <c r="I7" s="50"/>
      <c r="J7" s="50"/>
      <c r="K7" s="50"/>
      <c r="L7" s="50"/>
      <c r="M7" s="50"/>
      <c r="N7" s="50"/>
      <c r="O7" s="50"/>
      <c r="P7" s="50"/>
      <c r="Q7" s="50"/>
      <c r="R7" s="50"/>
      <c r="S7" s="50"/>
      <c r="T7" s="50"/>
      <c r="U7" s="50"/>
      <c r="V7" s="50"/>
      <c r="W7" s="50"/>
    </row>
    <row r="8" ht="47.25" customHeight="1">
      <c r="A8" s="47">
        <v>20.5486878768</v>
      </c>
      <c r="B8" s="48">
        <f>EVEN(A8)</f>
        <v>22</v>
      </c>
      <c r="C8" s="49" t="s">
        <v>104</v>
      </c>
      <c r="D8" s="50"/>
      <c r="E8" s="50"/>
      <c r="F8" s="50"/>
      <c r="G8" s="50"/>
      <c r="H8" s="50"/>
      <c r="I8" s="50"/>
      <c r="J8" s="50"/>
      <c r="K8" s="50"/>
      <c r="L8" s="50"/>
      <c r="M8" s="50"/>
      <c r="N8" s="50"/>
      <c r="O8" s="50"/>
      <c r="P8" s="50"/>
      <c r="Q8" s="50"/>
      <c r="R8" s="50"/>
      <c r="S8" s="50"/>
      <c r="T8" s="50"/>
      <c r="U8" s="50"/>
      <c r="V8" s="50"/>
      <c r="W8" s="50"/>
    </row>
    <row r="9" ht="47.25" customHeight="1">
      <c r="A9" s="47">
        <v>20.5486878768</v>
      </c>
      <c r="B9" s="48">
        <f>ODD(A9)</f>
        <v>21</v>
      </c>
      <c r="C9" s="49" t="s">
        <v>105</v>
      </c>
      <c r="D9" s="50"/>
      <c r="E9" s="50"/>
      <c r="F9" s="50"/>
      <c r="G9" s="50"/>
      <c r="H9" s="50"/>
      <c r="I9" s="50"/>
      <c r="J9" s="50"/>
      <c r="K9" s="50"/>
      <c r="L9" s="50"/>
      <c r="M9" s="50"/>
      <c r="N9" s="50"/>
      <c r="O9" s="50"/>
      <c r="P9" s="50"/>
      <c r="Q9" s="50"/>
      <c r="R9" s="50"/>
      <c r="S9" s="50"/>
      <c r="T9" s="50"/>
      <c r="U9" s="50"/>
      <c r="V9" s="50"/>
      <c r="W9" s="50"/>
    </row>
    <row r="10" ht="15.75" customHeight="1">
      <c r="A10" s="50"/>
      <c r="B10" s="50"/>
      <c r="C10" s="50"/>
      <c r="D10" s="50"/>
      <c r="E10" s="50"/>
      <c r="F10" s="50"/>
      <c r="G10" s="50"/>
      <c r="H10" s="50"/>
      <c r="I10" s="50"/>
      <c r="J10" s="50"/>
      <c r="K10" s="50"/>
      <c r="L10" s="50"/>
      <c r="M10" s="50"/>
      <c r="N10" s="50"/>
      <c r="O10" s="50"/>
      <c r="P10" s="50"/>
      <c r="Q10" s="50"/>
      <c r="R10" s="50"/>
      <c r="S10" s="50"/>
      <c r="T10" s="50"/>
      <c r="U10" s="50"/>
      <c r="V10" s="50"/>
      <c r="W10" s="50"/>
    </row>
    <row r="11" ht="15.75" customHeight="1">
      <c r="A11" s="50"/>
      <c r="B11" s="50"/>
      <c r="C11" s="50"/>
      <c r="D11" s="50"/>
      <c r="E11" s="50"/>
      <c r="F11" s="50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</row>
    <row r="12" ht="15.75" customHeight="1">
      <c r="A12" s="50"/>
      <c r="B12" s="50"/>
      <c r="C12" s="50"/>
      <c r="D12" s="50"/>
      <c r="E12" s="50"/>
      <c r="F12" s="50"/>
      <c r="G12" s="50"/>
      <c r="H12" s="50"/>
      <c r="I12" s="50"/>
      <c r="J12" s="50"/>
      <c r="K12" s="50"/>
      <c r="L12" s="50"/>
      <c r="M12" s="50"/>
      <c r="N12" s="50"/>
      <c r="O12" s="50"/>
      <c r="P12" s="50"/>
      <c r="Q12" s="50"/>
      <c r="R12" s="50"/>
      <c r="S12" s="50"/>
      <c r="T12" s="50"/>
      <c r="U12" s="50"/>
      <c r="V12" s="50"/>
      <c r="W12" s="50"/>
    </row>
    <row r="13" ht="15.75" customHeight="1">
      <c r="A13" s="50"/>
      <c r="B13" s="50"/>
      <c r="C13" s="50"/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</row>
    <row r="14" ht="15.75" customHeight="1">
      <c r="A14" s="50"/>
      <c r="B14" s="50"/>
      <c r="C14" s="50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50"/>
      <c r="T14" s="50"/>
      <c r="U14" s="50"/>
      <c r="V14" s="50"/>
      <c r="W14" s="50"/>
    </row>
    <row r="15" ht="15.75" customHeight="1">
      <c r="A15" s="50"/>
      <c r="B15" s="50"/>
      <c r="C15" s="50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</row>
    <row r="16" ht="15.75" customHeight="1">
      <c r="A16" s="50"/>
      <c r="B16" s="50"/>
      <c r="C16" s="50"/>
      <c r="D16" s="50"/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50"/>
      <c r="T16" s="50"/>
      <c r="U16" s="50"/>
      <c r="V16" s="50"/>
      <c r="W16" s="50"/>
    </row>
    <row r="17" ht="15.75" customHeight="1">
      <c r="A17" s="50"/>
      <c r="B17" s="50"/>
      <c r="C17" s="50"/>
      <c r="D17" s="50"/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50"/>
    </row>
    <row r="18" ht="15.75" customHeight="1">
      <c r="A18" s="50"/>
      <c r="B18" s="50"/>
      <c r="C18" s="50"/>
      <c r="D18" s="50"/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50"/>
    </row>
    <row r="19" ht="15.75" customHeight="1">
      <c r="A19" s="50"/>
      <c r="B19" s="50"/>
      <c r="C19" s="50"/>
      <c r="D19" s="50"/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50"/>
      <c r="T19" s="50"/>
      <c r="U19" s="50"/>
      <c r="V19" s="50"/>
      <c r="W19" s="50"/>
    </row>
    <row r="20" ht="15.75" customHeight="1">
      <c r="A20" s="50"/>
      <c r="B20" s="50"/>
      <c r="C20" s="50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50"/>
      <c r="T20" s="50"/>
      <c r="U20" s="50"/>
      <c r="V20" s="50"/>
      <c r="W20" s="50"/>
    </row>
    <row r="21" ht="15.75" customHeight="1">
      <c r="A21" s="50"/>
      <c r="B21" s="50"/>
      <c r="C21" s="50"/>
      <c r="D21" s="50"/>
      <c r="E21" s="50"/>
      <c r="F21" s="50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</row>
    <row r="22" ht="15.75" customHeight="1">
      <c r="A22" s="50"/>
      <c r="B22" s="50"/>
      <c r="C22" s="50"/>
      <c r="D22" s="50"/>
      <c r="E22" s="50"/>
      <c r="F22" s="50"/>
      <c r="G22" s="50"/>
      <c r="H22" s="50"/>
      <c r="I22" s="50"/>
      <c r="J22" s="50"/>
      <c r="K22" s="50"/>
      <c r="L22" s="50"/>
      <c r="M22" s="50"/>
      <c r="N22" s="50"/>
      <c r="O22" s="50"/>
      <c r="P22" s="50"/>
      <c r="Q22" s="50"/>
      <c r="R22" s="50"/>
      <c r="S22" s="50"/>
      <c r="T22" s="50"/>
      <c r="U22" s="50"/>
      <c r="V22" s="50"/>
      <c r="W22" s="50"/>
    </row>
    <row r="23" ht="15.75" customHeight="1">
      <c r="A23" s="50"/>
      <c r="B23" s="50"/>
      <c r="C23" s="50"/>
      <c r="D23" s="50"/>
      <c r="E23" s="50"/>
      <c r="F23" s="50"/>
      <c r="G23" s="50"/>
      <c r="H23" s="50"/>
      <c r="I23" s="50"/>
      <c r="J23" s="50"/>
      <c r="K23" s="50"/>
      <c r="L23" s="50"/>
      <c r="M23" s="50"/>
      <c r="N23" s="50"/>
      <c r="O23" s="50"/>
      <c r="P23" s="50"/>
      <c r="Q23" s="50"/>
      <c r="R23" s="50"/>
      <c r="S23" s="50"/>
      <c r="T23" s="50"/>
      <c r="U23" s="50"/>
      <c r="V23" s="50"/>
      <c r="W23" s="50"/>
    </row>
    <row r="24" ht="15.75" customHeight="1">
      <c r="A24" s="50"/>
      <c r="B24" s="50"/>
      <c r="C24" s="50"/>
      <c r="D24" s="50"/>
      <c r="E24" s="50"/>
      <c r="F24" s="50"/>
      <c r="G24" s="50"/>
      <c r="H24" s="50"/>
      <c r="I24" s="50"/>
      <c r="J24" s="50"/>
      <c r="K24" s="50"/>
      <c r="L24" s="50"/>
      <c r="M24" s="50"/>
      <c r="N24" s="50"/>
      <c r="O24" s="50"/>
      <c r="P24" s="50"/>
      <c r="Q24" s="50"/>
      <c r="R24" s="50"/>
      <c r="S24" s="50"/>
      <c r="T24" s="50"/>
      <c r="U24" s="50"/>
      <c r="V24" s="50"/>
      <c r="W24" s="50"/>
    </row>
    <row r="25" ht="15.75" customHeight="1">
      <c r="A25" s="50"/>
      <c r="B25" s="50"/>
      <c r="C25" s="50"/>
      <c r="D25" s="50"/>
      <c r="E25" s="50"/>
      <c r="F25" s="50"/>
      <c r="G25" s="50"/>
      <c r="H25" s="50"/>
      <c r="I25" s="50"/>
      <c r="J25" s="50"/>
      <c r="K25" s="50"/>
      <c r="L25" s="50"/>
      <c r="M25" s="50"/>
      <c r="N25" s="50"/>
      <c r="O25" s="50"/>
      <c r="P25" s="50"/>
      <c r="Q25" s="50"/>
      <c r="R25" s="50"/>
      <c r="S25" s="50"/>
      <c r="T25" s="50"/>
      <c r="U25" s="50"/>
      <c r="V25" s="50"/>
      <c r="W25" s="50"/>
    </row>
    <row r="26" ht="15.75" customHeight="1">
      <c r="A26" s="50"/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  <c r="Q26" s="50"/>
      <c r="R26" s="50"/>
      <c r="S26" s="50"/>
      <c r="T26" s="50"/>
      <c r="U26" s="50"/>
      <c r="V26" s="50"/>
      <c r="W26" s="50"/>
    </row>
    <row r="27" ht="15.75" customHeight="1">
      <c r="A27" s="50"/>
      <c r="B27" s="50"/>
      <c r="C27" s="50"/>
      <c r="D27" s="50"/>
      <c r="E27" s="50"/>
      <c r="F27" s="50"/>
      <c r="G27" s="50"/>
      <c r="H27" s="50"/>
      <c r="I27" s="50"/>
      <c r="J27" s="50"/>
      <c r="K27" s="50"/>
      <c r="L27" s="50"/>
      <c r="M27" s="50"/>
      <c r="N27" s="50"/>
      <c r="O27" s="50"/>
      <c r="P27" s="50"/>
      <c r="Q27" s="50"/>
      <c r="R27" s="50"/>
      <c r="S27" s="50"/>
      <c r="T27" s="50"/>
      <c r="U27" s="50"/>
      <c r="V27" s="50"/>
      <c r="W27" s="50"/>
    </row>
    <row r="28" ht="15.75" customHeight="1">
      <c r="A28" s="50"/>
      <c r="B28" s="50"/>
      <c r="C28" s="50"/>
      <c r="D28" s="50"/>
      <c r="E28" s="50"/>
      <c r="F28" s="50"/>
      <c r="G28" s="50"/>
      <c r="H28" s="50"/>
      <c r="I28" s="50"/>
      <c r="J28" s="50"/>
      <c r="K28" s="50"/>
      <c r="L28" s="50"/>
      <c r="M28" s="50"/>
      <c r="N28" s="50"/>
      <c r="O28" s="50"/>
      <c r="P28" s="50"/>
      <c r="Q28" s="50"/>
      <c r="R28" s="50"/>
      <c r="S28" s="50"/>
      <c r="T28" s="50"/>
      <c r="U28" s="50"/>
      <c r="V28" s="50"/>
      <c r="W28" s="50"/>
    </row>
    <row r="29" ht="15.75" customHeight="1">
      <c r="A29" s="50"/>
      <c r="B29" s="50"/>
      <c r="C29" s="50"/>
      <c r="D29" s="50"/>
      <c r="E29" s="50"/>
      <c r="F29" s="50"/>
      <c r="G29" s="50"/>
      <c r="H29" s="50"/>
      <c r="I29" s="50"/>
      <c r="J29" s="50"/>
      <c r="K29" s="50"/>
      <c r="L29" s="50"/>
      <c r="M29" s="50"/>
      <c r="N29" s="50"/>
      <c r="O29" s="50"/>
      <c r="P29" s="50"/>
      <c r="Q29" s="50"/>
      <c r="R29" s="50"/>
      <c r="S29" s="50"/>
      <c r="T29" s="50"/>
      <c r="U29" s="50"/>
      <c r="V29" s="50"/>
      <c r="W29" s="50"/>
    </row>
    <row r="30" ht="15.75" customHeight="1">
      <c r="A30" s="50"/>
      <c r="B30" s="50"/>
      <c r="C30" s="50"/>
      <c r="D30" s="50"/>
      <c r="E30" s="50"/>
      <c r="F30" s="50"/>
      <c r="G30" s="50"/>
      <c r="H30" s="50"/>
      <c r="I30" s="50"/>
      <c r="J30" s="50"/>
      <c r="K30" s="50"/>
      <c r="L30" s="50"/>
      <c r="M30" s="50"/>
      <c r="N30" s="50"/>
      <c r="O30" s="50"/>
      <c r="P30" s="50"/>
      <c r="Q30" s="50"/>
      <c r="R30" s="50"/>
      <c r="S30" s="50"/>
      <c r="T30" s="50"/>
      <c r="U30" s="50"/>
      <c r="V30" s="50"/>
      <c r="W30" s="50"/>
    </row>
    <row r="31" ht="15.75" customHeight="1">
      <c r="A31" s="50"/>
      <c r="B31" s="50"/>
      <c r="C31" s="50"/>
      <c r="D31" s="50"/>
      <c r="E31" s="50"/>
      <c r="F31" s="50"/>
      <c r="G31" s="50"/>
      <c r="H31" s="50"/>
      <c r="I31" s="50"/>
      <c r="J31" s="50"/>
      <c r="K31" s="50"/>
      <c r="L31" s="50"/>
      <c r="M31" s="50"/>
      <c r="N31" s="50"/>
      <c r="O31" s="50"/>
      <c r="P31" s="50"/>
      <c r="Q31" s="50"/>
      <c r="R31" s="50"/>
      <c r="S31" s="50"/>
      <c r="T31" s="50"/>
      <c r="U31" s="50"/>
      <c r="V31" s="50"/>
      <c r="W31" s="50"/>
    </row>
    <row r="32" ht="15.75" customHeight="1">
      <c r="A32" s="50"/>
      <c r="B32" s="50"/>
      <c r="C32" s="50"/>
      <c r="D32" s="50"/>
      <c r="E32" s="50"/>
      <c r="F32" s="50"/>
      <c r="G32" s="50"/>
      <c r="H32" s="50"/>
      <c r="I32" s="50"/>
      <c r="J32" s="50"/>
      <c r="K32" s="50"/>
      <c r="L32" s="50"/>
      <c r="M32" s="50"/>
      <c r="N32" s="50"/>
      <c r="O32" s="50"/>
      <c r="P32" s="50"/>
      <c r="Q32" s="50"/>
      <c r="R32" s="50"/>
      <c r="S32" s="50"/>
      <c r="T32" s="50"/>
      <c r="U32" s="50"/>
      <c r="V32" s="50"/>
      <c r="W32" s="50"/>
    </row>
    <row r="33" ht="15.75" customHeight="1">
      <c r="A33" s="50"/>
      <c r="B33" s="50"/>
      <c r="C33" s="50"/>
      <c r="D33" s="50"/>
      <c r="E33" s="50"/>
      <c r="F33" s="50"/>
      <c r="G33" s="50"/>
      <c r="H33" s="50"/>
      <c r="I33" s="50"/>
      <c r="J33" s="50"/>
      <c r="K33" s="50"/>
      <c r="L33" s="50"/>
      <c r="M33" s="50"/>
      <c r="N33" s="50"/>
      <c r="O33" s="50"/>
      <c r="P33" s="50"/>
      <c r="Q33" s="50"/>
      <c r="R33" s="50"/>
      <c r="S33" s="50"/>
      <c r="T33" s="50"/>
      <c r="U33" s="50"/>
      <c r="V33" s="50"/>
      <c r="W33" s="50"/>
    </row>
    <row r="34" ht="15.75" customHeight="1">
      <c r="A34" s="50"/>
      <c r="B34" s="50"/>
      <c r="C34" s="50"/>
      <c r="D34" s="50"/>
      <c r="E34" s="50"/>
      <c r="F34" s="50"/>
      <c r="G34" s="50"/>
      <c r="H34" s="50"/>
      <c r="I34" s="50"/>
      <c r="J34" s="50"/>
      <c r="K34" s="50"/>
      <c r="L34" s="50"/>
      <c r="M34" s="50"/>
      <c r="N34" s="50"/>
      <c r="O34" s="50"/>
      <c r="P34" s="50"/>
      <c r="Q34" s="50"/>
      <c r="R34" s="50"/>
      <c r="S34" s="50"/>
      <c r="T34" s="50"/>
      <c r="U34" s="50"/>
      <c r="V34" s="50"/>
      <c r="W34" s="50"/>
    </row>
    <row r="35" ht="15.75" customHeight="1">
      <c r="A35" s="50"/>
      <c r="B35" s="50"/>
      <c r="C35" s="50"/>
      <c r="D35" s="50"/>
      <c r="E35" s="50"/>
      <c r="F35" s="50"/>
      <c r="G35" s="50"/>
      <c r="H35" s="50"/>
      <c r="I35" s="50"/>
      <c r="J35" s="50"/>
      <c r="K35" s="50"/>
      <c r="L35" s="50"/>
      <c r="M35" s="50"/>
      <c r="N35" s="50"/>
      <c r="O35" s="50"/>
      <c r="P35" s="50"/>
      <c r="Q35" s="50"/>
      <c r="R35" s="50"/>
      <c r="S35" s="50"/>
      <c r="T35" s="50"/>
      <c r="U35" s="50"/>
      <c r="V35" s="50"/>
      <c r="W35" s="50"/>
    </row>
    <row r="36" ht="15.75" customHeight="1">
      <c r="A36" s="50"/>
      <c r="B36" s="50"/>
      <c r="C36" s="50"/>
      <c r="D36" s="50"/>
      <c r="E36" s="50"/>
      <c r="F36" s="50"/>
      <c r="G36" s="50"/>
      <c r="H36" s="50"/>
      <c r="I36" s="50"/>
      <c r="J36" s="50"/>
      <c r="K36" s="50"/>
      <c r="L36" s="50"/>
      <c r="M36" s="50"/>
      <c r="N36" s="50"/>
      <c r="O36" s="50"/>
      <c r="P36" s="50"/>
      <c r="Q36" s="50"/>
      <c r="R36" s="50"/>
      <c r="S36" s="50"/>
      <c r="T36" s="50"/>
      <c r="U36" s="50"/>
      <c r="V36" s="50"/>
      <c r="W36" s="50"/>
    </row>
    <row r="37" ht="15.75" customHeight="1">
      <c r="A37" s="50"/>
      <c r="B37" s="50"/>
      <c r="C37" s="50"/>
      <c r="D37" s="50"/>
      <c r="E37" s="50"/>
      <c r="F37" s="50"/>
      <c r="G37" s="50"/>
      <c r="H37" s="50"/>
      <c r="I37" s="50"/>
      <c r="J37" s="50"/>
      <c r="K37" s="50"/>
      <c r="L37" s="50"/>
      <c r="M37" s="50"/>
      <c r="N37" s="50"/>
      <c r="O37" s="50"/>
      <c r="P37" s="50"/>
      <c r="Q37" s="50"/>
      <c r="R37" s="50"/>
      <c r="S37" s="50"/>
      <c r="T37" s="50"/>
      <c r="U37" s="50"/>
      <c r="V37" s="50"/>
      <c r="W37" s="50"/>
    </row>
    <row r="38" ht="15.75" customHeight="1">
      <c r="A38" s="50"/>
      <c r="B38" s="50"/>
      <c r="C38" s="50"/>
      <c r="D38" s="50"/>
      <c r="E38" s="50"/>
      <c r="F38" s="50"/>
      <c r="G38" s="50"/>
      <c r="H38" s="50"/>
      <c r="I38" s="50"/>
      <c r="J38" s="50"/>
      <c r="K38" s="50"/>
      <c r="L38" s="50"/>
      <c r="M38" s="50"/>
      <c r="N38" s="50"/>
      <c r="O38" s="50"/>
      <c r="P38" s="50"/>
      <c r="Q38" s="50"/>
      <c r="R38" s="50"/>
      <c r="S38" s="50"/>
      <c r="T38" s="50"/>
      <c r="U38" s="50"/>
      <c r="V38" s="50"/>
      <c r="W38" s="50"/>
    </row>
    <row r="39" ht="15.75" customHeight="1">
      <c r="A39" s="50"/>
      <c r="B39" s="50"/>
      <c r="C39" s="50"/>
      <c r="D39" s="50"/>
      <c r="E39" s="50"/>
      <c r="F39" s="50"/>
      <c r="G39" s="50"/>
      <c r="H39" s="50"/>
      <c r="I39" s="50"/>
      <c r="J39" s="50"/>
      <c r="K39" s="50"/>
      <c r="L39" s="50"/>
      <c r="M39" s="50"/>
      <c r="N39" s="50"/>
      <c r="O39" s="50"/>
      <c r="P39" s="50"/>
      <c r="Q39" s="50"/>
      <c r="R39" s="50"/>
      <c r="S39" s="50"/>
      <c r="T39" s="50"/>
      <c r="U39" s="50"/>
      <c r="V39" s="50"/>
      <c r="W39" s="50"/>
    </row>
    <row r="40" ht="15.75" customHeight="1">
      <c r="A40" s="50"/>
      <c r="B40" s="50"/>
      <c r="C40" s="50"/>
      <c r="D40" s="50"/>
      <c r="E40" s="50"/>
      <c r="F40" s="50"/>
      <c r="G40" s="50"/>
      <c r="H40" s="50"/>
      <c r="I40" s="50"/>
      <c r="J40" s="50"/>
      <c r="K40" s="50"/>
      <c r="L40" s="50"/>
      <c r="M40" s="50"/>
      <c r="N40" s="50"/>
      <c r="O40" s="50"/>
      <c r="P40" s="50"/>
      <c r="Q40" s="50"/>
      <c r="R40" s="50"/>
      <c r="S40" s="50"/>
      <c r="T40" s="50"/>
      <c r="U40" s="50"/>
      <c r="V40" s="50"/>
      <c r="W40" s="50"/>
    </row>
    <row r="41" ht="15.75" customHeight="1">
      <c r="A41" s="50"/>
      <c r="B41" s="50"/>
      <c r="C41" s="50"/>
      <c r="D41" s="50"/>
      <c r="E41" s="50"/>
      <c r="F41" s="50"/>
      <c r="G41" s="50"/>
      <c r="H41" s="50"/>
      <c r="I41" s="50"/>
      <c r="J41" s="50"/>
      <c r="K41" s="50"/>
      <c r="L41" s="50"/>
      <c r="M41" s="50"/>
      <c r="N41" s="50"/>
      <c r="O41" s="50"/>
      <c r="P41" s="50"/>
      <c r="Q41" s="50"/>
      <c r="R41" s="50"/>
      <c r="S41" s="50"/>
      <c r="T41" s="50"/>
      <c r="U41" s="50"/>
      <c r="V41" s="50"/>
      <c r="W41" s="50"/>
    </row>
    <row r="42" ht="15.75" customHeight="1">
      <c r="A42" s="50"/>
      <c r="B42" s="50"/>
      <c r="C42" s="50"/>
      <c r="D42" s="50"/>
      <c r="E42" s="50"/>
      <c r="F42" s="50"/>
      <c r="G42" s="50"/>
      <c r="H42" s="50"/>
      <c r="I42" s="50"/>
      <c r="J42" s="50"/>
      <c r="K42" s="50"/>
      <c r="L42" s="50"/>
      <c r="M42" s="50"/>
      <c r="N42" s="50"/>
      <c r="O42" s="50"/>
      <c r="P42" s="50"/>
      <c r="Q42" s="50"/>
      <c r="R42" s="50"/>
      <c r="S42" s="50"/>
      <c r="T42" s="50"/>
      <c r="U42" s="50"/>
      <c r="V42" s="50"/>
      <c r="W42" s="50"/>
    </row>
    <row r="43" ht="15.75" customHeight="1">
      <c r="A43" s="50"/>
      <c r="B43" s="50"/>
      <c r="C43" s="50"/>
      <c r="D43" s="50"/>
      <c r="E43" s="50"/>
      <c r="F43" s="50"/>
      <c r="G43" s="50"/>
      <c r="H43" s="50"/>
      <c r="I43" s="50"/>
      <c r="J43" s="50"/>
      <c r="K43" s="50"/>
      <c r="L43" s="50"/>
      <c r="M43" s="50"/>
      <c r="N43" s="50"/>
      <c r="O43" s="50"/>
      <c r="P43" s="50"/>
      <c r="Q43" s="50"/>
      <c r="R43" s="50"/>
      <c r="S43" s="50"/>
      <c r="T43" s="50"/>
      <c r="U43" s="50"/>
      <c r="V43" s="50"/>
      <c r="W43" s="50"/>
    </row>
    <row r="44" ht="15.75" customHeight="1">
      <c r="A44" s="50"/>
      <c r="B44" s="50"/>
      <c r="C44" s="50"/>
      <c r="D44" s="50"/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50"/>
      <c r="T44" s="50"/>
      <c r="U44" s="50"/>
      <c r="V44" s="50"/>
      <c r="W44" s="50"/>
    </row>
    <row r="45" ht="15.75" customHeight="1">
      <c r="A45" s="50"/>
      <c r="B45" s="50"/>
      <c r="C45" s="50"/>
      <c r="D45" s="50"/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50"/>
      <c r="T45" s="50"/>
      <c r="U45" s="50"/>
      <c r="V45" s="50"/>
      <c r="W45" s="50"/>
    </row>
    <row r="46" ht="15.75" customHeight="1">
      <c r="A46" s="50"/>
      <c r="B46" s="50"/>
      <c r="C46" s="50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50"/>
      <c r="T46" s="50"/>
      <c r="U46" s="50"/>
      <c r="V46" s="50"/>
      <c r="W46" s="50"/>
    </row>
    <row r="47" ht="15.75" customHeight="1">
      <c r="A47" s="50"/>
      <c r="B47" s="50"/>
      <c r="C47" s="50"/>
      <c r="D47" s="50"/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50"/>
      <c r="T47" s="50"/>
      <c r="U47" s="50"/>
      <c r="V47" s="50"/>
      <c r="W47" s="50"/>
    </row>
    <row r="48" ht="15.75" customHeight="1">
      <c r="A48" s="50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</row>
    <row r="49" ht="15.75" customHeight="1">
      <c r="A49" s="50"/>
      <c r="B49" s="50"/>
      <c r="C49" s="50"/>
      <c r="D49" s="50"/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50"/>
      <c r="T49" s="50"/>
      <c r="U49" s="50"/>
      <c r="V49" s="50"/>
      <c r="W49" s="50"/>
    </row>
    <row r="50" ht="15.75" customHeight="1">
      <c r="A50" s="50"/>
      <c r="B50" s="50"/>
      <c r="C50" s="50"/>
      <c r="D50" s="50"/>
      <c r="E50" s="50"/>
      <c r="F50" s="50"/>
      <c r="G50" s="50"/>
      <c r="H50" s="50"/>
      <c r="I50" s="50"/>
      <c r="J50" s="50"/>
      <c r="K50" s="50"/>
      <c r="L50" s="50"/>
      <c r="M50" s="50"/>
      <c r="N50" s="50"/>
      <c r="O50" s="50"/>
      <c r="P50" s="50"/>
      <c r="Q50" s="50"/>
      <c r="R50" s="50"/>
      <c r="S50" s="50"/>
      <c r="T50" s="50"/>
      <c r="U50" s="50"/>
      <c r="V50" s="50"/>
      <c r="W50" s="50"/>
    </row>
    <row r="51" ht="15.75" customHeight="1">
      <c r="A51" s="50"/>
      <c r="B51" s="50"/>
      <c r="C51" s="50"/>
      <c r="D51" s="50"/>
      <c r="E51" s="50"/>
      <c r="F51" s="50"/>
      <c r="G51" s="50"/>
      <c r="H51" s="50"/>
      <c r="I51" s="50"/>
      <c r="J51" s="50"/>
      <c r="K51" s="50"/>
      <c r="L51" s="50"/>
      <c r="M51" s="50"/>
      <c r="N51" s="50"/>
      <c r="O51" s="50"/>
      <c r="P51" s="50"/>
      <c r="Q51" s="50"/>
      <c r="R51" s="50"/>
      <c r="S51" s="50"/>
      <c r="T51" s="50"/>
      <c r="U51" s="50"/>
      <c r="V51" s="50"/>
      <c r="W51" s="50"/>
    </row>
    <row r="52" ht="15.75" customHeight="1">
      <c r="A52" s="50"/>
      <c r="B52" s="50"/>
      <c r="C52" s="50"/>
      <c r="D52" s="50"/>
      <c r="E52" s="50"/>
      <c r="F52" s="50"/>
      <c r="G52" s="50"/>
      <c r="H52" s="50"/>
      <c r="I52" s="50"/>
      <c r="J52" s="50"/>
      <c r="K52" s="50"/>
      <c r="L52" s="50"/>
      <c r="M52" s="50"/>
      <c r="N52" s="50"/>
      <c r="O52" s="50"/>
      <c r="P52" s="50"/>
      <c r="Q52" s="50"/>
      <c r="R52" s="50"/>
      <c r="S52" s="50"/>
      <c r="T52" s="50"/>
      <c r="U52" s="50"/>
      <c r="V52" s="50"/>
      <c r="W52" s="50"/>
    </row>
    <row r="53" ht="15.75" customHeight="1">
      <c r="A53" s="50"/>
      <c r="B53" s="50"/>
      <c r="C53" s="50"/>
      <c r="D53" s="50"/>
      <c r="E53" s="50"/>
      <c r="F53" s="50"/>
      <c r="G53" s="50"/>
      <c r="H53" s="50"/>
      <c r="I53" s="50"/>
      <c r="J53" s="50"/>
      <c r="K53" s="50"/>
      <c r="L53" s="50"/>
      <c r="M53" s="50"/>
      <c r="N53" s="50"/>
      <c r="O53" s="50"/>
      <c r="P53" s="50"/>
      <c r="Q53" s="50"/>
      <c r="R53" s="50"/>
      <c r="S53" s="50"/>
      <c r="T53" s="50"/>
      <c r="U53" s="50"/>
      <c r="V53" s="50"/>
      <c r="W53" s="50"/>
    </row>
    <row r="54" ht="15.75" customHeight="1">
      <c r="A54" s="50"/>
      <c r="B54" s="50"/>
      <c r="C54" s="50"/>
      <c r="D54" s="50"/>
      <c r="E54" s="50"/>
      <c r="F54" s="50"/>
      <c r="G54" s="50"/>
      <c r="H54" s="50"/>
      <c r="I54" s="50"/>
      <c r="J54" s="50"/>
      <c r="K54" s="50"/>
      <c r="L54" s="50"/>
      <c r="M54" s="50"/>
      <c r="N54" s="50"/>
      <c r="O54" s="50"/>
      <c r="P54" s="50"/>
      <c r="Q54" s="50"/>
      <c r="R54" s="50"/>
      <c r="S54" s="50"/>
      <c r="T54" s="50"/>
      <c r="U54" s="50"/>
      <c r="V54" s="50"/>
      <c r="W54" s="50"/>
    </row>
    <row r="55" ht="15.75" customHeight="1">
      <c r="A55" s="50"/>
      <c r="B55" s="50"/>
      <c r="C55" s="50"/>
      <c r="D55" s="50"/>
      <c r="E55" s="50"/>
      <c r="F55" s="50"/>
      <c r="G55" s="50"/>
      <c r="H55" s="50"/>
      <c r="I55" s="50"/>
      <c r="J55" s="50"/>
      <c r="K55" s="50"/>
      <c r="L55" s="50"/>
      <c r="M55" s="50"/>
      <c r="N55" s="50"/>
      <c r="O55" s="50"/>
      <c r="P55" s="50"/>
      <c r="Q55" s="50"/>
      <c r="R55" s="50"/>
      <c r="S55" s="50"/>
      <c r="T55" s="50"/>
      <c r="U55" s="50"/>
      <c r="V55" s="50"/>
      <c r="W55" s="50"/>
    </row>
    <row r="56" ht="15.75" customHeight="1">
      <c r="A56" s="50"/>
      <c r="B56" s="50"/>
      <c r="C56" s="50"/>
      <c r="D56" s="50"/>
      <c r="E56" s="50"/>
      <c r="F56" s="50"/>
      <c r="G56" s="50"/>
      <c r="H56" s="50"/>
      <c r="I56" s="50"/>
      <c r="J56" s="50"/>
      <c r="K56" s="50"/>
      <c r="L56" s="50"/>
      <c r="M56" s="50"/>
      <c r="N56" s="50"/>
      <c r="O56" s="50"/>
      <c r="P56" s="50"/>
      <c r="Q56" s="50"/>
      <c r="R56" s="50"/>
      <c r="S56" s="50"/>
      <c r="T56" s="50"/>
      <c r="U56" s="50"/>
      <c r="V56" s="50"/>
      <c r="W56" s="50"/>
    </row>
    <row r="57" ht="15.75" customHeight="1">
      <c r="A57" s="50"/>
      <c r="B57" s="50"/>
      <c r="C57" s="50"/>
      <c r="D57" s="50"/>
      <c r="E57" s="50"/>
      <c r="F57" s="50"/>
      <c r="G57" s="50"/>
      <c r="H57" s="50"/>
      <c r="I57" s="50"/>
      <c r="J57" s="50"/>
      <c r="K57" s="50"/>
      <c r="L57" s="50"/>
      <c r="M57" s="50"/>
      <c r="N57" s="50"/>
      <c r="O57" s="50"/>
      <c r="P57" s="50"/>
      <c r="Q57" s="50"/>
      <c r="R57" s="50"/>
      <c r="S57" s="50"/>
      <c r="T57" s="50"/>
      <c r="U57" s="50"/>
      <c r="V57" s="50"/>
      <c r="W57" s="50"/>
    </row>
    <row r="58" ht="15.75" customHeight="1">
      <c r="A58" s="50"/>
      <c r="B58" s="50"/>
      <c r="C58" s="50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50"/>
      <c r="R58" s="50"/>
      <c r="S58" s="50"/>
      <c r="T58" s="50"/>
      <c r="U58" s="50"/>
      <c r="V58" s="50"/>
      <c r="W58" s="50"/>
    </row>
    <row r="59" ht="15.75" customHeight="1">
      <c r="A59" s="50"/>
      <c r="B59" s="50"/>
      <c r="C59" s="50"/>
      <c r="D59" s="50"/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50"/>
      <c r="R59" s="50"/>
      <c r="S59" s="50"/>
      <c r="T59" s="50"/>
      <c r="U59" s="50"/>
      <c r="V59" s="50"/>
      <c r="W59" s="50"/>
    </row>
    <row r="60" ht="15.75" customHeight="1">
      <c r="A60" s="50"/>
      <c r="B60" s="50"/>
      <c r="C60" s="50"/>
      <c r="D60" s="50"/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50"/>
      <c r="R60" s="50"/>
      <c r="S60" s="50"/>
      <c r="T60" s="50"/>
      <c r="U60" s="50"/>
      <c r="V60" s="50"/>
      <c r="W60" s="50"/>
    </row>
    <row r="61" ht="15.75" customHeight="1">
      <c r="A61" s="50"/>
      <c r="B61" s="50"/>
      <c r="C61" s="50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50"/>
      <c r="R61" s="50"/>
      <c r="S61" s="50"/>
      <c r="T61" s="50"/>
      <c r="U61" s="50"/>
      <c r="V61" s="50"/>
      <c r="W61" s="50"/>
    </row>
    <row r="62" ht="15.75" customHeight="1">
      <c r="A62" s="50"/>
      <c r="B62" s="50"/>
      <c r="C62" s="50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50"/>
      <c r="R62" s="50"/>
      <c r="S62" s="50"/>
      <c r="T62" s="50"/>
      <c r="U62" s="50"/>
      <c r="V62" s="50"/>
      <c r="W62" s="50"/>
    </row>
    <row r="63" ht="15.75" customHeight="1">
      <c r="A63" s="50"/>
      <c r="B63" s="50"/>
      <c r="C63" s="50"/>
      <c r="D63" s="50"/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50"/>
      <c r="R63" s="50"/>
      <c r="S63" s="50"/>
      <c r="T63" s="50"/>
      <c r="U63" s="50"/>
      <c r="V63" s="50"/>
      <c r="W63" s="50"/>
    </row>
    <row r="64" ht="15.75" customHeight="1">
      <c r="A64" s="50"/>
      <c r="B64" s="50"/>
      <c r="C64" s="50"/>
      <c r="D64" s="50"/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50"/>
      <c r="R64" s="50"/>
      <c r="S64" s="50"/>
      <c r="T64" s="50"/>
      <c r="U64" s="50"/>
      <c r="V64" s="50"/>
      <c r="W64" s="50"/>
    </row>
    <row r="65" ht="15.75" customHeight="1">
      <c r="A65" s="50"/>
      <c r="B65" s="50"/>
      <c r="C65" s="50"/>
      <c r="D65" s="50"/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50"/>
      <c r="R65" s="50"/>
      <c r="S65" s="50"/>
      <c r="T65" s="50"/>
      <c r="U65" s="50"/>
      <c r="V65" s="50"/>
      <c r="W65" s="50"/>
    </row>
    <row r="66" ht="15.75" customHeight="1">
      <c r="A66" s="50"/>
      <c r="B66" s="50"/>
      <c r="C66" s="50"/>
      <c r="D66" s="50"/>
      <c r="E66" s="50"/>
      <c r="F66" s="50"/>
      <c r="G66" s="50"/>
      <c r="H66" s="50"/>
      <c r="I66" s="50"/>
      <c r="J66" s="50"/>
      <c r="K66" s="50"/>
      <c r="L66" s="50"/>
      <c r="M66" s="50"/>
      <c r="N66" s="50"/>
      <c r="O66" s="50"/>
      <c r="P66" s="50"/>
      <c r="Q66" s="50"/>
      <c r="R66" s="50"/>
      <c r="S66" s="50"/>
      <c r="T66" s="50"/>
      <c r="U66" s="50"/>
      <c r="V66" s="50"/>
      <c r="W66" s="50"/>
    </row>
    <row r="67" ht="15.75" customHeight="1">
      <c r="A67" s="50"/>
      <c r="B67" s="50"/>
      <c r="C67" s="50"/>
      <c r="D67" s="50"/>
      <c r="E67" s="50"/>
      <c r="F67" s="50"/>
      <c r="G67" s="50"/>
      <c r="H67" s="50"/>
      <c r="I67" s="50"/>
      <c r="J67" s="50"/>
      <c r="K67" s="50"/>
      <c r="L67" s="50"/>
      <c r="M67" s="50"/>
      <c r="N67" s="50"/>
      <c r="O67" s="50"/>
      <c r="P67" s="50"/>
      <c r="Q67" s="50"/>
      <c r="R67" s="50"/>
      <c r="S67" s="50"/>
      <c r="T67" s="50"/>
      <c r="U67" s="50"/>
      <c r="V67" s="50"/>
      <c r="W67" s="50"/>
    </row>
    <row r="68" ht="15.75" customHeight="1">
      <c r="A68" s="50"/>
      <c r="B68" s="50"/>
      <c r="C68" s="50"/>
      <c r="D68" s="50"/>
      <c r="E68" s="50"/>
      <c r="F68" s="50"/>
      <c r="G68" s="50"/>
      <c r="H68" s="50"/>
      <c r="I68" s="50"/>
      <c r="J68" s="50"/>
      <c r="K68" s="50"/>
      <c r="L68" s="50"/>
      <c r="M68" s="50"/>
      <c r="N68" s="50"/>
      <c r="O68" s="50"/>
      <c r="P68" s="50"/>
      <c r="Q68" s="50"/>
      <c r="R68" s="50"/>
      <c r="S68" s="50"/>
      <c r="T68" s="50"/>
      <c r="U68" s="50"/>
      <c r="V68" s="50"/>
      <c r="W68" s="50"/>
    </row>
    <row r="69" ht="15.75" customHeight="1">
      <c r="A69" s="50"/>
      <c r="B69" s="50"/>
      <c r="C69" s="50"/>
      <c r="D69" s="50"/>
      <c r="E69" s="50"/>
      <c r="F69" s="50"/>
      <c r="G69" s="50"/>
      <c r="H69" s="50"/>
      <c r="I69" s="50"/>
      <c r="J69" s="50"/>
      <c r="K69" s="50"/>
      <c r="L69" s="50"/>
      <c r="M69" s="50"/>
      <c r="N69" s="50"/>
      <c r="O69" s="50"/>
      <c r="P69" s="50"/>
      <c r="Q69" s="50"/>
      <c r="R69" s="50"/>
      <c r="S69" s="50"/>
      <c r="T69" s="50"/>
      <c r="U69" s="50"/>
      <c r="V69" s="50"/>
      <c r="W69" s="50"/>
    </row>
    <row r="70" ht="15.75" customHeight="1">
      <c r="A70" s="50"/>
      <c r="B70" s="50"/>
      <c r="C70" s="50"/>
      <c r="D70" s="50"/>
      <c r="E70" s="50"/>
      <c r="F70" s="50"/>
      <c r="G70" s="50"/>
      <c r="H70" s="50"/>
      <c r="I70" s="50"/>
      <c r="J70" s="50"/>
      <c r="K70" s="50"/>
      <c r="L70" s="50"/>
      <c r="M70" s="50"/>
      <c r="N70" s="50"/>
      <c r="O70" s="50"/>
      <c r="P70" s="50"/>
      <c r="Q70" s="50"/>
      <c r="R70" s="50"/>
      <c r="S70" s="50"/>
      <c r="T70" s="50"/>
      <c r="U70" s="50"/>
      <c r="V70" s="50"/>
      <c r="W70" s="50"/>
    </row>
    <row r="71" ht="15.75" customHeight="1">
      <c r="A71" s="50"/>
      <c r="B71" s="50"/>
      <c r="C71" s="50"/>
      <c r="D71" s="50"/>
      <c r="E71" s="50"/>
      <c r="F71" s="50"/>
      <c r="G71" s="50"/>
      <c r="H71" s="50"/>
      <c r="I71" s="50"/>
      <c r="J71" s="50"/>
      <c r="K71" s="50"/>
      <c r="L71" s="50"/>
      <c r="M71" s="50"/>
      <c r="N71" s="50"/>
      <c r="O71" s="50"/>
      <c r="P71" s="50"/>
      <c r="Q71" s="50"/>
      <c r="R71" s="50"/>
      <c r="S71" s="50"/>
      <c r="T71" s="50"/>
      <c r="U71" s="50"/>
      <c r="V71" s="50"/>
      <c r="W71" s="50"/>
    </row>
    <row r="72" ht="15.75" customHeight="1">
      <c r="A72" s="50"/>
      <c r="B72" s="50"/>
      <c r="C72" s="50"/>
      <c r="D72" s="50"/>
      <c r="E72" s="50"/>
      <c r="F72" s="50"/>
      <c r="G72" s="50"/>
      <c r="H72" s="50"/>
      <c r="I72" s="50"/>
      <c r="J72" s="50"/>
      <c r="K72" s="50"/>
      <c r="L72" s="50"/>
      <c r="M72" s="50"/>
      <c r="N72" s="50"/>
      <c r="O72" s="50"/>
      <c r="P72" s="50"/>
      <c r="Q72" s="50"/>
      <c r="R72" s="50"/>
      <c r="S72" s="50"/>
      <c r="T72" s="50"/>
      <c r="U72" s="50"/>
      <c r="V72" s="50"/>
      <c r="W72" s="50"/>
    </row>
    <row r="73" ht="15.75" customHeight="1">
      <c r="A73" s="50"/>
      <c r="B73" s="50"/>
      <c r="C73" s="50"/>
      <c r="D73" s="50"/>
      <c r="E73" s="50"/>
      <c r="F73" s="50"/>
      <c r="G73" s="50"/>
      <c r="H73" s="50"/>
      <c r="I73" s="50"/>
      <c r="J73" s="50"/>
      <c r="K73" s="50"/>
      <c r="L73" s="50"/>
      <c r="M73" s="50"/>
      <c r="N73" s="50"/>
      <c r="O73" s="50"/>
      <c r="P73" s="50"/>
      <c r="Q73" s="50"/>
      <c r="R73" s="50"/>
      <c r="S73" s="50"/>
      <c r="T73" s="50"/>
      <c r="U73" s="50"/>
      <c r="V73" s="50"/>
      <c r="W73" s="50"/>
    </row>
    <row r="74" ht="15.75" customHeight="1">
      <c r="A74" s="50"/>
      <c r="B74" s="50"/>
      <c r="C74" s="50"/>
      <c r="D74" s="50"/>
      <c r="E74" s="50"/>
      <c r="F74" s="50"/>
      <c r="G74" s="50"/>
      <c r="H74" s="50"/>
      <c r="I74" s="50"/>
      <c r="J74" s="50"/>
      <c r="K74" s="50"/>
      <c r="L74" s="50"/>
      <c r="M74" s="50"/>
      <c r="N74" s="50"/>
      <c r="O74" s="50"/>
      <c r="P74" s="50"/>
      <c r="Q74" s="50"/>
      <c r="R74" s="50"/>
      <c r="S74" s="50"/>
      <c r="T74" s="50"/>
      <c r="U74" s="50"/>
      <c r="V74" s="50"/>
      <c r="W74" s="50"/>
    </row>
    <row r="75" ht="15.75" customHeight="1">
      <c r="A75" s="50"/>
      <c r="B75" s="50"/>
      <c r="C75" s="50"/>
      <c r="D75" s="50"/>
      <c r="E75" s="50"/>
      <c r="F75" s="50"/>
      <c r="G75" s="50"/>
      <c r="H75" s="50"/>
      <c r="I75" s="50"/>
      <c r="J75" s="50"/>
      <c r="K75" s="50"/>
      <c r="L75" s="50"/>
      <c r="M75" s="50"/>
      <c r="N75" s="50"/>
      <c r="O75" s="50"/>
      <c r="P75" s="50"/>
      <c r="Q75" s="50"/>
      <c r="R75" s="50"/>
      <c r="S75" s="50"/>
      <c r="T75" s="50"/>
      <c r="U75" s="50"/>
      <c r="V75" s="50"/>
      <c r="W75" s="50"/>
    </row>
    <row r="76" ht="15.75" customHeight="1">
      <c r="A76" s="50"/>
      <c r="B76" s="50"/>
      <c r="C76" s="50"/>
      <c r="D76" s="50"/>
      <c r="E76" s="50"/>
      <c r="F76" s="50"/>
      <c r="G76" s="50"/>
      <c r="H76" s="50"/>
      <c r="I76" s="50"/>
      <c r="J76" s="50"/>
      <c r="K76" s="50"/>
      <c r="L76" s="50"/>
      <c r="M76" s="50"/>
      <c r="N76" s="50"/>
      <c r="O76" s="50"/>
      <c r="P76" s="50"/>
      <c r="Q76" s="50"/>
      <c r="R76" s="50"/>
      <c r="S76" s="50"/>
      <c r="T76" s="50"/>
      <c r="U76" s="50"/>
      <c r="V76" s="50"/>
      <c r="W76" s="50"/>
    </row>
    <row r="77" ht="15.75" customHeight="1">
      <c r="A77" s="50"/>
      <c r="B77" s="50"/>
      <c r="C77" s="50"/>
      <c r="D77" s="50"/>
      <c r="E77" s="50"/>
      <c r="F77" s="50"/>
      <c r="G77" s="50"/>
      <c r="H77" s="50"/>
      <c r="I77" s="50"/>
      <c r="J77" s="50"/>
      <c r="K77" s="50"/>
      <c r="L77" s="50"/>
      <c r="M77" s="50"/>
      <c r="N77" s="50"/>
      <c r="O77" s="50"/>
      <c r="P77" s="50"/>
      <c r="Q77" s="50"/>
      <c r="R77" s="50"/>
      <c r="S77" s="50"/>
      <c r="T77" s="50"/>
      <c r="U77" s="50"/>
      <c r="V77" s="50"/>
      <c r="W77" s="50"/>
    </row>
    <row r="78" ht="15.75" customHeight="1">
      <c r="A78" s="50"/>
      <c r="B78" s="50"/>
      <c r="C78" s="50"/>
      <c r="D78" s="50"/>
      <c r="E78" s="50"/>
      <c r="F78" s="50"/>
      <c r="G78" s="50"/>
      <c r="H78" s="50"/>
      <c r="I78" s="50"/>
      <c r="J78" s="50"/>
      <c r="K78" s="50"/>
      <c r="L78" s="50"/>
      <c r="M78" s="50"/>
      <c r="N78" s="50"/>
      <c r="O78" s="50"/>
      <c r="P78" s="50"/>
      <c r="Q78" s="50"/>
      <c r="R78" s="50"/>
      <c r="S78" s="50"/>
      <c r="T78" s="50"/>
      <c r="U78" s="50"/>
      <c r="V78" s="50"/>
      <c r="W78" s="50"/>
    </row>
    <row r="79" ht="15.75" customHeight="1">
      <c r="A79" s="50"/>
      <c r="B79" s="50"/>
      <c r="C79" s="50"/>
      <c r="D79" s="50"/>
      <c r="E79" s="50"/>
      <c r="F79" s="50"/>
      <c r="G79" s="50"/>
      <c r="H79" s="50"/>
      <c r="I79" s="50"/>
      <c r="J79" s="50"/>
      <c r="K79" s="50"/>
      <c r="L79" s="50"/>
      <c r="M79" s="50"/>
      <c r="N79" s="50"/>
      <c r="O79" s="50"/>
      <c r="P79" s="50"/>
      <c r="Q79" s="50"/>
      <c r="R79" s="50"/>
      <c r="S79" s="50"/>
      <c r="T79" s="50"/>
      <c r="U79" s="50"/>
      <c r="V79" s="50"/>
      <c r="W79" s="50"/>
    </row>
    <row r="80" ht="15.75" customHeight="1">
      <c r="A80" s="50"/>
      <c r="B80" s="50"/>
      <c r="C80" s="50"/>
      <c r="D80" s="50"/>
      <c r="E80" s="50"/>
      <c r="F80" s="50"/>
      <c r="G80" s="50"/>
      <c r="H80" s="50"/>
      <c r="I80" s="50"/>
      <c r="J80" s="50"/>
      <c r="K80" s="50"/>
      <c r="L80" s="50"/>
      <c r="M80" s="50"/>
      <c r="N80" s="50"/>
      <c r="O80" s="50"/>
      <c r="P80" s="50"/>
      <c r="Q80" s="50"/>
      <c r="R80" s="50"/>
      <c r="S80" s="50"/>
      <c r="T80" s="50"/>
      <c r="U80" s="50"/>
      <c r="V80" s="50"/>
      <c r="W80" s="50"/>
    </row>
    <row r="81" ht="15.75" customHeight="1">
      <c r="A81" s="50"/>
      <c r="B81" s="50"/>
      <c r="C81" s="50"/>
      <c r="D81" s="50"/>
      <c r="E81" s="50"/>
      <c r="F81" s="50"/>
      <c r="G81" s="50"/>
      <c r="H81" s="50"/>
      <c r="I81" s="50"/>
      <c r="J81" s="50"/>
      <c r="K81" s="50"/>
      <c r="L81" s="50"/>
      <c r="M81" s="50"/>
      <c r="N81" s="50"/>
      <c r="O81" s="50"/>
      <c r="P81" s="50"/>
      <c r="Q81" s="50"/>
      <c r="R81" s="50"/>
      <c r="S81" s="50"/>
      <c r="T81" s="50"/>
      <c r="U81" s="50"/>
      <c r="V81" s="50"/>
      <c r="W81" s="50"/>
    </row>
    <row r="82" ht="15.75" customHeight="1">
      <c r="A82" s="50"/>
      <c r="B82" s="50"/>
      <c r="C82" s="50"/>
      <c r="D82" s="50"/>
      <c r="E82" s="50"/>
      <c r="F82" s="50"/>
      <c r="G82" s="50"/>
      <c r="H82" s="50"/>
      <c r="I82" s="50"/>
      <c r="J82" s="50"/>
      <c r="K82" s="50"/>
      <c r="L82" s="50"/>
      <c r="M82" s="50"/>
      <c r="N82" s="50"/>
      <c r="O82" s="50"/>
      <c r="P82" s="50"/>
      <c r="Q82" s="50"/>
      <c r="R82" s="50"/>
      <c r="S82" s="50"/>
      <c r="T82" s="50"/>
      <c r="U82" s="50"/>
      <c r="V82" s="50"/>
      <c r="W82" s="50"/>
    </row>
    <row r="83" ht="15.75" customHeight="1">
      <c r="A83" s="50"/>
      <c r="B83" s="50"/>
      <c r="C83" s="50"/>
      <c r="D83" s="50"/>
      <c r="E83" s="50"/>
      <c r="F83" s="50"/>
      <c r="G83" s="50"/>
      <c r="H83" s="50"/>
      <c r="I83" s="50"/>
      <c r="J83" s="50"/>
      <c r="K83" s="50"/>
      <c r="L83" s="50"/>
      <c r="M83" s="50"/>
      <c r="N83" s="50"/>
      <c r="O83" s="50"/>
      <c r="P83" s="50"/>
      <c r="Q83" s="50"/>
      <c r="R83" s="50"/>
      <c r="S83" s="50"/>
      <c r="T83" s="50"/>
      <c r="U83" s="50"/>
      <c r="V83" s="50"/>
      <c r="W83" s="50"/>
    </row>
    <row r="84" ht="15.75" customHeight="1">
      <c r="A84" s="50"/>
      <c r="B84" s="50"/>
      <c r="C84" s="50"/>
      <c r="D84" s="50"/>
      <c r="E84" s="50"/>
      <c r="F84" s="50"/>
      <c r="G84" s="50"/>
      <c r="H84" s="50"/>
      <c r="I84" s="50"/>
      <c r="J84" s="50"/>
      <c r="K84" s="50"/>
      <c r="L84" s="50"/>
      <c r="M84" s="50"/>
      <c r="N84" s="50"/>
      <c r="O84" s="50"/>
      <c r="P84" s="50"/>
      <c r="Q84" s="50"/>
      <c r="R84" s="50"/>
      <c r="S84" s="50"/>
      <c r="T84" s="50"/>
      <c r="U84" s="50"/>
      <c r="V84" s="50"/>
      <c r="W84" s="50"/>
    </row>
    <row r="85" ht="15.75" customHeight="1">
      <c r="A85" s="50"/>
      <c r="B85" s="50"/>
      <c r="C85" s="50"/>
      <c r="D85" s="50"/>
      <c r="E85" s="50"/>
      <c r="F85" s="50"/>
      <c r="G85" s="50"/>
      <c r="H85" s="50"/>
      <c r="I85" s="50"/>
      <c r="J85" s="50"/>
      <c r="K85" s="50"/>
      <c r="L85" s="50"/>
      <c r="M85" s="50"/>
      <c r="N85" s="50"/>
      <c r="O85" s="50"/>
      <c r="P85" s="50"/>
      <c r="Q85" s="50"/>
      <c r="R85" s="50"/>
      <c r="S85" s="50"/>
      <c r="T85" s="50"/>
      <c r="U85" s="50"/>
      <c r="V85" s="50"/>
      <c r="W85" s="50"/>
    </row>
    <row r="86" ht="15.75" customHeight="1">
      <c r="A86" s="50"/>
      <c r="B86" s="50"/>
      <c r="C86" s="50"/>
      <c r="D86" s="50"/>
      <c r="E86" s="50"/>
      <c r="F86" s="50"/>
      <c r="G86" s="50"/>
      <c r="H86" s="50"/>
      <c r="I86" s="50"/>
      <c r="J86" s="50"/>
      <c r="K86" s="50"/>
      <c r="L86" s="50"/>
      <c r="M86" s="50"/>
      <c r="N86" s="50"/>
      <c r="O86" s="50"/>
      <c r="P86" s="50"/>
      <c r="Q86" s="50"/>
      <c r="R86" s="50"/>
      <c r="S86" s="50"/>
      <c r="T86" s="50"/>
      <c r="U86" s="50"/>
      <c r="V86" s="50"/>
      <c r="W86" s="50"/>
    </row>
    <row r="87" ht="15.75" customHeight="1">
      <c r="A87" s="50"/>
      <c r="B87" s="50"/>
      <c r="C87" s="50"/>
      <c r="D87" s="50"/>
      <c r="E87" s="50"/>
      <c r="F87" s="50"/>
      <c r="G87" s="50"/>
      <c r="H87" s="50"/>
      <c r="I87" s="50"/>
      <c r="J87" s="50"/>
      <c r="K87" s="50"/>
      <c r="L87" s="50"/>
      <c r="M87" s="50"/>
      <c r="N87" s="50"/>
      <c r="O87" s="50"/>
      <c r="P87" s="50"/>
      <c r="Q87" s="50"/>
      <c r="R87" s="50"/>
      <c r="S87" s="50"/>
      <c r="T87" s="50"/>
      <c r="U87" s="50"/>
      <c r="V87" s="50"/>
      <c r="W87" s="50"/>
    </row>
    <row r="88" ht="15.75" customHeight="1">
      <c r="A88" s="50"/>
      <c r="B88" s="50"/>
      <c r="C88" s="50"/>
      <c r="D88" s="50"/>
      <c r="E88" s="50"/>
      <c r="F88" s="50"/>
      <c r="G88" s="50"/>
      <c r="H88" s="50"/>
      <c r="I88" s="50"/>
      <c r="J88" s="50"/>
      <c r="K88" s="50"/>
      <c r="L88" s="50"/>
      <c r="M88" s="50"/>
      <c r="N88" s="50"/>
      <c r="O88" s="50"/>
      <c r="P88" s="50"/>
      <c r="Q88" s="50"/>
      <c r="R88" s="50"/>
      <c r="S88" s="50"/>
      <c r="T88" s="50"/>
      <c r="U88" s="50"/>
      <c r="V88" s="50"/>
      <c r="W88" s="50"/>
    </row>
    <row r="89" ht="15.75" customHeight="1">
      <c r="A89" s="50"/>
      <c r="B89" s="50"/>
      <c r="C89" s="50"/>
      <c r="D89" s="50"/>
      <c r="E89" s="50"/>
      <c r="F89" s="50"/>
      <c r="G89" s="50"/>
      <c r="H89" s="50"/>
      <c r="I89" s="50"/>
      <c r="J89" s="50"/>
      <c r="K89" s="50"/>
      <c r="L89" s="50"/>
      <c r="M89" s="50"/>
      <c r="N89" s="50"/>
      <c r="O89" s="50"/>
      <c r="P89" s="50"/>
      <c r="Q89" s="50"/>
      <c r="R89" s="50"/>
      <c r="S89" s="50"/>
      <c r="T89" s="50"/>
      <c r="U89" s="50"/>
      <c r="V89" s="50"/>
      <c r="W89" s="50"/>
    </row>
    <row r="90" ht="15.75" customHeight="1">
      <c r="A90" s="50"/>
      <c r="B90" s="50"/>
      <c r="C90" s="50"/>
      <c r="D90" s="50"/>
      <c r="E90" s="50"/>
      <c r="F90" s="50"/>
      <c r="G90" s="50"/>
      <c r="H90" s="50"/>
      <c r="I90" s="50"/>
      <c r="J90" s="50"/>
      <c r="K90" s="50"/>
      <c r="L90" s="50"/>
      <c r="M90" s="50"/>
      <c r="N90" s="50"/>
      <c r="O90" s="50"/>
      <c r="P90" s="50"/>
      <c r="Q90" s="50"/>
      <c r="R90" s="50"/>
      <c r="S90" s="50"/>
      <c r="T90" s="50"/>
      <c r="U90" s="50"/>
      <c r="V90" s="50"/>
      <c r="W90" s="50"/>
    </row>
    <row r="91" ht="15.75" customHeight="1">
      <c r="A91" s="50"/>
      <c r="B91" s="50"/>
      <c r="C91" s="50"/>
      <c r="D91" s="50"/>
      <c r="E91" s="50"/>
      <c r="F91" s="50"/>
      <c r="G91" s="50"/>
      <c r="H91" s="50"/>
      <c r="I91" s="50"/>
      <c r="J91" s="50"/>
      <c r="K91" s="50"/>
      <c r="L91" s="50"/>
      <c r="M91" s="50"/>
      <c r="N91" s="50"/>
      <c r="O91" s="50"/>
      <c r="P91" s="50"/>
      <c r="Q91" s="50"/>
      <c r="R91" s="50"/>
      <c r="S91" s="50"/>
      <c r="T91" s="50"/>
      <c r="U91" s="50"/>
      <c r="V91" s="50"/>
      <c r="W91" s="50"/>
    </row>
    <row r="92" ht="15.75" customHeight="1">
      <c r="A92" s="50"/>
      <c r="B92" s="50"/>
      <c r="C92" s="50"/>
      <c r="D92" s="50"/>
      <c r="E92" s="50"/>
      <c r="F92" s="50"/>
      <c r="G92" s="50"/>
      <c r="H92" s="50"/>
      <c r="I92" s="50"/>
      <c r="J92" s="50"/>
      <c r="K92" s="50"/>
      <c r="L92" s="50"/>
      <c r="M92" s="50"/>
      <c r="N92" s="50"/>
      <c r="O92" s="50"/>
      <c r="P92" s="50"/>
      <c r="Q92" s="50"/>
      <c r="R92" s="50"/>
      <c r="S92" s="50"/>
      <c r="T92" s="50"/>
      <c r="U92" s="50"/>
      <c r="V92" s="50"/>
      <c r="W92" s="50"/>
    </row>
    <row r="93" ht="15.75" customHeight="1">
      <c r="A93" s="50"/>
      <c r="B93" s="50"/>
      <c r="C93" s="50"/>
      <c r="D93" s="50"/>
      <c r="E93" s="50"/>
      <c r="F93" s="50"/>
      <c r="G93" s="50"/>
      <c r="H93" s="50"/>
      <c r="I93" s="50"/>
      <c r="J93" s="50"/>
      <c r="K93" s="50"/>
      <c r="L93" s="50"/>
      <c r="M93" s="50"/>
      <c r="N93" s="50"/>
      <c r="O93" s="50"/>
      <c r="P93" s="50"/>
      <c r="Q93" s="50"/>
      <c r="R93" s="50"/>
      <c r="S93" s="50"/>
      <c r="T93" s="50"/>
      <c r="U93" s="50"/>
      <c r="V93" s="50"/>
      <c r="W93" s="50"/>
    </row>
    <row r="94" ht="15.75" customHeight="1">
      <c r="A94" s="50"/>
      <c r="B94" s="50"/>
      <c r="C94" s="50"/>
      <c r="D94" s="50"/>
      <c r="E94" s="50"/>
      <c r="F94" s="50"/>
      <c r="G94" s="50"/>
      <c r="H94" s="50"/>
      <c r="I94" s="50"/>
      <c r="J94" s="50"/>
      <c r="K94" s="50"/>
      <c r="L94" s="50"/>
      <c r="M94" s="50"/>
      <c r="N94" s="50"/>
      <c r="O94" s="50"/>
      <c r="P94" s="50"/>
      <c r="Q94" s="50"/>
      <c r="R94" s="50"/>
      <c r="S94" s="50"/>
      <c r="T94" s="50"/>
      <c r="U94" s="50"/>
      <c r="V94" s="50"/>
      <c r="W94" s="50"/>
    </row>
    <row r="95" ht="15.75" customHeight="1">
      <c r="A95" s="50"/>
      <c r="B95" s="50"/>
      <c r="C95" s="50"/>
      <c r="D95" s="50"/>
      <c r="E95" s="50"/>
      <c r="F95" s="50"/>
      <c r="G95" s="50"/>
      <c r="H95" s="50"/>
      <c r="I95" s="50"/>
      <c r="J95" s="50"/>
      <c r="K95" s="50"/>
      <c r="L95" s="50"/>
      <c r="M95" s="50"/>
      <c r="N95" s="50"/>
      <c r="O95" s="50"/>
      <c r="P95" s="50"/>
      <c r="Q95" s="50"/>
      <c r="R95" s="50"/>
      <c r="S95" s="50"/>
      <c r="T95" s="50"/>
      <c r="U95" s="50"/>
      <c r="V95" s="50"/>
      <c r="W95" s="50"/>
    </row>
    <row r="96" ht="15.75" customHeight="1">
      <c r="A96" s="50"/>
      <c r="B96" s="50"/>
      <c r="C96" s="50"/>
      <c r="D96" s="50"/>
      <c r="E96" s="50"/>
      <c r="F96" s="50"/>
      <c r="G96" s="50"/>
      <c r="H96" s="50"/>
      <c r="I96" s="50"/>
      <c r="J96" s="50"/>
      <c r="K96" s="50"/>
      <c r="L96" s="50"/>
      <c r="M96" s="50"/>
      <c r="N96" s="50"/>
      <c r="O96" s="50"/>
      <c r="P96" s="50"/>
      <c r="Q96" s="50"/>
      <c r="R96" s="50"/>
      <c r="S96" s="50"/>
      <c r="T96" s="50"/>
      <c r="U96" s="50"/>
      <c r="V96" s="50"/>
      <c r="W96" s="50"/>
    </row>
    <row r="97" ht="15.75" customHeight="1">
      <c r="A97" s="50"/>
      <c r="B97" s="50"/>
      <c r="C97" s="50"/>
      <c r="D97" s="50"/>
      <c r="E97" s="50"/>
      <c r="F97" s="50"/>
      <c r="G97" s="50"/>
      <c r="H97" s="50"/>
      <c r="I97" s="50"/>
      <c r="J97" s="50"/>
      <c r="K97" s="50"/>
      <c r="L97" s="50"/>
      <c r="M97" s="50"/>
      <c r="N97" s="50"/>
      <c r="O97" s="50"/>
      <c r="P97" s="50"/>
      <c r="Q97" s="50"/>
      <c r="R97" s="50"/>
      <c r="S97" s="50"/>
      <c r="T97" s="50"/>
      <c r="U97" s="50"/>
      <c r="V97" s="50"/>
      <c r="W97" s="50"/>
    </row>
    <row r="98" ht="15.75" customHeight="1">
      <c r="A98" s="50"/>
      <c r="B98" s="50"/>
      <c r="C98" s="50"/>
      <c r="D98" s="50"/>
      <c r="E98" s="50"/>
      <c r="F98" s="50"/>
      <c r="G98" s="50"/>
      <c r="H98" s="50"/>
      <c r="I98" s="50"/>
      <c r="J98" s="50"/>
      <c r="K98" s="50"/>
      <c r="L98" s="50"/>
      <c r="M98" s="50"/>
      <c r="N98" s="50"/>
      <c r="O98" s="50"/>
      <c r="P98" s="50"/>
      <c r="Q98" s="50"/>
      <c r="R98" s="50"/>
      <c r="S98" s="50"/>
      <c r="T98" s="50"/>
      <c r="U98" s="50"/>
      <c r="V98" s="50"/>
      <c r="W98" s="50"/>
    </row>
    <row r="99" ht="15.75" customHeight="1">
      <c r="A99" s="50"/>
      <c r="B99" s="50"/>
      <c r="C99" s="50"/>
      <c r="D99" s="50"/>
      <c r="E99" s="50"/>
      <c r="F99" s="50"/>
      <c r="G99" s="50"/>
      <c r="H99" s="50"/>
      <c r="I99" s="50"/>
      <c r="J99" s="50"/>
      <c r="K99" s="50"/>
      <c r="L99" s="50"/>
      <c r="M99" s="50"/>
      <c r="N99" s="50"/>
      <c r="O99" s="50"/>
      <c r="P99" s="50"/>
      <c r="Q99" s="50"/>
      <c r="R99" s="50"/>
      <c r="S99" s="50"/>
      <c r="T99" s="50"/>
      <c r="U99" s="50"/>
      <c r="V99" s="50"/>
      <c r="W99" s="50"/>
    </row>
    <row r="100" ht="15.75" customHeight="1">
      <c r="A100" s="50"/>
      <c r="B100" s="50"/>
      <c r="C100" s="50"/>
      <c r="D100" s="50"/>
      <c r="E100" s="50"/>
      <c r="F100" s="50"/>
      <c r="G100" s="50"/>
      <c r="H100" s="50"/>
      <c r="I100" s="50"/>
      <c r="J100" s="50"/>
      <c r="K100" s="50"/>
      <c r="L100" s="50"/>
      <c r="M100" s="50"/>
      <c r="N100" s="50"/>
      <c r="O100" s="50"/>
      <c r="P100" s="50"/>
      <c r="Q100" s="50"/>
      <c r="R100" s="50"/>
      <c r="S100" s="50"/>
      <c r="T100" s="50"/>
      <c r="U100" s="50"/>
      <c r="V100" s="50"/>
      <c r="W100" s="50"/>
    </row>
    <row r="101" ht="15.75" customHeight="1">
      <c r="A101" s="50"/>
      <c r="B101" s="50"/>
      <c r="C101" s="50"/>
      <c r="D101" s="50"/>
      <c r="E101" s="50"/>
      <c r="F101" s="50"/>
      <c r="G101" s="50"/>
      <c r="H101" s="50"/>
      <c r="I101" s="50"/>
      <c r="J101" s="50"/>
      <c r="K101" s="50"/>
      <c r="L101" s="50"/>
      <c r="M101" s="50"/>
      <c r="N101" s="50"/>
      <c r="O101" s="50"/>
      <c r="P101" s="50"/>
      <c r="Q101" s="50"/>
      <c r="R101" s="50"/>
      <c r="S101" s="50"/>
      <c r="T101" s="50"/>
      <c r="U101" s="50"/>
      <c r="V101" s="50"/>
      <c r="W101" s="50"/>
    </row>
    <row r="102" ht="15.75" customHeight="1">
      <c r="A102" s="50"/>
      <c r="B102" s="50"/>
      <c r="C102" s="50"/>
      <c r="D102" s="50"/>
      <c r="E102" s="50"/>
      <c r="F102" s="50"/>
      <c r="G102" s="50"/>
      <c r="H102" s="50"/>
      <c r="I102" s="50"/>
      <c r="J102" s="50"/>
      <c r="K102" s="50"/>
      <c r="L102" s="50"/>
      <c r="M102" s="50"/>
      <c r="N102" s="50"/>
      <c r="O102" s="50"/>
      <c r="P102" s="50"/>
      <c r="Q102" s="50"/>
      <c r="R102" s="50"/>
      <c r="S102" s="50"/>
      <c r="T102" s="50"/>
      <c r="U102" s="50"/>
      <c r="V102" s="50"/>
      <c r="W102" s="50"/>
    </row>
    <row r="103" ht="15.75" customHeight="1">
      <c r="A103" s="50"/>
      <c r="B103" s="50"/>
      <c r="C103" s="50"/>
      <c r="D103" s="50"/>
      <c r="E103" s="50"/>
      <c r="F103" s="50"/>
      <c r="G103" s="50"/>
      <c r="H103" s="50"/>
      <c r="I103" s="50"/>
      <c r="J103" s="50"/>
      <c r="K103" s="50"/>
      <c r="L103" s="50"/>
      <c r="M103" s="50"/>
      <c r="N103" s="50"/>
      <c r="O103" s="50"/>
      <c r="P103" s="50"/>
      <c r="Q103" s="50"/>
      <c r="R103" s="50"/>
      <c r="S103" s="50"/>
      <c r="T103" s="50"/>
      <c r="U103" s="50"/>
      <c r="V103" s="50"/>
      <c r="W103" s="50"/>
    </row>
    <row r="104" ht="15.75" customHeight="1">
      <c r="A104" s="50"/>
      <c r="B104" s="50"/>
      <c r="C104" s="50"/>
      <c r="D104" s="50"/>
      <c r="E104" s="50"/>
      <c r="F104" s="50"/>
      <c r="G104" s="50"/>
      <c r="H104" s="50"/>
      <c r="I104" s="50"/>
      <c r="J104" s="50"/>
      <c r="K104" s="50"/>
      <c r="L104" s="50"/>
      <c r="M104" s="50"/>
      <c r="N104" s="50"/>
      <c r="O104" s="50"/>
      <c r="P104" s="50"/>
      <c r="Q104" s="50"/>
      <c r="R104" s="50"/>
      <c r="S104" s="50"/>
      <c r="T104" s="50"/>
      <c r="U104" s="50"/>
      <c r="V104" s="50"/>
      <c r="W104" s="50"/>
    </row>
    <row r="105" ht="15.75" customHeight="1">
      <c r="A105" s="50"/>
      <c r="B105" s="50"/>
      <c r="C105" s="50"/>
      <c r="D105" s="50"/>
      <c r="E105" s="50"/>
      <c r="F105" s="50"/>
      <c r="G105" s="50"/>
      <c r="H105" s="50"/>
      <c r="I105" s="50"/>
      <c r="J105" s="50"/>
      <c r="K105" s="50"/>
      <c r="L105" s="50"/>
      <c r="M105" s="50"/>
      <c r="N105" s="50"/>
      <c r="O105" s="50"/>
      <c r="P105" s="50"/>
      <c r="Q105" s="50"/>
      <c r="R105" s="50"/>
      <c r="S105" s="50"/>
      <c r="T105" s="50"/>
      <c r="U105" s="50"/>
      <c r="V105" s="50"/>
      <c r="W105" s="50"/>
    </row>
    <row r="106" ht="15.75" customHeight="1">
      <c r="A106" s="50"/>
      <c r="B106" s="50"/>
      <c r="C106" s="50"/>
      <c r="D106" s="50"/>
      <c r="E106" s="50"/>
      <c r="F106" s="50"/>
      <c r="G106" s="50"/>
      <c r="H106" s="50"/>
      <c r="I106" s="50"/>
      <c r="J106" s="50"/>
      <c r="K106" s="50"/>
      <c r="L106" s="50"/>
      <c r="M106" s="50"/>
      <c r="N106" s="50"/>
      <c r="O106" s="50"/>
      <c r="P106" s="50"/>
      <c r="Q106" s="50"/>
      <c r="R106" s="50"/>
      <c r="S106" s="50"/>
      <c r="T106" s="50"/>
      <c r="U106" s="50"/>
      <c r="V106" s="50"/>
      <c r="W106" s="50"/>
    </row>
    <row r="107" ht="15.75" customHeight="1">
      <c r="A107" s="50"/>
      <c r="B107" s="50"/>
      <c r="C107" s="50"/>
      <c r="D107" s="50"/>
      <c r="E107" s="50"/>
      <c r="F107" s="50"/>
      <c r="G107" s="50"/>
      <c r="H107" s="50"/>
      <c r="I107" s="50"/>
      <c r="J107" s="50"/>
      <c r="K107" s="50"/>
      <c r="L107" s="50"/>
      <c r="M107" s="50"/>
      <c r="N107" s="50"/>
      <c r="O107" s="50"/>
      <c r="P107" s="50"/>
      <c r="Q107" s="50"/>
      <c r="R107" s="50"/>
      <c r="S107" s="50"/>
      <c r="T107" s="50"/>
      <c r="U107" s="50"/>
      <c r="V107" s="50"/>
      <c r="W107" s="50"/>
    </row>
    <row r="108" ht="15.75" customHeight="1">
      <c r="A108" s="50"/>
      <c r="B108" s="50"/>
      <c r="C108" s="50"/>
      <c r="D108" s="50"/>
      <c r="E108" s="50"/>
      <c r="F108" s="50"/>
      <c r="G108" s="50"/>
      <c r="H108" s="50"/>
      <c r="I108" s="50"/>
      <c r="J108" s="50"/>
      <c r="K108" s="50"/>
      <c r="L108" s="50"/>
      <c r="M108" s="50"/>
      <c r="N108" s="50"/>
      <c r="O108" s="50"/>
      <c r="P108" s="50"/>
      <c r="Q108" s="50"/>
      <c r="R108" s="50"/>
      <c r="S108" s="50"/>
      <c r="T108" s="50"/>
      <c r="U108" s="50"/>
      <c r="V108" s="50"/>
      <c r="W108" s="50"/>
    </row>
    <row r="109" ht="15.75" customHeight="1">
      <c r="A109" s="50"/>
      <c r="B109" s="50"/>
      <c r="C109" s="50"/>
      <c r="D109" s="50"/>
      <c r="E109" s="50"/>
      <c r="F109" s="50"/>
      <c r="G109" s="50"/>
      <c r="H109" s="50"/>
      <c r="I109" s="50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50"/>
    </row>
    <row r="110" ht="15.75" customHeight="1">
      <c r="A110" s="50"/>
      <c r="B110" s="50"/>
      <c r="C110" s="50"/>
      <c r="D110" s="50"/>
      <c r="E110" s="50"/>
      <c r="F110" s="50"/>
      <c r="G110" s="50"/>
      <c r="H110" s="50"/>
      <c r="I110" s="50"/>
      <c r="J110" s="50"/>
      <c r="K110" s="50"/>
      <c r="L110" s="50"/>
      <c r="M110" s="50"/>
      <c r="N110" s="50"/>
      <c r="O110" s="50"/>
      <c r="P110" s="50"/>
      <c r="Q110" s="50"/>
      <c r="R110" s="50"/>
      <c r="S110" s="50"/>
      <c r="T110" s="50"/>
      <c r="U110" s="50"/>
      <c r="V110" s="50"/>
      <c r="W110" s="50"/>
    </row>
    <row r="111" ht="15.75" customHeight="1">
      <c r="A111" s="50"/>
      <c r="B111" s="50"/>
      <c r="C111" s="50"/>
      <c r="D111" s="50"/>
      <c r="E111" s="50"/>
      <c r="F111" s="50"/>
      <c r="G111" s="50"/>
      <c r="H111" s="50"/>
      <c r="I111" s="50"/>
      <c r="J111" s="50"/>
      <c r="K111" s="50"/>
      <c r="L111" s="50"/>
      <c r="M111" s="50"/>
      <c r="N111" s="50"/>
      <c r="O111" s="50"/>
      <c r="P111" s="50"/>
      <c r="Q111" s="50"/>
      <c r="R111" s="50"/>
      <c r="S111" s="50"/>
      <c r="T111" s="50"/>
      <c r="U111" s="50"/>
      <c r="V111" s="50"/>
      <c r="W111" s="50"/>
    </row>
    <row r="112" ht="15.75" customHeight="1">
      <c r="A112" s="50"/>
      <c r="B112" s="50"/>
      <c r="C112" s="50"/>
      <c r="D112" s="50"/>
      <c r="E112" s="50"/>
      <c r="F112" s="50"/>
      <c r="G112" s="50"/>
      <c r="H112" s="50"/>
      <c r="I112" s="50"/>
      <c r="J112" s="50"/>
      <c r="K112" s="50"/>
      <c r="L112" s="50"/>
      <c r="M112" s="50"/>
      <c r="N112" s="50"/>
      <c r="O112" s="50"/>
      <c r="P112" s="50"/>
      <c r="Q112" s="50"/>
      <c r="R112" s="50"/>
      <c r="S112" s="50"/>
      <c r="T112" s="50"/>
      <c r="U112" s="50"/>
      <c r="V112" s="50"/>
      <c r="W112" s="50"/>
    </row>
    <row r="113" ht="15.75" customHeight="1">
      <c r="A113" s="50"/>
      <c r="B113" s="50"/>
      <c r="C113" s="50"/>
      <c r="D113" s="50"/>
      <c r="E113" s="50"/>
      <c r="F113" s="50"/>
      <c r="G113" s="50"/>
      <c r="H113" s="50"/>
      <c r="I113" s="50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50"/>
    </row>
    <row r="114" ht="15.75" customHeight="1">
      <c r="A114" s="50"/>
      <c r="B114" s="50"/>
      <c r="C114" s="50"/>
      <c r="D114" s="50"/>
      <c r="E114" s="50"/>
      <c r="F114" s="50"/>
      <c r="G114" s="50"/>
      <c r="H114" s="50"/>
      <c r="I114" s="50"/>
      <c r="J114" s="50"/>
      <c r="K114" s="50"/>
      <c r="L114" s="50"/>
      <c r="M114" s="50"/>
      <c r="N114" s="50"/>
      <c r="O114" s="50"/>
      <c r="P114" s="50"/>
      <c r="Q114" s="50"/>
      <c r="R114" s="50"/>
      <c r="S114" s="50"/>
      <c r="T114" s="50"/>
      <c r="U114" s="50"/>
      <c r="V114" s="50"/>
      <c r="W114" s="50"/>
    </row>
    <row r="115" ht="15.75" customHeight="1">
      <c r="A115" s="50"/>
      <c r="B115" s="50"/>
      <c r="C115" s="50"/>
      <c r="D115" s="50"/>
      <c r="E115" s="50"/>
      <c r="F115" s="50"/>
      <c r="G115" s="50"/>
      <c r="H115" s="50"/>
      <c r="I115" s="50"/>
      <c r="J115" s="50"/>
      <c r="K115" s="50"/>
      <c r="L115" s="50"/>
      <c r="M115" s="50"/>
      <c r="N115" s="50"/>
      <c r="O115" s="50"/>
      <c r="P115" s="50"/>
      <c r="Q115" s="50"/>
      <c r="R115" s="50"/>
      <c r="S115" s="50"/>
      <c r="T115" s="50"/>
      <c r="U115" s="50"/>
      <c r="V115" s="50"/>
      <c r="W115" s="50"/>
    </row>
    <row r="116" ht="15.75" customHeight="1">
      <c r="A116" s="50"/>
      <c r="B116" s="50"/>
      <c r="C116" s="50"/>
      <c r="D116" s="50"/>
      <c r="E116" s="50"/>
      <c r="F116" s="50"/>
      <c r="G116" s="50"/>
      <c r="H116" s="50"/>
      <c r="I116" s="50"/>
      <c r="J116" s="50"/>
      <c r="K116" s="50"/>
      <c r="L116" s="50"/>
      <c r="M116" s="50"/>
      <c r="N116" s="50"/>
      <c r="O116" s="50"/>
      <c r="P116" s="50"/>
      <c r="Q116" s="50"/>
      <c r="R116" s="50"/>
      <c r="S116" s="50"/>
      <c r="T116" s="50"/>
      <c r="U116" s="50"/>
      <c r="V116" s="50"/>
      <c r="W116" s="50"/>
    </row>
    <row r="117" ht="15.75" customHeight="1">
      <c r="A117" s="50"/>
      <c r="B117" s="50"/>
      <c r="C117" s="50"/>
      <c r="D117" s="50"/>
      <c r="E117" s="50"/>
      <c r="F117" s="50"/>
      <c r="G117" s="50"/>
      <c r="H117" s="50"/>
      <c r="I117" s="50"/>
      <c r="J117" s="50"/>
      <c r="K117" s="50"/>
      <c r="L117" s="50"/>
      <c r="M117" s="50"/>
      <c r="N117" s="50"/>
      <c r="O117" s="50"/>
      <c r="P117" s="50"/>
      <c r="Q117" s="50"/>
      <c r="R117" s="50"/>
      <c r="S117" s="50"/>
      <c r="T117" s="50"/>
      <c r="U117" s="50"/>
      <c r="V117" s="50"/>
      <c r="W117" s="50"/>
    </row>
    <row r="118" ht="15.75" customHeight="1">
      <c r="A118" s="50"/>
      <c r="B118" s="50"/>
      <c r="C118" s="50"/>
      <c r="D118" s="50"/>
      <c r="E118" s="50"/>
      <c r="F118" s="50"/>
      <c r="G118" s="50"/>
      <c r="H118" s="50"/>
      <c r="I118" s="50"/>
      <c r="J118" s="50"/>
      <c r="K118" s="50"/>
      <c r="L118" s="50"/>
      <c r="M118" s="50"/>
      <c r="N118" s="50"/>
      <c r="O118" s="50"/>
      <c r="P118" s="50"/>
      <c r="Q118" s="50"/>
      <c r="R118" s="50"/>
      <c r="S118" s="50"/>
      <c r="T118" s="50"/>
      <c r="U118" s="50"/>
      <c r="V118" s="50"/>
      <c r="W118" s="50"/>
    </row>
    <row r="119" ht="15.75" customHeight="1">
      <c r="A119" s="50"/>
      <c r="B119" s="50"/>
      <c r="C119" s="50"/>
      <c r="D119" s="50"/>
      <c r="E119" s="50"/>
      <c r="F119" s="50"/>
      <c r="G119" s="50"/>
      <c r="H119" s="50"/>
      <c r="I119" s="50"/>
      <c r="J119" s="50"/>
      <c r="K119" s="50"/>
      <c r="L119" s="50"/>
      <c r="M119" s="50"/>
      <c r="N119" s="50"/>
      <c r="O119" s="50"/>
      <c r="P119" s="50"/>
      <c r="Q119" s="50"/>
      <c r="R119" s="50"/>
      <c r="S119" s="50"/>
      <c r="T119" s="50"/>
      <c r="U119" s="50"/>
      <c r="V119" s="50"/>
      <c r="W119" s="50"/>
    </row>
    <row r="120" ht="15.75" customHeight="1">
      <c r="A120" s="50"/>
      <c r="B120" s="50"/>
      <c r="C120" s="50"/>
      <c r="D120" s="50"/>
      <c r="E120" s="50"/>
      <c r="F120" s="50"/>
      <c r="G120" s="50"/>
      <c r="H120" s="50"/>
      <c r="I120" s="50"/>
      <c r="J120" s="50"/>
      <c r="K120" s="50"/>
      <c r="L120" s="50"/>
      <c r="M120" s="50"/>
      <c r="N120" s="50"/>
      <c r="O120" s="50"/>
      <c r="P120" s="50"/>
      <c r="Q120" s="50"/>
      <c r="R120" s="50"/>
      <c r="S120" s="50"/>
      <c r="T120" s="50"/>
      <c r="U120" s="50"/>
      <c r="V120" s="50"/>
      <c r="W120" s="50"/>
    </row>
    <row r="121" ht="15.75" customHeight="1">
      <c r="A121" s="50"/>
      <c r="B121" s="50"/>
      <c r="C121" s="50"/>
      <c r="D121" s="50"/>
      <c r="E121" s="50"/>
      <c r="F121" s="50"/>
      <c r="G121" s="50"/>
      <c r="H121" s="50"/>
      <c r="I121" s="50"/>
      <c r="J121" s="50"/>
      <c r="K121" s="50"/>
      <c r="L121" s="50"/>
      <c r="M121" s="50"/>
      <c r="N121" s="50"/>
      <c r="O121" s="50"/>
      <c r="P121" s="50"/>
      <c r="Q121" s="50"/>
      <c r="R121" s="50"/>
      <c r="S121" s="50"/>
      <c r="T121" s="50"/>
      <c r="U121" s="50"/>
      <c r="V121" s="50"/>
      <c r="W121" s="50"/>
    </row>
    <row r="122" ht="15.75" customHeight="1">
      <c r="A122" s="50"/>
      <c r="B122" s="50"/>
      <c r="C122" s="50"/>
      <c r="D122" s="50"/>
      <c r="E122" s="50"/>
      <c r="F122" s="50"/>
      <c r="G122" s="50"/>
      <c r="H122" s="50"/>
      <c r="I122" s="50"/>
      <c r="J122" s="50"/>
      <c r="K122" s="50"/>
      <c r="L122" s="50"/>
      <c r="M122" s="50"/>
      <c r="N122" s="50"/>
      <c r="O122" s="50"/>
      <c r="P122" s="50"/>
      <c r="Q122" s="50"/>
      <c r="R122" s="50"/>
      <c r="S122" s="50"/>
      <c r="T122" s="50"/>
      <c r="U122" s="50"/>
      <c r="V122" s="50"/>
      <c r="W122" s="50"/>
    </row>
    <row r="123" ht="15.75" customHeight="1">
      <c r="A123" s="50"/>
      <c r="B123" s="50"/>
      <c r="C123" s="50"/>
      <c r="D123" s="50"/>
      <c r="E123" s="50"/>
      <c r="F123" s="50"/>
      <c r="G123" s="50"/>
      <c r="H123" s="50"/>
      <c r="I123" s="50"/>
      <c r="J123" s="50"/>
      <c r="K123" s="50"/>
      <c r="L123" s="50"/>
      <c r="M123" s="50"/>
      <c r="N123" s="50"/>
      <c r="O123" s="50"/>
      <c r="P123" s="50"/>
      <c r="Q123" s="50"/>
      <c r="R123" s="50"/>
      <c r="S123" s="50"/>
      <c r="T123" s="50"/>
      <c r="U123" s="50"/>
      <c r="V123" s="50"/>
      <c r="W123" s="50"/>
    </row>
    <row r="124" ht="15.75" customHeight="1">
      <c r="A124" s="50"/>
      <c r="B124" s="50"/>
      <c r="C124" s="50"/>
      <c r="D124" s="50"/>
      <c r="E124" s="50"/>
      <c r="F124" s="50"/>
      <c r="G124" s="50"/>
      <c r="H124" s="50"/>
      <c r="I124" s="50"/>
      <c r="J124" s="50"/>
      <c r="K124" s="50"/>
      <c r="L124" s="50"/>
      <c r="M124" s="50"/>
      <c r="N124" s="50"/>
      <c r="O124" s="50"/>
      <c r="P124" s="50"/>
      <c r="Q124" s="50"/>
      <c r="R124" s="50"/>
      <c r="S124" s="50"/>
      <c r="T124" s="50"/>
      <c r="U124" s="50"/>
      <c r="V124" s="50"/>
      <c r="W124" s="50"/>
    </row>
    <row r="125" ht="15.75" customHeight="1">
      <c r="A125" s="50"/>
      <c r="B125" s="50"/>
      <c r="C125" s="50"/>
      <c r="D125" s="50"/>
      <c r="E125" s="50"/>
      <c r="F125" s="50"/>
      <c r="G125" s="50"/>
      <c r="H125" s="50"/>
      <c r="I125" s="50"/>
      <c r="J125" s="50"/>
      <c r="K125" s="50"/>
      <c r="L125" s="50"/>
      <c r="M125" s="50"/>
      <c r="N125" s="50"/>
      <c r="O125" s="50"/>
      <c r="P125" s="50"/>
      <c r="Q125" s="50"/>
      <c r="R125" s="50"/>
      <c r="S125" s="50"/>
      <c r="T125" s="50"/>
      <c r="U125" s="50"/>
      <c r="V125" s="50"/>
      <c r="W125" s="50"/>
    </row>
    <row r="126" ht="15.75" customHeight="1">
      <c r="A126" s="50"/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50"/>
      <c r="M126" s="50"/>
      <c r="N126" s="50"/>
      <c r="O126" s="50"/>
      <c r="P126" s="50"/>
      <c r="Q126" s="50"/>
      <c r="R126" s="50"/>
      <c r="S126" s="50"/>
      <c r="T126" s="50"/>
      <c r="U126" s="50"/>
      <c r="V126" s="50"/>
      <c r="W126" s="50"/>
    </row>
    <row r="127" ht="15.75" customHeight="1">
      <c r="A127" s="50"/>
      <c r="B127" s="50"/>
      <c r="C127" s="50"/>
      <c r="D127" s="50"/>
      <c r="E127" s="50"/>
      <c r="F127" s="50"/>
      <c r="G127" s="50"/>
      <c r="H127" s="50"/>
      <c r="I127" s="50"/>
      <c r="J127" s="50"/>
      <c r="K127" s="50"/>
      <c r="L127" s="50"/>
      <c r="M127" s="50"/>
      <c r="N127" s="50"/>
      <c r="O127" s="50"/>
      <c r="P127" s="50"/>
      <c r="Q127" s="50"/>
      <c r="R127" s="50"/>
      <c r="S127" s="50"/>
      <c r="T127" s="50"/>
      <c r="U127" s="50"/>
      <c r="V127" s="50"/>
      <c r="W127" s="50"/>
    </row>
    <row r="128" ht="15.75" customHeight="1">
      <c r="A128" s="50"/>
      <c r="B128" s="50"/>
      <c r="C128" s="50"/>
      <c r="D128" s="50"/>
      <c r="E128" s="50"/>
      <c r="F128" s="50"/>
      <c r="G128" s="50"/>
      <c r="H128" s="50"/>
      <c r="I128" s="50"/>
      <c r="J128" s="50"/>
      <c r="K128" s="50"/>
      <c r="L128" s="50"/>
      <c r="M128" s="50"/>
      <c r="N128" s="50"/>
      <c r="O128" s="50"/>
      <c r="P128" s="50"/>
      <c r="Q128" s="50"/>
      <c r="R128" s="50"/>
      <c r="S128" s="50"/>
      <c r="T128" s="50"/>
      <c r="U128" s="50"/>
      <c r="V128" s="50"/>
      <c r="W128" s="50"/>
    </row>
    <row r="129" ht="15.75" customHeight="1">
      <c r="A129" s="50"/>
      <c r="B129" s="50"/>
      <c r="C129" s="50"/>
      <c r="D129" s="50"/>
      <c r="E129" s="50"/>
      <c r="F129" s="50"/>
      <c r="G129" s="50"/>
      <c r="H129" s="50"/>
      <c r="I129" s="50"/>
      <c r="J129" s="50"/>
      <c r="K129" s="50"/>
      <c r="L129" s="50"/>
      <c r="M129" s="50"/>
      <c r="N129" s="50"/>
      <c r="O129" s="50"/>
      <c r="P129" s="50"/>
      <c r="Q129" s="50"/>
      <c r="R129" s="50"/>
      <c r="S129" s="50"/>
      <c r="T129" s="50"/>
      <c r="U129" s="50"/>
      <c r="V129" s="50"/>
      <c r="W129" s="50"/>
    </row>
    <row r="130" ht="15.75" customHeight="1">
      <c r="A130" s="50"/>
      <c r="B130" s="50"/>
      <c r="C130" s="50"/>
      <c r="D130" s="50"/>
      <c r="E130" s="50"/>
      <c r="F130" s="50"/>
      <c r="G130" s="50"/>
      <c r="H130" s="50"/>
      <c r="I130" s="50"/>
      <c r="J130" s="50"/>
      <c r="K130" s="50"/>
      <c r="L130" s="50"/>
      <c r="M130" s="50"/>
      <c r="N130" s="50"/>
      <c r="O130" s="50"/>
      <c r="P130" s="50"/>
      <c r="Q130" s="50"/>
      <c r="R130" s="50"/>
      <c r="S130" s="50"/>
      <c r="T130" s="50"/>
      <c r="U130" s="50"/>
      <c r="V130" s="50"/>
      <c r="W130" s="50"/>
    </row>
    <row r="131" ht="15.75" customHeight="1">
      <c r="A131" s="50"/>
      <c r="B131" s="50"/>
      <c r="C131" s="50"/>
      <c r="D131" s="50"/>
      <c r="E131" s="50"/>
      <c r="F131" s="50"/>
      <c r="G131" s="50"/>
      <c r="H131" s="50"/>
      <c r="I131" s="50"/>
      <c r="J131" s="50"/>
      <c r="K131" s="50"/>
      <c r="L131" s="50"/>
      <c r="M131" s="50"/>
      <c r="N131" s="50"/>
      <c r="O131" s="50"/>
      <c r="P131" s="50"/>
      <c r="Q131" s="50"/>
      <c r="R131" s="50"/>
      <c r="S131" s="50"/>
      <c r="T131" s="50"/>
      <c r="U131" s="50"/>
      <c r="V131" s="50"/>
      <c r="W131" s="50"/>
    </row>
    <row r="132" ht="15.75" customHeight="1">
      <c r="A132" s="50"/>
      <c r="B132" s="50"/>
      <c r="C132" s="50"/>
      <c r="D132" s="50"/>
      <c r="E132" s="50"/>
      <c r="F132" s="50"/>
      <c r="G132" s="50"/>
      <c r="H132" s="50"/>
      <c r="I132" s="50"/>
      <c r="J132" s="50"/>
      <c r="K132" s="50"/>
      <c r="L132" s="50"/>
      <c r="M132" s="50"/>
      <c r="N132" s="50"/>
      <c r="O132" s="50"/>
      <c r="P132" s="50"/>
      <c r="Q132" s="50"/>
      <c r="R132" s="50"/>
      <c r="S132" s="50"/>
      <c r="T132" s="50"/>
      <c r="U132" s="50"/>
      <c r="V132" s="50"/>
      <c r="W132" s="50"/>
    </row>
    <row r="133" ht="15.75" customHeight="1">
      <c r="A133" s="50"/>
      <c r="B133" s="50"/>
      <c r="C133" s="50"/>
      <c r="D133" s="50"/>
      <c r="E133" s="50"/>
      <c r="F133" s="50"/>
      <c r="G133" s="50"/>
      <c r="H133" s="50"/>
      <c r="I133" s="50"/>
      <c r="J133" s="50"/>
      <c r="K133" s="50"/>
      <c r="L133" s="50"/>
      <c r="M133" s="50"/>
      <c r="N133" s="50"/>
      <c r="O133" s="50"/>
      <c r="P133" s="50"/>
      <c r="Q133" s="50"/>
      <c r="R133" s="50"/>
      <c r="S133" s="50"/>
      <c r="T133" s="50"/>
      <c r="U133" s="50"/>
      <c r="V133" s="50"/>
      <c r="W133" s="50"/>
    </row>
    <row r="134" ht="15.75" customHeight="1">
      <c r="A134" s="50"/>
      <c r="B134" s="50"/>
      <c r="C134" s="50"/>
      <c r="D134" s="50"/>
      <c r="E134" s="50"/>
      <c r="F134" s="50"/>
      <c r="G134" s="50"/>
      <c r="H134" s="50"/>
      <c r="I134" s="50"/>
      <c r="J134" s="50"/>
      <c r="K134" s="50"/>
      <c r="L134" s="50"/>
      <c r="M134" s="50"/>
      <c r="N134" s="50"/>
      <c r="O134" s="50"/>
      <c r="P134" s="50"/>
      <c r="Q134" s="50"/>
      <c r="R134" s="50"/>
      <c r="S134" s="50"/>
      <c r="T134" s="50"/>
      <c r="U134" s="50"/>
      <c r="V134" s="50"/>
      <c r="W134" s="50"/>
    </row>
    <row r="135" ht="15.75" customHeight="1">
      <c r="A135" s="50"/>
      <c r="B135" s="50"/>
      <c r="C135" s="50"/>
      <c r="D135" s="50"/>
      <c r="E135" s="50"/>
      <c r="F135" s="50"/>
      <c r="G135" s="50"/>
      <c r="H135" s="50"/>
      <c r="I135" s="50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50"/>
    </row>
    <row r="136" ht="15.75" customHeight="1">
      <c r="A136" s="50"/>
      <c r="B136" s="50"/>
      <c r="C136" s="50"/>
      <c r="D136" s="50"/>
      <c r="E136" s="50"/>
      <c r="F136" s="50"/>
      <c r="G136" s="50"/>
      <c r="H136" s="50"/>
      <c r="I136" s="50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50"/>
    </row>
    <row r="137" ht="15.75" customHeight="1">
      <c r="A137" s="50"/>
      <c r="B137" s="50"/>
      <c r="C137" s="50"/>
      <c r="D137" s="50"/>
      <c r="E137" s="50"/>
      <c r="F137" s="50"/>
      <c r="G137" s="50"/>
      <c r="H137" s="50"/>
      <c r="I137" s="50"/>
      <c r="J137" s="50"/>
      <c r="K137" s="50"/>
      <c r="L137" s="50"/>
      <c r="M137" s="50"/>
      <c r="N137" s="50"/>
      <c r="O137" s="50"/>
      <c r="P137" s="50"/>
      <c r="Q137" s="50"/>
      <c r="R137" s="50"/>
      <c r="S137" s="50"/>
      <c r="T137" s="50"/>
      <c r="U137" s="50"/>
      <c r="V137" s="50"/>
      <c r="W137" s="50"/>
    </row>
    <row r="138" ht="15.75" customHeight="1">
      <c r="A138" s="50"/>
      <c r="B138" s="50"/>
      <c r="C138" s="50"/>
      <c r="D138" s="50"/>
      <c r="E138" s="50"/>
      <c r="F138" s="50"/>
      <c r="G138" s="50"/>
      <c r="H138" s="50"/>
      <c r="I138" s="50"/>
      <c r="J138" s="50"/>
      <c r="K138" s="50"/>
      <c r="L138" s="50"/>
      <c r="M138" s="50"/>
      <c r="N138" s="50"/>
      <c r="O138" s="50"/>
      <c r="P138" s="50"/>
      <c r="Q138" s="50"/>
      <c r="R138" s="50"/>
      <c r="S138" s="50"/>
      <c r="T138" s="50"/>
      <c r="U138" s="50"/>
      <c r="V138" s="50"/>
      <c r="W138" s="50"/>
    </row>
    <row r="139" ht="15.75" customHeight="1">
      <c r="A139" s="50"/>
      <c r="B139" s="50"/>
      <c r="C139" s="50"/>
      <c r="D139" s="50"/>
      <c r="E139" s="50"/>
      <c r="F139" s="50"/>
      <c r="G139" s="50"/>
      <c r="H139" s="50"/>
      <c r="I139" s="50"/>
      <c r="J139" s="50"/>
      <c r="K139" s="50"/>
      <c r="L139" s="50"/>
      <c r="M139" s="50"/>
      <c r="N139" s="50"/>
      <c r="O139" s="50"/>
      <c r="P139" s="50"/>
      <c r="Q139" s="50"/>
      <c r="R139" s="50"/>
      <c r="S139" s="50"/>
      <c r="T139" s="50"/>
      <c r="U139" s="50"/>
      <c r="V139" s="50"/>
      <c r="W139" s="50"/>
    </row>
    <row r="140" ht="15.75" customHeight="1">
      <c r="A140" s="50"/>
      <c r="B140" s="50"/>
      <c r="C140" s="50"/>
      <c r="D140" s="50"/>
      <c r="E140" s="50"/>
      <c r="F140" s="50"/>
      <c r="G140" s="50"/>
      <c r="H140" s="50"/>
      <c r="I140" s="50"/>
      <c r="J140" s="50"/>
      <c r="K140" s="50"/>
      <c r="L140" s="50"/>
      <c r="M140" s="50"/>
      <c r="N140" s="50"/>
      <c r="O140" s="50"/>
      <c r="P140" s="50"/>
      <c r="Q140" s="50"/>
      <c r="R140" s="50"/>
      <c r="S140" s="50"/>
      <c r="T140" s="50"/>
      <c r="U140" s="50"/>
      <c r="V140" s="50"/>
      <c r="W140" s="50"/>
    </row>
    <row r="141" ht="15.75" customHeight="1">
      <c r="A141" s="50"/>
      <c r="B141" s="50"/>
      <c r="C141" s="50"/>
      <c r="D141" s="50"/>
      <c r="E141" s="50"/>
      <c r="F141" s="50"/>
      <c r="G141" s="50"/>
      <c r="H141" s="50"/>
      <c r="I141" s="50"/>
      <c r="J141" s="50"/>
      <c r="K141" s="50"/>
      <c r="L141" s="50"/>
      <c r="M141" s="50"/>
      <c r="N141" s="50"/>
      <c r="O141" s="50"/>
      <c r="P141" s="50"/>
      <c r="Q141" s="50"/>
      <c r="R141" s="50"/>
      <c r="S141" s="50"/>
      <c r="T141" s="50"/>
      <c r="U141" s="50"/>
      <c r="V141" s="50"/>
      <c r="W141" s="50"/>
    </row>
    <row r="142" ht="15.75" customHeight="1">
      <c r="A142" s="50"/>
      <c r="B142" s="50"/>
      <c r="C142" s="50"/>
      <c r="D142" s="50"/>
      <c r="E142" s="50"/>
      <c r="F142" s="50"/>
      <c r="G142" s="50"/>
      <c r="H142" s="50"/>
      <c r="I142" s="50"/>
      <c r="J142" s="50"/>
      <c r="K142" s="50"/>
      <c r="L142" s="50"/>
      <c r="M142" s="50"/>
      <c r="N142" s="50"/>
      <c r="O142" s="50"/>
      <c r="P142" s="50"/>
      <c r="Q142" s="50"/>
      <c r="R142" s="50"/>
      <c r="S142" s="50"/>
      <c r="T142" s="50"/>
      <c r="U142" s="50"/>
      <c r="V142" s="50"/>
      <c r="W142" s="50"/>
    </row>
    <row r="143" ht="15.75" customHeight="1">
      <c r="A143" s="50"/>
      <c r="B143" s="50"/>
      <c r="C143" s="50"/>
      <c r="D143" s="50"/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50"/>
      <c r="T143" s="50"/>
      <c r="U143" s="50"/>
      <c r="V143" s="50"/>
      <c r="W143" s="50"/>
    </row>
    <row r="144" ht="15.75" customHeight="1">
      <c r="A144" s="50"/>
      <c r="B144" s="50"/>
      <c r="C144" s="50"/>
      <c r="D144" s="50"/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50"/>
      <c r="T144" s="50"/>
      <c r="U144" s="50"/>
      <c r="V144" s="50"/>
      <c r="W144" s="50"/>
    </row>
    <row r="145" ht="15.75" customHeight="1">
      <c r="A145" s="50"/>
      <c r="B145" s="50"/>
      <c r="C145" s="50"/>
      <c r="D145" s="50"/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50"/>
      <c r="T145" s="50"/>
      <c r="U145" s="50"/>
      <c r="V145" s="50"/>
      <c r="W145" s="50"/>
    </row>
    <row r="146" ht="15.75" customHeight="1">
      <c r="A146" s="50"/>
      <c r="B146" s="50"/>
      <c r="C146" s="50"/>
      <c r="D146" s="50"/>
      <c r="E146" s="50"/>
      <c r="F146" s="50"/>
      <c r="G146" s="50"/>
      <c r="H146" s="50"/>
      <c r="I146" s="50"/>
      <c r="J146" s="50"/>
      <c r="K146" s="50"/>
      <c r="L146" s="50"/>
      <c r="M146" s="50"/>
      <c r="N146" s="50"/>
      <c r="O146" s="50"/>
      <c r="P146" s="50"/>
      <c r="Q146" s="50"/>
      <c r="R146" s="50"/>
      <c r="S146" s="50"/>
      <c r="T146" s="50"/>
      <c r="U146" s="50"/>
      <c r="V146" s="50"/>
      <c r="W146" s="50"/>
    </row>
    <row r="147" ht="15.75" customHeight="1">
      <c r="A147" s="50"/>
      <c r="B147" s="50"/>
      <c r="C147" s="50"/>
      <c r="D147" s="50"/>
      <c r="E147" s="50"/>
      <c r="F147" s="50"/>
      <c r="G147" s="50"/>
      <c r="H147" s="50"/>
      <c r="I147" s="50"/>
      <c r="J147" s="50"/>
      <c r="K147" s="50"/>
      <c r="L147" s="50"/>
      <c r="M147" s="50"/>
      <c r="N147" s="50"/>
      <c r="O147" s="50"/>
      <c r="P147" s="50"/>
      <c r="Q147" s="50"/>
      <c r="R147" s="50"/>
      <c r="S147" s="50"/>
      <c r="T147" s="50"/>
      <c r="U147" s="50"/>
      <c r="V147" s="50"/>
      <c r="W147" s="50"/>
    </row>
    <row r="148" ht="15.75" customHeight="1">
      <c r="A148" s="50"/>
      <c r="B148" s="50"/>
      <c r="C148" s="50"/>
      <c r="D148" s="50"/>
      <c r="E148" s="50"/>
      <c r="F148" s="50"/>
      <c r="G148" s="50"/>
      <c r="H148" s="50"/>
      <c r="I148" s="50"/>
      <c r="J148" s="50"/>
      <c r="K148" s="50"/>
      <c r="L148" s="50"/>
      <c r="M148" s="50"/>
      <c r="N148" s="50"/>
      <c r="O148" s="50"/>
      <c r="P148" s="50"/>
      <c r="Q148" s="50"/>
      <c r="R148" s="50"/>
      <c r="S148" s="50"/>
      <c r="T148" s="50"/>
      <c r="U148" s="50"/>
      <c r="V148" s="50"/>
      <c r="W148" s="50"/>
    </row>
    <row r="149" ht="15.75" customHeight="1">
      <c r="A149" s="50"/>
      <c r="B149" s="50"/>
      <c r="C149" s="50"/>
      <c r="D149" s="50"/>
      <c r="E149" s="50"/>
      <c r="F149" s="50"/>
      <c r="G149" s="50"/>
      <c r="H149" s="50"/>
      <c r="I149" s="50"/>
      <c r="J149" s="50"/>
      <c r="K149" s="50"/>
      <c r="L149" s="50"/>
      <c r="M149" s="50"/>
      <c r="N149" s="50"/>
      <c r="O149" s="50"/>
      <c r="P149" s="50"/>
      <c r="Q149" s="50"/>
      <c r="R149" s="50"/>
      <c r="S149" s="50"/>
      <c r="T149" s="50"/>
      <c r="U149" s="50"/>
      <c r="V149" s="50"/>
      <c r="W149" s="50"/>
    </row>
    <row r="150" ht="15.75" customHeight="1">
      <c r="A150" s="50"/>
      <c r="B150" s="50"/>
      <c r="C150" s="50"/>
      <c r="D150" s="50"/>
      <c r="E150" s="50"/>
      <c r="F150" s="50"/>
      <c r="G150" s="50"/>
      <c r="H150" s="50"/>
      <c r="I150" s="50"/>
      <c r="J150" s="50"/>
      <c r="K150" s="50"/>
      <c r="L150" s="50"/>
      <c r="M150" s="50"/>
      <c r="N150" s="50"/>
      <c r="O150" s="50"/>
      <c r="P150" s="50"/>
      <c r="Q150" s="50"/>
      <c r="R150" s="50"/>
      <c r="S150" s="50"/>
      <c r="T150" s="50"/>
      <c r="U150" s="50"/>
      <c r="V150" s="50"/>
      <c r="W150" s="50"/>
    </row>
    <row r="151" ht="15.75" customHeight="1">
      <c r="A151" s="50"/>
      <c r="B151" s="50"/>
      <c r="C151" s="50"/>
      <c r="D151" s="50"/>
      <c r="E151" s="50"/>
      <c r="F151" s="50"/>
      <c r="G151" s="50"/>
      <c r="H151" s="50"/>
      <c r="I151" s="50"/>
      <c r="J151" s="50"/>
      <c r="K151" s="50"/>
      <c r="L151" s="50"/>
      <c r="M151" s="50"/>
      <c r="N151" s="50"/>
      <c r="O151" s="50"/>
      <c r="P151" s="50"/>
      <c r="Q151" s="50"/>
      <c r="R151" s="50"/>
      <c r="S151" s="50"/>
      <c r="T151" s="50"/>
      <c r="U151" s="50"/>
      <c r="V151" s="50"/>
      <c r="W151" s="50"/>
    </row>
    <row r="152" ht="15.75" customHeight="1">
      <c r="A152" s="50"/>
      <c r="B152" s="50"/>
      <c r="C152" s="50"/>
      <c r="D152" s="50"/>
      <c r="E152" s="50"/>
      <c r="F152" s="50"/>
      <c r="G152" s="50"/>
      <c r="H152" s="50"/>
      <c r="I152" s="50"/>
      <c r="J152" s="50"/>
      <c r="K152" s="50"/>
      <c r="L152" s="50"/>
      <c r="M152" s="50"/>
      <c r="N152" s="50"/>
      <c r="O152" s="50"/>
      <c r="P152" s="50"/>
      <c r="Q152" s="50"/>
      <c r="R152" s="50"/>
      <c r="S152" s="50"/>
      <c r="T152" s="50"/>
      <c r="U152" s="50"/>
      <c r="V152" s="50"/>
      <c r="W152" s="50"/>
    </row>
    <row r="153" ht="15.75" customHeight="1">
      <c r="A153" s="50"/>
      <c r="B153" s="50"/>
      <c r="C153" s="50"/>
      <c r="D153" s="50"/>
      <c r="E153" s="50"/>
      <c r="F153" s="50"/>
      <c r="G153" s="50"/>
      <c r="H153" s="50"/>
      <c r="I153" s="50"/>
      <c r="J153" s="50"/>
      <c r="K153" s="50"/>
      <c r="L153" s="50"/>
      <c r="M153" s="50"/>
      <c r="N153" s="50"/>
      <c r="O153" s="50"/>
      <c r="P153" s="50"/>
      <c r="Q153" s="50"/>
      <c r="R153" s="50"/>
      <c r="S153" s="50"/>
      <c r="T153" s="50"/>
      <c r="U153" s="50"/>
      <c r="V153" s="50"/>
      <c r="W153" s="50"/>
    </row>
    <row r="154" ht="15.75" customHeight="1">
      <c r="A154" s="50"/>
      <c r="B154" s="50"/>
      <c r="C154" s="50"/>
      <c r="D154" s="50"/>
      <c r="E154" s="50"/>
      <c r="F154" s="50"/>
      <c r="G154" s="50"/>
      <c r="H154" s="50"/>
      <c r="I154" s="50"/>
      <c r="J154" s="50"/>
      <c r="K154" s="50"/>
      <c r="L154" s="50"/>
      <c r="M154" s="50"/>
      <c r="N154" s="50"/>
      <c r="O154" s="50"/>
      <c r="P154" s="50"/>
      <c r="Q154" s="50"/>
      <c r="R154" s="50"/>
      <c r="S154" s="50"/>
      <c r="T154" s="50"/>
      <c r="U154" s="50"/>
      <c r="V154" s="50"/>
      <c r="W154" s="50"/>
    </row>
    <row r="155" ht="15.75" customHeight="1">
      <c r="A155" s="50"/>
      <c r="B155" s="50"/>
      <c r="C155" s="50"/>
      <c r="D155" s="50"/>
      <c r="E155" s="50"/>
      <c r="F155" s="50"/>
      <c r="G155" s="50"/>
      <c r="H155" s="50"/>
      <c r="I155" s="50"/>
      <c r="J155" s="50"/>
      <c r="K155" s="50"/>
      <c r="L155" s="50"/>
      <c r="M155" s="50"/>
      <c r="N155" s="50"/>
      <c r="O155" s="50"/>
      <c r="P155" s="50"/>
      <c r="Q155" s="50"/>
      <c r="R155" s="50"/>
      <c r="S155" s="50"/>
      <c r="T155" s="50"/>
      <c r="U155" s="50"/>
      <c r="V155" s="50"/>
      <c r="W155" s="50"/>
    </row>
    <row r="156" ht="15.75" customHeight="1">
      <c r="A156" s="50"/>
      <c r="B156" s="50"/>
      <c r="C156" s="50"/>
      <c r="D156" s="50"/>
      <c r="E156" s="50"/>
      <c r="F156" s="50"/>
      <c r="G156" s="50"/>
      <c r="H156" s="50"/>
      <c r="I156" s="50"/>
      <c r="J156" s="50"/>
      <c r="K156" s="50"/>
      <c r="L156" s="50"/>
      <c r="M156" s="50"/>
      <c r="N156" s="50"/>
      <c r="O156" s="50"/>
      <c r="P156" s="50"/>
      <c r="Q156" s="50"/>
      <c r="R156" s="50"/>
      <c r="S156" s="50"/>
      <c r="T156" s="50"/>
      <c r="U156" s="50"/>
      <c r="V156" s="50"/>
      <c r="W156" s="50"/>
    </row>
    <row r="157" ht="15.75" customHeight="1">
      <c r="A157" s="50"/>
      <c r="B157" s="50"/>
      <c r="C157" s="50"/>
      <c r="D157" s="50"/>
      <c r="E157" s="50"/>
      <c r="F157" s="50"/>
      <c r="G157" s="50"/>
      <c r="H157" s="50"/>
      <c r="I157" s="50"/>
      <c r="J157" s="50"/>
      <c r="K157" s="50"/>
      <c r="L157" s="50"/>
      <c r="M157" s="50"/>
      <c r="N157" s="50"/>
      <c r="O157" s="50"/>
      <c r="P157" s="50"/>
      <c r="Q157" s="50"/>
      <c r="R157" s="50"/>
      <c r="S157" s="50"/>
      <c r="T157" s="50"/>
      <c r="U157" s="50"/>
      <c r="V157" s="50"/>
      <c r="W157" s="50"/>
    </row>
    <row r="158" ht="15.75" customHeight="1">
      <c r="A158" s="50"/>
      <c r="B158" s="50"/>
      <c r="C158" s="50"/>
      <c r="D158" s="50"/>
      <c r="E158" s="50"/>
      <c r="F158" s="50"/>
      <c r="G158" s="50"/>
      <c r="H158" s="50"/>
      <c r="I158" s="50"/>
      <c r="J158" s="50"/>
      <c r="K158" s="50"/>
      <c r="L158" s="50"/>
      <c r="M158" s="50"/>
      <c r="N158" s="50"/>
      <c r="O158" s="50"/>
      <c r="P158" s="50"/>
      <c r="Q158" s="50"/>
      <c r="R158" s="50"/>
      <c r="S158" s="50"/>
      <c r="T158" s="50"/>
      <c r="U158" s="50"/>
      <c r="V158" s="50"/>
      <c r="W158" s="50"/>
    </row>
    <row r="159" ht="15.75" customHeight="1">
      <c r="A159" s="50"/>
      <c r="B159" s="50"/>
      <c r="C159" s="50"/>
      <c r="D159" s="50"/>
      <c r="E159" s="50"/>
      <c r="F159" s="50"/>
      <c r="G159" s="50"/>
      <c r="H159" s="50"/>
      <c r="I159" s="50"/>
      <c r="J159" s="50"/>
      <c r="K159" s="50"/>
      <c r="L159" s="50"/>
      <c r="M159" s="50"/>
      <c r="N159" s="50"/>
      <c r="O159" s="50"/>
      <c r="P159" s="50"/>
      <c r="Q159" s="50"/>
      <c r="R159" s="50"/>
      <c r="S159" s="50"/>
      <c r="T159" s="50"/>
      <c r="U159" s="50"/>
      <c r="V159" s="50"/>
      <c r="W159" s="50"/>
    </row>
    <row r="160" ht="15.75" customHeight="1">
      <c r="A160" s="50"/>
      <c r="B160" s="50"/>
      <c r="C160" s="50"/>
      <c r="D160" s="50"/>
      <c r="E160" s="50"/>
      <c r="F160" s="50"/>
      <c r="G160" s="50"/>
      <c r="H160" s="50"/>
      <c r="I160" s="50"/>
      <c r="J160" s="50"/>
      <c r="K160" s="50"/>
      <c r="L160" s="50"/>
      <c r="M160" s="50"/>
      <c r="N160" s="50"/>
      <c r="O160" s="50"/>
      <c r="P160" s="50"/>
      <c r="Q160" s="50"/>
      <c r="R160" s="50"/>
      <c r="S160" s="50"/>
      <c r="T160" s="50"/>
      <c r="U160" s="50"/>
      <c r="V160" s="50"/>
      <c r="W160" s="50"/>
    </row>
    <row r="161" ht="15.75" customHeight="1">
      <c r="A161" s="50"/>
      <c r="B161" s="50"/>
      <c r="C161" s="50"/>
      <c r="D161" s="50"/>
      <c r="E161" s="50"/>
      <c r="F161" s="50"/>
      <c r="G161" s="50"/>
      <c r="H161" s="50"/>
      <c r="I161" s="50"/>
      <c r="J161" s="50"/>
      <c r="K161" s="50"/>
      <c r="L161" s="50"/>
      <c r="M161" s="50"/>
      <c r="N161" s="50"/>
      <c r="O161" s="50"/>
      <c r="P161" s="50"/>
      <c r="Q161" s="50"/>
      <c r="R161" s="50"/>
      <c r="S161" s="50"/>
      <c r="T161" s="50"/>
      <c r="U161" s="50"/>
      <c r="V161" s="50"/>
      <c r="W161" s="50"/>
    </row>
    <row r="162" ht="15.75" customHeight="1">
      <c r="A162" s="50"/>
      <c r="B162" s="50"/>
      <c r="C162" s="50"/>
      <c r="D162" s="50"/>
      <c r="E162" s="50"/>
      <c r="F162" s="50"/>
      <c r="G162" s="50"/>
      <c r="H162" s="50"/>
      <c r="I162" s="50"/>
      <c r="J162" s="50"/>
      <c r="K162" s="50"/>
      <c r="L162" s="50"/>
      <c r="M162" s="50"/>
      <c r="N162" s="50"/>
      <c r="O162" s="50"/>
      <c r="P162" s="50"/>
      <c r="Q162" s="50"/>
      <c r="R162" s="50"/>
      <c r="S162" s="50"/>
      <c r="T162" s="50"/>
      <c r="U162" s="50"/>
      <c r="V162" s="50"/>
      <c r="W162" s="50"/>
    </row>
    <row r="163" ht="15.75" customHeight="1">
      <c r="A163" s="50"/>
      <c r="B163" s="50"/>
      <c r="C163" s="50"/>
      <c r="D163" s="50"/>
      <c r="E163" s="50"/>
      <c r="F163" s="50"/>
      <c r="G163" s="50"/>
      <c r="H163" s="50"/>
      <c r="I163" s="50"/>
      <c r="J163" s="50"/>
      <c r="K163" s="50"/>
      <c r="L163" s="50"/>
      <c r="M163" s="50"/>
      <c r="N163" s="50"/>
      <c r="O163" s="50"/>
      <c r="P163" s="50"/>
      <c r="Q163" s="50"/>
      <c r="R163" s="50"/>
      <c r="S163" s="50"/>
      <c r="T163" s="50"/>
      <c r="U163" s="50"/>
      <c r="V163" s="50"/>
      <c r="W163" s="50"/>
    </row>
    <row r="164" ht="15.75" customHeight="1">
      <c r="A164" s="50"/>
      <c r="B164" s="50"/>
      <c r="C164" s="50"/>
      <c r="D164" s="50"/>
      <c r="E164" s="50"/>
      <c r="F164" s="50"/>
      <c r="G164" s="50"/>
      <c r="H164" s="50"/>
      <c r="I164" s="50"/>
      <c r="J164" s="50"/>
      <c r="K164" s="50"/>
      <c r="L164" s="50"/>
      <c r="M164" s="50"/>
      <c r="N164" s="50"/>
      <c r="O164" s="50"/>
      <c r="P164" s="50"/>
      <c r="Q164" s="50"/>
      <c r="R164" s="50"/>
      <c r="S164" s="50"/>
      <c r="T164" s="50"/>
      <c r="U164" s="50"/>
      <c r="V164" s="50"/>
      <c r="W164" s="50"/>
    </row>
    <row r="165" ht="15.75" customHeight="1">
      <c r="A165" s="50"/>
      <c r="B165" s="50"/>
      <c r="C165" s="50"/>
      <c r="D165" s="50"/>
      <c r="E165" s="50"/>
      <c r="F165" s="50"/>
      <c r="G165" s="50"/>
      <c r="H165" s="50"/>
      <c r="I165" s="50"/>
      <c r="J165" s="50"/>
      <c r="K165" s="50"/>
      <c r="L165" s="50"/>
      <c r="M165" s="50"/>
      <c r="N165" s="50"/>
      <c r="O165" s="50"/>
      <c r="P165" s="50"/>
      <c r="Q165" s="50"/>
      <c r="R165" s="50"/>
      <c r="S165" s="50"/>
      <c r="T165" s="50"/>
      <c r="U165" s="50"/>
      <c r="V165" s="50"/>
      <c r="W165" s="50"/>
    </row>
    <row r="166" ht="15.75" customHeight="1">
      <c r="A166" s="50"/>
      <c r="B166" s="50"/>
      <c r="C166" s="50"/>
      <c r="D166" s="50"/>
      <c r="E166" s="50"/>
      <c r="F166" s="50"/>
      <c r="G166" s="50"/>
      <c r="H166" s="50"/>
      <c r="I166" s="50"/>
      <c r="J166" s="50"/>
      <c r="K166" s="50"/>
      <c r="L166" s="50"/>
      <c r="M166" s="50"/>
      <c r="N166" s="50"/>
      <c r="O166" s="50"/>
      <c r="P166" s="50"/>
      <c r="Q166" s="50"/>
      <c r="R166" s="50"/>
      <c r="S166" s="50"/>
      <c r="T166" s="50"/>
      <c r="U166" s="50"/>
      <c r="V166" s="50"/>
      <c r="W166" s="50"/>
    </row>
    <row r="167" ht="15.75" customHeight="1">
      <c r="A167" s="50"/>
      <c r="B167" s="50"/>
      <c r="C167" s="50"/>
      <c r="D167" s="50"/>
      <c r="E167" s="50"/>
      <c r="F167" s="50"/>
      <c r="G167" s="50"/>
      <c r="H167" s="50"/>
      <c r="I167" s="50"/>
      <c r="J167" s="50"/>
      <c r="K167" s="50"/>
      <c r="L167" s="50"/>
      <c r="M167" s="50"/>
      <c r="N167" s="50"/>
      <c r="O167" s="50"/>
      <c r="P167" s="50"/>
      <c r="Q167" s="50"/>
      <c r="R167" s="50"/>
      <c r="S167" s="50"/>
      <c r="T167" s="50"/>
      <c r="U167" s="50"/>
      <c r="V167" s="50"/>
      <c r="W167" s="50"/>
    </row>
    <row r="168" ht="15.75" customHeight="1">
      <c r="A168" s="50"/>
      <c r="B168" s="50"/>
      <c r="C168" s="50"/>
      <c r="D168" s="50"/>
      <c r="E168" s="50"/>
      <c r="F168" s="50"/>
      <c r="G168" s="50"/>
      <c r="H168" s="50"/>
      <c r="I168" s="50"/>
      <c r="J168" s="50"/>
      <c r="K168" s="50"/>
      <c r="L168" s="50"/>
      <c r="M168" s="50"/>
      <c r="N168" s="50"/>
      <c r="O168" s="50"/>
      <c r="P168" s="50"/>
      <c r="Q168" s="50"/>
      <c r="R168" s="50"/>
      <c r="S168" s="50"/>
      <c r="T168" s="50"/>
      <c r="U168" s="50"/>
      <c r="V168" s="50"/>
      <c r="W168" s="50"/>
    </row>
    <row r="169" ht="15.75" customHeight="1">
      <c r="A169" s="50"/>
      <c r="B169" s="50"/>
      <c r="C169" s="50"/>
      <c r="D169" s="50"/>
      <c r="E169" s="50"/>
      <c r="F169" s="50"/>
      <c r="G169" s="50"/>
      <c r="H169" s="50"/>
      <c r="I169" s="50"/>
      <c r="J169" s="50"/>
      <c r="K169" s="50"/>
      <c r="L169" s="50"/>
      <c r="M169" s="50"/>
      <c r="N169" s="50"/>
      <c r="O169" s="50"/>
      <c r="P169" s="50"/>
      <c r="Q169" s="50"/>
      <c r="R169" s="50"/>
      <c r="S169" s="50"/>
      <c r="T169" s="50"/>
      <c r="U169" s="50"/>
      <c r="V169" s="50"/>
      <c r="W169" s="50"/>
    </row>
    <row r="170" ht="15.75" customHeight="1">
      <c r="A170" s="50"/>
      <c r="B170" s="50"/>
      <c r="C170" s="50"/>
      <c r="D170" s="50"/>
      <c r="E170" s="50"/>
      <c r="F170" s="50"/>
      <c r="G170" s="50"/>
      <c r="H170" s="50"/>
      <c r="I170" s="50"/>
      <c r="J170" s="50"/>
      <c r="K170" s="50"/>
      <c r="L170" s="50"/>
      <c r="M170" s="50"/>
      <c r="N170" s="50"/>
      <c r="O170" s="50"/>
      <c r="P170" s="50"/>
      <c r="Q170" s="50"/>
      <c r="R170" s="50"/>
      <c r="S170" s="50"/>
      <c r="T170" s="50"/>
      <c r="U170" s="50"/>
      <c r="V170" s="50"/>
      <c r="W170" s="50"/>
    </row>
    <row r="171" ht="15.75" customHeight="1">
      <c r="A171" s="50"/>
      <c r="B171" s="50"/>
      <c r="C171" s="50"/>
      <c r="D171" s="50"/>
      <c r="E171" s="50"/>
      <c r="F171" s="50"/>
      <c r="G171" s="50"/>
      <c r="H171" s="50"/>
      <c r="I171" s="50"/>
      <c r="J171" s="50"/>
      <c r="K171" s="50"/>
      <c r="L171" s="50"/>
      <c r="M171" s="50"/>
      <c r="N171" s="50"/>
      <c r="O171" s="50"/>
      <c r="P171" s="50"/>
      <c r="Q171" s="50"/>
      <c r="R171" s="50"/>
      <c r="S171" s="50"/>
      <c r="T171" s="50"/>
      <c r="U171" s="50"/>
      <c r="V171" s="50"/>
      <c r="W171" s="50"/>
    </row>
    <row r="172" ht="15.75" customHeight="1">
      <c r="A172" s="50"/>
      <c r="B172" s="50"/>
      <c r="C172" s="50"/>
      <c r="D172" s="50"/>
      <c r="E172" s="50"/>
      <c r="F172" s="50"/>
      <c r="G172" s="50"/>
      <c r="H172" s="50"/>
      <c r="I172" s="50"/>
      <c r="J172" s="50"/>
      <c r="K172" s="50"/>
      <c r="L172" s="50"/>
      <c r="M172" s="50"/>
      <c r="N172" s="50"/>
      <c r="O172" s="50"/>
      <c r="P172" s="50"/>
      <c r="Q172" s="50"/>
      <c r="R172" s="50"/>
      <c r="S172" s="50"/>
      <c r="T172" s="50"/>
      <c r="U172" s="50"/>
      <c r="V172" s="50"/>
      <c r="W172" s="50"/>
    </row>
    <row r="173" ht="15.75" customHeight="1">
      <c r="A173" s="50"/>
      <c r="B173" s="50"/>
      <c r="C173" s="50"/>
      <c r="D173" s="50"/>
      <c r="E173" s="50"/>
      <c r="F173" s="50"/>
      <c r="G173" s="50"/>
      <c r="H173" s="50"/>
      <c r="I173" s="50"/>
      <c r="J173" s="50"/>
      <c r="K173" s="50"/>
      <c r="L173" s="50"/>
      <c r="M173" s="50"/>
      <c r="N173" s="50"/>
      <c r="O173" s="50"/>
      <c r="P173" s="50"/>
      <c r="Q173" s="50"/>
      <c r="R173" s="50"/>
      <c r="S173" s="50"/>
      <c r="T173" s="50"/>
      <c r="U173" s="50"/>
      <c r="V173" s="50"/>
      <c r="W173" s="50"/>
    </row>
    <row r="174" ht="15.75" customHeight="1">
      <c r="A174" s="50"/>
      <c r="B174" s="50"/>
      <c r="C174" s="50"/>
      <c r="D174" s="50"/>
      <c r="E174" s="50"/>
      <c r="F174" s="50"/>
      <c r="G174" s="50"/>
      <c r="H174" s="50"/>
      <c r="I174" s="50"/>
      <c r="J174" s="50"/>
      <c r="K174" s="50"/>
      <c r="L174" s="50"/>
      <c r="M174" s="50"/>
      <c r="N174" s="50"/>
      <c r="O174" s="50"/>
      <c r="P174" s="50"/>
      <c r="Q174" s="50"/>
      <c r="R174" s="50"/>
      <c r="S174" s="50"/>
      <c r="T174" s="50"/>
      <c r="U174" s="50"/>
      <c r="V174" s="50"/>
      <c r="W174" s="50"/>
    </row>
    <row r="175" ht="15.75" customHeight="1">
      <c r="A175" s="50"/>
      <c r="B175" s="50"/>
      <c r="C175" s="50"/>
      <c r="D175" s="50"/>
      <c r="E175" s="50"/>
      <c r="F175" s="50"/>
      <c r="G175" s="50"/>
      <c r="H175" s="50"/>
      <c r="I175" s="50"/>
      <c r="J175" s="50"/>
      <c r="K175" s="50"/>
      <c r="L175" s="50"/>
      <c r="M175" s="50"/>
      <c r="N175" s="50"/>
      <c r="O175" s="50"/>
      <c r="P175" s="50"/>
      <c r="Q175" s="50"/>
      <c r="R175" s="50"/>
      <c r="S175" s="50"/>
      <c r="T175" s="50"/>
      <c r="U175" s="50"/>
      <c r="V175" s="50"/>
      <c r="W175" s="50"/>
    </row>
    <row r="176" ht="15.75" customHeight="1">
      <c r="A176" s="50"/>
      <c r="B176" s="50"/>
      <c r="C176" s="50"/>
      <c r="D176" s="50"/>
      <c r="E176" s="50"/>
      <c r="F176" s="50"/>
      <c r="G176" s="50"/>
      <c r="H176" s="50"/>
      <c r="I176" s="50"/>
      <c r="J176" s="50"/>
      <c r="K176" s="50"/>
      <c r="L176" s="50"/>
      <c r="M176" s="50"/>
      <c r="N176" s="50"/>
      <c r="O176" s="50"/>
      <c r="P176" s="50"/>
      <c r="Q176" s="50"/>
      <c r="R176" s="50"/>
      <c r="S176" s="50"/>
      <c r="T176" s="50"/>
      <c r="U176" s="50"/>
      <c r="V176" s="50"/>
      <c r="W176" s="50"/>
    </row>
    <row r="177" ht="15.75" customHeight="1">
      <c r="A177" s="50"/>
      <c r="B177" s="50"/>
      <c r="C177" s="50"/>
      <c r="D177" s="50"/>
      <c r="E177" s="50"/>
      <c r="F177" s="50"/>
      <c r="G177" s="50"/>
      <c r="H177" s="50"/>
      <c r="I177" s="50"/>
      <c r="J177" s="50"/>
      <c r="K177" s="50"/>
      <c r="L177" s="50"/>
      <c r="M177" s="50"/>
      <c r="N177" s="50"/>
      <c r="O177" s="50"/>
      <c r="P177" s="50"/>
      <c r="Q177" s="50"/>
      <c r="R177" s="50"/>
      <c r="S177" s="50"/>
      <c r="T177" s="50"/>
      <c r="U177" s="50"/>
      <c r="V177" s="50"/>
      <c r="W177" s="50"/>
    </row>
    <row r="178" ht="15.75" customHeight="1">
      <c r="A178" s="50"/>
      <c r="B178" s="50"/>
      <c r="C178" s="50"/>
      <c r="D178" s="50"/>
      <c r="E178" s="50"/>
      <c r="F178" s="50"/>
      <c r="G178" s="50"/>
      <c r="H178" s="50"/>
      <c r="I178" s="50"/>
      <c r="J178" s="50"/>
      <c r="K178" s="50"/>
      <c r="L178" s="50"/>
      <c r="M178" s="50"/>
      <c r="N178" s="50"/>
      <c r="O178" s="50"/>
      <c r="P178" s="50"/>
      <c r="Q178" s="50"/>
      <c r="R178" s="50"/>
      <c r="S178" s="50"/>
      <c r="T178" s="50"/>
      <c r="U178" s="50"/>
      <c r="V178" s="50"/>
      <c r="W178" s="50"/>
    </row>
    <row r="179" ht="15.75" customHeight="1">
      <c r="A179" s="50"/>
      <c r="B179" s="50"/>
      <c r="C179" s="50"/>
      <c r="D179" s="50"/>
      <c r="E179" s="50"/>
      <c r="F179" s="50"/>
      <c r="G179" s="50"/>
      <c r="H179" s="50"/>
      <c r="I179" s="50"/>
      <c r="J179" s="50"/>
      <c r="K179" s="50"/>
      <c r="L179" s="50"/>
      <c r="M179" s="50"/>
      <c r="N179" s="50"/>
      <c r="O179" s="50"/>
      <c r="P179" s="50"/>
      <c r="Q179" s="50"/>
      <c r="R179" s="50"/>
      <c r="S179" s="50"/>
      <c r="T179" s="50"/>
      <c r="U179" s="50"/>
      <c r="V179" s="50"/>
      <c r="W179" s="50"/>
    </row>
    <row r="180" ht="15.75" customHeight="1">
      <c r="A180" s="50"/>
      <c r="B180" s="50"/>
      <c r="C180" s="50"/>
      <c r="D180" s="50"/>
      <c r="E180" s="50"/>
      <c r="F180" s="50"/>
      <c r="G180" s="50"/>
      <c r="H180" s="50"/>
      <c r="I180" s="50"/>
      <c r="J180" s="50"/>
      <c r="K180" s="50"/>
      <c r="L180" s="50"/>
      <c r="M180" s="50"/>
      <c r="N180" s="50"/>
      <c r="O180" s="50"/>
      <c r="P180" s="50"/>
      <c r="Q180" s="50"/>
      <c r="R180" s="50"/>
      <c r="S180" s="50"/>
      <c r="T180" s="50"/>
      <c r="U180" s="50"/>
      <c r="V180" s="50"/>
      <c r="W180" s="50"/>
    </row>
    <row r="181" ht="15.75" customHeight="1">
      <c r="A181" s="50"/>
      <c r="B181" s="50"/>
      <c r="C181" s="50"/>
      <c r="D181" s="50"/>
      <c r="E181" s="50"/>
      <c r="F181" s="50"/>
      <c r="G181" s="50"/>
      <c r="H181" s="50"/>
      <c r="I181" s="50"/>
      <c r="J181" s="50"/>
      <c r="K181" s="50"/>
      <c r="L181" s="50"/>
      <c r="M181" s="50"/>
      <c r="N181" s="50"/>
      <c r="O181" s="50"/>
      <c r="P181" s="50"/>
      <c r="Q181" s="50"/>
      <c r="R181" s="50"/>
      <c r="S181" s="50"/>
      <c r="T181" s="50"/>
      <c r="U181" s="50"/>
      <c r="V181" s="50"/>
      <c r="W181" s="50"/>
    </row>
    <row r="182" ht="15.75" customHeight="1">
      <c r="A182" s="50"/>
      <c r="B182" s="50"/>
      <c r="C182" s="50"/>
      <c r="D182" s="50"/>
      <c r="E182" s="50"/>
      <c r="F182" s="50"/>
      <c r="G182" s="50"/>
      <c r="H182" s="50"/>
      <c r="I182" s="50"/>
      <c r="J182" s="50"/>
      <c r="K182" s="50"/>
      <c r="L182" s="50"/>
      <c r="M182" s="50"/>
      <c r="N182" s="50"/>
      <c r="O182" s="50"/>
      <c r="P182" s="50"/>
      <c r="Q182" s="50"/>
      <c r="R182" s="50"/>
      <c r="S182" s="50"/>
      <c r="T182" s="50"/>
      <c r="U182" s="50"/>
      <c r="V182" s="50"/>
      <c r="W182" s="50"/>
    </row>
    <row r="183" ht="15.75" customHeight="1">
      <c r="A183" s="50"/>
      <c r="B183" s="50"/>
      <c r="C183" s="50"/>
      <c r="D183" s="50"/>
      <c r="E183" s="50"/>
      <c r="F183" s="50"/>
      <c r="G183" s="50"/>
      <c r="H183" s="50"/>
      <c r="I183" s="50"/>
      <c r="J183" s="50"/>
      <c r="K183" s="50"/>
      <c r="L183" s="50"/>
      <c r="M183" s="50"/>
      <c r="N183" s="50"/>
      <c r="O183" s="50"/>
      <c r="P183" s="50"/>
      <c r="Q183" s="50"/>
      <c r="R183" s="50"/>
      <c r="S183" s="50"/>
      <c r="T183" s="50"/>
      <c r="U183" s="50"/>
      <c r="V183" s="50"/>
      <c r="W183" s="50"/>
    </row>
    <row r="184" ht="15.75" customHeight="1">
      <c r="A184" s="50"/>
      <c r="B184" s="50"/>
      <c r="C184" s="50"/>
      <c r="D184" s="50"/>
      <c r="E184" s="50"/>
      <c r="F184" s="50"/>
      <c r="G184" s="50"/>
      <c r="H184" s="50"/>
      <c r="I184" s="50"/>
      <c r="J184" s="50"/>
      <c r="K184" s="50"/>
      <c r="L184" s="50"/>
      <c r="M184" s="50"/>
      <c r="N184" s="50"/>
      <c r="O184" s="50"/>
      <c r="P184" s="50"/>
      <c r="Q184" s="50"/>
      <c r="R184" s="50"/>
      <c r="S184" s="50"/>
      <c r="T184" s="50"/>
      <c r="U184" s="50"/>
      <c r="V184" s="50"/>
      <c r="W184" s="50"/>
    </row>
    <row r="185" ht="15.75" customHeight="1">
      <c r="A185" s="50"/>
      <c r="B185" s="50"/>
      <c r="C185" s="50"/>
      <c r="D185" s="50"/>
      <c r="E185" s="50"/>
      <c r="F185" s="50"/>
      <c r="G185" s="50"/>
      <c r="H185" s="50"/>
      <c r="I185" s="50"/>
      <c r="J185" s="50"/>
      <c r="K185" s="50"/>
      <c r="L185" s="50"/>
      <c r="M185" s="50"/>
      <c r="N185" s="50"/>
      <c r="O185" s="50"/>
      <c r="P185" s="50"/>
      <c r="Q185" s="50"/>
      <c r="R185" s="50"/>
      <c r="S185" s="50"/>
      <c r="T185" s="50"/>
      <c r="U185" s="50"/>
      <c r="V185" s="50"/>
      <c r="W185" s="50"/>
    </row>
    <row r="186" ht="15.75" customHeight="1">
      <c r="A186" s="50"/>
      <c r="B186" s="50"/>
      <c r="C186" s="50"/>
      <c r="D186" s="50"/>
      <c r="E186" s="50"/>
      <c r="F186" s="50"/>
      <c r="G186" s="50"/>
      <c r="H186" s="50"/>
      <c r="I186" s="50"/>
      <c r="J186" s="50"/>
      <c r="K186" s="50"/>
      <c r="L186" s="50"/>
      <c r="M186" s="50"/>
      <c r="N186" s="50"/>
      <c r="O186" s="50"/>
      <c r="P186" s="50"/>
      <c r="Q186" s="50"/>
      <c r="R186" s="50"/>
      <c r="S186" s="50"/>
      <c r="T186" s="50"/>
      <c r="U186" s="50"/>
      <c r="V186" s="50"/>
      <c r="W186" s="50"/>
    </row>
    <row r="187" ht="15.75" customHeight="1">
      <c r="A187" s="50"/>
      <c r="B187" s="50"/>
      <c r="C187" s="50"/>
      <c r="D187" s="50"/>
      <c r="E187" s="50"/>
      <c r="F187" s="50"/>
      <c r="G187" s="50"/>
      <c r="H187" s="50"/>
      <c r="I187" s="50"/>
      <c r="J187" s="50"/>
      <c r="K187" s="50"/>
      <c r="L187" s="50"/>
      <c r="M187" s="50"/>
      <c r="N187" s="50"/>
      <c r="O187" s="50"/>
      <c r="P187" s="50"/>
      <c r="Q187" s="50"/>
      <c r="R187" s="50"/>
      <c r="S187" s="50"/>
      <c r="T187" s="50"/>
      <c r="U187" s="50"/>
      <c r="V187" s="50"/>
      <c r="W187" s="50"/>
    </row>
    <row r="188" ht="15.75" customHeight="1">
      <c r="A188" s="50"/>
      <c r="B188" s="50"/>
      <c r="C188" s="50"/>
      <c r="D188" s="50"/>
      <c r="E188" s="50"/>
      <c r="F188" s="50"/>
      <c r="G188" s="50"/>
      <c r="H188" s="50"/>
      <c r="I188" s="50"/>
      <c r="J188" s="50"/>
      <c r="K188" s="50"/>
      <c r="L188" s="50"/>
      <c r="M188" s="50"/>
      <c r="N188" s="50"/>
      <c r="O188" s="50"/>
      <c r="P188" s="50"/>
      <c r="Q188" s="50"/>
      <c r="R188" s="50"/>
      <c r="S188" s="50"/>
      <c r="T188" s="50"/>
      <c r="U188" s="50"/>
      <c r="V188" s="50"/>
      <c r="W188" s="50"/>
    </row>
    <row r="189" ht="15.75" customHeight="1">
      <c r="A189" s="50"/>
      <c r="B189" s="50"/>
      <c r="C189" s="50"/>
      <c r="D189" s="50"/>
      <c r="E189" s="50"/>
      <c r="F189" s="50"/>
      <c r="G189" s="50"/>
      <c r="H189" s="50"/>
      <c r="I189" s="50"/>
      <c r="J189" s="50"/>
      <c r="K189" s="50"/>
      <c r="L189" s="50"/>
      <c r="M189" s="50"/>
      <c r="N189" s="50"/>
      <c r="O189" s="50"/>
      <c r="P189" s="50"/>
      <c r="Q189" s="50"/>
      <c r="R189" s="50"/>
      <c r="S189" s="50"/>
      <c r="T189" s="50"/>
      <c r="U189" s="50"/>
      <c r="V189" s="50"/>
      <c r="W189" s="50"/>
    </row>
    <row r="190" ht="15.75" customHeight="1">
      <c r="A190" s="50"/>
      <c r="B190" s="50"/>
      <c r="C190" s="50"/>
      <c r="D190" s="50"/>
      <c r="E190" s="50"/>
      <c r="F190" s="50"/>
      <c r="G190" s="50"/>
      <c r="H190" s="50"/>
      <c r="I190" s="50"/>
      <c r="J190" s="50"/>
      <c r="K190" s="50"/>
      <c r="L190" s="50"/>
      <c r="M190" s="50"/>
      <c r="N190" s="50"/>
      <c r="O190" s="50"/>
      <c r="P190" s="50"/>
      <c r="Q190" s="50"/>
      <c r="R190" s="50"/>
      <c r="S190" s="50"/>
      <c r="T190" s="50"/>
      <c r="U190" s="50"/>
      <c r="V190" s="50"/>
      <c r="W190" s="50"/>
    </row>
    <row r="191" ht="15.75" customHeight="1">
      <c r="A191" s="50"/>
      <c r="B191" s="50"/>
      <c r="C191" s="50"/>
      <c r="D191" s="50"/>
      <c r="E191" s="50"/>
      <c r="F191" s="50"/>
      <c r="G191" s="50"/>
      <c r="H191" s="50"/>
      <c r="I191" s="50"/>
      <c r="J191" s="50"/>
      <c r="K191" s="50"/>
      <c r="L191" s="50"/>
      <c r="M191" s="50"/>
      <c r="N191" s="50"/>
      <c r="O191" s="50"/>
      <c r="P191" s="50"/>
      <c r="Q191" s="50"/>
      <c r="R191" s="50"/>
      <c r="S191" s="50"/>
      <c r="T191" s="50"/>
      <c r="U191" s="50"/>
      <c r="V191" s="50"/>
      <c r="W191" s="50"/>
    </row>
    <row r="192" ht="15.75" customHeight="1">
      <c r="A192" s="50"/>
      <c r="B192" s="50"/>
      <c r="C192" s="50"/>
      <c r="D192" s="50"/>
      <c r="E192" s="50"/>
      <c r="F192" s="50"/>
      <c r="G192" s="50"/>
      <c r="H192" s="50"/>
      <c r="I192" s="50"/>
      <c r="J192" s="50"/>
      <c r="K192" s="50"/>
      <c r="L192" s="50"/>
      <c r="M192" s="50"/>
      <c r="N192" s="50"/>
      <c r="O192" s="50"/>
      <c r="P192" s="50"/>
      <c r="Q192" s="50"/>
      <c r="R192" s="50"/>
      <c r="S192" s="50"/>
      <c r="T192" s="50"/>
      <c r="U192" s="50"/>
      <c r="V192" s="50"/>
      <c r="W192" s="50"/>
    </row>
    <row r="193" ht="15.75" customHeight="1">
      <c r="A193" s="50"/>
      <c r="B193" s="50"/>
      <c r="C193" s="50"/>
      <c r="D193" s="50"/>
      <c r="E193" s="50"/>
      <c r="F193" s="50"/>
      <c r="G193" s="50"/>
      <c r="H193" s="50"/>
      <c r="I193" s="50"/>
      <c r="J193" s="50"/>
      <c r="K193" s="50"/>
      <c r="L193" s="50"/>
      <c r="M193" s="50"/>
      <c r="N193" s="50"/>
      <c r="O193" s="50"/>
      <c r="P193" s="50"/>
      <c r="Q193" s="50"/>
      <c r="R193" s="50"/>
      <c r="S193" s="50"/>
      <c r="T193" s="50"/>
      <c r="U193" s="50"/>
      <c r="V193" s="50"/>
      <c r="W193" s="50"/>
    </row>
    <row r="194" ht="15.75" customHeight="1">
      <c r="A194" s="50"/>
      <c r="B194" s="50"/>
      <c r="C194" s="50"/>
      <c r="D194" s="50"/>
      <c r="E194" s="50"/>
      <c r="F194" s="50"/>
      <c r="G194" s="50"/>
      <c r="H194" s="50"/>
      <c r="I194" s="50"/>
      <c r="J194" s="50"/>
      <c r="K194" s="50"/>
      <c r="L194" s="50"/>
      <c r="M194" s="50"/>
      <c r="N194" s="50"/>
      <c r="O194" s="50"/>
      <c r="P194" s="50"/>
      <c r="Q194" s="50"/>
      <c r="R194" s="50"/>
      <c r="S194" s="50"/>
      <c r="T194" s="50"/>
      <c r="U194" s="50"/>
      <c r="V194" s="50"/>
      <c r="W194" s="50"/>
    </row>
    <row r="195" ht="15.75" customHeight="1">
      <c r="A195" s="50"/>
      <c r="B195" s="50"/>
      <c r="C195" s="50"/>
      <c r="D195" s="50"/>
      <c r="E195" s="50"/>
      <c r="F195" s="50"/>
      <c r="G195" s="50"/>
      <c r="H195" s="50"/>
      <c r="I195" s="50"/>
      <c r="J195" s="50"/>
      <c r="K195" s="50"/>
      <c r="L195" s="50"/>
      <c r="M195" s="50"/>
      <c r="N195" s="50"/>
      <c r="O195" s="50"/>
      <c r="P195" s="50"/>
      <c r="Q195" s="50"/>
      <c r="R195" s="50"/>
      <c r="S195" s="50"/>
      <c r="T195" s="50"/>
      <c r="U195" s="50"/>
      <c r="V195" s="50"/>
      <c r="W195" s="50"/>
    </row>
    <row r="196" ht="15.75" customHeight="1">
      <c r="A196" s="50"/>
      <c r="B196" s="50"/>
      <c r="C196" s="50"/>
      <c r="D196" s="50"/>
      <c r="E196" s="50"/>
      <c r="F196" s="50"/>
      <c r="G196" s="50"/>
      <c r="H196" s="50"/>
      <c r="I196" s="50"/>
      <c r="J196" s="50"/>
      <c r="K196" s="50"/>
      <c r="L196" s="50"/>
      <c r="M196" s="50"/>
      <c r="N196" s="50"/>
      <c r="O196" s="50"/>
      <c r="P196" s="50"/>
      <c r="Q196" s="50"/>
      <c r="R196" s="50"/>
      <c r="S196" s="50"/>
      <c r="T196" s="50"/>
      <c r="U196" s="50"/>
      <c r="V196" s="50"/>
      <c r="W196" s="50"/>
    </row>
    <row r="197" ht="15.75" customHeight="1">
      <c r="A197" s="50"/>
      <c r="B197" s="50"/>
      <c r="C197" s="50"/>
      <c r="D197" s="50"/>
      <c r="E197" s="50"/>
      <c r="F197" s="50"/>
      <c r="G197" s="50"/>
      <c r="H197" s="50"/>
      <c r="I197" s="50"/>
      <c r="J197" s="50"/>
      <c r="K197" s="50"/>
      <c r="L197" s="50"/>
      <c r="M197" s="50"/>
      <c r="N197" s="50"/>
      <c r="O197" s="50"/>
      <c r="P197" s="50"/>
      <c r="Q197" s="50"/>
      <c r="R197" s="50"/>
      <c r="S197" s="50"/>
      <c r="T197" s="50"/>
      <c r="U197" s="50"/>
      <c r="V197" s="50"/>
      <c r="W197" s="50"/>
    </row>
    <row r="198" ht="15.75" customHeight="1">
      <c r="A198" s="50"/>
      <c r="B198" s="50"/>
      <c r="C198" s="50"/>
      <c r="D198" s="50"/>
      <c r="E198" s="50"/>
      <c r="F198" s="50"/>
      <c r="G198" s="50"/>
      <c r="H198" s="50"/>
      <c r="I198" s="50"/>
      <c r="J198" s="50"/>
      <c r="K198" s="50"/>
      <c r="L198" s="50"/>
      <c r="M198" s="50"/>
      <c r="N198" s="50"/>
      <c r="O198" s="50"/>
      <c r="P198" s="50"/>
      <c r="Q198" s="50"/>
      <c r="R198" s="50"/>
      <c r="S198" s="50"/>
      <c r="T198" s="50"/>
      <c r="U198" s="50"/>
      <c r="V198" s="50"/>
      <c r="W198" s="50"/>
    </row>
    <row r="199" ht="15.75" customHeight="1">
      <c r="A199" s="50"/>
      <c r="B199" s="50"/>
      <c r="C199" s="50"/>
      <c r="D199" s="50"/>
      <c r="E199" s="50"/>
      <c r="F199" s="50"/>
      <c r="G199" s="50"/>
      <c r="H199" s="50"/>
      <c r="I199" s="50"/>
      <c r="J199" s="50"/>
      <c r="K199" s="50"/>
      <c r="L199" s="50"/>
      <c r="M199" s="50"/>
      <c r="N199" s="50"/>
      <c r="O199" s="50"/>
      <c r="P199" s="50"/>
      <c r="Q199" s="50"/>
      <c r="R199" s="50"/>
      <c r="S199" s="50"/>
      <c r="T199" s="50"/>
      <c r="U199" s="50"/>
      <c r="V199" s="50"/>
      <c r="W199" s="50"/>
    </row>
    <row r="200" ht="15.75" customHeight="1">
      <c r="A200" s="50"/>
      <c r="B200" s="50"/>
      <c r="C200" s="50"/>
      <c r="D200" s="50"/>
      <c r="E200" s="50"/>
      <c r="F200" s="50"/>
      <c r="G200" s="50"/>
      <c r="H200" s="50"/>
      <c r="I200" s="50"/>
      <c r="J200" s="50"/>
      <c r="K200" s="50"/>
      <c r="L200" s="50"/>
      <c r="M200" s="50"/>
      <c r="N200" s="50"/>
      <c r="O200" s="50"/>
      <c r="P200" s="50"/>
      <c r="Q200" s="50"/>
      <c r="R200" s="50"/>
      <c r="S200" s="50"/>
      <c r="T200" s="50"/>
      <c r="U200" s="50"/>
      <c r="V200" s="50"/>
      <c r="W200" s="50"/>
    </row>
    <row r="201" ht="15.75" customHeight="1">
      <c r="A201" s="50"/>
      <c r="B201" s="50"/>
      <c r="C201" s="50"/>
      <c r="D201" s="50"/>
      <c r="E201" s="50"/>
      <c r="F201" s="50"/>
      <c r="G201" s="50"/>
      <c r="H201" s="50"/>
      <c r="I201" s="50"/>
      <c r="J201" s="50"/>
      <c r="K201" s="50"/>
      <c r="L201" s="50"/>
      <c r="M201" s="50"/>
      <c r="N201" s="50"/>
      <c r="O201" s="50"/>
      <c r="P201" s="50"/>
      <c r="Q201" s="50"/>
      <c r="R201" s="50"/>
      <c r="S201" s="50"/>
      <c r="T201" s="50"/>
      <c r="U201" s="50"/>
      <c r="V201" s="50"/>
      <c r="W201" s="50"/>
    </row>
    <row r="202" ht="15.75" customHeight="1">
      <c r="A202" s="50"/>
      <c r="B202" s="50"/>
      <c r="C202" s="50"/>
      <c r="D202" s="50"/>
      <c r="E202" s="50"/>
      <c r="F202" s="50"/>
      <c r="G202" s="50"/>
      <c r="H202" s="50"/>
      <c r="I202" s="50"/>
      <c r="J202" s="50"/>
      <c r="K202" s="50"/>
      <c r="L202" s="50"/>
      <c r="M202" s="50"/>
      <c r="N202" s="50"/>
      <c r="O202" s="50"/>
      <c r="P202" s="50"/>
      <c r="Q202" s="50"/>
      <c r="R202" s="50"/>
      <c r="S202" s="50"/>
      <c r="T202" s="50"/>
      <c r="U202" s="50"/>
      <c r="V202" s="50"/>
      <c r="W202" s="50"/>
    </row>
    <row r="203" ht="15.75" customHeight="1">
      <c r="A203" s="50"/>
      <c r="B203" s="50"/>
      <c r="C203" s="50"/>
      <c r="D203" s="50"/>
      <c r="E203" s="50"/>
      <c r="F203" s="50"/>
      <c r="G203" s="50"/>
      <c r="H203" s="50"/>
      <c r="I203" s="50"/>
      <c r="J203" s="50"/>
      <c r="K203" s="50"/>
      <c r="L203" s="50"/>
      <c r="M203" s="50"/>
      <c r="N203" s="50"/>
      <c r="O203" s="50"/>
      <c r="P203" s="50"/>
      <c r="Q203" s="50"/>
      <c r="R203" s="50"/>
      <c r="S203" s="50"/>
      <c r="T203" s="50"/>
      <c r="U203" s="50"/>
      <c r="V203" s="50"/>
      <c r="W203" s="50"/>
    </row>
    <row r="204" ht="15.75" customHeight="1">
      <c r="A204" s="50"/>
      <c r="B204" s="50"/>
      <c r="C204" s="50"/>
      <c r="D204" s="50"/>
      <c r="E204" s="50"/>
      <c r="F204" s="50"/>
      <c r="G204" s="50"/>
      <c r="H204" s="50"/>
      <c r="I204" s="50"/>
      <c r="J204" s="50"/>
      <c r="K204" s="50"/>
      <c r="L204" s="50"/>
      <c r="M204" s="50"/>
      <c r="N204" s="50"/>
      <c r="O204" s="50"/>
      <c r="P204" s="50"/>
      <c r="Q204" s="50"/>
      <c r="R204" s="50"/>
      <c r="S204" s="50"/>
      <c r="T204" s="50"/>
      <c r="U204" s="50"/>
      <c r="V204" s="50"/>
      <c r="W204" s="50"/>
    </row>
    <row r="205" ht="15.75" customHeight="1">
      <c r="A205" s="50"/>
      <c r="B205" s="50"/>
      <c r="C205" s="50"/>
      <c r="D205" s="50"/>
      <c r="E205" s="50"/>
      <c r="F205" s="50"/>
      <c r="G205" s="50"/>
      <c r="H205" s="50"/>
      <c r="I205" s="50"/>
      <c r="J205" s="50"/>
      <c r="K205" s="50"/>
      <c r="L205" s="50"/>
      <c r="M205" s="50"/>
      <c r="N205" s="50"/>
      <c r="O205" s="50"/>
      <c r="P205" s="50"/>
      <c r="Q205" s="50"/>
      <c r="R205" s="50"/>
      <c r="S205" s="50"/>
      <c r="T205" s="50"/>
      <c r="U205" s="50"/>
      <c r="V205" s="50"/>
      <c r="W205" s="50"/>
    </row>
    <row r="206" ht="15.75" customHeight="1">
      <c r="A206" s="50"/>
      <c r="B206" s="50"/>
      <c r="C206" s="50"/>
      <c r="D206" s="50"/>
      <c r="E206" s="50"/>
      <c r="F206" s="50"/>
      <c r="G206" s="50"/>
      <c r="H206" s="50"/>
      <c r="I206" s="50"/>
      <c r="J206" s="50"/>
      <c r="K206" s="50"/>
      <c r="L206" s="50"/>
      <c r="M206" s="50"/>
      <c r="N206" s="50"/>
      <c r="O206" s="50"/>
      <c r="P206" s="50"/>
      <c r="Q206" s="50"/>
      <c r="R206" s="50"/>
      <c r="S206" s="50"/>
      <c r="T206" s="50"/>
      <c r="U206" s="50"/>
      <c r="V206" s="50"/>
      <c r="W206" s="50"/>
    </row>
    <row r="207" ht="15.75" customHeight="1">
      <c r="A207" s="50"/>
      <c r="B207" s="50"/>
      <c r="C207" s="50"/>
      <c r="D207" s="50"/>
      <c r="E207" s="50"/>
      <c r="F207" s="50"/>
      <c r="G207" s="50"/>
      <c r="H207" s="50"/>
      <c r="I207" s="50"/>
      <c r="J207" s="50"/>
      <c r="K207" s="50"/>
      <c r="L207" s="50"/>
      <c r="M207" s="50"/>
      <c r="N207" s="50"/>
      <c r="O207" s="50"/>
      <c r="P207" s="50"/>
      <c r="Q207" s="50"/>
      <c r="R207" s="50"/>
      <c r="S207" s="50"/>
      <c r="T207" s="50"/>
      <c r="U207" s="50"/>
      <c r="V207" s="50"/>
      <c r="W207" s="50"/>
    </row>
    <row r="208" ht="15.75" customHeight="1">
      <c r="A208" s="50"/>
      <c r="B208" s="50"/>
      <c r="C208" s="50"/>
      <c r="D208" s="50"/>
      <c r="E208" s="50"/>
      <c r="F208" s="50"/>
      <c r="G208" s="50"/>
      <c r="H208" s="50"/>
      <c r="I208" s="50"/>
      <c r="J208" s="50"/>
      <c r="K208" s="50"/>
      <c r="L208" s="50"/>
      <c r="M208" s="50"/>
      <c r="N208" s="50"/>
      <c r="O208" s="50"/>
      <c r="P208" s="50"/>
      <c r="Q208" s="50"/>
      <c r="R208" s="50"/>
      <c r="S208" s="50"/>
      <c r="T208" s="50"/>
      <c r="U208" s="50"/>
      <c r="V208" s="50"/>
      <c r="W208" s="50"/>
    </row>
    <row r="209" ht="15.75" customHeight="1">
      <c r="A209" s="50"/>
      <c r="B209" s="50"/>
      <c r="C209" s="50"/>
      <c r="D209" s="50"/>
      <c r="E209" s="50"/>
      <c r="F209" s="50"/>
      <c r="G209" s="50"/>
      <c r="H209" s="50"/>
      <c r="I209" s="50"/>
      <c r="J209" s="50"/>
      <c r="K209" s="50"/>
      <c r="L209" s="50"/>
      <c r="M209" s="50"/>
      <c r="N209" s="50"/>
      <c r="O209" s="50"/>
      <c r="P209" s="50"/>
      <c r="Q209" s="50"/>
      <c r="R209" s="50"/>
      <c r="S209" s="50"/>
      <c r="T209" s="50"/>
      <c r="U209" s="50"/>
      <c r="V209" s="50"/>
      <c r="W209" s="50"/>
    </row>
    <row r="210" ht="15.75" customHeight="1">
      <c r="A210" s="50"/>
      <c r="B210" s="50"/>
      <c r="C210" s="50"/>
      <c r="D210" s="50"/>
      <c r="E210" s="50"/>
      <c r="F210" s="50"/>
      <c r="G210" s="50"/>
      <c r="H210" s="50"/>
      <c r="I210" s="50"/>
      <c r="J210" s="50"/>
      <c r="K210" s="50"/>
      <c r="L210" s="50"/>
      <c r="M210" s="50"/>
      <c r="N210" s="50"/>
      <c r="O210" s="50"/>
      <c r="P210" s="50"/>
      <c r="Q210" s="50"/>
      <c r="R210" s="50"/>
      <c r="S210" s="50"/>
      <c r="T210" s="50"/>
      <c r="U210" s="50"/>
      <c r="V210" s="50"/>
      <c r="W210" s="50"/>
    </row>
    <row r="211" ht="15.75" customHeight="1">
      <c r="A211" s="50"/>
      <c r="B211" s="50"/>
      <c r="C211" s="50"/>
      <c r="D211" s="50"/>
      <c r="E211" s="50"/>
      <c r="F211" s="50"/>
      <c r="G211" s="50"/>
      <c r="H211" s="50"/>
      <c r="I211" s="50"/>
      <c r="J211" s="50"/>
      <c r="K211" s="50"/>
      <c r="L211" s="50"/>
      <c r="M211" s="50"/>
      <c r="N211" s="50"/>
      <c r="O211" s="50"/>
      <c r="P211" s="50"/>
      <c r="Q211" s="50"/>
      <c r="R211" s="50"/>
      <c r="S211" s="50"/>
      <c r="T211" s="50"/>
      <c r="U211" s="50"/>
      <c r="V211" s="50"/>
      <c r="W211" s="50"/>
    </row>
    <row r="212" ht="15.75" customHeight="1">
      <c r="A212" s="50"/>
      <c r="B212" s="50"/>
      <c r="C212" s="50"/>
      <c r="D212" s="50"/>
      <c r="E212" s="50"/>
      <c r="F212" s="50"/>
      <c r="G212" s="50"/>
      <c r="H212" s="50"/>
      <c r="I212" s="50"/>
      <c r="J212" s="50"/>
      <c r="K212" s="50"/>
      <c r="L212" s="50"/>
      <c r="M212" s="50"/>
      <c r="N212" s="50"/>
      <c r="O212" s="50"/>
      <c r="P212" s="50"/>
      <c r="Q212" s="50"/>
      <c r="R212" s="50"/>
      <c r="S212" s="50"/>
      <c r="T212" s="50"/>
      <c r="U212" s="50"/>
      <c r="V212" s="50"/>
      <c r="W212" s="50"/>
    </row>
    <row r="213" ht="15.75" customHeight="1">
      <c r="A213" s="50"/>
      <c r="B213" s="50"/>
      <c r="C213" s="50"/>
      <c r="D213" s="50"/>
      <c r="E213" s="50"/>
      <c r="F213" s="50"/>
      <c r="G213" s="50"/>
      <c r="H213" s="50"/>
      <c r="I213" s="50"/>
      <c r="J213" s="50"/>
      <c r="K213" s="50"/>
      <c r="L213" s="50"/>
      <c r="M213" s="50"/>
      <c r="N213" s="50"/>
      <c r="O213" s="50"/>
      <c r="P213" s="50"/>
      <c r="Q213" s="50"/>
      <c r="R213" s="50"/>
      <c r="S213" s="50"/>
      <c r="T213" s="50"/>
      <c r="U213" s="50"/>
      <c r="V213" s="50"/>
      <c r="W213" s="50"/>
    </row>
    <row r="214" ht="15.75" customHeight="1">
      <c r="A214" s="50"/>
      <c r="B214" s="50"/>
      <c r="C214" s="50"/>
      <c r="D214" s="50"/>
      <c r="E214" s="50"/>
      <c r="F214" s="50"/>
      <c r="G214" s="50"/>
      <c r="H214" s="50"/>
      <c r="I214" s="50"/>
      <c r="J214" s="50"/>
      <c r="K214" s="50"/>
      <c r="L214" s="50"/>
      <c r="M214" s="50"/>
      <c r="N214" s="50"/>
      <c r="O214" s="50"/>
      <c r="P214" s="50"/>
      <c r="Q214" s="50"/>
      <c r="R214" s="50"/>
      <c r="S214" s="50"/>
      <c r="T214" s="50"/>
      <c r="U214" s="50"/>
      <c r="V214" s="50"/>
      <c r="W214" s="50"/>
    </row>
    <row r="215" ht="15.75" customHeight="1">
      <c r="A215" s="50"/>
      <c r="B215" s="50"/>
      <c r="C215" s="50"/>
      <c r="D215" s="50"/>
      <c r="E215" s="50"/>
      <c r="F215" s="50"/>
      <c r="G215" s="50"/>
      <c r="H215" s="50"/>
      <c r="I215" s="50"/>
      <c r="J215" s="50"/>
      <c r="K215" s="50"/>
      <c r="L215" s="50"/>
      <c r="M215" s="50"/>
      <c r="N215" s="50"/>
      <c r="O215" s="50"/>
      <c r="P215" s="50"/>
      <c r="Q215" s="50"/>
      <c r="R215" s="50"/>
      <c r="S215" s="50"/>
      <c r="T215" s="50"/>
      <c r="U215" s="50"/>
      <c r="V215" s="50"/>
      <c r="W215" s="50"/>
    </row>
    <row r="216" ht="15.75" customHeight="1">
      <c r="A216" s="50"/>
      <c r="B216" s="50"/>
      <c r="C216" s="50"/>
      <c r="D216" s="50"/>
      <c r="E216" s="50"/>
      <c r="F216" s="50"/>
      <c r="G216" s="50"/>
      <c r="H216" s="50"/>
      <c r="I216" s="50"/>
      <c r="J216" s="50"/>
      <c r="K216" s="50"/>
      <c r="L216" s="50"/>
      <c r="M216" s="50"/>
      <c r="N216" s="50"/>
      <c r="O216" s="50"/>
      <c r="P216" s="50"/>
      <c r="Q216" s="50"/>
      <c r="R216" s="50"/>
      <c r="S216" s="50"/>
      <c r="T216" s="50"/>
      <c r="U216" s="50"/>
      <c r="V216" s="50"/>
      <c r="W216" s="50"/>
    </row>
    <row r="217" ht="15.75" customHeight="1">
      <c r="A217" s="50"/>
      <c r="B217" s="50"/>
      <c r="C217" s="50"/>
      <c r="D217" s="50"/>
      <c r="E217" s="50"/>
      <c r="F217" s="50"/>
      <c r="G217" s="50"/>
      <c r="H217" s="50"/>
      <c r="I217" s="50"/>
      <c r="J217" s="50"/>
      <c r="K217" s="50"/>
      <c r="L217" s="50"/>
      <c r="M217" s="50"/>
      <c r="N217" s="50"/>
      <c r="O217" s="50"/>
      <c r="P217" s="50"/>
      <c r="Q217" s="50"/>
      <c r="R217" s="50"/>
      <c r="S217" s="50"/>
      <c r="T217" s="50"/>
      <c r="U217" s="50"/>
      <c r="V217" s="50"/>
      <c r="W217" s="50"/>
    </row>
    <row r="218" ht="15.75" customHeight="1">
      <c r="A218" s="50"/>
      <c r="B218" s="50"/>
      <c r="C218" s="50"/>
      <c r="D218" s="50"/>
      <c r="E218" s="50"/>
      <c r="F218" s="50"/>
      <c r="G218" s="50"/>
      <c r="H218" s="50"/>
      <c r="I218" s="50"/>
      <c r="J218" s="50"/>
      <c r="K218" s="50"/>
      <c r="L218" s="50"/>
      <c r="M218" s="50"/>
      <c r="N218" s="50"/>
      <c r="O218" s="50"/>
      <c r="P218" s="50"/>
      <c r="Q218" s="50"/>
      <c r="R218" s="50"/>
      <c r="S218" s="50"/>
      <c r="T218" s="50"/>
      <c r="U218" s="50"/>
      <c r="V218" s="50"/>
      <c r="W218" s="50"/>
    </row>
    <row r="219" ht="15.75" customHeight="1">
      <c r="A219" s="50"/>
      <c r="B219" s="50"/>
      <c r="C219" s="50"/>
      <c r="D219" s="50"/>
      <c r="E219" s="50"/>
      <c r="F219" s="50"/>
      <c r="G219" s="50"/>
      <c r="H219" s="50"/>
      <c r="I219" s="50"/>
      <c r="J219" s="50"/>
      <c r="K219" s="50"/>
      <c r="L219" s="50"/>
      <c r="M219" s="50"/>
      <c r="N219" s="50"/>
      <c r="O219" s="50"/>
      <c r="P219" s="50"/>
      <c r="Q219" s="50"/>
      <c r="R219" s="50"/>
      <c r="S219" s="50"/>
      <c r="T219" s="50"/>
      <c r="U219" s="50"/>
      <c r="V219" s="50"/>
      <c r="W219" s="50"/>
    </row>
    <row r="220" ht="15.75" customHeight="1">
      <c r="A220" s="50"/>
      <c r="B220" s="50"/>
      <c r="C220" s="50"/>
      <c r="D220" s="50"/>
      <c r="E220" s="50"/>
      <c r="F220" s="50"/>
      <c r="G220" s="50"/>
      <c r="H220" s="50"/>
      <c r="I220" s="50"/>
      <c r="J220" s="50"/>
      <c r="K220" s="50"/>
      <c r="L220" s="50"/>
      <c r="M220" s="50"/>
      <c r="N220" s="50"/>
      <c r="O220" s="50"/>
      <c r="P220" s="50"/>
      <c r="Q220" s="50"/>
      <c r="R220" s="50"/>
      <c r="S220" s="50"/>
      <c r="T220" s="50"/>
      <c r="U220" s="50"/>
      <c r="V220" s="50"/>
      <c r="W220" s="50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6.13"/>
    <col customWidth="1" min="2" max="4" width="12.63"/>
    <col customWidth="1" min="5" max="5" width="20.38"/>
    <col customWidth="1" min="6" max="6" width="12.63"/>
    <col customWidth="1" min="9" max="9" width="20.75"/>
  </cols>
  <sheetData>
    <row r="1" ht="15.75" customHeight="1">
      <c r="B1" s="41"/>
    </row>
    <row r="2" ht="39.75" customHeight="1">
      <c r="B2" s="51">
        <v>39.0</v>
      </c>
      <c r="F2" s="51">
        <v>120.0</v>
      </c>
      <c r="J2" s="51">
        <v>13.0</v>
      </c>
    </row>
    <row r="3" ht="39.75" customHeight="1">
      <c r="B3" s="51">
        <v>16.0</v>
      </c>
      <c r="F3" s="51">
        <v>4.0</v>
      </c>
      <c r="J3" s="51">
        <v>4.0</v>
      </c>
    </row>
    <row r="4" ht="39.75" customHeight="1">
      <c r="B4" s="51">
        <v>13.0</v>
      </c>
      <c r="F4" s="51">
        <v>5.0</v>
      </c>
      <c r="J4" s="51">
        <v>5.0</v>
      </c>
    </row>
    <row r="5" ht="39.75" customHeight="1">
      <c r="B5" s="51"/>
      <c r="F5" s="51"/>
      <c r="J5" s="51"/>
    </row>
    <row r="6" ht="39.75" customHeight="1">
      <c r="B6" s="51"/>
      <c r="F6" s="51">
        <f>DIVIDE(F2,F4)</f>
        <v>24</v>
      </c>
      <c r="J6" s="51"/>
    </row>
    <row r="7" ht="39.75" customHeight="1">
      <c r="A7" s="52" t="s">
        <v>106</v>
      </c>
      <c r="B7" s="51">
        <f>B2*B3</f>
        <v>624</v>
      </c>
      <c r="E7" s="52" t="s">
        <v>107</v>
      </c>
      <c r="F7" s="51">
        <f>DIVIDE(F2,F4)</f>
        <v>24</v>
      </c>
      <c r="I7" s="53" t="s">
        <v>108</v>
      </c>
      <c r="J7" s="51">
        <f>QUOTIENT(J2,J3)</f>
        <v>3</v>
      </c>
    </row>
    <row r="8" ht="39.75" customHeight="1">
      <c r="A8" s="52" t="s">
        <v>106</v>
      </c>
      <c r="B8" s="51">
        <f>PRODUCT(B2,B4)</f>
        <v>507</v>
      </c>
      <c r="E8" s="52" t="s">
        <v>107</v>
      </c>
      <c r="F8" s="51">
        <f>F2/F3</f>
        <v>30</v>
      </c>
      <c r="I8" s="53" t="s">
        <v>108</v>
      </c>
      <c r="J8" s="51">
        <f>QUOTIENT(J2,J4)</f>
        <v>2</v>
      </c>
    </row>
    <row r="9" ht="15.75" customHeight="1">
      <c r="B9" s="41"/>
    </row>
    <row r="10" ht="15.75" customHeight="1">
      <c r="B10" s="41"/>
    </row>
    <row r="11" ht="15.75" customHeight="1">
      <c r="B11" s="41"/>
    </row>
    <row r="12" ht="15.75" customHeight="1">
      <c r="B12" s="41"/>
    </row>
    <row r="13" ht="15.75" customHeight="1">
      <c r="B13" s="41"/>
    </row>
    <row r="14" ht="15.75" customHeight="1">
      <c r="B14" s="41"/>
    </row>
    <row r="15" ht="15.75" customHeight="1">
      <c r="B15" s="41"/>
    </row>
    <row r="16" ht="15.75" customHeight="1">
      <c r="B16" s="41"/>
    </row>
    <row r="17" ht="15.75" customHeight="1">
      <c r="B17" s="41"/>
    </row>
    <row r="18" ht="15.75" customHeight="1">
      <c r="B18" s="41"/>
    </row>
    <row r="19" ht="15.75" customHeight="1">
      <c r="B19" s="41"/>
    </row>
    <row r="20" ht="15.75" customHeight="1">
      <c r="B20" s="41"/>
    </row>
    <row r="21" ht="15.75" customHeight="1">
      <c r="B21" s="41"/>
    </row>
    <row r="22" ht="15.75" customHeight="1">
      <c r="B22" s="41"/>
    </row>
    <row r="23" ht="15.75" customHeight="1">
      <c r="B23" s="41"/>
    </row>
    <row r="24" ht="15.75" customHeight="1">
      <c r="B24" s="41"/>
    </row>
    <row r="25" ht="15.75" customHeight="1">
      <c r="B25" s="41"/>
    </row>
    <row r="26" ht="15.75" customHeight="1">
      <c r="B26" s="41"/>
    </row>
    <row r="27" ht="15.75" customHeight="1">
      <c r="B27" s="41"/>
    </row>
    <row r="28" ht="15.75" customHeight="1">
      <c r="B28" s="41"/>
    </row>
    <row r="29" ht="15.75" customHeight="1">
      <c r="B29" s="41"/>
    </row>
    <row r="30" ht="15.75" customHeight="1">
      <c r="B30" s="41"/>
    </row>
    <row r="31" ht="15.75" customHeight="1">
      <c r="B31" s="41"/>
    </row>
    <row r="32" ht="15.75" customHeight="1">
      <c r="B32" s="41"/>
    </row>
    <row r="33" ht="15.75" customHeight="1">
      <c r="B33" s="41"/>
    </row>
    <row r="34" ht="15.75" customHeight="1">
      <c r="B34" s="41"/>
    </row>
    <row r="35" ht="15.75" customHeight="1">
      <c r="B35" s="41"/>
    </row>
    <row r="36" ht="15.75" customHeight="1">
      <c r="B36" s="41"/>
    </row>
    <row r="37" ht="15.75" customHeight="1">
      <c r="B37" s="41"/>
    </row>
    <row r="38" ht="15.75" customHeight="1">
      <c r="B38" s="41"/>
    </row>
    <row r="39" ht="15.75" customHeight="1">
      <c r="B39" s="41"/>
    </row>
    <row r="40" ht="15.75" customHeight="1">
      <c r="B40" s="41"/>
    </row>
    <row r="41" ht="15.75" customHeight="1">
      <c r="B41" s="41"/>
    </row>
    <row r="42" ht="15.75" customHeight="1">
      <c r="B42" s="41"/>
    </row>
    <row r="43" ht="15.75" customHeight="1">
      <c r="B43" s="41"/>
    </row>
    <row r="44" ht="15.75" customHeight="1">
      <c r="B44" s="41"/>
    </row>
    <row r="45" ht="15.75" customHeight="1">
      <c r="B45" s="41"/>
    </row>
    <row r="46" ht="15.75" customHeight="1">
      <c r="B46" s="41"/>
    </row>
    <row r="47" ht="15.75" customHeight="1">
      <c r="B47" s="41"/>
    </row>
    <row r="48" ht="15.75" customHeight="1">
      <c r="B48" s="41"/>
    </row>
    <row r="49" ht="15.75" customHeight="1">
      <c r="B49" s="41"/>
    </row>
    <row r="50" ht="15.75" customHeight="1">
      <c r="B50" s="41"/>
    </row>
    <row r="51" ht="15.75" customHeight="1">
      <c r="B51" s="41"/>
    </row>
    <row r="52" ht="15.75" customHeight="1">
      <c r="B52" s="41"/>
    </row>
    <row r="53" ht="15.75" customHeight="1">
      <c r="B53" s="41"/>
    </row>
    <row r="54" ht="15.75" customHeight="1">
      <c r="B54" s="41"/>
    </row>
    <row r="55" ht="15.75" customHeight="1">
      <c r="B55" s="41"/>
    </row>
    <row r="56" ht="15.75" customHeight="1">
      <c r="B56" s="41"/>
    </row>
    <row r="57" ht="15.75" customHeight="1">
      <c r="B57" s="41"/>
    </row>
    <row r="58" ht="15.75" customHeight="1">
      <c r="B58" s="41"/>
    </row>
    <row r="59" ht="15.75" customHeight="1">
      <c r="B59" s="41"/>
    </row>
    <row r="60" ht="15.75" customHeight="1">
      <c r="B60" s="41"/>
    </row>
    <row r="61" ht="15.75" customHeight="1">
      <c r="B61" s="41"/>
    </row>
    <row r="62" ht="15.75" customHeight="1">
      <c r="B62" s="41"/>
    </row>
    <row r="63" ht="15.75" customHeight="1">
      <c r="B63" s="41"/>
    </row>
    <row r="64" ht="15.75" customHeight="1">
      <c r="B64" s="41"/>
    </row>
    <row r="65" ht="15.75" customHeight="1">
      <c r="B65" s="41"/>
    </row>
    <row r="66" ht="15.75" customHeight="1">
      <c r="B66" s="41"/>
    </row>
    <row r="67" ht="15.75" customHeight="1">
      <c r="B67" s="41"/>
    </row>
    <row r="68" ht="15.75" customHeight="1">
      <c r="B68" s="41"/>
    </row>
    <row r="69" ht="15.75" customHeight="1">
      <c r="B69" s="41"/>
    </row>
    <row r="70" ht="15.75" customHeight="1">
      <c r="B70" s="41"/>
    </row>
    <row r="71" ht="15.75" customHeight="1">
      <c r="B71" s="41"/>
    </row>
    <row r="72" ht="15.75" customHeight="1">
      <c r="B72" s="41"/>
    </row>
    <row r="73" ht="15.75" customHeight="1">
      <c r="B73" s="41"/>
    </row>
    <row r="74" ht="15.75" customHeight="1">
      <c r="B74" s="41"/>
    </row>
    <row r="75" ht="15.75" customHeight="1">
      <c r="B75" s="41"/>
    </row>
    <row r="76" ht="15.75" customHeight="1">
      <c r="B76" s="41"/>
    </row>
    <row r="77" ht="15.75" customHeight="1">
      <c r="B77" s="41"/>
    </row>
    <row r="78" ht="15.75" customHeight="1">
      <c r="B78" s="41"/>
    </row>
    <row r="79" ht="15.75" customHeight="1">
      <c r="B79" s="41"/>
    </row>
    <row r="80" ht="15.75" customHeight="1">
      <c r="B80" s="41"/>
    </row>
    <row r="81" ht="15.75" customHeight="1">
      <c r="B81" s="41"/>
    </row>
    <row r="82" ht="15.75" customHeight="1">
      <c r="B82" s="41"/>
    </row>
    <row r="83" ht="15.75" customHeight="1">
      <c r="B83" s="41"/>
    </row>
    <row r="84" ht="15.75" customHeight="1">
      <c r="B84" s="41"/>
    </row>
    <row r="85" ht="15.75" customHeight="1">
      <c r="B85" s="41"/>
    </row>
    <row r="86" ht="15.75" customHeight="1">
      <c r="B86" s="41"/>
    </row>
    <row r="87" ht="15.75" customHeight="1">
      <c r="B87" s="41"/>
    </row>
    <row r="88" ht="15.75" customHeight="1">
      <c r="B88" s="41"/>
    </row>
    <row r="89" ht="15.75" customHeight="1">
      <c r="B89" s="41"/>
    </row>
    <row r="90" ht="15.75" customHeight="1">
      <c r="B90" s="41"/>
    </row>
    <row r="91" ht="15.75" customHeight="1">
      <c r="B91" s="41"/>
    </row>
    <row r="92" ht="15.75" customHeight="1">
      <c r="B92" s="41"/>
    </row>
    <row r="93" ht="15.75" customHeight="1">
      <c r="B93" s="41"/>
    </row>
    <row r="94" ht="15.75" customHeight="1">
      <c r="B94" s="41"/>
    </row>
    <row r="95" ht="15.75" customHeight="1">
      <c r="B95" s="41"/>
    </row>
    <row r="96" ht="15.75" customHeight="1">
      <c r="B96" s="41"/>
    </row>
    <row r="97" ht="15.75" customHeight="1">
      <c r="B97" s="41"/>
    </row>
    <row r="98" ht="15.75" customHeight="1">
      <c r="B98" s="41"/>
    </row>
    <row r="99" ht="15.75" customHeight="1">
      <c r="B99" s="41"/>
    </row>
    <row r="100" ht="15.75" customHeight="1">
      <c r="B100" s="41"/>
    </row>
    <row r="101" ht="15.75" customHeight="1">
      <c r="B101" s="41"/>
    </row>
    <row r="102" ht="15.75" customHeight="1">
      <c r="B102" s="41"/>
    </row>
    <row r="103" ht="15.75" customHeight="1">
      <c r="B103" s="41"/>
    </row>
    <row r="104" ht="15.75" customHeight="1">
      <c r="B104" s="41"/>
    </row>
    <row r="105" ht="15.75" customHeight="1">
      <c r="B105" s="41"/>
    </row>
    <row r="106" ht="15.75" customHeight="1">
      <c r="B106" s="41"/>
    </row>
    <row r="107" ht="15.75" customHeight="1">
      <c r="B107" s="41"/>
    </row>
    <row r="108" ht="15.75" customHeight="1">
      <c r="B108" s="41"/>
    </row>
    <row r="109" ht="15.75" customHeight="1">
      <c r="B109" s="41"/>
    </row>
    <row r="110" ht="15.75" customHeight="1">
      <c r="B110" s="41"/>
    </row>
    <row r="111" ht="15.75" customHeight="1">
      <c r="B111" s="41"/>
    </row>
    <row r="112" ht="15.75" customHeight="1">
      <c r="B112" s="41"/>
    </row>
    <row r="113" ht="15.75" customHeight="1">
      <c r="B113" s="41"/>
    </row>
    <row r="114" ht="15.75" customHeight="1">
      <c r="B114" s="41"/>
    </row>
    <row r="115" ht="15.75" customHeight="1">
      <c r="B115" s="41"/>
    </row>
    <row r="116" ht="15.75" customHeight="1">
      <c r="B116" s="41"/>
    </row>
    <row r="117" ht="15.75" customHeight="1">
      <c r="B117" s="41"/>
    </row>
    <row r="118" ht="15.75" customHeight="1">
      <c r="B118" s="41"/>
    </row>
    <row r="119" ht="15.75" customHeight="1">
      <c r="B119" s="41"/>
    </row>
    <row r="120" ht="15.75" customHeight="1">
      <c r="B120" s="41"/>
    </row>
    <row r="121" ht="15.75" customHeight="1">
      <c r="B121" s="41"/>
    </row>
    <row r="122" ht="15.75" customHeight="1">
      <c r="B122" s="41"/>
    </row>
    <row r="123" ht="15.75" customHeight="1">
      <c r="B123" s="41"/>
    </row>
    <row r="124" ht="15.75" customHeight="1">
      <c r="B124" s="41"/>
    </row>
    <row r="125" ht="15.75" customHeight="1">
      <c r="B125" s="41"/>
    </row>
    <row r="126" ht="15.75" customHeight="1">
      <c r="B126" s="41"/>
    </row>
    <row r="127" ht="15.75" customHeight="1">
      <c r="B127" s="41"/>
    </row>
    <row r="128" ht="15.75" customHeight="1">
      <c r="B128" s="41"/>
    </row>
    <row r="129" ht="15.75" customHeight="1">
      <c r="B129" s="41"/>
    </row>
    <row r="130" ht="15.75" customHeight="1">
      <c r="B130" s="41"/>
    </row>
    <row r="131" ht="15.75" customHeight="1">
      <c r="B131" s="41"/>
    </row>
    <row r="132" ht="15.75" customHeight="1">
      <c r="B132" s="41"/>
    </row>
    <row r="133" ht="15.75" customHeight="1">
      <c r="B133" s="41"/>
    </row>
    <row r="134" ht="15.75" customHeight="1">
      <c r="B134" s="41"/>
    </row>
    <row r="135" ht="15.75" customHeight="1">
      <c r="B135" s="41"/>
    </row>
    <row r="136" ht="15.75" customHeight="1">
      <c r="B136" s="41"/>
    </row>
    <row r="137" ht="15.75" customHeight="1">
      <c r="B137" s="41"/>
    </row>
    <row r="138" ht="15.75" customHeight="1">
      <c r="B138" s="41"/>
    </row>
    <row r="139" ht="15.75" customHeight="1">
      <c r="B139" s="41"/>
    </row>
    <row r="140" ht="15.75" customHeight="1">
      <c r="B140" s="41"/>
    </row>
    <row r="141" ht="15.75" customHeight="1">
      <c r="B141" s="41"/>
    </row>
    <row r="142" ht="15.75" customHeight="1">
      <c r="B142" s="41"/>
    </row>
    <row r="143" ht="15.75" customHeight="1">
      <c r="B143" s="41"/>
    </row>
    <row r="144" ht="15.75" customHeight="1">
      <c r="B144" s="41"/>
    </row>
    <row r="145" ht="15.75" customHeight="1">
      <c r="B145" s="41"/>
    </row>
    <row r="146" ht="15.75" customHeight="1">
      <c r="B146" s="41"/>
    </row>
    <row r="147" ht="15.75" customHeight="1">
      <c r="B147" s="41"/>
    </row>
    <row r="148" ht="15.75" customHeight="1">
      <c r="B148" s="41"/>
    </row>
    <row r="149" ht="15.75" customHeight="1">
      <c r="B149" s="41"/>
    </row>
    <row r="150" ht="15.75" customHeight="1">
      <c r="B150" s="41"/>
    </row>
    <row r="151" ht="15.75" customHeight="1">
      <c r="B151" s="41"/>
    </row>
    <row r="152" ht="15.75" customHeight="1">
      <c r="B152" s="41"/>
    </row>
    <row r="153" ht="15.75" customHeight="1">
      <c r="B153" s="41"/>
    </row>
    <row r="154" ht="15.75" customHeight="1">
      <c r="B154" s="41"/>
    </row>
    <row r="155" ht="15.75" customHeight="1">
      <c r="B155" s="41"/>
    </row>
    <row r="156" ht="15.75" customHeight="1">
      <c r="B156" s="41"/>
    </row>
    <row r="157" ht="15.75" customHeight="1">
      <c r="B157" s="41"/>
    </row>
    <row r="158" ht="15.75" customHeight="1">
      <c r="B158" s="41"/>
    </row>
    <row r="159" ht="15.75" customHeight="1">
      <c r="B159" s="41"/>
    </row>
    <row r="160" ht="15.75" customHeight="1">
      <c r="B160" s="41"/>
    </row>
    <row r="161" ht="15.75" customHeight="1">
      <c r="B161" s="41"/>
    </row>
    <row r="162" ht="15.75" customHeight="1">
      <c r="B162" s="41"/>
    </row>
    <row r="163" ht="15.75" customHeight="1">
      <c r="B163" s="41"/>
    </row>
    <row r="164" ht="15.75" customHeight="1">
      <c r="B164" s="41"/>
    </row>
    <row r="165" ht="15.75" customHeight="1">
      <c r="B165" s="41"/>
    </row>
    <row r="166" ht="15.75" customHeight="1">
      <c r="B166" s="41"/>
    </row>
    <row r="167" ht="15.75" customHeight="1">
      <c r="B167" s="41"/>
    </row>
    <row r="168" ht="15.75" customHeight="1">
      <c r="B168" s="41"/>
    </row>
    <row r="169" ht="15.75" customHeight="1">
      <c r="B169" s="41"/>
    </row>
    <row r="170" ht="15.75" customHeight="1">
      <c r="B170" s="41"/>
    </row>
    <row r="171" ht="15.75" customHeight="1">
      <c r="B171" s="41"/>
    </row>
    <row r="172" ht="15.75" customHeight="1">
      <c r="B172" s="41"/>
    </row>
    <row r="173" ht="15.75" customHeight="1">
      <c r="B173" s="41"/>
    </row>
    <row r="174" ht="15.75" customHeight="1">
      <c r="B174" s="41"/>
    </row>
    <row r="175" ht="15.75" customHeight="1">
      <c r="B175" s="41"/>
    </row>
    <row r="176" ht="15.75" customHeight="1">
      <c r="B176" s="41"/>
    </row>
    <row r="177" ht="15.75" customHeight="1">
      <c r="B177" s="41"/>
    </row>
    <row r="178" ht="15.75" customHeight="1">
      <c r="B178" s="41"/>
    </row>
    <row r="179" ht="15.75" customHeight="1">
      <c r="B179" s="41"/>
    </row>
    <row r="180" ht="15.75" customHeight="1">
      <c r="B180" s="41"/>
    </row>
    <row r="181" ht="15.75" customHeight="1">
      <c r="B181" s="41"/>
    </row>
    <row r="182" ht="15.75" customHeight="1">
      <c r="B182" s="41"/>
    </row>
    <row r="183" ht="15.75" customHeight="1">
      <c r="B183" s="41"/>
    </row>
    <row r="184" ht="15.75" customHeight="1">
      <c r="B184" s="41"/>
    </row>
    <row r="185" ht="15.75" customHeight="1">
      <c r="B185" s="41"/>
    </row>
    <row r="186" ht="15.75" customHeight="1">
      <c r="B186" s="41"/>
    </row>
    <row r="187" ht="15.75" customHeight="1">
      <c r="B187" s="41"/>
    </row>
    <row r="188" ht="15.75" customHeight="1">
      <c r="B188" s="41"/>
    </row>
    <row r="189" ht="15.75" customHeight="1">
      <c r="B189" s="41"/>
    </row>
    <row r="190" ht="15.75" customHeight="1">
      <c r="B190" s="41"/>
    </row>
    <row r="191" ht="15.75" customHeight="1">
      <c r="B191" s="41"/>
    </row>
    <row r="192" ht="15.75" customHeight="1">
      <c r="B192" s="41"/>
    </row>
    <row r="193" ht="15.75" customHeight="1">
      <c r="B193" s="41"/>
    </row>
    <row r="194" ht="15.75" customHeight="1">
      <c r="B194" s="41"/>
    </row>
    <row r="195" ht="15.75" customHeight="1">
      <c r="B195" s="41"/>
    </row>
    <row r="196" ht="15.75" customHeight="1">
      <c r="B196" s="41"/>
    </row>
    <row r="197" ht="15.75" customHeight="1">
      <c r="B197" s="41"/>
    </row>
    <row r="198" ht="15.75" customHeight="1">
      <c r="B198" s="41"/>
    </row>
    <row r="199" ht="15.75" customHeight="1">
      <c r="B199" s="41"/>
    </row>
    <row r="200" ht="15.75" customHeight="1">
      <c r="B200" s="41"/>
    </row>
    <row r="201" ht="15.75" customHeight="1">
      <c r="B201" s="41"/>
    </row>
    <row r="202" ht="15.75" customHeight="1">
      <c r="B202" s="41"/>
    </row>
    <row r="203" ht="15.75" customHeight="1">
      <c r="B203" s="41"/>
    </row>
    <row r="204" ht="15.75" customHeight="1">
      <c r="B204" s="41"/>
    </row>
    <row r="205" ht="15.75" customHeight="1">
      <c r="B205" s="41"/>
    </row>
    <row r="206" ht="15.75" customHeight="1">
      <c r="B206" s="41"/>
    </row>
    <row r="207" ht="15.75" customHeight="1">
      <c r="B207" s="41"/>
    </row>
    <row r="208" ht="15.75" customHeight="1">
      <c r="B208" s="41"/>
    </row>
    <row r="209" ht="15.75" customHeight="1">
      <c r="B209" s="41"/>
    </row>
    <row r="210" ht="15.75" customHeight="1">
      <c r="B210" s="41"/>
    </row>
    <row r="211" ht="15.75" customHeight="1">
      <c r="B211" s="41"/>
    </row>
    <row r="212" ht="15.75" customHeight="1">
      <c r="B212" s="41"/>
    </row>
    <row r="213" ht="15.75" customHeight="1">
      <c r="B213" s="41"/>
    </row>
    <row r="214" ht="15.75" customHeight="1">
      <c r="B214" s="41"/>
    </row>
    <row r="215" ht="15.75" customHeight="1">
      <c r="B215" s="41"/>
    </row>
    <row r="216" ht="15.75" customHeight="1">
      <c r="B216" s="41"/>
    </row>
    <row r="217" ht="15.75" customHeight="1">
      <c r="B217" s="41"/>
    </row>
    <row r="218" ht="15.75" customHeight="1">
      <c r="B218" s="41"/>
    </row>
    <row r="219" ht="15.75" customHeight="1">
      <c r="B219" s="41"/>
    </row>
    <row r="220" ht="15.75" customHeight="1">
      <c r="B220" s="41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32.25" customHeight="1">
      <c r="A1" s="54">
        <v>1.0</v>
      </c>
      <c r="B1" s="54">
        <v>1.0</v>
      </c>
      <c r="C1" s="54">
        <v>2.0</v>
      </c>
      <c r="D1" s="54">
        <v>3.0</v>
      </c>
      <c r="E1" s="54">
        <v>4.0</v>
      </c>
      <c r="F1" s="54">
        <v>7.0</v>
      </c>
      <c r="G1" s="54">
        <v>7.0</v>
      </c>
      <c r="H1" s="54">
        <v>7.0</v>
      </c>
      <c r="I1" s="55"/>
      <c r="J1" s="55"/>
      <c r="K1" s="55"/>
      <c r="L1" s="55"/>
      <c r="M1" s="55"/>
      <c r="N1" s="55"/>
      <c r="O1" s="55"/>
      <c r="P1" s="55"/>
      <c r="Q1" s="55"/>
      <c r="R1" s="55"/>
      <c r="S1" s="55"/>
      <c r="T1" s="55"/>
      <c r="U1" s="55"/>
      <c r="V1" s="55"/>
      <c r="W1" s="55"/>
      <c r="X1" s="55"/>
      <c r="Y1" s="55"/>
      <c r="Z1" s="55"/>
    </row>
    <row r="2" ht="32.25" customHeight="1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</row>
    <row r="3" ht="32.25" customHeight="1">
      <c r="A3" s="56" t="s">
        <v>109</v>
      </c>
      <c r="B3" s="56" t="s">
        <v>110</v>
      </c>
      <c r="C3" s="56" t="s">
        <v>111</v>
      </c>
      <c r="D3" s="24"/>
      <c r="E3" s="24"/>
      <c r="F3" s="24"/>
      <c r="G3" s="24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</row>
    <row r="4" ht="32.25" customHeight="1">
      <c r="A4" s="57">
        <f>AVERAGE(A1:H1)</f>
        <v>4</v>
      </c>
      <c r="B4" s="57">
        <f>MEDIAN(A1:H1)</f>
        <v>3.5</v>
      </c>
      <c r="C4" s="57">
        <f>MODE(A1:H1)</f>
        <v>7</v>
      </c>
      <c r="D4" s="24"/>
      <c r="E4" s="24"/>
      <c r="F4" s="24"/>
      <c r="G4" s="24"/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</row>
    <row r="5" ht="15.7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</row>
    <row r="6" ht="15.75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</row>
    <row r="7" ht="15.7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  <c r="R7" s="24"/>
      <c r="S7" s="24"/>
      <c r="T7" s="24"/>
      <c r="U7" s="24"/>
      <c r="V7" s="24"/>
      <c r="W7" s="24"/>
      <c r="X7" s="24"/>
      <c r="Y7" s="24"/>
      <c r="Z7" s="24"/>
    </row>
    <row r="8" ht="15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24"/>
      <c r="Q8" s="24"/>
      <c r="R8" s="24"/>
      <c r="S8" s="24"/>
      <c r="T8" s="24"/>
      <c r="U8" s="24"/>
      <c r="V8" s="24"/>
      <c r="W8" s="24"/>
      <c r="X8" s="24"/>
      <c r="Y8" s="24"/>
      <c r="Z8" s="24"/>
    </row>
    <row r="9" ht="15.7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  <c r="R9" s="24"/>
      <c r="S9" s="24"/>
      <c r="T9" s="24"/>
      <c r="U9" s="24"/>
      <c r="V9" s="24"/>
      <c r="W9" s="24"/>
      <c r="X9" s="24"/>
      <c r="Y9" s="24"/>
      <c r="Z9" s="24"/>
    </row>
    <row r="10" ht="15.75" customHeight="1">
      <c r="A10" s="24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</row>
    <row r="11" ht="15.75" customHeight="1">
      <c r="A11" s="24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</row>
    <row r="12" ht="15.75" customHeight="1">
      <c r="A12" s="24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  <c r="W12" s="24"/>
      <c r="X12" s="24"/>
      <c r="Y12" s="24"/>
      <c r="Z12" s="24"/>
    </row>
    <row r="13" ht="15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  <c r="W13" s="24"/>
      <c r="X13" s="24"/>
      <c r="Y13" s="24"/>
      <c r="Z13" s="24"/>
    </row>
    <row r="14" ht="15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</row>
    <row r="15" ht="15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</row>
    <row r="16" ht="15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  <c r="W16" s="24"/>
      <c r="X16" s="24"/>
      <c r="Y16" s="24"/>
      <c r="Z16" s="24"/>
    </row>
    <row r="17" ht="15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  <c r="W17" s="24"/>
      <c r="X17" s="24"/>
      <c r="Y17" s="24"/>
      <c r="Z17" s="24"/>
    </row>
    <row r="18" ht="15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  <c r="W18" s="24"/>
      <c r="X18" s="24"/>
      <c r="Y18" s="24"/>
      <c r="Z18" s="24"/>
    </row>
    <row r="19" ht="15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</row>
    <row r="20" ht="15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  <c r="W20" s="24"/>
      <c r="X20" s="24"/>
      <c r="Y20" s="24"/>
      <c r="Z20" s="24"/>
    </row>
    <row r="21" ht="15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  <c r="W21" s="24"/>
      <c r="X21" s="24"/>
      <c r="Y21" s="24"/>
      <c r="Z21" s="24"/>
    </row>
    <row r="22" ht="15.75" customHeight="1">
      <c r="A22" s="24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</row>
    <row r="23" ht="15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</row>
    <row r="24" ht="15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</row>
    <row r="25" ht="15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  <c r="W25" s="24"/>
      <c r="X25" s="24"/>
      <c r="Y25" s="24"/>
      <c r="Z25" s="24"/>
    </row>
    <row r="26" ht="15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</row>
    <row r="27" ht="15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  <c r="W27" s="24"/>
      <c r="X27" s="24"/>
      <c r="Y27" s="24"/>
      <c r="Z27" s="24"/>
    </row>
    <row r="28" ht="15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  <c r="W28" s="24"/>
      <c r="X28" s="24"/>
      <c r="Y28" s="24"/>
      <c r="Z28" s="24"/>
    </row>
    <row r="29" ht="15.75" customHeight="1">
      <c r="A29" s="24"/>
      <c r="B29" s="24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</row>
    <row r="30" ht="15.75" customHeight="1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</row>
    <row r="31" ht="15.75" customHeight="1">
      <c r="A31" s="24"/>
      <c r="B31" s="24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</row>
    <row r="32" ht="15.75" customHeight="1">
      <c r="A32" s="24"/>
      <c r="B32" s="24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</row>
    <row r="33" ht="15.75" customHeight="1">
      <c r="A33" s="24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</row>
    <row r="34" ht="15.75" customHeight="1">
      <c r="A34" s="24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  <c r="W34" s="24"/>
      <c r="X34" s="24"/>
      <c r="Y34" s="24"/>
      <c r="Z34" s="24"/>
    </row>
    <row r="35" ht="15.75" customHeight="1">
      <c r="A35" s="24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  <c r="W35" s="24"/>
      <c r="X35" s="24"/>
      <c r="Y35" s="24"/>
      <c r="Z35" s="24"/>
    </row>
    <row r="36" ht="15.75" customHeight="1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  <c r="W36" s="24"/>
      <c r="X36" s="24"/>
      <c r="Y36" s="24"/>
      <c r="Z36" s="24"/>
    </row>
    <row r="37" ht="15.75" customHeight="1">
      <c r="A37" s="24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  <c r="W37" s="24"/>
      <c r="X37" s="24"/>
      <c r="Y37" s="24"/>
      <c r="Z37" s="24"/>
    </row>
    <row r="38" ht="15.75" customHeight="1">
      <c r="A38" s="24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  <c r="W38" s="24"/>
      <c r="X38" s="24"/>
      <c r="Y38" s="24"/>
      <c r="Z38" s="24"/>
    </row>
    <row r="39" ht="15.75" customHeight="1">
      <c r="A39" s="24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</row>
    <row r="40" ht="15.75" customHeight="1">
      <c r="A40" s="24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  <c r="W40" s="24"/>
      <c r="X40" s="24"/>
      <c r="Y40" s="24"/>
      <c r="Z40" s="24"/>
    </row>
    <row r="41" ht="15.75" customHeight="1">
      <c r="A41" s="24"/>
      <c r="B41" s="24"/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</row>
    <row r="42" ht="15.75" customHeight="1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</row>
    <row r="43" ht="15.75" customHeight="1">
      <c r="A43" s="24"/>
      <c r="B43" s="24"/>
      <c r="C43" s="24"/>
      <c r="D43" s="24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</row>
    <row r="44" ht="15.75" customHeight="1">
      <c r="A44" s="24"/>
      <c r="B44" s="24"/>
      <c r="C44" s="24"/>
      <c r="D44" s="24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</row>
    <row r="45" ht="15.75" customHeight="1">
      <c r="A45" s="24"/>
      <c r="B45" s="24"/>
      <c r="C45" s="24"/>
      <c r="D45" s="24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</row>
    <row r="46" ht="15.75" customHeight="1">
      <c r="A46" s="24"/>
      <c r="B46" s="24"/>
      <c r="C46" s="24"/>
      <c r="D46" s="24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</row>
    <row r="47" ht="15.75" customHeight="1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</row>
    <row r="48" ht="15.75" customHeight="1">
      <c r="A48" s="24"/>
      <c r="B48" s="24"/>
      <c r="C48" s="24"/>
      <c r="D48" s="24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</row>
    <row r="49" ht="15.75" customHeight="1">
      <c r="A49" s="24"/>
      <c r="B49" s="24"/>
      <c r="C49" s="24"/>
      <c r="D49" s="24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</row>
    <row r="50" ht="15.75" customHeight="1">
      <c r="A50" s="24"/>
      <c r="B50" s="24"/>
      <c r="C50" s="24"/>
      <c r="D50" s="24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</row>
    <row r="51" ht="15.75" customHeight="1">
      <c r="A51" s="24"/>
      <c r="B51" s="24"/>
      <c r="C51" s="24"/>
      <c r="D51" s="24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</row>
    <row r="52" ht="15.75" customHeight="1">
      <c r="A52" s="24"/>
      <c r="B52" s="24"/>
      <c r="C52" s="24"/>
      <c r="D52" s="24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</row>
    <row r="53" ht="15.75" customHeight="1">
      <c r="A53" s="24"/>
      <c r="B53" s="24"/>
      <c r="C53" s="24"/>
      <c r="D53" s="24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</row>
    <row r="54" ht="15.75" customHeight="1">
      <c r="A54" s="24"/>
      <c r="B54" s="24"/>
      <c r="C54" s="24"/>
      <c r="D54" s="24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</row>
    <row r="55" ht="15.75" customHeight="1">
      <c r="A55" s="24"/>
      <c r="B55" s="24"/>
      <c r="C55" s="24"/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</row>
    <row r="56" ht="15.75" customHeight="1">
      <c r="A56" s="24"/>
      <c r="B56" s="24"/>
      <c r="C56" s="24"/>
      <c r="D56" s="24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</row>
    <row r="57" ht="15.75" customHeight="1">
      <c r="A57" s="24"/>
      <c r="B57" s="24"/>
      <c r="C57" s="24"/>
      <c r="D57" s="24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</row>
    <row r="58" ht="15.75" customHeight="1">
      <c r="A58" s="24"/>
      <c r="B58" s="24"/>
      <c r="C58" s="24"/>
      <c r="D58" s="24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</row>
    <row r="59" ht="15.75" customHeight="1">
      <c r="A59" s="24"/>
      <c r="B59" s="24"/>
      <c r="C59" s="24"/>
      <c r="D59" s="24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</row>
    <row r="60" ht="15.75" customHeight="1">
      <c r="A60" s="24"/>
      <c r="B60" s="24"/>
      <c r="C60" s="24"/>
      <c r="D60" s="24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</row>
    <row r="61" ht="15.75" customHeight="1">
      <c r="A61" s="24"/>
      <c r="B61" s="24"/>
      <c r="C61" s="24"/>
      <c r="D61" s="24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</row>
    <row r="62" ht="15.75" customHeight="1">
      <c r="A62" s="24"/>
      <c r="B62" s="24"/>
      <c r="C62" s="24"/>
      <c r="D62" s="24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</row>
    <row r="63" ht="15.75" customHeight="1">
      <c r="A63" s="24"/>
      <c r="B63" s="24"/>
      <c r="C63" s="24"/>
      <c r="D63" s="24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</row>
    <row r="64" ht="15.75" customHeight="1">
      <c r="A64" s="24"/>
      <c r="B64" s="24"/>
      <c r="C64" s="24"/>
      <c r="D64" s="24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</row>
    <row r="65" ht="15.75" customHeight="1">
      <c r="A65" s="24"/>
      <c r="B65" s="24"/>
      <c r="C65" s="24"/>
      <c r="D65" s="24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</row>
    <row r="66" ht="15.75" customHeight="1">
      <c r="A66" s="24"/>
      <c r="B66" s="24"/>
      <c r="C66" s="24"/>
      <c r="D66" s="24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</row>
    <row r="67" ht="15.75" customHeight="1">
      <c r="A67" s="24"/>
      <c r="B67" s="24"/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</row>
    <row r="68" ht="15.75" customHeight="1">
      <c r="A68" s="24"/>
      <c r="B68" s="24"/>
      <c r="C68" s="24"/>
      <c r="D68" s="24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</row>
    <row r="69" ht="15.75" customHeight="1">
      <c r="A69" s="24"/>
      <c r="B69" s="24"/>
      <c r="C69" s="24"/>
      <c r="D69" s="24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</row>
    <row r="70" ht="15.75" customHeight="1">
      <c r="A70" s="24"/>
      <c r="B70" s="24"/>
      <c r="C70" s="24"/>
      <c r="D70" s="24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</row>
    <row r="71" ht="15.75" customHeight="1">
      <c r="A71" s="24"/>
      <c r="B71" s="24"/>
      <c r="C71" s="24"/>
      <c r="D71" s="24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</row>
    <row r="72" ht="15.75" customHeight="1">
      <c r="A72" s="24"/>
      <c r="B72" s="24"/>
      <c r="C72" s="24"/>
      <c r="D72" s="24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</row>
    <row r="73" ht="15.75" customHeight="1">
      <c r="A73" s="24"/>
      <c r="B73" s="24"/>
      <c r="C73" s="24"/>
      <c r="D73" s="24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</row>
    <row r="74" ht="15.75" customHeight="1">
      <c r="A74" s="24"/>
      <c r="B74" s="24"/>
      <c r="C74" s="24"/>
      <c r="D74" s="24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</row>
    <row r="75" ht="15.75" customHeight="1">
      <c r="A75" s="24"/>
      <c r="B75" s="24"/>
      <c r="C75" s="24"/>
      <c r="D75" s="24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</row>
    <row r="76" ht="15.75" customHeight="1">
      <c r="A76" s="24"/>
      <c r="B76" s="24"/>
      <c r="C76" s="24"/>
      <c r="D76" s="24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</row>
    <row r="77" ht="15.75" customHeight="1">
      <c r="A77" s="24"/>
      <c r="B77" s="24"/>
      <c r="C77" s="24"/>
      <c r="D77" s="24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</row>
    <row r="78" ht="15.75" customHeight="1">
      <c r="A78" s="24"/>
      <c r="B78" s="24"/>
      <c r="C78" s="24"/>
      <c r="D78" s="24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</row>
    <row r="79" ht="15.75" customHeight="1">
      <c r="A79" s="24"/>
      <c r="B79" s="24"/>
      <c r="C79" s="24"/>
      <c r="D79" s="24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</row>
    <row r="80" ht="15.75" customHeight="1">
      <c r="A80" s="24"/>
      <c r="B80" s="24"/>
      <c r="C80" s="24"/>
      <c r="D80" s="24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</row>
    <row r="81" ht="15.75" customHeight="1">
      <c r="A81" s="24"/>
      <c r="B81" s="24"/>
      <c r="C81" s="24"/>
      <c r="D81" s="24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</row>
    <row r="82" ht="15.75" customHeight="1">
      <c r="A82" s="24"/>
      <c r="B82" s="24"/>
      <c r="C82" s="24"/>
      <c r="D82" s="24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</row>
    <row r="83" ht="15.75" customHeight="1">
      <c r="A83" s="24"/>
      <c r="B83" s="24"/>
      <c r="C83" s="24"/>
      <c r="D83" s="24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</row>
    <row r="84" ht="15.75" customHeight="1">
      <c r="A84" s="24"/>
      <c r="B84" s="24"/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</row>
    <row r="85" ht="15.75" customHeight="1">
      <c r="A85" s="24"/>
      <c r="B85" s="24"/>
      <c r="C85" s="24"/>
      <c r="D85" s="24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</row>
    <row r="86" ht="15.75" customHeight="1">
      <c r="A86" s="24"/>
      <c r="B86" s="24"/>
      <c r="C86" s="24"/>
      <c r="D86" s="24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</row>
    <row r="87" ht="15.75" customHeight="1">
      <c r="A87" s="24"/>
      <c r="B87" s="24"/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</row>
    <row r="88" ht="15.75" customHeight="1">
      <c r="A88" s="24"/>
      <c r="B88" s="24"/>
      <c r="C88" s="24"/>
      <c r="D88" s="24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</row>
    <row r="89" ht="15.75" customHeight="1">
      <c r="A89" s="24"/>
      <c r="B89" s="24"/>
      <c r="C89" s="24"/>
      <c r="D89" s="24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</row>
    <row r="90" ht="15.75" customHeight="1">
      <c r="A90" s="24"/>
      <c r="B90" s="24"/>
      <c r="C90" s="24"/>
      <c r="D90" s="24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</row>
    <row r="91" ht="15.75" customHeight="1">
      <c r="A91" s="24"/>
      <c r="B91" s="24"/>
      <c r="C91" s="24"/>
      <c r="D91" s="24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</row>
    <row r="92" ht="15.75" customHeight="1">
      <c r="A92" s="24"/>
      <c r="B92" s="24"/>
      <c r="C92" s="24"/>
      <c r="D92" s="24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</row>
    <row r="93" ht="15.75" customHeight="1">
      <c r="A93" s="24"/>
      <c r="B93" s="24"/>
      <c r="C93" s="24"/>
      <c r="D93" s="24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</row>
    <row r="94" ht="15.75" customHeight="1">
      <c r="A94" s="24"/>
      <c r="B94" s="24"/>
      <c r="C94" s="24"/>
      <c r="D94" s="24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</row>
    <row r="95" ht="15.75" customHeight="1">
      <c r="A95" s="24"/>
      <c r="B95" s="24"/>
      <c r="C95" s="24"/>
      <c r="D95" s="24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</row>
    <row r="96" ht="15.75" customHeight="1">
      <c r="A96" s="24"/>
      <c r="B96" s="24"/>
      <c r="C96" s="24"/>
      <c r="D96" s="24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</row>
    <row r="97" ht="15.75" customHeight="1">
      <c r="A97" s="24"/>
      <c r="B97" s="24"/>
      <c r="C97" s="24"/>
      <c r="D97" s="24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</row>
    <row r="98" ht="15.75" customHeight="1">
      <c r="A98" s="24"/>
      <c r="B98" s="24"/>
      <c r="C98" s="24"/>
      <c r="D98" s="24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</row>
    <row r="99" ht="15.75" customHeight="1">
      <c r="A99" s="24"/>
      <c r="B99" s="24"/>
      <c r="C99" s="24"/>
      <c r="D99" s="24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</row>
    <row r="100" ht="15.75" customHeight="1">
      <c r="A100" s="24"/>
      <c r="B100" s="24"/>
      <c r="C100" s="24"/>
      <c r="D100" s="24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</row>
    <row r="101" ht="15.75" customHeight="1">
      <c r="A101" s="24"/>
      <c r="B101" s="24"/>
      <c r="C101" s="24"/>
      <c r="D101" s="24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</row>
    <row r="102" ht="15.75" customHeight="1">
      <c r="A102" s="24"/>
      <c r="B102" s="24"/>
      <c r="C102" s="24"/>
      <c r="D102" s="24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</row>
    <row r="103" ht="15.75" customHeight="1">
      <c r="A103" s="24"/>
      <c r="B103" s="24"/>
      <c r="C103" s="24"/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</row>
    <row r="104" ht="15.75" customHeight="1">
      <c r="A104" s="24"/>
      <c r="B104" s="24"/>
      <c r="C104" s="24"/>
      <c r="D104" s="24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</row>
    <row r="105" ht="15.75" customHeight="1">
      <c r="A105" s="24"/>
      <c r="B105" s="24"/>
      <c r="C105" s="24"/>
      <c r="D105" s="24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</row>
    <row r="106" ht="15.75" customHeight="1">
      <c r="A106" s="24"/>
      <c r="B106" s="24"/>
      <c r="C106" s="24"/>
      <c r="D106" s="24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</row>
    <row r="107" ht="15.75" customHeight="1">
      <c r="A107" s="24"/>
      <c r="B107" s="24"/>
      <c r="C107" s="24"/>
      <c r="D107" s="24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</row>
    <row r="108" ht="15.75" customHeight="1">
      <c r="A108" s="24"/>
      <c r="B108" s="24"/>
      <c r="C108" s="24"/>
      <c r="D108" s="24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</row>
    <row r="109" ht="15.75" customHeight="1">
      <c r="A109" s="24"/>
      <c r="B109" s="24"/>
      <c r="C109" s="24"/>
      <c r="D109" s="24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</row>
    <row r="110" ht="15.75" customHeight="1">
      <c r="A110" s="24"/>
      <c r="B110" s="24"/>
      <c r="C110" s="24"/>
      <c r="D110" s="24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</row>
    <row r="111" ht="15.75" customHeight="1">
      <c r="A111" s="24"/>
      <c r="B111" s="24"/>
      <c r="C111" s="24"/>
      <c r="D111" s="24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</row>
    <row r="112" ht="15.75" customHeight="1">
      <c r="A112" s="24"/>
      <c r="B112" s="24"/>
      <c r="C112" s="24"/>
      <c r="D112" s="24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</row>
    <row r="113" ht="15.75" customHeight="1">
      <c r="A113" s="24"/>
      <c r="B113" s="24"/>
      <c r="C113" s="24"/>
      <c r="D113" s="24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</row>
    <row r="114" ht="15.75" customHeight="1">
      <c r="A114" s="24"/>
      <c r="B114" s="24"/>
      <c r="C114" s="24"/>
      <c r="D114" s="24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</row>
    <row r="115" ht="15.75" customHeight="1">
      <c r="A115" s="24"/>
      <c r="B115" s="24"/>
      <c r="C115" s="24"/>
      <c r="D115" s="24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</row>
    <row r="116" ht="15.75" customHeight="1">
      <c r="A116" s="24"/>
      <c r="B116" s="24"/>
      <c r="C116" s="24"/>
      <c r="D116" s="24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</row>
    <row r="117" ht="15.75" customHeight="1">
      <c r="A117" s="24"/>
      <c r="B117" s="24"/>
      <c r="C117" s="24"/>
      <c r="D117" s="24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</row>
    <row r="118" ht="15.75" customHeight="1">
      <c r="A118" s="24"/>
      <c r="B118" s="24"/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</row>
    <row r="119" ht="15.75" customHeight="1">
      <c r="A119" s="24"/>
      <c r="B119" s="24"/>
      <c r="C119" s="24"/>
      <c r="D119" s="24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</row>
    <row r="120" ht="15.75" customHeight="1">
      <c r="A120" s="24"/>
      <c r="B120" s="24"/>
      <c r="C120" s="24"/>
      <c r="D120" s="24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</row>
    <row r="121" ht="15.75" customHeight="1">
      <c r="A121" s="24"/>
      <c r="B121" s="24"/>
      <c r="C121" s="24"/>
      <c r="D121" s="24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</row>
    <row r="122" ht="15.75" customHeight="1">
      <c r="A122" s="24"/>
      <c r="B122" s="24"/>
      <c r="C122" s="24"/>
      <c r="D122" s="24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</row>
    <row r="123" ht="15.75" customHeight="1">
      <c r="A123" s="24"/>
      <c r="B123" s="24"/>
      <c r="C123" s="24"/>
      <c r="D123" s="24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</row>
    <row r="124" ht="15.75" customHeight="1">
      <c r="A124" s="24"/>
      <c r="B124" s="24"/>
      <c r="C124" s="24"/>
      <c r="D124" s="24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</row>
    <row r="125" ht="15.75" customHeight="1">
      <c r="A125" s="24"/>
      <c r="B125" s="24"/>
      <c r="C125" s="24"/>
      <c r="D125" s="24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</row>
    <row r="126" ht="15.75" customHeight="1">
      <c r="A126" s="24"/>
      <c r="B126" s="24"/>
      <c r="C126" s="24"/>
      <c r="D126" s="24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</row>
    <row r="127" ht="15.75" customHeight="1">
      <c r="A127" s="24"/>
      <c r="B127" s="24"/>
      <c r="C127" s="24"/>
      <c r="D127" s="24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</row>
    <row r="128" ht="15.75" customHeight="1">
      <c r="A128" s="24"/>
      <c r="B128" s="24"/>
      <c r="C128" s="24"/>
      <c r="D128" s="24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</row>
    <row r="129" ht="15.75" customHeight="1">
      <c r="A129" s="24"/>
      <c r="B129" s="24"/>
      <c r="C129" s="24"/>
      <c r="D129" s="24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</row>
    <row r="130" ht="15.75" customHeight="1">
      <c r="A130" s="24"/>
      <c r="B130" s="24"/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</row>
    <row r="131" ht="15.75" customHeight="1">
      <c r="A131" s="24"/>
      <c r="B131" s="24"/>
      <c r="C131" s="24"/>
      <c r="D131" s="24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</row>
    <row r="132" ht="15.75" customHeight="1">
      <c r="A132" s="24"/>
      <c r="B132" s="24"/>
      <c r="C132" s="24"/>
      <c r="D132" s="24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</row>
    <row r="133" ht="15.75" customHeight="1">
      <c r="A133" s="24"/>
      <c r="B133" s="24"/>
      <c r="C133" s="24"/>
      <c r="D133" s="24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</row>
    <row r="134" ht="15.75" customHeight="1">
      <c r="A134" s="24"/>
      <c r="B134" s="24"/>
      <c r="C134" s="24"/>
      <c r="D134" s="24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</row>
    <row r="135" ht="15.75" customHeight="1">
      <c r="A135" s="24"/>
      <c r="B135" s="24"/>
      <c r="C135" s="24"/>
      <c r="D135" s="24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</row>
    <row r="136" ht="15.75" customHeight="1">
      <c r="A136" s="24"/>
      <c r="B136" s="24"/>
      <c r="C136" s="24"/>
      <c r="D136" s="24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</row>
    <row r="137" ht="15.75" customHeight="1">
      <c r="A137" s="24"/>
      <c r="B137" s="24"/>
      <c r="C137" s="24"/>
      <c r="D137" s="24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</row>
    <row r="138" ht="15.75" customHeight="1">
      <c r="A138" s="24"/>
      <c r="B138" s="24"/>
      <c r="C138" s="24"/>
      <c r="D138" s="24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</row>
    <row r="139" ht="15.75" customHeight="1">
      <c r="A139" s="24"/>
      <c r="B139" s="24"/>
      <c r="C139" s="24"/>
      <c r="D139" s="24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</row>
    <row r="140" ht="15.75" customHeight="1">
      <c r="A140" s="24"/>
      <c r="B140" s="24"/>
      <c r="C140" s="24"/>
      <c r="D140" s="24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</row>
    <row r="141" ht="15.75" customHeight="1">
      <c r="A141" s="24"/>
      <c r="B141" s="24"/>
      <c r="C141" s="24"/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</row>
    <row r="142" ht="15.75" customHeight="1">
      <c r="A142" s="24"/>
      <c r="B142" s="24"/>
      <c r="C142" s="24"/>
      <c r="D142" s="24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</row>
    <row r="143" ht="15.75" customHeight="1">
      <c r="A143" s="24"/>
      <c r="B143" s="24"/>
      <c r="C143" s="24"/>
      <c r="D143" s="24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</row>
    <row r="144" ht="15.75" customHeight="1">
      <c r="A144" s="24"/>
      <c r="B144" s="24"/>
      <c r="C144" s="24"/>
      <c r="D144" s="24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</row>
    <row r="145" ht="15.75" customHeight="1">
      <c r="A145" s="24"/>
      <c r="B145" s="24"/>
      <c r="C145" s="24"/>
      <c r="D145" s="24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</row>
    <row r="146" ht="15.75" customHeight="1">
      <c r="A146" s="24"/>
      <c r="B146" s="24"/>
      <c r="C146" s="24"/>
      <c r="D146" s="24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</row>
    <row r="147" ht="15.75" customHeight="1">
      <c r="A147" s="24"/>
      <c r="B147" s="24"/>
      <c r="C147" s="24"/>
      <c r="D147" s="24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</row>
    <row r="148" ht="15.75" customHeight="1">
      <c r="A148" s="24"/>
      <c r="B148" s="24"/>
      <c r="C148" s="24"/>
      <c r="D148" s="24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</row>
    <row r="149" ht="15.75" customHeight="1">
      <c r="A149" s="24"/>
      <c r="B149" s="24"/>
      <c r="C149" s="24"/>
      <c r="D149" s="24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</row>
    <row r="150" ht="15.75" customHeight="1">
      <c r="A150" s="24"/>
      <c r="B150" s="24"/>
      <c r="C150" s="24"/>
      <c r="D150" s="24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</row>
    <row r="151" ht="15.75" customHeight="1">
      <c r="A151" s="24"/>
      <c r="B151" s="24"/>
      <c r="C151" s="24"/>
      <c r="D151" s="24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</row>
    <row r="152" ht="15.75" customHeight="1">
      <c r="A152" s="24"/>
      <c r="B152" s="24"/>
      <c r="C152" s="24"/>
      <c r="D152" s="24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</row>
    <row r="153" ht="15.75" customHeight="1">
      <c r="A153" s="24"/>
      <c r="B153" s="24"/>
      <c r="C153" s="24"/>
      <c r="D153" s="24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</row>
    <row r="154" ht="15.75" customHeight="1">
      <c r="A154" s="24"/>
      <c r="B154" s="24"/>
      <c r="C154" s="24"/>
      <c r="D154" s="24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</row>
    <row r="155" ht="15.75" customHeight="1">
      <c r="A155" s="24"/>
      <c r="B155" s="24"/>
      <c r="C155" s="24"/>
      <c r="D155" s="24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</row>
    <row r="156" ht="15.75" customHeight="1">
      <c r="A156" s="24"/>
      <c r="B156" s="24"/>
      <c r="C156" s="24"/>
      <c r="D156" s="24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</row>
    <row r="157" ht="15.75" customHeight="1">
      <c r="A157" s="24"/>
      <c r="B157" s="24"/>
      <c r="C157" s="24"/>
      <c r="D157" s="24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</row>
    <row r="158" ht="15.75" customHeight="1">
      <c r="A158" s="24"/>
      <c r="B158" s="24"/>
      <c r="C158" s="24"/>
      <c r="D158" s="24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</row>
    <row r="159" ht="15.75" customHeight="1">
      <c r="A159" s="24"/>
      <c r="B159" s="24"/>
      <c r="C159" s="24"/>
      <c r="D159" s="24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</row>
    <row r="160" ht="15.75" customHeight="1">
      <c r="A160" s="24"/>
      <c r="B160" s="24"/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</row>
    <row r="161" ht="15.75" customHeight="1">
      <c r="A161" s="24"/>
      <c r="B161" s="24"/>
      <c r="C161" s="24"/>
      <c r="D161" s="24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</row>
    <row r="162" ht="15.75" customHeight="1">
      <c r="A162" s="24"/>
      <c r="B162" s="24"/>
      <c r="C162" s="24"/>
      <c r="D162" s="24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</row>
    <row r="163" ht="15.75" customHeight="1">
      <c r="A163" s="24"/>
      <c r="B163" s="24"/>
      <c r="C163" s="24"/>
      <c r="D163" s="24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</row>
    <row r="164" ht="15.75" customHeight="1">
      <c r="A164" s="24"/>
      <c r="B164" s="24"/>
      <c r="C164" s="24"/>
      <c r="D164" s="24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</row>
    <row r="165" ht="15.75" customHeight="1">
      <c r="A165" s="24"/>
      <c r="B165" s="24"/>
      <c r="C165" s="24"/>
      <c r="D165" s="24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</row>
    <row r="166" ht="15.75" customHeight="1">
      <c r="A166" s="24"/>
      <c r="B166" s="24"/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</row>
    <row r="167" ht="15.75" customHeight="1">
      <c r="A167" s="24"/>
      <c r="B167" s="24"/>
      <c r="C167" s="24"/>
      <c r="D167" s="24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</row>
    <row r="168" ht="15.75" customHeight="1">
      <c r="A168" s="24"/>
      <c r="B168" s="24"/>
      <c r="C168" s="24"/>
      <c r="D168" s="24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</row>
    <row r="169" ht="15.75" customHeight="1">
      <c r="A169" s="24"/>
      <c r="B169" s="24"/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</row>
    <row r="170" ht="15.75" customHeight="1">
      <c r="A170" s="24"/>
      <c r="B170" s="24"/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</row>
    <row r="171" ht="15.75" customHeight="1">
      <c r="A171" s="24"/>
      <c r="B171" s="24"/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</row>
    <row r="172" ht="15.75" customHeight="1">
      <c r="A172" s="24"/>
      <c r="B172" s="24"/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</row>
    <row r="173" ht="15.75" customHeight="1">
      <c r="A173" s="24"/>
      <c r="B173" s="24"/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</row>
    <row r="174" ht="15.75" customHeight="1">
      <c r="A174" s="24"/>
      <c r="B174" s="24"/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</row>
    <row r="175" ht="15.75" customHeight="1">
      <c r="A175" s="24"/>
      <c r="B175" s="24"/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</row>
    <row r="176" ht="15.75" customHeight="1">
      <c r="A176" s="24"/>
      <c r="B176" s="24"/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</row>
    <row r="177" ht="15.75" customHeight="1">
      <c r="A177" s="24"/>
      <c r="B177" s="24"/>
      <c r="C177" s="24"/>
      <c r="D177" s="24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</row>
    <row r="178" ht="15.75" customHeight="1">
      <c r="A178" s="24"/>
      <c r="B178" s="24"/>
      <c r="C178" s="24"/>
      <c r="D178" s="24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</row>
    <row r="179" ht="15.75" customHeight="1">
      <c r="A179" s="24"/>
      <c r="B179" s="24"/>
      <c r="C179" s="24"/>
      <c r="D179" s="24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</row>
    <row r="180" ht="15.75" customHeight="1">
      <c r="A180" s="24"/>
      <c r="B180" s="24"/>
      <c r="C180" s="24"/>
      <c r="D180" s="24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</row>
    <row r="181" ht="15.75" customHeight="1">
      <c r="A181" s="24"/>
      <c r="B181" s="24"/>
      <c r="C181" s="24"/>
      <c r="D181" s="24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</row>
    <row r="182" ht="15.75" customHeight="1">
      <c r="A182" s="24"/>
      <c r="B182" s="24"/>
      <c r="C182" s="24"/>
      <c r="D182" s="24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</row>
    <row r="183" ht="15.75" customHeight="1">
      <c r="A183" s="24"/>
      <c r="B183" s="24"/>
      <c r="C183" s="24"/>
      <c r="D183" s="24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</row>
    <row r="184" ht="15.75" customHeight="1">
      <c r="A184" s="24"/>
      <c r="B184" s="24"/>
      <c r="C184" s="24"/>
      <c r="D184" s="24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</row>
    <row r="185" ht="15.75" customHeight="1">
      <c r="A185" s="24"/>
      <c r="B185" s="24"/>
      <c r="C185" s="24"/>
      <c r="D185" s="24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</row>
    <row r="186" ht="15.75" customHeight="1">
      <c r="A186" s="24"/>
      <c r="B186" s="24"/>
      <c r="C186" s="24"/>
      <c r="D186" s="24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</row>
    <row r="187" ht="15.75" customHeight="1">
      <c r="A187" s="24"/>
      <c r="B187" s="24"/>
      <c r="C187" s="24"/>
      <c r="D187" s="24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</row>
    <row r="188" ht="15.75" customHeight="1">
      <c r="A188" s="24"/>
      <c r="B188" s="24"/>
      <c r="C188" s="24"/>
      <c r="D188" s="24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</row>
    <row r="189" ht="15.75" customHeight="1">
      <c r="A189" s="24"/>
      <c r="B189" s="24"/>
      <c r="C189" s="24"/>
      <c r="D189" s="24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</row>
    <row r="190" ht="15.75" customHeight="1">
      <c r="A190" s="24"/>
      <c r="B190" s="24"/>
      <c r="C190" s="24"/>
      <c r="D190" s="24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</row>
    <row r="191" ht="15.75" customHeight="1">
      <c r="A191" s="24"/>
      <c r="B191" s="24"/>
      <c r="C191" s="24"/>
      <c r="D191" s="24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</row>
    <row r="192" ht="15.75" customHeight="1">
      <c r="A192" s="24"/>
      <c r="B192" s="24"/>
      <c r="C192" s="24"/>
      <c r="D192" s="24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</row>
    <row r="193" ht="15.75" customHeight="1">
      <c r="A193" s="24"/>
      <c r="B193" s="24"/>
      <c r="C193" s="24"/>
      <c r="D193" s="24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</row>
    <row r="194" ht="15.75" customHeight="1">
      <c r="A194" s="24"/>
      <c r="B194" s="24"/>
      <c r="C194" s="24"/>
      <c r="D194" s="24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</row>
    <row r="195" ht="15.75" customHeight="1">
      <c r="A195" s="24"/>
      <c r="B195" s="24"/>
      <c r="C195" s="24"/>
      <c r="D195" s="24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</row>
    <row r="196" ht="15.75" customHeight="1">
      <c r="A196" s="24"/>
      <c r="B196" s="24"/>
      <c r="C196" s="24"/>
      <c r="D196" s="24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</row>
    <row r="197" ht="15.75" customHeight="1">
      <c r="A197" s="24"/>
      <c r="B197" s="24"/>
      <c r="C197" s="24"/>
      <c r="D197" s="24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</row>
    <row r="198" ht="15.75" customHeight="1">
      <c r="A198" s="24"/>
      <c r="B198" s="24"/>
      <c r="C198" s="24"/>
      <c r="D198" s="24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</row>
    <row r="199" ht="15.75" customHeight="1">
      <c r="A199" s="24"/>
      <c r="B199" s="24"/>
      <c r="C199" s="24"/>
      <c r="D199" s="24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</row>
    <row r="200" ht="15.75" customHeight="1">
      <c r="A200" s="24"/>
      <c r="B200" s="24"/>
      <c r="C200" s="24"/>
      <c r="D200" s="24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</row>
    <row r="201" ht="15.75" customHeight="1">
      <c r="A201" s="24"/>
      <c r="B201" s="24"/>
      <c r="C201" s="24"/>
      <c r="D201" s="24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</row>
    <row r="202" ht="15.75" customHeight="1">
      <c r="A202" s="24"/>
      <c r="B202" s="24"/>
      <c r="C202" s="24"/>
      <c r="D202" s="24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</row>
    <row r="203" ht="15.75" customHeight="1">
      <c r="A203" s="24"/>
      <c r="B203" s="24"/>
      <c r="C203" s="24"/>
      <c r="D203" s="24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</row>
    <row r="204" ht="15.75" customHeight="1">
      <c r="A204" s="24"/>
      <c r="B204" s="24"/>
      <c r="C204" s="24"/>
      <c r="D204" s="24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</row>
    <row r="205" ht="15.75" customHeight="1">
      <c r="A205" s="24"/>
      <c r="B205" s="24"/>
      <c r="C205" s="24"/>
      <c r="D205" s="24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</row>
    <row r="206" ht="15.75" customHeight="1">
      <c r="A206" s="24"/>
      <c r="B206" s="24"/>
      <c r="C206" s="24"/>
      <c r="D206" s="24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</row>
    <row r="207" ht="15.75" customHeight="1">
      <c r="A207" s="24"/>
      <c r="B207" s="24"/>
      <c r="C207" s="24"/>
      <c r="D207" s="24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</row>
    <row r="208" ht="15.75" customHeight="1">
      <c r="A208" s="24"/>
      <c r="B208" s="24"/>
      <c r="C208" s="24"/>
      <c r="D208" s="24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</row>
    <row r="209" ht="15.75" customHeight="1">
      <c r="A209" s="24"/>
      <c r="B209" s="24"/>
      <c r="C209" s="24"/>
      <c r="D209" s="24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</row>
    <row r="210" ht="15.75" customHeight="1">
      <c r="A210" s="24"/>
      <c r="B210" s="24"/>
      <c r="C210" s="24"/>
      <c r="D210" s="24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</row>
    <row r="211" ht="15.75" customHeight="1">
      <c r="A211" s="24"/>
      <c r="B211" s="24"/>
      <c r="C211" s="24"/>
      <c r="D211" s="24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</row>
    <row r="212" ht="15.75" customHeight="1">
      <c r="A212" s="24"/>
      <c r="B212" s="24"/>
      <c r="C212" s="24"/>
      <c r="D212" s="24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</row>
    <row r="213" ht="15.75" customHeight="1">
      <c r="A213" s="24"/>
      <c r="B213" s="24"/>
      <c r="C213" s="24"/>
      <c r="D213" s="24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</row>
    <row r="214" ht="15.75" customHeight="1">
      <c r="A214" s="24"/>
      <c r="B214" s="24"/>
      <c r="C214" s="24"/>
      <c r="D214" s="24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</row>
    <row r="215" ht="15.75" customHeight="1">
      <c r="A215" s="24"/>
      <c r="B215" s="24"/>
      <c r="C215" s="24"/>
      <c r="D215" s="24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</row>
    <row r="216" ht="15.75" customHeight="1">
      <c r="A216" s="24"/>
      <c r="B216" s="24"/>
      <c r="C216" s="24"/>
      <c r="D216" s="24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</row>
    <row r="217" ht="15.75" customHeight="1">
      <c r="A217" s="24"/>
      <c r="B217" s="24"/>
      <c r="C217" s="24"/>
      <c r="D217" s="24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</row>
    <row r="218" ht="15.75" customHeight="1">
      <c r="A218" s="24"/>
      <c r="B218" s="24"/>
      <c r="C218" s="24"/>
      <c r="D218" s="24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</row>
    <row r="219" ht="15.75" customHeight="1">
      <c r="A219" s="24"/>
      <c r="B219" s="24"/>
      <c r="C219" s="24"/>
      <c r="D219" s="24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</row>
    <row r="220" ht="15.75" customHeight="1">
      <c r="A220" s="24"/>
      <c r="B220" s="24"/>
      <c r="C220" s="24"/>
      <c r="D220" s="24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4.75"/>
    <col customWidth="1" min="2" max="2" width="32.25"/>
    <col customWidth="1" min="3" max="3" width="32.0"/>
    <col customWidth="1" min="4" max="6" width="12.63"/>
  </cols>
  <sheetData>
    <row r="1" ht="15.75" customHeight="1">
      <c r="A1" s="58"/>
      <c r="B1" s="59"/>
      <c r="C1" s="58"/>
      <c r="D1" s="58"/>
      <c r="E1" s="58"/>
      <c r="F1" s="58"/>
      <c r="G1" s="58"/>
      <c r="H1" s="58"/>
      <c r="I1" s="58"/>
      <c r="J1" s="58"/>
      <c r="K1" s="58"/>
      <c r="L1" s="58"/>
      <c r="M1" s="58"/>
      <c r="N1" s="58"/>
      <c r="O1" s="58"/>
      <c r="P1" s="58"/>
      <c r="Q1" s="58"/>
      <c r="R1" s="58"/>
      <c r="S1" s="58"/>
      <c r="T1" s="58"/>
      <c r="U1" s="58"/>
      <c r="V1" s="58"/>
      <c r="W1" s="58"/>
    </row>
    <row r="2" ht="15.75" customHeight="1">
      <c r="A2" s="58"/>
      <c r="B2" s="59"/>
      <c r="C2" s="58"/>
      <c r="D2" s="58"/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</row>
    <row r="3" ht="33.75" customHeight="1">
      <c r="A3" s="60">
        <f>TODAY()</f>
        <v>45237</v>
      </c>
      <c r="B3" s="61" t="s">
        <v>112</v>
      </c>
      <c r="C3" s="62">
        <f>NOW()</f>
        <v>45237.53936</v>
      </c>
      <c r="D3" s="58"/>
      <c r="E3" s="58"/>
      <c r="F3" s="58"/>
      <c r="G3" s="58"/>
      <c r="H3" s="58"/>
      <c r="I3" s="58"/>
      <c r="J3" s="58"/>
      <c r="K3" s="58"/>
      <c r="L3" s="58"/>
      <c r="M3" s="58"/>
      <c r="N3" s="58"/>
      <c r="O3" s="58"/>
      <c r="P3" s="58"/>
      <c r="Q3" s="58"/>
      <c r="R3" s="58"/>
      <c r="S3" s="58"/>
      <c r="T3" s="58"/>
      <c r="U3" s="58"/>
      <c r="V3" s="58"/>
      <c r="W3" s="58"/>
    </row>
    <row r="4" ht="33.75" customHeight="1">
      <c r="A4" s="63">
        <f>NOW()</f>
        <v>45237.53936</v>
      </c>
      <c r="B4" s="61" t="s">
        <v>113</v>
      </c>
      <c r="C4" s="64">
        <f>TODAY()</f>
        <v>45237</v>
      </c>
      <c r="D4" s="58"/>
      <c r="E4" s="58"/>
      <c r="F4" s="58"/>
      <c r="G4" s="58"/>
      <c r="H4" s="58"/>
      <c r="I4" s="58"/>
      <c r="J4" s="58"/>
      <c r="K4" s="58"/>
      <c r="L4" s="58"/>
      <c r="M4" s="58"/>
      <c r="N4" s="58"/>
      <c r="O4" s="58"/>
      <c r="P4" s="58"/>
      <c r="Q4" s="58"/>
      <c r="R4" s="58"/>
      <c r="S4" s="58"/>
      <c r="T4" s="58"/>
      <c r="U4" s="58"/>
      <c r="V4" s="58"/>
      <c r="W4" s="58"/>
    </row>
    <row r="5" ht="15.75" customHeight="1">
      <c r="A5" s="58"/>
      <c r="B5" s="59"/>
      <c r="C5" s="58"/>
      <c r="D5" s="58"/>
      <c r="E5" s="58"/>
      <c r="F5" s="58"/>
      <c r="G5" s="58"/>
      <c r="H5" s="58"/>
      <c r="I5" s="58"/>
      <c r="J5" s="58"/>
      <c r="K5" s="58"/>
      <c r="L5" s="58"/>
      <c r="M5" s="58"/>
      <c r="N5" s="58"/>
      <c r="O5" s="58"/>
      <c r="P5" s="58"/>
      <c r="Q5" s="58"/>
      <c r="R5" s="58"/>
      <c r="S5" s="58"/>
      <c r="T5" s="58"/>
      <c r="U5" s="58"/>
      <c r="V5" s="58"/>
      <c r="W5" s="58"/>
    </row>
    <row r="6" ht="15.75" customHeight="1">
      <c r="A6" s="58"/>
      <c r="B6" s="59"/>
      <c r="C6" s="58"/>
      <c r="D6" s="58"/>
      <c r="E6" s="58"/>
      <c r="F6" s="58"/>
      <c r="G6" s="58"/>
      <c r="H6" s="58"/>
      <c r="I6" s="58"/>
      <c r="J6" s="58"/>
      <c r="K6" s="58"/>
      <c r="L6" s="58"/>
      <c r="M6" s="58"/>
      <c r="N6" s="58"/>
      <c r="O6" s="58"/>
      <c r="P6" s="58"/>
      <c r="Q6" s="58"/>
      <c r="R6" s="58"/>
      <c r="S6" s="58"/>
      <c r="T6" s="58"/>
      <c r="U6" s="58"/>
      <c r="V6" s="58"/>
      <c r="W6" s="58"/>
    </row>
    <row r="7" ht="34.5" customHeight="1">
      <c r="A7" s="65" t="s">
        <v>114</v>
      </c>
      <c r="B7" s="66" t="s">
        <v>115</v>
      </c>
      <c r="C7" s="65" t="s">
        <v>116</v>
      </c>
      <c r="D7" s="58"/>
      <c r="E7" s="58"/>
      <c r="F7" s="58"/>
      <c r="G7" s="58"/>
      <c r="H7" s="58"/>
      <c r="I7" s="58"/>
      <c r="J7" s="58"/>
      <c r="K7" s="58"/>
      <c r="L7" s="58"/>
      <c r="M7" s="58"/>
      <c r="N7" s="58"/>
      <c r="O7" s="58"/>
      <c r="P7" s="58"/>
      <c r="Q7" s="58"/>
      <c r="R7" s="58"/>
      <c r="S7" s="58"/>
      <c r="T7" s="58"/>
      <c r="U7" s="58"/>
      <c r="V7" s="58"/>
      <c r="W7" s="58"/>
    </row>
    <row r="8" ht="46.5" customHeight="1">
      <c r="A8" s="67" t="s">
        <v>117</v>
      </c>
      <c r="B8" s="68">
        <v>45257.0</v>
      </c>
      <c r="C8" s="67">
        <f t="shared" ref="C8:C9" si="1">B8-today()</f>
        <v>20</v>
      </c>
      <c r="D8" s="69"/>
      <c r="E8" s="69"/>
      <c r="F8" s="69"/>
      <c r="G8" s="69"/>
      <c r="H8" s="69"/>
      <c r="I8" s="69"/>
      <c r="J8" s="69"/>
      <c r="K8" s="69"/>
      <c r="L8" s="69"/>
      <c r="M8" s="69"/>
      <c r="N8" s="69"/>
      <c r="O8" s="69"/>
      <c r="P8" s="69"/>
      <c r="Q8" s="69"/>
      <c r="R8" s="69"/>
      <c r="S8" s="69"/>
      <c r="T8" s="69"/>
      <c r="U8" s="69"/>
      <c r="V8" s="69"/>
      <c r="W8" s="69"/>
    </row>
    <row r="9" ht="46.5" customHeight="1">
      <c r="A9" s="67" t="s">
        <v>118</v>
      </c>
      <c r="B9" s="70">
        <v>45256.0</v>
      </c>
      <c r="C9" s="67">
        <f t="shared" si="1"/>
        <v>19</v>
      </c>
      <c r="D9" s="69"/>
      <c r="E9" s="69"/>
      <c r="F9" s="69"/>
      <c r="G9" s="69"/>
      <c r="H9" s="69"/>
      <c r="I9" s="69"/>
      <c r="J9" s="69"/>
      <c r="K9" s="69"/>
      <c r="L9" s="69"/>
      <c r="M9" s="69"/>
      <c r="N9" s="69"/>
      <c r="O9" s="69"/>
      <c r="P9" s="69"/>
      <c r="Q9" s="69"/>
      <c r="R9" s="69"/>
      <c r="S9" s="69"/>
      <c r="T9" s="69"/>
      <c r="U9" s="69"/>
      <c r="V9" s="69"/>
      <c r="W9" s="69"/>
    </row>
    <row r="10" ht="15.75" customHeight="1">
      <c r="A10" s="58"/>
      <c r="B10" s="59"/>
      <c r="C10" s="58"/>
      <c r="D10" s="58"/>
      <c r="E10" s="58"/>
      <c r="F10" s="58"/>
      <c r="G10" s="58"/>
      <c r="H10" s="58"/>
      <c r="I10" s="58"/>
      <c r="J10" s="58"/>
      <c r="K10" s="58"/>
      <c r="L10" s="58"/>
      <c r="M10" s="58"/>
      <c r="N10" s="58"/>
      <c r="O10" s="58"/>
      <c r="P10" s="58"/>
      <c r="Q10" s="58"/>
      <c r="R10" s="58"/>
      <c r="S10" s="58"/>
      <c r="T10" s="58"/>
      <c r="U10" s="58"/>
      <c r="V10" s="58"/>
      <c r="W10" s="58"/>
    </row>
    <row r="11" ht="15.75" customHeight="1">
      <c r="A11" s="58"/>
      <c r="B11" s="59"/>
      <c r="C11" s="58"/>
      <c r="D11" s="58"/>
      <c r="E11" s="58"/>
      <c r="F11" s="58"/>
      <c r="G11" s="58"/>
      <c r="H11" s="58"/>
      <c r="I11" s="58"/>
      <c r="J11" s="58"/>
      <c r="K11" s="58"/>
      <c r="L11" s="58"/>
      <c r="M11" s="58"/>
      <c r="N11" s="58"/>
      <c r="O11" s="58"/>
      <c r="P11" s="58"/>
      <c r="Q11" s="58"/>
      <c r="R11" s="58"/>
      <c r="S11" s="58"/>
      <c r="T11" s="58"/>
      <c r="U11" s="58"/>
      <c r="V11" s="58"/>
      <c r="W11" s="58"/>
    </row>
    <row r="12" ht="15.75" customHeight="1">
      <c r="A12" s="58"/>
      <c r="B12" s="59"/>
      <c r="C12" s="58"/>
      <c r="D12" s="58"/>
      <c r="E12" s="58"/>
      <c r="F12" s="58"/>
      <c r="G12" s="58"/>
      <c r="H12" s="58"/>
      <c r="I12" s="58"/>
      <c r="J12" s="58"/>
      <c r="K12" s="58"/>
      <c r="L12" s="58"/>
      <c r="M12" s="58"/>
      <c r="N12" s="58"/>
      <c r="O12" s="58"/>
      <c r="P12" s="58"/>
      <c r="Q12" s="58"/>
      <c r="R12" s="58"/>
      <c r="S12" s="58"/>
      <c r="T12" s="58"/>
      <c r="U12" s="58"/>
      <c r="V12" s="58"/>
      <c r="W12" s="58"/>
    </row>
    <row r="13" ht="15.75" customHeight="1">
      <c r="A13" s="58"/>
      <c r="B13" s="59"/>
      <c r="C13" s="58"/>
      <c r="D13" s="58"/>
      <c r="E13" s="58"/>
      <c r="F13" s="58"/>
      <c r="G13" s="58"/>
      <c r="H13" s="58"/>
      <c r="I13" s="58"/>
      <c r="J13" s="58"/>
      <c r="K13" s="58"/>
      <c r="L13" s="58"/>
      <c r="M13" s="58"/>
      <c r="N13" s="58"/>
      <c r="O13" s="58"/>
      <c r="P13" s="58"/>
      <c r="Q13" s="58"/>
      <c r="R13" s="58"/>
      <c r="S13" s="58"/>
      <c r="T13" s="58"/>
      <c r="U13" s="58"/>
      <c r="V13" s="58"/>
      <c r="W13" s="58"/>
    </row>
    <row r="14" ht="15.75" customHeight="1">
      <c r="A14" s="58"/>
      <c r="B14" s="59"/>
      <c r="C14" s="58"/>
      <c r="D14" s="58"/>
      <c r="E14" s="58"/>
      <c r="F14" s="58"/>
      <c r="G14" s="58"/>
      <c r="H14" s="58"/>
      <c r="I14" s="58"/>
      <c r="J14" s="58"/>
      <c r="K14" s="58"/>
      <c r="L14" s="58"/>
      <c r="M14" s="58"/>
      <c r="N14" s="58"/>
      <c r="O14" s="58"/>
      <c r="P14" s="58"/>
      <c r="Q14" s="58"/>
      <c r="R14" s="58"/>
      <c r="S14" s="58"/>
      <c r="T14" s="58"/>
      <c r="U14" s="58"/>
      <c r="V14" s="58"/>
      <c r="W14" s="58"/>
    </row>
    <row r="15" ht="15.75" customHeight="1">
      <c r="A15" s="58"/>
      <c r="B15" s="59"/>
      <c r="C15" s="58"/>
      <c r="D15" s="58"/>
      <c r="E15" s="58"/>
      <c r="F15" s="58"/>
      <c r="G15" s="58"/>
      <c r="H15" s="58"/>
      <c r="I15" s="58"/>
      <c r="J15" s="58"/>
      <c r="K15" s="58"/>
      <c r="L15" s="58"/>
      <c r="M15" s="58"/>
      <c r="N15" s="58"/>
      <c r="O15" s="58"/>
      <c r="P15" s="58"/>
      <c r="Q15" s="58"/>
      <c r="R15" s="58"/>
      <c r="S15" s="58"/>
      <c r="T15" s="58"/>
      <c r="U15" s="58"/>
      <c r="V15" s="58"/>
      <c r="W15" s="58"/>
    </row>
    <row r="16" ht="15.75" customHeight="1">
      <c r="A16" s="58"/>
      <c r="B16" s="59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8"/>
      <c r="R16" s="58"/>
      <c r="S16" s="58"/>
      <c r="T16" s="58"/>
      <c r="U16" s="58"/>
      <c r="V16" s="58"/>
      <c r="W16" s="58"/>
    </row>
    <row r="17" ht="15.75" customHeight="1">
      <c r="A17" s="58"/>
      <c r="B17" s="59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8"/>
      <c r="R17" s="58"/>
      <c r="S17" s="58"/>
      <c r="T17" s="58"/>
      <c r="U17" s="58"/>
      <c r="V17" s="58"/>
      <c r="W17" s="58"/>
    </row>
    <row r="18" ht="15.75" customHeight="1">
      <c r="A18" s="58"/>
      <c r="B18" s="59"/>
      <c r="C18" s="58"/>
      <c r="D18" s="58"/>
      <c r="E18" s="58"/>
      <c r="F18" s="58"/>
      <c r="G18" s="58"/>
      <c r="H18" s="58"/>
      <c r="I18" s="58"/>
      <c r="J18" s="58"/>
      <c r="K18" s="58"/>
      <c r="L18" s="58"/>
      <c r="M18" s="58"/>
      <c r="N18" s="58"/>
      <c r="O18" s="58"/>
      <c r="P18" s="58"/>
      <c r="Q18" s="58"/>
      <c r="R18" s="58"/>
      <c r="S18" s="58"/>
      <c r="T18" s="58"/>
      <c r="U18" s="58"/>
      <c r="V18" s="58"/>
      <c r="W18" s="58"/>
    </row>
    <row r="19" ht="15.75" customHeight="1">
      <c r="A19" s="58"/>
      <c r="B19" s="59"/>
      <c r="C19" s="58"/>
      <c r="D19" s="58"/>
      <c r="E19" s="58"/>
      <c r="F19" s="58"/>
      <c r="G19" s="58"/>
      <c r="H19" s="58"/>
      <c r="I19" s="58"/>
      <c r="J19" s="58"/>
      <c r="K19" s="58"/>
      <c r="L19" s="58"/>
      <c r="M19" s="58"/>
      <c r="N19" s="58"/>
      <c r="O19" s="58"/>
      <c r="P19" s="58"/>
      <c r="Q19" s="58"/>
      <c r="R19" s="58"/>
      <c r="S19" s="58"/>
      <c r="T19" s="58"/>
      <c r="U19" s="58"/>
      <c r="V19" s="58"/>
      <c r="W19" s="58"/>
    </row>
    <row r="20" ht="15.75" customHeight="1">
      <c r="A20" s="58"/>
      <c r="B20" s="59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</row>
    <row r="21" ht="15.75" customHeight="1">
      <c r="A21" s="58"/>
      <c r="B21" s="59"/>
      <c r="C21" s="58"/>
      <c r="D21" s="58"/>
      <c r="E21" s="58"/>
      <c r="F21" s="58"/>
      <c r="G21" s="58"/>
      <c r="H21" s="58"/>
      <c r="I21" s="58"/>
      <c r="J21" s="58"/>
      <c r="K21" s="58"/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</row>
    <row r="22" ht="15.75" customHeight="1">
      <c r="A22" s="58"/>
      <c r="B22" s="59"/>
      <c r="C22" s="58"/>
      <c r="D22" s="58"/>
      <c r="E22" s="58"/>
      <c r="F22" s="58"/>
      <c r="G22" s="58"/>
      <c r="H22" s="58"/>
      <c r="I22" s="58"/>
      <c r="J22" s="58"/>
      <c r="K22" s="58"/>
      <c r="L22" s="58"/>
      <c r="M22" s="58"/>
      <c r="N22" s="58"/>
      <c r="O22" s="58"/>
      <c r="P22" s="58"/>
      <c r="Q22" s="58"/>
      <c r="R22" s="58"/>
      <c r="S22" s="58"/>
      <c r="T22" s="58"/>
      <c r="U22" s="58"/>
      <c r="V22" s="58"/>
      <c r="W22" s="58"/>
    </row>
    <row r="23" ht="15.75" customHeight="1">
      <c r="A23" s="58"/>
      <c r="B23" s="59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</row>
    <row r="24" ht="15.75" customHeight="1">
      <c r="A24" s="58"/>
      <c r="B24" s="59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</row>
    <row r="25" ht="15.75" customHeight="1">
      <c r="A25" s="58"/>
      <c r="B25" s="59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</row>
    <row r="26" ht="15.75" customHeight="1">
      <c r="A26" s="58"/>
      <c r="B26" s="59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</row>
    <row r="27" ht="15.75" customHeight="1">
      <c r="A27" s="58"/>
      <c r="B27" s="59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</row>
    <row r="28" ht="15.75" customHeight="1">
      <c r="A28" s="58"/>
      <c r="B28" s="59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</row>
    <row r="29" ht="15.75" customHeight="1">
      <c r="A29" s="58"/>
      <c r="B29" s="59"/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</row>
    <row r="30" ht="15.75" customHeight="1">
      <c r="A30" s="58"/>
      <c r="B30" s="59"/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</row>
    <row r="31" ht="15.75" customHeight="1">
      <c r="A31" s="58"/>
      <c r="B31" s="59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</row>
    <row r="32" ht="15.75" customHeight="1">
      <c r="A32" s="58"/>
      <c r="B32" s="59"/>
      <c r="C32" s="58"/>
      <c r="D32" s="58"/>
      <c r="E32" s="58"/>
      <c r="F32" s="58"/>
      <c r="G32" s="58"/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</row>
    <row r="33" ht="15.75" customHeight="1">
      <c r="A33" s="58"/>
      <c r="B33" s="59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</row>
    <row r="34" ht="15.75" customHeight="1">
      <c r="A34" s="58"/>
      <c r="B34" s="59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</row>
    <row r="35" ht="15.75" customHeight="1">
      <c r="A35" s="58"/>
      <c r="B35" s="59"/>
      <c r="C35" s="58"/>
      <c r="D35" s="58"/>
      <c r="E35" s="58"/>
      <c r="F35" s="58"/>
      <c r="G35" s="58"/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</row>
    <row r="36" ht="15.75" customHeight="1">
      <c r="A36" s="58"/>
      <c r="B36" s="59"/>
      <c r="C36" s="58"/>
      <c r="D36" s="58"/>
      <c r="E36" s="58"/>
      <c r="F36" s="58"/>
      <c r="G36" s="58"/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</row>
    <row r="37" ht="15.75" customHeight="1">
      <c r="A37" s="58"/>
      <c r="B37" s="59"/>
      <c r="C37" s="58"/>
      <c r="D37" s="58"/>
      <c r="E37" s="58"/>
      <c r="F37" s="58"/>
      <c r="G37" s="58"/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</row>
    <row r="38" ht="15.75" customHeight="1">
      <c r="A38" s="58"/>
      <c r="B38" s="59"/>
      <c r="C38" s="58"/>
      <c r="D38" s="58"/>
      <c r="E38" s="58"/>
      <c r="F38" s="58"/>
      <c r="G38" s="58"/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</row>
    <row r="39" ht="15.75" customHeight="1">
      <c r="A39" s="58"/>
      <c r="B39" s="59"/>
      <c r="C39" s="58"/>
      <c r="D39" s="58"/>
      <c r="E39" s="58"/>
      <c r="F39" s="58"/>
      <c r="G39" s="58"/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</row>
    <row r="40" ht="15.75" customHeight="1">
      <c r="A40" s="58"/>
      <c r="B40" s="59"/>
      <c r="C40" s="58"/>
      <c r="D40" s="58"/>
      <c r="E40" s="58"/>
      <c r="F40" s="58"/>
      <c r="G40" s="58"/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</row>
    <row r="41" ht="15.75" customHeight="1">
      <c r="A41" s="58"/>
      <c r="B41" s="59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</row>
    <row r="42" ht="15.75" customHeight="1">
      <c r="A42" s="58"/>
      <c r="B42" s="59"/>
      <c r="C42" s="58"/>
      <c r="D42" s="58"/>
      <c r="E42" s="58"/>
      <c r="F42" s="58"/>
      <c r="G42" s="58"/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</row>
    <row r="43" ht="15.75" customHeight="1">
      <c r="A43" s="58"/>
      <c r="B43" s="59"/>
      <c r="C43" s="58"/>
      <c r="D43" s="58"/>
      <c r="E43" s="58"/>
      <c r="F43" s="58"/>
      <c r="G43" s="58"/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</row>
    <row r="44" ht="15.75" customHeight="1">
      <c r="A44" s="58"/>
      <c r="B44" s="59"/>
      <c r="C44" s="58"/>
      <c r="D44" s="58"/>
      <c r="E44" s="58"/>
      <c r="F44" s="58"/>
      <c r="G44" s="58"/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</row>
    <row r="45" ht="15.75" customHeight="1">
      <c r="A45" s="58"/>
      <c r="B45" s="59"/>
      <c r="C45" s="58"/>
      <c r="D45" s="58"/>
      <c r="E45" s="58"/>
      <c r="F45" s="58"/>
      <c r="G45" s="58"/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</row>
    <row r="46" ht="15.75" customHeight="1">
      <c r="A46" s="58"/>
      <c r="B46" s="59"/>
      <c r="C46" s="58"/>
      <c r="D46" s="58"/>
      <c r="E46" s="58"/>
      <c r="F46" s="58"/>
      <c r="G46" s="58"/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</row>
    <row r="47" ht="15.75" customHeight="1">
      <c r="A47" s="58"/>
      <c r="B47" s="59"/>
      <c r="C47" s="58"/>
      <c r="D47" s="58"/>
      <c r="E47" s="58"/>
      <c r="F47" s="58"/>
      <c r="G47" s="58"/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</row>
    <row r="48" ht="15.75" customHeight="1">
      <c r="A48" s="58"/>
      <c r="B48" s="59"/>
      <c r="C48" s="58"/>
      <c r="D48" s="58"/>
      <c r="E48" s="58"/>
      <c r="F48" s="58"/>
      <c r="G48" s="58"/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</row>
    <row r="49" ht="15.75" customHeight="1">
      <c r="A49" s="58"/>
      <c r="B49" s="59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</row>
    <row r="50" ht="15.75" customHeight="1">
      <c r="A50" s="58"/>
      <c r="B50" s="59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</row>
    <row r="51" ht="15.75" customHeight="1">
      <c r="A51" s="58"/>
      <c r="B51" s="59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</row>
    <row r="52" ht="15.75" customHeight="1">
      <c r="A52" s="58"/>
      <c r="B52" s="59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</row>
    <row r="53" ht="15.75" customHeight="1">
      <c r="A53" s="58"/>
      <c r="B53" s="59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</row>
    <row r="54" ht="15.75" customHeight="1">
      <c r="A54" s="58"/>
      <c r="B54" s="59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</row>
    <row r="55" ht="15.75" customHeight="1">
      <c r="A55" s="58"/>
      <c r="B55" s="59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</row>
    <row r="56" ht="15.75" customHeight="1">
      <c r="A56" s="58"/>
      <c r="B56" s="59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</row>
    <row r="57" ht="15.75" customHeight="1">
      <c r="A57" s="58"/>
      <c r="B57" s="59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</row>
    <row r="58" ht="15.75" customHeight="1">
      <c r="A58" s="58"/>
      <c r="B58" s="59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</row>
    <row r="59" ht="15.75" customHeight="1">
      <c r="A59" s="58"/>
      <c r="B59" s="59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</row>
    <row r="60" ht="15.75" customHeight="1">
      <c r="A60" s="58"/>
      <c r="B60" s="59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</row>
    <row r="61" ht="15.75" customHeight="1">
      <c r="A61" s="58"/>
      <c r="B61" s="59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</row>
    <row r="62" ht="15.75" customHeight="1">
      <c r="A62" s="58"/>
      <c r="B62" s="59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</row>
    <row r="63" ht="15.75" customHeight="1">
      <c r="A63" s="58"/>
      <c r="B63" s="59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</row>
    <row r="64" ht="15.75" customHeight="1">
      <c r="A64" s="58"/>
      <c r="B64" s="59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</row>
    <row r="65" ht="15.75" customHeight="1">
      <c r="A65" s="58"/>
      <c r="B65" s="59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</row>
    <row r="66" ht="15.75" customHeight="1">
      <c r="A66" s="58"/>
      <c r="B66" s="59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</row>
    <row r="67" ht="15.75" customHeight="1">
      <c r="A67" s="58"/>
      <c r="B67" s="59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</row>
    <row r="68" ht="15.75" customHeight="1">
      <c r="A68" s="58"/>
      <c r="B68" s="59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</row>
    <row r="69" ht="15.75" customHeight="1">
      <c r="A69" s="58"/>
      <c r="B69" s="59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</row>
    <row r="70" ht="15.75" customHeight="1">
      <c r="A70" s="58"/>
      <c r="B70" s="59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</row>
    <row r="71" ht="15.75" customHeight="1">
      <c r="A71" s="58"/>
      <c r="B71" s="59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</row>
    <row r="72" ht="15.75" customHeight="1">
      <c r="A72" s="58"/>
      <c r="B72" s="59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</row>
    <row r="73" ht="15.75" customHeight="1">
      <c r="A73" s="58"/>
      <c r="B73" s="59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</row>
    <row r="74" ht="15.75" customHeight="1">
      <c r="A74" s="58"/>
      <c r="B74" s="59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</row>
    <row r="75" ht="15.75" customHeight="1">
      <c r="A75" s="58"/>
      <c r="B75" s="59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</row>
    <row r="76" ht="15.75" customHeight="1">
      <c r="A76" s="58"/>
      <c r="B76" s="59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</row>
    <row r="77" ht="15.75" customHeight="1">
      <c r="A77" s="58"/>
      <c r="B77" s="59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</row>
    <row r="78" ht="15.75" customHeight="1">
      <c r="A78" s="58"/>
      <c r="B78" s="59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</row>
    <row r="79" ht="15.75" customHeight="1">
      <c r="A79" s="58"/>
      <c r="B79" s="59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</row>
    <row r="80" ht="15.75" customHeight="1">
      <c r="A80" s="58"/>
      <c r="B80" s="59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</row>
    <row r="81" ht="15.75" customHeight="1">
      <c r="A81" s="58"/>
      <c r="B81" s="59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</row>
    <row r="82" ht="15.75" customHeight="1">
      <c r="A82" s="58"/>
      <c r="B82" s="59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</row>
    <row r="83" ht="15.75" customHeight="1">
      <c r="A83" s="58"/>
      <c r="B83" s="59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</row>
    <row r="84" ht="15.75" customHeight="1">
      <c r="A84" s="58"/>
      <c r="B84" s="59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</row>
    <row r="85" ht="15.75" customHeight="1">
      <c r="A85" s="58"/>
      <c r="B85" s="59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</row>
    <row r="86" ht="15.75" customHeight="1">
      <c r="A86" s="58"/>
      <c r="B86" s="59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</row>
    <row r="87" ht="15.75" customHeight="1">
      <c r="A87" s="58"/>
      <c r="B87" s="59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</row>
    <row r="88" ht="15.75" customHeight="1">
      <c r="A88" s="58"/>
      <c r="B88" s="59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</row>
    <row r="89" ht="15.75" customHeight="1">
      <c r="A89" s="58"/>
      <c r="B89" s="59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</row>
    <row r="90" ht="15.75" customHeight="1">
      <c r="A90" s="58"/>
      <c r="B90" s="59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</row>
    <row r="91" ht="15.75" customHeight="1">
      <c r="A91" s="58"/>
      <c r="B91" s="59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</row>
    <row r="92" ht="15.75" customHeight="1">
      <c r="A92" s="58"/>
      <c r="B92" s="59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</row>
    <row r="93" ht="15.75" customHeight="1">
      <c r="A93" s="58"/>
      <c r="B93" s="59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</row>
    <row r="94" ht="15.75" customHeight="1">
      <c r="A94" s="58"/>
      <c r="B94" s="59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</row>
    <row r="95" ht="15.75" customHeight="1">
      <c r="A95" s="58"/>
      <c r="B95" s="59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</row>
    <row r="96" ht="15.75" customHeight="1">
      <c r="A96" s="58"/>
      <c r="B96" s="59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</row>
    <row r="97" ht="15.75" customHeight="1">
      <c r="A97" s="58"/>
      <c r="B97" s="59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</row>
    <row r="98" ht="15.75" customHeight="1">
      <c r="A98" s="58"/>
      <c r="B98" s="59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</row>
    <row r="99" ht="15.75" customHeight="1">
      <c r="A99" s="58"/>
      <c r="B99" s="59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</row>
    <row r="100" ht="15.75" customHeight="1">
      <c r="A100" s="58"/>
      <c r="B100" s="59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</row>
    <row r="101" ht="15.75" customHeight="1">
      <c r="A101" s="58"/>
      <c r="B101" s="59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</row>
    <row r="102" ht="15.75" customHeight="1">
      <c r="A102" s="58"/>
      <c r="B102" s="59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</row>
    <row r="103" ht="15.75" customHeight="1">
      <c r="A103" s="58"/>
      <c r="B103" s="59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</row>
    <row r="104" ht="15.75" customHeight="1">
      <c r="A104" s="58"/>
      <c r="B104" s="59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</row>
    <row r="105" ht="15.75" customHeight="1">
      <c r="A105" s="58"/>
      <c r="B105" s="59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</row>
    <row r="106" ht="15.75" customHeight="1">
      <c r="A106" s="58"/>
      <c r="B106" s="59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</row>
    <row r="107" ht="15.75" customHeight="1">
      <c r="A107" s="58"/>
      <c r="B107" s="59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</row>
    <row r="108" ht="15.75" customHeight="1">
      <c r="A108" s="58"/>
      <c r="B108" s="59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</row>
    <row r="109" ht="15.75" customHeight="1">
      <c r="A109" s="58"/>
      <c r="B109" s="59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</row>
    <row r="110" ht="15.75" customHeight="1">
      <c r="A110" s="58"/>
      <c r="B110" s="59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</row>
    <row r="111" ht="15.75" customHeight="1">
      <c r="A111" s="58"/>
      <c r="B111" s="59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</row>
    <row r="112" ht="15.75" customHeight="1">
      <c r="A112" s="58"/>
      <c r="B112" s="59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</row>
    <row r="113" ht="15.75" customHeight="1">
      <c r="A113" s="58"/>
      <c r="B113" s="59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</row>
    <row r="114" ht="15.75" customHeight="1">
      <c r="A114" s="58"/>
      <c r="B114" s="59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</row>
    <row r="115" ht="15.75" customHeight="1">
      <c r="A115" s="58"/>
      <c r="B115" s="59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</row>
    <row r="116" ht="15.75" customHeight="1">
      <c r="A116" s="58"/>
      <c r="B116" s="59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</row>
    <row r="117" ht="15.75" customHeight="1">
      <c r="A117" s="58"/>
      <c r="B117" s="59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</row>
    <row r="118" ht="15.75" customHeight="1">
      <c r="A118" s="58"/>
      <c r="B118" s="59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</row>
    <row r="119" ht="15.75" customHeight="1">
      <c r="A119" s="58"/>
      <c r="B119" s="59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</row>
    <row r="120" ht="15.75" customHeight="1">
      <c r="A120" s="58"/>
      <c r="B120" s="59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</row>
    <row r="121" ht="15.75" customHeight="1">
      <c r="A121" s="58"/>
      <c r="B121" s="59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</row>
    <row r="122" ht="15.75" customHeight="1">
      <c r="A122" s="58"/>
      <c r="B122" s="59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</row>
    <row r="123" ht="15.75" customHeight="1">
      <c r="A123" s="58"/>
      <c r="B123" s="59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</row>
    <row r="124" ht="15.75" customHeight="1">
      <c r="A124" s="58"/>
      <c r="B124" s="59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</row>
    <row r="125" ht="15.75" customHeight="1">
      <c r="A125" s="58"/>
      <c r="B125" s="59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</row>
    <row r="126" ht="15.75" customHeight="1">
      <c r="A126" s="58"/>
      <c r="B126" s="59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</row>
    <row r="127" ht="15.75" customHeight="1">
      <c r="A127" s="58"/>
      <c r="B127" s="59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</row>
    <row r="128" ht="15.75" customHeight="1">
      <c r="A128" s="58"/>
      <c r="B128" s="59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</row>
    <row r="129" ht="15.75" customHeight="1">
      <c r="A129" s="58"/>
      <c r="B129" s="59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</row>
    <row r="130" ht="15.75" customHeight="1">
      <c r="A130" s="58"/>
      <c r="B130" s="59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</row>
    <row r="131" ht="15.75" customHeight="1">
      <c r="A131" s="58"/>
      <c r="B131" s="59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</row>
    <row r="132" ht="15.75" customHeight="1">
      <c r="A132" s="58"/>
      <c r="B132" s="59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</row>
    <row r="133" ht="15.75" customHeight="1">
      <c r="A133" s="58"/>
      <c r="B133" s="59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</row>
    <row r="134" ht="15.75" customHeight="1">
      <c r="A134" s="58"/>
      <c r="B134" s="59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</row>
    <row r="135" ht="15.75" customHeight="1">
      <c r="A135" s="58"/>
      <c r="B135" s="59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</row>
    <row r="136" ht="15.75" customHeight="1">
      <c r="A136" s="58"/>
      <c r="B136" s="59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</row>
    <row r="137" ht="15.75" customHeight="1">
      <c r="A137" s="58"/>
      <c r="B137" s="59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</row>
    <row r="138" ht="15.75" customHeight="1">
      <c r="A138" s="58"/>
      <c r="B138" s="59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</row>
    <row r="139" ht="15.75" customHeight="1">
      <c r="A139" s="58"/>
      <c r="B139" s="59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</row>
    <row r="140" ht="15.75" customHeight="1">
      <c r="A140" s="58"/>
      <c r="B140" s="59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</row>
    <row r="141" ht="15.75" customHeight="1">
      <c r="A141" s="58"/>
      <c r="B141" s="59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</row>
    <row r="142" ht="15.75" customHeight="1">
      <c r="A142" s="58"/>
      <c r="B142" s="59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</row>
    <row r="143" ht="15.75" customHeight="1">
      <c r="A143" s="58"/>
      <c r="B143" s="59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</row>
    <row r="144" ht="15.75" customHeight="1">
      <c r="A144" s="58"/>
      <c r="B144" s="59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</row>
    <row r="145" ht="15.75" customHeight="1">
      <c r="A145" s="58"/>
      <c r="B145" s="59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</row>
    <row r="146" ht="15.75" customHeight="1">
      <c r="A146" s="58"/>
      <c r="B146" s="59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</row>
    <row r="147" ht="15.75" customHeight="1">
      <c r="A147" s="58"/>
      <c r="B147" s="59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</row>
    <row r="148" ht="15.75" customHeight="1">
      <c r="A148" s="58"/>
      <c r="B148" s="59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</row>
    <row r="149" ht="15.75" customHeight="1">
      <c r="A149" s="58"/>
      <c r="B149" s="59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</row>
    <row r="150" ht="15.75" customHeight="1">
      <c r="A150" s="58"/>
      <c r="B150" s="59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</row>
    <row r="151" ht="15.75" customHeight="1">
      <c r="A151" s="58"/>
      <c r="B151" s="59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</row>
    <row r="152" ht="15.75" customHeight="1">
      <c r="A152" s="58"/>
      <c r="B152" s="59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</row>
    <row r="153" ht="15.75" customHeight="1">
      <c r="A153" s="58"/>
      <c r="B153" s="59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</row>
    <row r="154" ht="15.75" customHeight="1">
      <c r="A154" s="58"/>
      <c r="B154" s="59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</row>
    <row r="155" ht="15.75" customHeight="1">
      <c r="A155" s="58"/>
      <c r="B155" s="59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</row>
    <row r="156" ht="15.75" customHeight="1">
      <c r="A156" s="58"/>
      <c r="B156" s="59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</row>
    <row r="157" ht="15.75" customHeight="1">
      <c r="A157" s="58"/>
      <c r="B157" s="59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</row>
    <row r="158" ht="15.75" customHeight="1">
      <c r="A158" s="58"/>
      <c r="B158" s="59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</row>
    <row r="159" ht="15.75" customHeight="1">
      <c r="A159" s="58"/>
      <c r="B159" s="59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</row>
    <row r="160" ht="15.75" customHeight="1">
      <c r="A160" s="58"/>
      <c r="B160" s="59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</row>
    <row r="161" ht="15.75" customHeight="1">
      <c r="A161" s="58"/>
      <c r="B161" s="59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</row>
    <row r="162" ht="15.75" customHeight="1">
      <c r="A162" s="58"/>
      <c r="B162" s="59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</row>
    <row r="163" ht="15.75" customHeight="1">
      <c r="A163" s="58"/>
      <c r="B163" s="59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</row>
    <row r="164" ht="15.75" customHeight="1">
      <c r="A164" s="58"/>
      <c r="B164" s="59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</row>
    <row r="165" ht="15.75" customHeight="1">
      <c r="A165" s="58"/>
      <c r="B165" s="59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</row>
    <row r="166" ht="15.75" customHeight="1">
      <c r="A166" s="58"/>
      <c r="B166" s="59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</row>
    <row r="167" ht="15.75" customHeight="1">
      <c r="A167" s="58"/>
      <c r="B167" s="59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</row>
    <row r="168" ht="15.75" customHeight="1">
      <c r="A168" s="58"/>
      <c r="B168" s="59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</row>
    <row r="169" ht="15.75" customHeight="1">
      <c r="A169" s="58"/>
      <c r="B169" s="59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</row>
    <row r="170" ht="15.75" customHeight="1">
      <c r="A170" s="58"/>
      <c r="B170" s="59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</row>
    <row r="171" ht="15.75" customHeight="1">
      <c r="A171" s="58"/>
      <c r="B171" s="59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</row>
    <row r="172" ht="15.75" customHeight="1">
      <c r="A172" s="58"/>
      <c r="B172" s="59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</row>
    <row r="173" ht="15.75" customHeight="1">
      <c r="A173" s="58"/>
      <c r="B173" s="59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</row>
    <row r="174" ht="15.75" customHeight="1">
      <c r="A174" s="58"/>
      <c r="B174" s="59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</row>
    <row r="175" ht="15.75" customHeight="1">
      <c r="A175" s="58"/>
      <c r="B175" s="59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</row>
    <row r="176" ht="15.75" customHeight="1">
      <c r="A176" s="58"/>
      <c r="B176" s="59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</row>
    <row r="177" ht="15.75" customHeight="1">
      <c r="A177" s="58"/>
      <c r="B177" s="59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</row>
    <row r="178" ht="15.75" customHeight="1">
      <c r="A178" s="58"/>
      <c r="B178" s="59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</row>
    <row r="179" ht="15.75" customHeight="1">
      <c r="A179" s="58"/>
      <c r="B179" s="59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</row>
    <row r="180" ht="15.75" customHeight="1">
      <c r="A180" s="58"/>
      <c r="B180" s="59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</row>
    <row r="181" ht="15.75" customHeight="1">
      <c r="A181" s="58"/>
      <c r="B181" s="59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</row>
    <row r="182" ht="15.75" customHeight="1">
      <c r="A182" s="58"/>
      <c r="B182" s="59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</row>
    <row r="183" ht="15.75" customHeight="1">
      <c r="A183" s="58"/>
      <c r="B183" s="59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</row>
    <row r="184" ht="15.75" customHeight="1">
      <c r="A184" s="58"/>
      <c r="B184" s="59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</row>
    <row r="185" ht="15.75" customHeight="1">
      <c r="A185" s="58"/>
      <c r="B185" s="59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</row>
    <row r="186" ht="15.75" customHeight="1">
      <c r="A186" s="58"/>
      <c r="B186" s="59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</row>
    <row r="187" ht="15.75" customHeight="1">
      <c r="A187" s="58"/>
      <c r="B187" s="59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</row>
    <row r="188" ht="15.75" customHeight="1">
      <c r="A188" s="58"/>
      <c r="B188" s="59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</row>
    <row r="189" ht="15.75" customHeight="1">
      <c r="A189" s="58"/>
      <c r="B189" s="59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</row>
    <row r="190" ht="15.75" customHeight="1">
      <c r="A190" s="58"/>
      <c r="B190" s="59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</row>
    <row r="191" ht="15.75" customHeight="1">
      <c r="A191" s="58"/>
      <c r="B191" s="59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</row>
    <row r="192" ht="15.75" customHeight="1">
      <c r="A192" s="58"/>
      <c r="B192" s="59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</row>
    <row r="193" ht="15.75" customHeight="1">
      <c r="A193" s="58"/>
      <c r="B193" s="59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</row>
    <row r="194" ht="15.75" customHeight="1">
      <c r="A194" s="58"/>
      <c r="B194" s="59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</row>
    <row r="195" ht="15.75" customHeight="1">
      <c r="A195" s="58"/>
      <c r="B195" s="59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</row>
    <row r="196" ht="15.75" customHeight="1">
      <c r="A196" s="58"/>
      <c r="B196" s="59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</row>
    <row r="197" ht="15.75" customHeight="1">
      <c r="A197" s="58"/>
      <c r="B197" s="59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</row>
    <row r="198" ht="15.75" customHeight="1">
      <c r="A198" s="58"/>
      <c r="B198" s="59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</row>
    <row r="199" ht="15.75" customHeight="1">
      <c r="A199" s="58"/>
      <c r="B199" s="59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</row>
    <row r="200" ht="15.75" customHeight="1">
      <c r="A200" s="58"/>
      <c r="B200" s="59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</row>
    <row r="201" ht="15.75" customHeight="1">
      <c r="A201" s="58"/>
      <c r="B201" s="59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</row>
    <row r="202" ht="15.75" customHeight="1">
      <c r="A202" s="58"/>
      <c r="B202" s="59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</row>
    <row r="203" ht="15.75" customHeight="1">
      <c r="A203" s="58"/>
      <c r="B203" s="59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</row>
    <row r="204" ht="15.75" customHeight="1">
      <c r="A204" s="58"/>
      <c r="B204" s="59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</row>
    <row r="205" ht="15.75" customHeight="1">
      <c r="A205" s="58"/>
      <c r="B205" s="59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</row>
    <row r="206" ht="15.75" customHeight="1">
      <c r="A206" s="58"/>
      <c r="B206" s="59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</row>
    <row r="207" ht="15.75" customHeight="1">
      <c r="A207" s="58"/>
      <c r="B207" s="59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</row>
    <row r="208" ht="15.75" customHeight="1">
      <c r="A208" s="58"/>
      <c r="B208" s="59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</row>
    <row r="209" ht="15.75" customHeight="1">
      <c r="A209" s="58"/>
      <c r="B209" s="59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</row>
    <row r="210" ht="15.75" customHeight="1">
      <c r="A210" s="58"/>
      <c r="B210" s="59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</row>
    <row r="211" ht="15.75" customHeight="1">
      <c r="A211" s="58"/>
      <c r="B211" s="59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</row>
    <row r="212" ht="15.75" customHeight="1">
      <c r="A212" s="58"/>
      <c r="B212" s="59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</row>
    <row r="213" ht="15.75" customHeight="1">
      <c r="A213" s="58"/>
      <c r="B213" s="59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</row>
    <row r="214" ht="15.75" customHeight="1">
      <c r="A214" s="58"/>
      <c r="B214" s="59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</row>
    <row r="215" ht="15.75" customHeight="1">
      <c r="A215" s="58"/>
      <c r="B215" s="59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</row>
    <row r="216" ht="15.75" customHeight="1">
      <c r="A216" s="58"/>
      <c r="B216" s="59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</row>
    <row r="217" ht="15.75" customHeight="1">
      <c r="A217" s="58"/>
      <c r="B217" s="59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</row>
    <row r="218" ht="15.75" customHeight="1">
      <c r="A218" s="58"/>
      <c r="B218" s="59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</row>
    <row r="219" ht="15.75" customHeight="1">
      <c r="A219" s="58"/>
      <c r="B219" s="59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</row>
    <row r="220" ht="15.75" customHeight="1">
      <c r="A220" s="58"/>
      <c r="B220" s="59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4.75"/>
    <col customWidth="1" min="3" max="3" width="19.25"/>
    <col customWidth="1" min="4" max="4" width="12.63"/>
    <col customWidth="1" min="5" max="5" width="17.25"/>
    <col customWidth="1" min="6" max="6" width="12.63"/>
  </cols>
  <sheetData>
    <row r="1" ht="15.75" customHeight="1">
      <c r="A1" s="13"/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15.75" customHeight="1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</row>
    <row r="3" ht="27.0" customHeight="1">
      <c r="A3" s="13"/>
      <c r="B3" s="13"/>
      <c r="C3" s="71" t="s">
        <v>119</v>
      </c>
      <c r="D3" s="13"/>
      <c r="E3" s="13"/>
      <c r="F3" s="13"/>
      <c r="G3" s="71" t="s">
        <v>120</v>
      </c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</row>
    <row r="4" ht="15.75" customHeight="1">
      <c r="A4" s="13"/>
      <c r="B4" s="72" t="s">
        <v>121</v>
      </c>
      <c r="C4" s="72" t="str">
        <f>IFERROR(__xludf.DUMMYFUNCTION("UNIQUE(B4:B26)"),"Ahmet  Şahin")</f>
        <v>Ahmet  Şahin</v>
      </c>
      <c r="D4" s="13"/>
      <c r="E4" s="72" t="s">
        <v>121</v>
      </c>
      <c r="F4" s="72">
        <v>23.0</v>
      </c>
      <c r="G4" s="72" t="str">
        <f>IFERROR(__xludf.DUMMYFUNCTION("UNIQUE(E4:F26)"),"Ahmet  Şahin")</f>
        <v>Ahmet  Şahin</v>
      </c>
      <c r="H4" s="72">
        <f>IFERROR(__xludf.DUMMYFUNCTION("""COMPUTED_VALUE"""),23.0)</f>
        <v>23</v>
      </c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</row>
    <row r="5" ht="15.75" customHeight="1">
      <c r="A5" s="13"/>
      <c r="B5" s="72" t="s">
        <v>122</v>
      </c>
      <c r="C5" s="72" t="str">
        <f>IFERROR(__xludf.DUMMYFUNCTION("""COMPUTED_VALUE"""),"Yavuz Nur")</f>
        <v>Yavuz Nur</v>
      </c>
      <c r="D5" s="13"/>
      <c r="E5" s="72" t="s">
        <v>122</v>
      </c>
      <c r="F5" s="72">
        <v>41.0</v>
      </c>
      <c r="G5" s="72" t="str">
        <f>IFERROR(__xludf.DUMMYFUNCTION("""COMPUTED_VALUE"""),"Yavuz Nur")</f>
        <v>Yavuz Nur</v>
      </c>
      <c r="H5" s="72">
        <f>IFERROR(__xludf.DUMMYFUNCTION("""COMPUTED_VALUE"""),41.0)</f>
        <v>41</v>
      </c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</row>
    <row r="6" ht="15.75" customHeight="1">
      <c r="A6" s="13"/>
      <c r="B6" s="72" t="s">
        <v>123</v>
      </c>
      <c r="C6" s="72" t="str">
        <f>IFERROR(__xludf.DUMMYFUNCTION("""COMPUTED_VALUE"""),"Sema Kaya")</f>
        <v>Sema Kaya</v>
      </c>
      <c r="D6" s="13"/>
      <c r="E6" s="72" t="s">
        <v>123</v>
      </c>
      <c r="F6" s="72">
        <v>23.0</v>
      </c>
      <c r="G6" s="72" t="str">
        <f>IFERROR(__xludf.DUMMYFUNCTION("""COMPUTED_VALUE"""),"Sema Kaya")</f>
        <v>Sema Kaya</v>
      </c>
      <c r="H6" s="72">
        <f>IFERROR(__xludf.DUMMYFUNCTION("""COMPUTED_VALUE"""),23.0)</f>
        <v>23</v>
      </c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</row>
    <row r="7" ht="15.75" customHeight="1">
      <c r="A7" s="13"/>
      <c r="B7" s="72" t="s">
        <v>124</v>
      </c>
      <c r="C7" s="72" t="str">
        <f>IFERROR(__xludf.DUMMYFUNCTION("""COMPUTED_VALUE"""),"Tuba Kara")</f>
        <v>Tuba Kara</v>
      </c>
      <c r="D7" s="13"/>
      <c r="E7" s="72" t="s">
        <v>124</v>
      </c>
      <c r="F7" s="72">
        <v>24.0</v>
      </c>
      <c r="G7" s="72" t="str">
        <f>IFERROR(__xludf.DUMMYFUNCTION("""COMPUTED_VALUE"""),"Tuba Kara")</f>
        <v>Tuba Kara</v>
      </c>
      <c r="H7" s="72">
        <f>IFERROR(__xludf.DUMMYFUNCTION("""COMPUTED_VALUE"""),24.0)</f>
        <v>24</v>
      </c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</row>
    <row r="8" ht="15.75" customHeight="1">
      <c r="A8" s="13"/>
      <c r="B8" s="72" t="s">
        <v>125</v>
      </c>
      <c r="C8" s="72" t="str">
        <f>IFERROR(__xludf.DUMMYFUNCTION("""COMPUTED_VALUE"""),"Eda Perçin")</f>
        <v>Eda Perçin</v>
      </c>
      <c r="D8" s="13"/>
      <c r="E8" s="72" t="s">
        <v>125</v>
      </c>
      <c r="F8" s="72">
        <v>23.0</v>
      </c>
      <c r="G8" s="72" t="str">
        <f>IFERROR(__xludf.DUMMYFUNCTION("""COMPUTED_VALUE"""),"Eda Perçin")</f>
        <v>Eda Perçin</v>
      </c>
      <c r="H8" s="72">
        <f>IFERROR(__xludf.DUMMYFUNCTION("""COMPUTED_VALUE"""),23.0)</f>
        <v>23</v>
      </c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</row>
    <row r="9" ht="15.75" customHeight="1">
      <c r="A9" s="13"/>
      <c r="B9" s="72" t="s">
        <v>126</v>
      </c>
      <c r="C9" s="72" t="str">
        <f>IFERROR(__xludf.DUMMYFUNCTION("""COMPUTED_VALUE"""),"Ahmet  Aydın")</f>
        <v>Ahmet  Aydın</v>
      </c>
      <c r="D9" s="13"/>
      <c r="E9" s="72" t="s">
        <v>126</v>
      </c>
      <c r="F9" s="72">
        <v>4.0</v>
      </c>
      <c r="G9" s="72" t="str">
        <f>IFERROR(__xludf.DUMMYFUNCTION("""COMPUTED_VALUE"""),"Ahmet  Aydın")</f>
        <v>Ahmet  Aydın</v>
      </c>
      <c r="H9" s="72">
        <f>IFERROR(__xludf.DUMMYFUNCTION("""COMPUTED_VALUE"""),4.0)</f>
        <v>4</v>
      </c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</row>
    <row r="10" ht="15.75" customHeight="1">
      <c r="A10" s="13"/>
      <c r="B10" s="72" t="s">
        <v>127</v>
      </c>
      <c r="C10" s="72" t="str">
        <f>IFERROR(__xludf.DUMMYFUNCTION("""COMPUTED_VALUE"""),"Elif Doğu")</f>
        <v>Elif Doğu</v>
      </c>
      <c r="D10" s="13"/>
      <c r="E10" s="72" t="s">
        <v>127</v>
      </c>
      <c r="F10" s="72">
        <v>5.0</v>
      </c>
      <c r="G10" s="72" t="str">
        <f>IFERROR(__xludf.DUMMYFUNCTION("""COMPUTED_VALUE"""),"Elif Doğu")</f>
        <v>Elif Doğu</v>
      </c>
      <c r="H10" s="72">
        <f>IFERROR(__xludf.DUMMYFUNCTION("""COMPUTED_VALUE"""),5.0)</f>
        <v>5</v>
      </c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</row>
    <row r="11" ht="15.75" customHeight="1">
      <c r="A11" s="13"/>
      <c r="B11" s="72" t="s">
        <v>128</v>
      </c>
      <c r="C11" s="72" t="str">
        <f>IFERROR(__xludf.DUMMYFUNCTION("""COMPUTED_VALUE"""),"Emel Esen")</f>
        <v>Emel Esen</v>
      </c>
      <c r="D11" s="13"/>
      <c r="E11" s="72" t="s">
        <v>128</v>
      </c>
      <c r="F11" s="72">
        <v>55.0</v>
      </c>
      <c r="G11" s="72" t="str">
        <f>IFERROR(__xludf.DUMMYFUNCTION("""COMPUTED_VALUE"""),"Emel Esen")</f>
        <v>Emel Esen</v>
      </c>
      <c r="H11" s="72">
        <f>IFERROR(__xludf.DUMMYFUNCTION("""COMPUTED_VALUE"""),55.0)</f>
        <v>55</v>
      </c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</row>
    <row r="12" ht="15.75" customHeight="1">
      <c r="A12" s="13"/>
      <c r="B12" s="72" t="s">
        <v>129</v>
      </c>
      <c r="C12" s="72" t="str">
        <f>IFERROR(__xludf.DUMMYFUNCTION("""COMPUTED_VALUE"""),"Yusuf Özkan")</f>
        <v>Yusuf Özkan</v>
      </c>
      <c r="D12" s="13"/>
      <c r="E12" s="72" t="s">
        <v>129</v>
      </c>
      <c r="F12" s="72">
        <v>66.0</v>
      </c>
      <c r="G12" s="72" t="str">
        <f>IFERROR(__xludf.DUMMYFUNCTION("""COMPUTED_VALUE"""),"Yusuf Özkan")</f>
        <v>Yusuf Özkan</v>
      </c>
      <c r="H12" s="72">
        <f>IFERROR(__xludf.DUMMYFUNCTION("""COMPUTED_VALUE"""),66.0)</f>
        <v>66</v>
      </c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</row>
    <row r="13" ht="15.75" customHeight="1">
      <c r="A13" s="13"/>
      <c r="B13" s="72" t="s">
        <v>130</v>
      </c>
      <c r="C13" s="72" t="str">
        <f>IFERROR(__xludf.DUMMYFUNCTION("""COMPUTED_VALUE"""),"Sezgin Kıyılı")</f>
        <v>Sezgin Kıyılı</v>
      </c>
      <c r="D13" s="13"/>
      <c r="E13" s="72" t="s">
        <v>130</v>
      </c>
      <c r="F13" s="72">
        <v>77.0</v>
      </c>
      <c r="G13" s="72" t="str">
        <f>IFERROR(__xludf.DUMMYFUNCTION("""COMPUTED_VALUE"""),"Sezgin Kıyılı")</f>
        <v>Sezgin Kıyılı</v>
      </c>
      <c r="H13" s="72">
        <f>IFERROR(__xludf.DUMMYFUNCTION("""COMPUTED_VALUE"""),77.0)</f>
        <v>77</v>
      </c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</row>
    <row r="14" ht="15.75" customHeight="1">
      <c r="A14" s="13"/>
      <c r="B14" s="72" t="s">
        <v>124</v>
      </c>
      <c r="C14" s="72"/>
      <c r="D14" s="13"/>
      <c r="E14" s="72" t="s">
        <v>124</v>
      </c>
      <c r="F14" s="72">
        <v>24.0</v>
      </c>
      <c r="G14" s="72" t="str">
        <f>IFERROR(__xludf.DUMMYFUNCTION("""COMPUTED_VALUE"""),"Eda Perçin")</f>
        <v>Eda Perçin</v>
      </c>
      <c r="H14" s="72">
        <f>IFERROR(__xludf.DUMMYFUNCTION("""COMPUTED_VALUE"""),9.0)</f>
        <v>9</v>
      </c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</row>
    <row r="15" ht="15.75" customHeight="1">
      <c r="A15" s="13"/>
      <c r="B15" s="72" t="s">
        <v>125</v>
      </c>
      <c r="C15" s="72"/>
      <c r="D15" s="13"/>
      <c r="E15" s="72" t="s">
        <v>125</v>
      </c>
      <c r="F15" s="72">
        <v>9.0</v>
      </c>
      <c r="G15" s="72" t="str">
        <f>IFERROR(__xludf.DUMMYFUNCTION("""COMPUTED_VALUE"""),"Ahmet  Aydın")</f>
        <v>Ahmet  Aydın</v>
      </c>
      <c r="H15" s="72">
        <f>IFERROR(__xludf.DUMMYFUNCTION("""COMPUTED_VALUE"""),56.0)</f>
        <v>56</v>
      </c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</row>
    <row r="16" ht="15.75" customHeight="1">
      <c r="A16" s="13"/>
      <c r="B16" s="72" t="s">
        <v>126</v>
      </c>
      <c r="C16" s="72"/>
      <c r="D16" s="13"/>
      <c r="E16" s="72" t="s">
        <v>126</v>
      </c>
      <c r="F16" s="72">
        <v>56.0</v>
      </c>
      <c r="G16" s="72" t="str">
        <f>IFERROR(__xludf.DUMMYFUNCTION("""COMPUTED_VALUE"""),"Eda Perçin")</f>
        <v>Eda Perçin</v>
      </c>
      <c r="H16" s="72">
        <f>IFERROR(__xludf.DUMMYFUNCTION("""COMPUTED_VALUE"""),35.0)</f>
        <v>35</v>
      </c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</row>
    <row r="17" ht="15.75" customHeight="1">
      <c r="A17" s="13"/>
      <c r="B17" s="72" t="s">
        <v>125</v>
      </c>
      <c r="C17" s="72"/>
      <c r="D17" s="13"/>
      <c r="E17" s="72" t="s">
        <v>125</v>
      </c>
      <c r="F17" s="72">
        <v>35.0</v>
      </c>
      <c r="G17" s="72" t="str">
        <f>IFERROR(__xludf.DUMMYFUNCTION("""COMPUTED_VALUE"""),"Ahmet  Aydın")</f>
        <v>Ahmet  Aydın</v>
      </c>
      <c r="H17" s="72">
        <f>IFERROR(__xludf.DUMMYFUNCTION("""COMPUTED_VALUE"""),34.0)</f>
        <v>34</v>
      </c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</row>
    <row r="18" ht="15.75" customHeight="1">
      <c r="A18" s="13"/>
      <c r="B18" s="72" t="s">
        <v>126</v>
      </c>
      <c r="C18" s="72"/>
      <c r="D18" s="13"/>
      <c r="E18" s="72" t="s">
        <v>126</v>
      </c>
      <c r="F18" s="72">
        <v>34.0</v>
      </c>
      <c r="G18" s="72" t="str">
        <f>IFERROR(__xludf.DUMMYFUNCTION("""COMPUTED_VALUE"""),"Elif Doğu")</f>
        <v>Elif Doğu</v>
      </c>
      <c r="H18" s="72">
        <f>IFERROR(__xludf.DUMMYFUNCTION("""COMPUTED_VALUE"""),23.0)</f>
        <v>23</v>
      </c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</row>
    <row r="19" ht="15.75" customHeight="1">
      <c r="A19" s="13"/>
      <c r="B19" s="72" t="s">
        <v>127</v>
      </c>
      <c r="C19" s="72"/>
      <c r="D19" s="13"/>
      <c r="E19" s="72" t="s">
        <v>127</v>
      </c>
      <c r="F19" s="72">
        <v>23.0</v>
      </c>
      <c r="G19" s="72" t="str">
        <f>IFERROR(__xludf.DUMMYFUNCTION("""COMPUTED_VALUE"""),"Emel Esen")</f>
        <v>Emel Esen</v>
      </c>
      <c r="H19" s="72">
        <f>IFERROR(__xludf.DUMMYFUNCTION("""COMPUTED_VALUE"""),56.0)</f>
        <v>56</v>
      </c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</row>
    <row r="20" ht="15.75" customHeight="1">
      <c r="A20" s="13"/>
      <c r="B20" s="72" t="s">
        <v>128</v>
      </c>
      <c r="C20" s="72"/>
      <c r="D20" s="13"/>
      <c r="E20" s="72" t="s">
        <v>128</v>
      </c>
      <c r="F20" s="72">
        <v>56.0</v>
      </c>
      <c r="G20" s="72" t="str">
        <f>IFERROR(__xludf.DUMMYFUNCTION("""COMPUTED_VALUE"""),"Yusuf Özkan")</f>
        <v>Yusuf Özkan</v>
      </c>
      <c r="H20" s="72">
        <f>IFERROR(__xludf.DUMMYFUNCTION("""COMPUTED_VALUE"""),54.0)</f>
        <v>54</v>
      </c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</row>
    <row r="21" ht="15.75" customHeight="1">
      <c r="A21" s="13"/>
      <c r="B21" s="72" t="s">
        <v>129</v>
      </c>
      <c r="C21" s="72"/>
      <c r="D21" s="13"/>
      <c r="E21" s="72" t="s">
        <v>129</v>
      </c>
      <c r="F21" s="72">
        <v>54.0</v>
      </c>
      <c r="G21" s="72" t="str">
        <f>IFERROR(__xludf.DUMMYFUNCTION("""COMPUTED_VALUE"""),"Tuba Kara")</f>
        <v>Tuba Kara</v>
      </c>
      <c r="H21" s="72">
        <f>IFERROR(__xludf.DUMMYFUNCTION("""COMPUTED_VALUE"""),33.0)</f>
        <v>33</v>
      </c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</row>
    <row r="22" ht="15.75" customHeight="1">
      <c r="A22" s="13"/>
      <c r="B22" s="72" t="s">
        <v>123</v>
      </c>
      <c r="C22" s="72"/>
      <c r="D22" s="13"/>
      <c r="E22" s="72" t="s">
        <v>123</v>
      </c>
      <c r="F22" s="72">
        <v>23.0</v>
      </c>
      <c r="G22" s="72" t="str">
        <f>IFERROR(__xludf.DUMMYFUNCTION("""COMPUTED_VALUE"""),"Eda Perçin")</f>
        <v>Eda Perçin</v>
      </c>
      <c r="H22" s="72">
        <f>IFERROR(__xludf.DUMMYFUNCTION("""COMPUTED_VALUE"""),22.0)</f>
        <v>22</v>
      </c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</row>
    <row r="23" ht="15.75" customHeight="1">
      <c r="A23" s="13"/>
      <c r="B23" s="72" t="s">
        <v>124</v>
      </c>
      <c r="C23" s="72"/>
      <c r="D23" s="13"/>
      <c r="E23" s="72" t="s">
        <v>124</v>
      </c>
      <c r="F23" s="72">
        <v>33.0</v>
      </c>
      <c r="G23" s="72" t="str">
        <f>IFERROR(__xludf.DUMMYFUNCTION("""COMPUTED_VALUE"""),"Ahmet  Aydın")</f>
        <v>Ahmet  Aydın</v>
      </c>
      <c r="H23" s="72">
        <f>IFERROR(__xludf.DUMMYFUNCTION("""COMPUTED_VALUE"""),22.0)</f>
        <v>22</v>
      </c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</row>
    <row r="24" ht="15.75" customHeight="1">
      <c r="A24" s="13"/>
      <c r="B24" s="72" t="s">
        <v>125</v>
      </c>
      <c r="C24" s="72"/>
      <c r="D24" s="13"/>
      <c r="E24" s="72" t="s">
        <v>125</v>
      </c>
      <c r="F24" s="72">
        <v>22.0</v>
      </c>
      <c r="G24" s="72" t="str">
        <f>IFERROR(__xludf.DUMMYFUNCTION("""COMPUTED_VALUE"""),"Elif Doğu")</f>
        <v>Elif Doğu</v>
      </c>
      <c r="H24" s="72">
        <f>IFERROR(__xludf.DUMMYFUNCTION("""COMPUTED_VALUE"""),33.0)</f>
        <v>33</v>
      </c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</row>
    <row r="25" ht="15.75" customHeight="1">
      <c r="A25" s="13"/>
      <c r="B25" s="72" t="s">
        <v>126</v>
      </c>
      <c r="C25" s="72"/>
      <c r="D25" s="13"/>
      <c r="E25" s="72" t="s">
        <v>126</v>
      </c>
      <c r="F25" s="72">
        <v>22.0</v>
      </c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</row>
    <row r="26" ht="15.75" customHeight="1">
      <c r="A26" s="13"/>
      <c r="B26" s="72" t="s">
        <v>127</v>
      </c>
      <c r="C26" s="72"/>
      <c r="D26" s="13"/>
      <c r="E26" s="72" t="s">
        <v>127</v>
      </c>
      <c r="F26" s="72">
        <v>33.0</v>
      </c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</row>
    <row r="27" ht="15.75" customHeight="1">
      <c r="A27" s="13"/>
      <c r="B27" s="13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</row>
    <row r="28" ht="15.75" customHeight="1">
      <c r="A28" s="13"/>
      <c r="B28" s="13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</row>
    <row r="29" ht="15.75" customHeight="1">
      <c r="A29" s="13"/>
      <c r="B29" s="13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</row>
    <row r="30" ht="15.75" customHeight="1">
      <c r="A30" s="13"/>
      <c r="B30" s="13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</row>
    <row r="31" ht="15.75" customHeight="1">
      <c r="A31" s="13"/>
      <c r="B31" s="13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</row>
    <row r="32" ht="15.75" customHeight="1">
      <c r="A32" s="13"/>
      <c r="B32" s="13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</row>
    <row r="33" ht="15.75" customHeight="1">
      <c r="A33" s="13"/>
      <c r="B33" s="13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</row>
    <row r="34" ht="15.75" customHeight="1">
      <c r="A34" s="13"/>
      <c r="B34" s="13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</row>
    <row r="35" ht="15.75" customHeight="1">
      <c r="A35" s="13"/>
      <c r="B35" s="13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</row>
    <row r="36" ht="15.75" customHeight="1">
      <c r="A36" s="13"/>
      <c r="B36" s="13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</row>
    <row r="37" ht="15.75" customHeight="1">
      <c r="A37" s="13"/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</row>
    <row r="38" ht="15.75" customHeight="1">
      <c r="A38" s="13"/>
      <c r="B38" s="13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</row>
    <row r="39" ht="15.75" customHeight="1">
      <c r="A39" s="13"/>
      <c r="B39" s="13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</row>
    <row r="40" ht="15.75" customHeight="1">
      <c r="A40" s="13"/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</row>
    <row r="41" ht="15.75" customHeight="1">
      <c r="A41" s="13"/>
      <c r="B41" s="13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</row>
    <row r="42" ht="15.75" customHeight="1">
      <c r="A42" s="13"/>
      <c r="B42" s="13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</row>
    <row r="43" ht="15.75" customHeight="1">
      <c r="A43" s="13"/>
      <c r="B43" s="13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</row>
    <row r="44" ht="15.75" customHeight="1">
      <c r="A44" s="13"/>
      <c r="B44" s="13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</row>
    <row r="45" ht="15.75" customHeight="1">
      <c r="A45" s="13"/>
      <c r="B45" s="13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</row>
    <row r="46" ht="15.75" customHeight="1">
      <c r="A46" s="13"/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</row>
    <row r="47" ht="15.75" customHeight="1">
      <c r="A47" s="13"/>
      <c r="B47" s="13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</row>
    <row r="48" ht="15.75" customHeight="1">
      <c r="A48" s="13"/>
      <c r="B48" s="13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</row>
    <row r="49" ht="15.75" customHeight="1">
      <c r="A49" s="13"/>
      <c r="B49" s="13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</row>
    <row r="50" ht="15.75" customHeight="1">
      <c r="A50" s="13"/>
      <c r="B50" s="13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</row>
    <row r="51" ht="15.75" customHeight="1">
      <c r="A51" s="13"/>
      <c r="B51" s="13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</row>
    <row r="52" ht="15.75" customHeight="1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</row>
    <row r="53" ht="15.75" customHeight="1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</row>
    <row r="54" ht="15.75" customHeight="1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</row>
    <row r="55" ht="15.75" customHeight="1">
      <c r="A55" s="13"/>
      <c r="B55" s="13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</row>
    <row r="56" ht="15.75" customHeight="1">
      <c r="A56" s="13"/>
      <c r="B56" s="13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</row>
    <row r="57" ht="15.75" customHeight="1">
      <c r="A57" s="13"/>
      <c r="B57" s="13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</row>
    <row r="58" ht="15.75" customHeight="1">
      <c r="A58" s="13"/>
      <c r="B58" s="13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</row>
    <row r="59" ht="15.75" customHeight="1">
      <c r="A59" s="13"/>
      <c r="B59" s="13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</row>
    <row r="60" ht="15.75" customHeight="1">
      <c r="A60" s="13"/>
      <c r="B60" s="13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</row>
    <row r="61" ht="15.75" customHeight="1">
      <c r="A61" s="13"/>
      <c r="B61" s="13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</row>
    <row r="62" ht="15.75" customHeight="1">
      <c r="A62" s="13"/>
      <c r="B62" s="13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</row>
    <row r="63" ht="15.75" customHeight="1">
      <c r="A63" s="13"/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</row>
    <row r="64" ht="15.75" customHeight="1">
      <c r="A64" s="13"/>
      <c r="B64" s="13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</row>
    <row r="65" ht="15.75" customHeight="1">
      <c r="A65" s="13"/>
      <c r="B65" s="13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</row>
    <row r="66" ht="15.75" customHeight="1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</row>
    <row r="67" ht="15.75" customHeight="1">
      <c r="A67" s="13"/>
      <c r="B67" s="13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</row>
    <row r="68" ht="15.75" customHeight="1">
      <c r="A68" s="13"/>
      <c r="B68" s="13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</row>
    <row r="69" ht="15.75" customHeight="1">
      <c r="A69" s="13"/>
      <c r="B69" s="13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</row>
    <row r="70" ht="15.75" customHeight="1">
      <c r="A70" s="13"/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</row>
    <row r="71" ht="15.75" customHeight="1">
      <c r="A71" s="13"/>
      <c r="B71" s="13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</row>
    <row r="72" ht="15.75" customHeight="1">
      <c r="A72" s="13"/>
      <c r="B72" s="13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</row>
    <row r="73" ht="15.75" customHeight="1">
      <c r="A73" s="13"/>
      <c r="B73" s="13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</row>
    <row r="74" ht="15.75" customHeight="1">
      <c r="A74" s="13"/>
      <c r="B74" s="13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</row>
    <row r="75" ht="15.75" customHeight="1">
      <c r="A75" s="13"/>
      <c r="B75" s="13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</row>
    <row r="76" ht="15.75" customHeight="1">
      <c r="A76" s="13"/>
      <c r="B76" s="13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</row>
    <row r="77" ht="15.75" customHeight="1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</row>
    <row r="78" ht="15.75" customHeight="1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</row>
    <row r="79" ht="15.75" customHeight="1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</row>
    <row r="80" ht="15.75" customHeight="1">
      <c r="A80" s="13"/>
      <c r="B80" s="13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</row>
    <row r="81" ht="15.75" customHeight="1">
      <c r="A81" s="13"/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</row>
    <row r="82" ht="15.75" customHeight="1">
      <c r="A82" s="13"/>
      <c r="B82" s="13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</row>
    <row r="83" ht="15.75" customHeight="1">
      <c r="A83" s="13"/>
      <c r="B83" s="13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</row>
    <row r="84" ht="15.75" customHeight="1">
      <c r="A84" s="13"/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</row>
    <row r="85" ht="15.75" customHeight="1">
      <c r="A85" s="13"/>
      <c r="B85" s="13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</row>
    <row r="86" ht="15.75" customHeight="1">
      <c r="A86" s="13"/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</row>
    <row r="87" ht="15.75" customHeight="1">
      <c r="A87" s="13"/>
      <c r="B87" s="13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</row>
    <row r="88" ht="15.75" customHeight="1">
      <c r="A88" s="13"/>
      <c r="B88" s="13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</row>
    <row r="89" ht="15.75" customHeight="1">
      <c r="A89" s="13"/>
      <c r="B89" s="13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</row>
    <row r="90" ht="15.75" customHeight="1">
      <c r="A90" s="13"/>
      <c r="B90" s="13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</row>
    <row r="91" ht="15.75" customHeight="1">
      <c r="A91" s="13"/>
      <c r="B91" s="13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</row>
    <row r="92" ht="15.75" customHeight="1">
      <c r="A92" s="13"/>
      <c r="B92" s="13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</row>
    <row r="93" ht="15.75" customHeight="1">
      <c r="A93" s="13"/>
      <c r="B93" s="13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</row>
    <row r="94" ht="15.75" customHeight="1">
      <c r="A94" s="13"/>
      <c r="B94" s="13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</row>
    <row r="95" ht="15.75" customHeight="1">
      <c r="A95" s="13"/>
      <c r="B95" s="13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</row>
    <row r="96" ht="15.75" customHeight="1">
      <c r="A96" s="13"/>
      <c r="B96" s="13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</row>
    <row r="97" ht="15.75" customHeight="1">
      <c r="A97" s="13"/>
      <c r="B97" s="13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</row>
    <row r="98" ht="15.75" customHeight="1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</row>
    <row r="99" ht="15.75" customHeight="1">
      <c r="A99" s="13"/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</row>
    <row r="100" ht="15.75" customHeight="1">
      <c r="A100" s="13"/>
      <c r="B100" s="13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</row>
    <row r="101" ht="15.75" customHeight="1">
      <c r="A101" s="13"/>
      <c r="B101" s="13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</row>
    <row r="102" ht="15.75" customHeight="1">
      <c r="A102" s="13"/>
      <c r="B102" s="13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</row>
    <row r="103" ht="15.75" customHeight="1">
      <c r="A103" s="13"/>
      <c r="B103" s="13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</row>
    <row r="104" ht="15.75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</row>
    <row r="105" ht="15.75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</row>
    <row r="106" ht="15.75" customHeight="1">
      <c r="A106" s="13"/>
      <c r="B106" s="13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</row>
    <row r="107" ht="15.75" customHeight="1">
      <c r="A107" s="13"/>
      <c r="B107" s="13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</row>
    <row r="108" ht="15.75" customHeight="1">
      <c r="A108" s="13"/>
      <c r="B108" s="13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</row>
    <row r="109" ht="15.75" customHeight="1">
      <c r="A109" s="13"/>
      <c r="B109" s="13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</row>
    <row r="110" ht="15.75" customHeight="1">
      <c r="A110" s="13"/>
      <c r="B110" s="13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</row>
    <row r="111" ht="15.75" customHeight="1">
      <c r="A111" s="13"/>
      <c r="B111" s="13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</row>
    <row r="112" ht="15.75" customHeight="1">
      <c r="A112" s="13"/>
      <c r="B112" s="13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</row>
    <row r="113" ht="15.75" customHeight="1">
      <c r="A113" s="13"/>
      <c r="B113" s="13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</row>
    <row r="114" ht="15.75" customHeight="1">
      <c r="A114" s="13"/>
      <c r="B114" s="13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</row>
    <row r="115" ht="15.75" customHeight="1">
      <c r="A115" s="13"/>
      <c r="B115" s="13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</row>
    <row r="116" ht="15.75" customHeight="1">
      <c r="A116" s="13"/>
      <c r="B116" s="13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</row>
    <row r="117" ht="15.75" customHeight="1">
      <c r="A117" s="13"/>
      <c r="B117" s="13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</row>
    <row r="118" ht="15.75" customHeight="1">
      <c r="A118" s="13"/>
      <c r="B118" s="13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</row>
    <row r="119" ht="15.75" customHeight="1">
      <c r="A119" s="13"/>
      <c r="B119" s="13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</row>
    <row r="120" ht="15.75" customHeight="1">
      <c r="A120" s="13"/>
      <c r="B120" s="13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</row>
    <row r="121" ht="15.75" customHeight="1">
      <c r="A121" s="13"/>
      <c r="B121" s="13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</row>
    <row r="122" ht="15.75" customHeight="1">
      <c r="A122" s="13"/>
      <c r="B122" s="13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</row>
    <row r="123" ht="15.75" customHeight="1">
      <c r="A123" s="13"/>
      <c r="B123" s="13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</row>
    <row r="124" ht="15.75" customHeight="1">
      <c r="A124" s="13"/>
      <c r="B124" s="13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</row>
    <row r="125" ht="15.75" customHeight="1">
      <c r="A125" s="13"/>
      <c r="B125" s="13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</row>
    <row r="126" ht="15.75" customHeight="1">
      <c r="A126" s="13"/>
      <c r="B126" s="13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</row>
    <row r="127" ht="15.75" customHeight="1">
      <c r="A127" s="13"/>
      <c r="B127" s="13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</row>
    <row r="128" ht="15.75" customHeight="1">
      <c r="A128" s="13"/>
      <c r="B128" s="13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</row>
    <row r="129" ht="15.75" customHeight="1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</row>
    <row r="130" ht="15.75" customHeight="1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</row>
    <row r="131" ht="15.75" customHeight="1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</row>
    <row r="132" ht="15.75" customHeight="1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</row>
    <row r="133" ht="15.75" customHeight="1">
      <c r="A133" s="13"/>
      <c r="B133" s="13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</row>
    <row r="134" ht="15.75" customHeight="1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</row>
    <row r="135" ht="15.75" customHeight="1">
      <c r="A135" s="13"/>
      <c r="B135" s="13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</row>
    <row r="136" ht="15.75" customHeight="1">
      <c r="A136" s="13"/>
      <c r="B136" s="13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</row>
    <row r="137" ht="15.75" customHeight="1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</row>
    <row r="138" ht="15.75" customHeight="1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</row>
    <row r="139" ht="15.75" customHeight="1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</row>
    <row r="140" ht="15.75" customHeight="1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</row>
    <row r="141" ht="15.75" customHeight="1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</row>
    <row r="142" ht="15.75" customHeight="1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</row>
    <row r="143" ht="15.75" customHeight="1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</row>
    <row r="144" ht="15.75" customHeight="1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</row>
    <row r="145" ht="15.75" customHeight="1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</row>
    <row r="146" ht="15.75" customHeight="1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</row>
    <row r="147" ht="15.75" customHeight="1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</row>
    <row r="148" ht="15.75" customHeight="1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</row>
    <row r="149" ht="15.75" customHeight="1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</row>
    <row r="150" ht="15.75" customHeight="1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</row>
    <row r="151" ht="15.75" customHeight="1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</row>
    <row r="152" ht="15.75" customHeight="1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</row>
    <row r="153" ht="15.75" customHeight="1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</row>
    <row r="154" ht="15.75" customHeight="1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</row>
    <row r="155" ht="15.75" customHeight="1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</row>
    <row r="156" ht="15.75" customHeight="1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</row>
    <row r="157" ht="15.75" customHeight="1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</row>
    <row r="158" ht="15.75" customHeight="1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</row>
    <row r="159" ht="15.75" customHeight="1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</row>
    <row r="160" ht="15.75" customHeight="1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</row>
    <row r="161" ht="15.75" customHeight="1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</row>
    <row r="162" ht="15.75" customHeight="1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</row>
    <row r="163" ht="15.75" customHeight="1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</row>
    <row r="164" ht="15.75" customHeight="1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</row>
    <row r="165" ht="15.75" customHeight="1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</row>
    <row r="166" ht="15.75" customHeight="1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</row>
    <row r="167" ht="15.75" customHeight="1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</row>
    <row r="168" ht="15.75" customHeight="1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</row>
    <row r="169" ht="15.75" customHeight="1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</row>
    <row r="170" ht="15.75" customHeight="1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</row>
    <row r="171" ht="15.75" customHeight="1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</row>
    <row r="172" ht="15.75" customHeight="1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</row>
    <row r="173" ht="15.75" customHeight="1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</row>
    <row r="174" ht="15.75" customHeight="1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</row>
    <row r="175" ht="15.75" customHeight="1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</row>
    <row r="176" ht="15.75" customHeight="1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</row>
    <row r="177" ht="15.75" customHeight="1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</row>
    <row r="178" ht="15.75" customHeight="1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</row>
    <row r="179" ht="15.75" customHeight="1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</row>
    <row r="180" ht="15.75" customHeight="1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</row>
    <row r="181" ht="15.75" customHeight="1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</row>
    <row r="182" ht="15.75" customHeight="1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</row>
    <row r="183" ht="15.75" customHeight="1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</row>
    <row r="184" ht="15.75" customHeight="1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</row>
    <row r="185" ht="15.75" customHeight="1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</row>
    <row r="186" ht="15.75" customHeight="1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</row>
    <row r="187" ht="15.75" customHeight="1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</row>
    <row r="188" ht="15.75" customHeight="1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</row>
    <row r="189" ht="15.75" customHeight="1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</row>
    <row r="190" ht="15.75" customHeight="1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</row>
    <row r="191" ht="15.75" customHeight="1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</row>
    <row r="192" ht="15.75" customHeight="1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</row>
    <row r="193" ht="15.75" customHeight="1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</row>
    <row r="194" ht="15.75" customHeight="1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</row>
    <row r="195" ht="15.75" customHeight="1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</row>
    <row r="196" ht="15.75" customHeight="1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</row>
    <row r="197" ht="15.75" customHeight="1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</row>
    <row r="198" ht="15.75" customHeight="1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</row>
    <row r="199" ht="15.75" customHeight="1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</row>
    <row r="200" ht="15.75" customHeight="1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</row>
    <row r="201" ht="15.75" customHeight="1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</row>
    <row r="202" ht="15.75" customHeight="1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</row>
    <row r="203" ht="15.75" customHeight="1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</row>
    <row r="204" ht="15.75" customHeight="1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</row>
    <row r="205" ht="15.75" customHeight="1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</row>
    <row r="206" ht="15.75" customHeight="1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</row>
    <row r="207" ht="15.75" customHeight="1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</row>
    <row r="208" ht="15.75" customHeight="1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</row>
    <row r="209" ht="15.75" customHeight="1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</row>
    <row r="210" ht="15.75" customHeight="1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</row>
    <row r="211" ht="15.75" customHeight="1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</row>
    <row r="212" ht="15.75" customHeight="1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</row>
    <row r="213" ht="15.75" customHeight="1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</row>
    <row r="214" ht="15.75" customHeight="1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</row>
    <row r="215" ht="15.75" customHeight="1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</row>
    <row r="216" ht="15.75" customHeight="1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</row>
    <row r="217" ht="15.75" customHeight="1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</row>
    <row r="218" ht="15.75" customHeight="1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</row>
    <row r="219" ht="15.75" customHeight="1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</row>
    <row r="220" ht="15.75" customHeight="1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</row>
    <row r="221" ht="15.75" customHeight="1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</row>
    <row r="222" ht="15.75" customHeight="1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</row>
    <row r="223" ht="15.75" customHeight="1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</row>
    <row r="224" ht="15.75" customHeight="1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</row>
    <row r="225" ht="15.75" customHeight="1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</row>
    <row r="226" ht="15.75" customHeight="1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</row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24.75"/>
    <col customWidth="1" min="3" max="3" width="19.25"/>
    <col customWidth="1" min="4" max="4" width="12.63"/>
    <col customWidth="1" min="5" max="6" width="26.13"/>
    <col customWidth="1" min="8" max="9" width="24.25"/>
  </cols>
  <sheetData>
    <row r="1" ht="15.75" customHeight="1"/>
    <row r="2" ht="15.75" customHeight="1"/>
    <row r="3" ht="27.0" customHeight="1">
      <c r="C3" s="53" t="s">
        <v>131</v>
      </c>
      <c r="F3" s="53" t="s">
        <v>131</v>
      </c>
      <c r="I3" s="53" t="s">
        <v>132</v>
      </c>
    </row>
    <row r="4" ht="15.75" customHeight="1">
      <c r="A4" s="73"/>
      <c r="B4" s="74" t="s">
        <v>121</v>
      </c>
      <c r="C4" s="74">
        <f>COUNT(B4:B26)</f>
        <v>0</v>
      </c>
      <c r="D4" s="73"/>
      <c r="E4" s="74" t="s">
        <v>121</v>
      </c>
      <c r="F4" s="74">
        <f>COUNT(E4:E26)</f>
        <v>4</v>
      </c>
      <c r="G4" s="73"/>
      <c r="H4" s="74" t="s">
        <v>121</v>
      </c>
      <c r="I4" s="74">
        <f>COUNTA(H4:H26)</f>
        <v>23</v>
      </c>
      <c r="J4" s="73"/>
      <c r="K4" s="73"/>
      <c r="L4" s="73"/>
      <c r="M4" s="73"/>
      <c r="N4" s="73"/>
      <c r="O4" s="73"/>
      <c r="P4" s="73"/>
      <c r="Q4" s="73"/>
      <c r="R4" s="73"/>
      <c r="S4" s="73"/>
      <c r="T4" s="73"/>
      <c r="U4" s="73"/>
      <c r="V4" s="73"/>
      <c r="W4" s="73"/>
      <c r="X4" s="73"/>
    </row>
    <row r="5" ht="15.75" customHeight="1">
      <c r="A5" s="73"/>
      <c r="B5" s="74" t="s">
        <v>122</v>
      </c>
      <c r="C5" s="74"/>
      <c r="D5" s="73"/>
      <c r="E5" s="74" t="s">
        <v>122</v>
      </c>
      <c r="F5" s="74"/>
      <c r="G5" s="73"/>
      <c r="H5" s="74" t="s">
        <v>122</v>
      </c>
      <c r="I5" s="74"/>
      <c r="J5" s="73"/>
      <c r="K5" s="73"/>
      <c r="L5" s="73"/>
      <c r="M5" s="73"/>
      <c r="N5" s="73"/>
      <c r="O5" s="73"/>
      <c r="P5" s="73"/>
      <c r="Q5" s="73"/>
      <c r="R5" s="73"/>
      <c r="S5" s="73"/>
      <c r="T5" s="73"/>
      <c r="U5" s="73"/>
      <c r="V5" s="73"/>
      <c r="W5" s="73"/>
      <c r="X5" s="73"/>
    </row>
    <row r="6" ht="15.75" customHeight="1">
      <c r="A6" s="73"/>
      <c r="B6" s="74" t="s">
        <v>123</v>
      </c>
      <c r="C6" s="74"/>
      <c r="D6" s="73"/>
      <c r="E6" s="74" t="s">
        <v>123</v>
      </c>
      <c r="F6" s="74"/>
      <c r="G6" s="73"/>
      <c r="H6" s="74" t="s">
        <v>123</v>
      </c>
      <c r="I6" s="74"/>
      <c r="J6" s="73"/>
      <c r="K6" s="73"/>
      <c r="L6" s="73"/>
      <c r="M6" s="73"/>
      <c r="N6" s="73"/>
      <c r="O6" s="73"/>
      <c r="P6" s="73"/>
      <c r="Q6" s="73"/>
      <c r="R6" s="73"/>
      <c r="S6" s="73"/>
      <c r="T6" s="73"/>
      <c r="U6" s="73"/>
      <c r="V6" s="73"/>
      <c r="W6" s="73"/>
      <c r="X6" s="73"/>
    </row>
    <row r="7" ht="15.75" customHeight="1">
      <c r="A7" s="73"/>
      <c r="B7" s="74" t="s">
        <v>124</v>
      </c>
      <c r="C7" s="74"/>
      <c r="D7" s="73"/>
      <c r="E7" s="74" t="s">
        <v>124</v>
      </c>
      <c r="F7" s="74"/>
      <c r="G7" s="73"/>
      <c r="H7" s="74" t="s">
        <v>124</v>
      </c>
      <c r="I7" s="74"/>
      <c r="J7" s="73"/>
      <c r="K7" s="73"/>
      <c r="L7" s="73"/>
      <c r="M7" s="73"/>
      <c r="N7" s="73"/>
      <c r="O7" s="73"/>
      <c r="P7" s="73"/>
      <c r="Q7" s="73"/>
      <c r="R7" s="73"/>
      <c r="S7" s="73"/>
      <c r="T7" s="73"/>
      <c r="U7" s="73"/>
      <c r="V7" s="73"/>
      <c r="W7" s="73"/>
      <c r="X7" s="73"/>
    </row>
    <row r="8" ht="15.75" customHeight="1">
      <c r="A8" s="73"/>
      <c r="B8" s="74" t="s">
        <v>125</v>
      </c>
      <c r="C8" s="74"/>
      <c r="D8" s="73"/>
      <c r="E8" s="74" t="s">
        <v>125</v>
      </c>
      <c r="F8" s="74"/>
      <c r="G8" s="73"/>
      <c r="H8" s="74" t="s">
        <v>125</v>
      </c>
      <c r="I8" s="74"/>
      <c r="J8" s="73"/>
      <c r="K8" s="73"/>
      <c r="L8" s="73"/>
      <c r="M8" s="73"/>
      <c r="N8" s="73"/>
      <c r="O8" s="73"/>
      <c r="P8" s="73"/>
      <c r="Q8" s="73"/>
      <c r="R8" s="73"/>
      <c r="S8" s="73"/>
      <c r="T8" s="73"/>
      <c r="U8" s="73"/>
      <c r="V8" s="73"/>
      <c r="W8" s="73"/>
      <c r="X8" s="73"/>
    </row>
    <row r="9" ht="15.75" customHeight="1">
      <c r="A9" s="73"/>
      <c r="B9" s="74" t="s">
        <v>126</v>
      </c>
      <c r="C9" s="74"/>
      <c r="D9" s="73"/>
      <c r="E9" s="74" t="s">
        <v>126</v>
      </c>
      <c r="F9" s="74"/>
      <c r="G9" s="73"/>
      <c r="H9" s="74" t="s">
        <v>126</v>
      </c>
      <c r="I9" s="74"/>
      <c r="J9" s="73"/>
      <c r="K9" s="73"/>
      <c r="L9" s="73"/>
      <c r="M9" s="73"/>
      <c r="N9" s="73"/>
      <c r="O9" s="73"/>
      <c r="P9" s="73"/>
      <c r="Q9" s="73"/>
      <c r="R9" s="73"/>
      <c r="S9" s="73"/>
      <c r="T9" s="73"/>
      <c r="U9" s="73"/>
      <c r="V9" s="73"/>
      <c r="W9" s="73"/>
      <c r="X9" s="73"/>
    </row>
    <row r="10" ht="15.75" customHeight="1">
      <c r="A10" s="73"/>
      <c r="B10" s="74" t="s">
        <v>127</v>
      </c>
      <c r="C10" s="74"/>
      <c r="D10" s="73"/>
      <c r="E10" s="74" t="s">
        <v>127</v>
      </c>
      <c r="F10" s="74"/>
      <c r="G10" s="73"/>
      <c r="H10" s="74" t="s">
        <v>127</v>
      </c>
      <c r="I10" s="74"/>
      <c r="J10" s="73"/>
      <c r="K10" s="73"/>
      <c r="L10" s="73"/>
      <c r="M10" s="73"/>
      <c r="N10" s="73"/>
      <c r="O10" s="73"/>
      <c r="P10" s="73"/>
      <c r="Q10" s="73"/>
      <c r="R10" s="73"/>
      <c r="S10" s="73"/>
      <c r="T10" s="73"/>
      <c r="U10" s="73"/>
      <c r="V10" s="73"/>
      <c r="W10" s="73"/>
      <c r="X10" s="73"/>
    </row>
    <row r="11" ht="15.75" customHeight="1">
      <c r="A11" s="73"/>
      <c r="B11" s="74" t="s">
        <v>128</v>
      </c>
      <c r="C11" s="74"/>
      <c r="D11" s="73"/>
      <c r="E11" s="74" t="s">
        <v>128</v>
      </c>
      <c r="F11" s="74"/>
      <c r="G11" s="73"/>
      <c r="H11" s="74" t="s">
        <v>128</v>
      </c>
      <c r="I11" s="74"/>
      <c r="J11" s="73"/>
      <c r="K11" s="73"/>
      <c r="L11" s="73"/>
      <c r="M11" s="73"/>
      <c r="N11" s="73"/>
      <c r="O11" s="73"/>
      <c r="P11" s="73"/>
      <c r="Q11" s="73"/>
      <c r="R11" s="73"/>
      <c r="S11" s="73"/>
      <c r="T11" s="73"/>
      <c r="U11" s="73"/>
      <c r="V11" s="73"/>
      <c r="W11" s="73"/>
      <c r="X11" s="73"/>
    </row>
    <row r="12" ht="15.75" customHeight="1">
      <c r="A12" s="73"/>
      <c r="B12" s="74" t="s">
        <v>129</v>
      </c>
      <c r="C12" s="74"/>
      <c r="D12" s="73"/>
      <c r="E12" s="74" t="s">
        <v>129</v>
      </c>
      <c r="F12" s="74"/>
      <c r="G12" s="73"/>
      <c r="H12" s="74" t="s">
        <v>129</v>
      </c>
      <c r="I12" s="74"/>
      <c r="J12" s="73"/>
      <c r="K12" s="73"/>
      <c r="L12" s="73"/>
      <c r="M12" s="73"/>
      <c r="N12" s="73"/>
      <c r="O12" s="73"/>
      <c r="P12" s="73"/>
      <c r="Q12" s="73"/>
      <c r="R12" s="73"/>
      <c r="S12" s="73"/>
      <c r="T12" s="73"/>
      <c r="U12" s="73"/>
      <c r="V12" s="73"/>
      <c r="W12" s="73"/>
      <c r="X12" s="73"/>
    </row>
    <row r="13" ht="15.75" customHeight="1">
      <c r="A13" s="73"/>
      <c r="B13" s="74" t="s">
        <v>130</v>
      </c>
      <c r="C13" s="74"/>
      <c r="D13" s="73"/>
      <c r="E13" s="74">
        <v>34.0</v>
      </c>
      <c r="F13" s="74"/>
      <c r="G13" s="73"/>
      <c r="H13" s="74">
        <v>34.0</v>
      </c>
      <c r="I13" s="74"/>
      <c r="J13" s="73"/>
      <c r="K13" s="73"/>
      <c r="L13" s="73"/>
      <c r="M13" s="73"/>
      <c r="N13" s="73"/>
      <c r="O13" s="73"/>
      <c r="P13" s="73"/>
      <c r="Q13" s="73"/>
      <c r="R13" s="73"/>
      <c r="S13" s="73"/>
      <c r="T13" s="73"/>
      <c r="U13" s="73"/>
      <c r="V13" s="73"/>
      <c r="W13" s="73"/>
      <c r="X13" s="73"/>
    </row>
    <row r="14" ht="15.75" customHeight="1">
      <c r="A14" s="73"/>
      <c r="B14" s="74" t="s">
        <v>124</v>
      </c>
      <c r="C14" s="74"/>
      <c r="D14" s="73"/>
      <c r="E14" s="74" t="s">
        <v>124</v>
      </c>
      <c r="F14" s="74"/>
      <c r="G14" s="73"/>
      <c r="H14" s="74" t="s">
        <v>124</v>
      </c>
      <c r="I14" s="74"/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/>
      <c r="W14" s="73"/>
      <c r="X14" s="73"/>
    </row>
    <row r="15" ht="15.75" customHeight="1">
      <c r="A15" s="73"/>
      <c r="B15" s="74" t="s">
        <v>125</v>
      </c>
      <c r="C15" s="74"/>
      <c r="D15" s="73"/>
      <c r="E15" s="74" t="s">
        <v>125</v>
      </c>
      <c r="F15" s="74"/>
      <c r="G15" s="73"/>
      <c r="H15" s="74" t="s">
        <v>125</v>
      </c>
      <c r="I15" s="74"/>
      <c r="J15" s="73"/>
      <c r="K15" s="73"/>
      <c r="L15" s="73"/>
      <c r="M15" s="73"/>
      <c r="N15" s="73"/>
      <c r="O15" s="73"/>
      <c r="P15" s="73"/>
      <c r="Q15" s="73"/>
      <c r="R15" s="73"/>
      <c r="S15" s="73"/>
      <c r="T15" s="73"/>
      <c r="U15" s="73"/>
      <c r="V15" s="73"/>
      <c r="W15" s="73"/>
      <c r="X15" s="73"/>
    </row>
    <row r="16" ht="15.75" customHeight="1">
      <c r="A16" s="73"/>
      <c r="B16" s="74" t="s">
        <v>126</v>
      </c>
      <c r="C16" s="74"/>
      <c r="D16" s="73"/>
      <c r="E16" s="74" t="s">
        <v>126</v>
      </c>
      <c r="F16" s="74"/>
      <c r="G16" s="73"/>
      <c r="H16" s="74" t="s">
        <v>126</v>
      </c>
      <c r="I16" s="74"/>
      <c r="J16" s="73"/>
      <c r="K16" s="73"/>
      <c r="L16" s="73"/>
      <c r="M16" s="73"/>
      <c r="N16" s="73"/>
      <c r="O16" s="73"/>
      <c r="P16" s="73"/>
      <c r="Q16" s="73"/>
      <c r="R16" s="73"/>
      <c r="S16" s="73"/>
      <c r="T16" s="73"/>
      <c r="U16" s="73"/>
      <c r="V16" s="73"/>
      <c r="W16" s="73"/>
      <c r="X16" s="73"/>
    </row>
    <row r="17" ht="15.75" customHeight="1">
      <c r="A17" s="73"/>
      <c r="B17" s="74" t="s">
        <v>125</v>
      </c>
      <c r="C17" s="74"/>
      <c r="D17" s="73"/>
      <c r="E17" s="74">
        <v>45.0</v>
      </c>
      <c r="F17" s="74"/>
      <c r="G17" s="73"/>
      <c r="H17" s="74">
        <v>45.0</v>
      </c>
      <c r="I17" s="74"/>
      <c r="J17" s="73"/>
      <c r="K17" s="73"/>
      <c r="L17" s="73"/>
      <c r="M17" s="73"/>
      <c r="N17" s="73"/>
      <c r="O17" s="73"/>
      <c r="P17" s="73"/>
      <c r="Q17" s="73"/>
      <c r="R17" s="73"/>
      <c r="S17" s="73"/>
      <c r="T17" s="73"/>
      <c r="U17" s="73"/>
      <c r="V17" s="73"/>
      <c r="W17" s="73"/>
      <c r="X17" s="73"/>
    </row>
    <row r="18" ht="15.75" customHeight="1">
      <c r="A18" s="73"/>
      <c r="B18" s="74" t="s">
        <v>126</v>
      </c>
      <c r="C18" s="74"/>
      <c r="D18" s="73"/>
      <c r="E18" s="74" t="s">
        <v>126</v>
      </c>
      <c r="F18" s="74"/>
      <c r="G18" s="73"/>
      <c r="H18" s="74" t="s">
        <v>126</v>
      </c>
      <c r="I18" s="74"/>
      <c r="J18" s="73"/>
      <c r="K18" s="73"/>
      <c r="L18" s="73"/>
      <c r="M18" s="73"/>
      <c r="N18" s="73"/>
      <c r="O18" s="73"/>
      <c r="P18" s="73"/>
      <c r="Q18" s="73"/>
      <c r="R18" s="73"/>
      <c r="S18" s="73"/>
      <c r="T18" s="73"/>
      <c r="U18" s="73"/>
      <c r="V18" s="73"/>
      <c r="W18" s="73"/>
      <c r="X18" s="73"/>
    </row>
    <row r="19" ht="15.75" customHeight="1">
      <c r="A19" s="73"/>
      <c r="B19" s="74" t="s">
        <v>127</v>
      </c>
      <c r="C19" s="74"/>
      <c r="D19" s="73"/>
      <c r="E19" s="74" t="s">
        <v>127</v>
      </c>
      <c r="F19" s="74"/>
      <c r="G19" s="73"/>
      <c r="H19" s="74" t="s">
        <v>127</v>
      </c>
      <c r="I19" s="74"/>
      <c r="J19" s="73"/>
      <c r="K19" s="73"/>
      <c r="L19" s="73"/>
      <c r="M19" s="73"/>
      <c r="N19" s="73"/>
      <c r="O19" s="73"/>
      <c r="P19" s="73"/>
      <c r="Q19" s="73"/>
      <c r="R19" s="73"/>
      <c r="S19" s="73"/>
      <c r="T19" s="73"/>
      <c r="U19" s="73"/>
      <c r="V19" s="73"/>
      <c r="W19" s="73"/>
      <c r="X19" s="73"/>
    </row>
    <row r="20" ht="15.75" customHeight="1">
      <c r="A20" s="73"/>
      <c r="B20" s="74" t="s">
        <v>128</v>
      </c>
      <c r="C20" s="74"/>
      <c r="D20" s="73"/>
      <c r="E20" s="74">
        <v>21.0</v>
      </c>
      <c r="F20" s="74"/>
      <c r="G20" s="73"/>
      <c r="H20" s="74">
        <v>21.0</v>
      </c>
      <c r="I20" s="74"/>
      <c r="J20" s="73"/>
      <c r="K20" s="73"/>
      <c r="L20" s="73"/>
      <c r="M20" s="73"/>
      <c r="N20" s="73"/>
      <c r="O20" s="73"/>
      <c r="P20" s="73"/>
      <c r="Q20" s="73"/>
      <c r="R20" s="73"/>
      <c r="S20" s="73"/>
      <c r="T20" s="73"/>
      <c r="U20" s="73"/>
      <c r="V20" s="73"/>
      <c r="W20" s="73"/>
      <c r="X20" s="73"/>
    </row>
    <row r="21" ht="15.75" customHeight="1">
      <c r="A21" s="73"/>
      <c r="B21" s="74" t="s">
        <v>129</v>
      </c>
      <c r="C21" s="74"/>
      <c r="D21" s="73"/>
      <c r="E21" s="74" t="s">
        <v>129</v>
      </c>
      <c r="F21" s="74"/>
      <c r="G21" s="73"/>
      <c r="H21" s="74" t="s">
        <v>129</v>
      </c>
      <c r="I21" s="74"/>
      <c r="J21" s="73"/>
      <c r="K21" s="73"/>
      <c r="L21" s="73"/>
      <c r="M21" s="73"/>
      <c r="N21" s="73"/>
      <c r="O21" s="73"/>
      <c r="P21" s="73"/>
      <c r="Q21" s="73"/>
      <c r="R21" s="73"/>
      <c r="S21" s="73"/>
      <c r="T21" s="73"/>
      <c r="U21" s="73"/>
      <c r="V21" s="73"/>
      <c r="W21" s="73"/>
      <c r="X21" s="73"/>
    </row>
    <row r="22" ht="15.75" customHeight="1">
      <c r="A22" s="73"/>
      <c r="B22" s="74" t="s">
        <v>123</v>
      </c>
      <c r="C22" s="74"/>
      <c r="D22" s="73"/>
      <c r="E22" s="75">
        <v>44592.0</v>
      </c>
      <c r="F22" s="74"/>
      <c r="G22" s="73"/>
      <c r="H22" s="75">
        <v>44592.0</v>
      </c>
      <c r="I22" s="74"/>
      <c r="J22" s="73"/>
      <c r="K22" s="73"/>
      <c r="L22" s="73"/>
      <c r="M22" s="73"/>
      <c r="N22" s="73"/>
      <c r="O22" s="73"/>
      <c r="P22" s="73"/>
      <c r="Q22" s="73"/>
      <c r="R22" s="73"/>
      <c r="S22" s="73"/>
      <c r="T22" s="73"/>
      <c r="U22" s="73"/>
      <c r="V22" s="73"/>
      <c r="W22" s="73"/>
      <c r="X22" s="73"/>
    </row>
    <row r="23" ht="15.75" customHeight="1">
      <c r="A23" s="73"/>
      <c r="B23" s="74" t="s">
        <v>124</v>
      </c>
      <c r="C23" s="74"/>
      <c r="D23" s="73"/>
      <c r="E23" s="74" t="s">
        <v>124</v>
      </c>
      <c r="F23" s="74"/>
      <c r="G23" s="73"/>
      <c r="H23" s="74" t="s">
        <v>124</v>
      </c>
      <c r="I23" s="74"/>
      <c r="J23" s="73"/>
      <c r="K23" s="73"/>
      <c r="L23" s="73"/>
      <c r="M23" s="73"/>
      <c r="N23" s="73"/>
      <c r="O23" s="73"/>
      <c r="P23" s="73"/>
      <c r="Q23" s="73"/>
      <c r="R23" s="73"/>
      <c r="S23" s="73"/>
      <c r="T23" s="73"/>
      <c r="U23" s="73"/>
      <c r="V23" s="73"/>
      <c r="W23" s="73"/>
      <c r="X23" s="73"/>
    </row>
    <row r="24" ht="15.75" customHeight="1">
      <c r="A24" s="73"/>
      <c r="B24" s="74" t="s">
        <v>125</v>
      </c>
      <c r="C24" s="74"/>
      <c r="D24" s="73"/>
      <c r="E24" s="74" t="s">
        <v>125</v>
      </c>
      <c r="F24" s="74"/>
      <c r="G24" s="73"/>
      <c r="H24" s="74" t="s">
        <v>125</v>
      </c>
      <c r="I24" s="74"/>
      <c r="J24" s="73"/>
      <c r="K24" s="73"/>
      <c r="L24" s="73"/>
      <c r="M24" s="73"/>
      <c r="N24" s="73"/>
      <c r="O24" s="73"/>
      <c r="P24" s="73"/>
      <c r="Q24" s="73"/>
      <c r="R24" s="73"/>
      <c r="S24" s="73"/>
      <c r="T24" s="73"/>
      <c r="U24" s="73"/>
      <c r="V24" s="73"/>
      <c r="W24" s="73"/>
      <c r="X24" s="73"/>
    </row>
    <row r="25" ht="15.75" customHeight="1">
      <c r="A25" s="73"/>
      <c r="B25" s="74" t="s">
        <v>126</v>
      </c>
      <c r="C25" s="74"/>
      <c r="D25" s="73"/>
      <c r="E25" s="74" t="s">
        <v>126</v>
      </c>
      <c r="F25" s="74"/>
      <c r="G25" s="73"/>
      <c r="H25" s="74" t="s">
        <v>126</v>
      </c>
      <c r="I25" s="74"/>
      <c r="J25" s="73"/>
      <c r="K25" s="73"/>
      <c r="L25" s="73"/>
      <c r="M25" s="73"/>
      <c r="N25" s="73"/>
      <c r="O25" s="73"/>
      <c r="P25" s="73"/>
      <c r="Q25" s="73"/>
      <c r="R25" s="73"/>
      <c r="S25" s="73"/>
      <c r="T25" s="73"/>
      <c r="U25" s="73"/>
      <c r="V25" s="73"/>
      <c r="W25" s="73"/>
      <c r="X25" s="73"/>
    </row>
    <row r="26" ht="15.75" customHeight="1">
      <c r="A26" s="73"/>
      <c r="B26" s="74" t="s">
        <v>127</v>
      </c>
      <c r="C26" s="74"/>
      <c r="D26" s="73"/>
      <c r="E26" s="74" t="s">
        <v>127</v>
      </c>
      <c r="F26" s="74"/>
      <c r="G26" s="73"/>
      <c r="H26" s="74" t="s">
        <v>127</v>
      </c>
      <c r="I26" s="74"/>
      <c r="J26" s="73"/>
      <c r="K26" s="73"/>
      <c r="L26" s="73"/>
      <c r="M26" s="73"/>
      <c r="N26" s="73"/>
      <c r="O26" s="73"/>
      <c r="P26" s="73"/>
      <c r="Q26" s="73"/>
      <c r="R26" s="73"/>
      <c r="S26" s="73"/>
      <c r="T26" s="73"/>
      <c r="U26" s="73"/>
      <c r="V26" s="73"/>
      <c r="W26" s="73"/>
      <c r="X26" s="73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.13"/>
    <col customWidth="1" min="2" max="2" width="16.75"/>
    <col customWidth="1" min="3" max="3" width="26.38"/>
    <col customWidth="1" min="4" max="6" width="12.63"/>
    <col customWidth="1" min="13" max="13" width="20.13"/>
  </cols>
  <sheetData>
    <row r="1" ht="67.5" customHeight="1">
      <c r="A1" s="24"/>
      <c r="B1" s="35"/>
      <c r="C1" s="35"/>
      <c r="D1" s="35"/>
      <c r="E1" s="35"/>
      <c r="F1" s="35"/>
      <c r="G1" s="76" t="s">
        <v>133</v>
      </c>
      <c r="H1" s="76" t="s">
        <v>134</v>
      </c>
      <c r="I1" s="24"/>
      <c r="J1" s="24"/>
      <c r="K1" s="24"/>
      <c r="L1" s="24"/>
      <c r="M1" s="24"/>
      <c r="N1" s="24"/>
      <c r="O1" s="24"/>
      <c r="P1" s="24"/>
      <c r="Q1" s="24"/>
      <c r="R1" s="24"/>
      <c r="S1" s="24"/>
      <c r="T1" s="24"/>
      <c r="U1" s="24"/>
      <c r="V1" s="24"/>
    </row>
    <row r="2" ht="23.25" customHeight="1">
      <c r="A2" s="24"/>
      <c r="B2" s="77" t="s">
        <v>135</v>
      </c>
      <c r="C2" s="77" t="s">
        <v>136</v>
      </c>
      <c r="D2" s="77" t="s">
        <v>77</v>
      </c>
      <c r="E2" s="77" t="s">
        <v>137</v>
      </c>
      <c r="F2" s="77" t="s">
        <v>138</v>
      </c>
      <c r="G2" s="24"/>
      <c r="H2" s="24"/>
      <c r="I2" s="77" t="s">
        <v>135</v>
      </c>
      <c r="J2" s="77" t="s">
        <v>136</v>
      </c>
      <c r="K2" s="77" t="s">
        <v>77</v>
      </c>
      <c r="L2" s="77" t="s">
        <v>137</v>
      </c>
      <c r="M2" s="77" t="s">
        <v>138</v>
      </c>
      <c r="N2" s="24"/>
      <c r="O2" s="24"/>
      <c r="P2" s="24"/>
      <c r="Q2" s="24"/>
      <c r="R2" s="24"/>
      <c r="S2" s="24"/>
      <c r="T2" s="24"/>
      <c r="U2" s="24"/>
      <c r="V2" s="24"/>
    </row>
    <row r="3" ht="23.25" customHeight="1">
      <c r="A3" s="24"/>
      <c r="B3" s="77">
        <v>10009.0</v>
      </c>
      <c r="C3" s="77" t="s">
        <v>139</v>
      </c>
      <c r="D3" s="77" t="s">
        <v>140</v>
      </c>
      <c r="E3" s="77">
        <v>89.0</v>
      </c>
      <c r="F3" s="78" t="str">
        <f t="shared" ref="F3:F11" si="1">IF(E3&lt;70, "FAIL", "PASS")</f>
        <v>PASS</v>
      </c>
      <c r="G3" s="24" t="str">
        <f>IF(F3&lt;&gt;"PASS", "FAIL", "PASS")</f>
        <v>PASS</v>
      </c>
      <c r="H3" s="24"/>
      <c r="I3" s="77">
        <v>10009.0</v>
      </c>
      <c r="J3" s="77" t="s">
        <v>139</v>
      </c>
      <c r="K3" s="77" t="s">
        <v>140</v>
      </c>
      <c r="L3" s="77">
        <v>89.0</v>
      </c>
      <c r="M3" s="11" t="str">
        <f t="shared" ref="M3:M11" si="2">IFS(L3&lt;50, "ZAVALLI", L3&lt;80, "VASAT", L3&gt;=80, "ZALIM")</f>
        <v>ZALIM</v>
      </c>
      <c r="N3" s="24"/>
      <c r="O3" s="24"/>
      <c r="P3" s="24"/>
      <c r="Q3" s="24"/>
      <c r="R3" s="24"/>
      <c r="S3" s="24"/>
      <c r="T3" s="24"/>
      <c r="U3" s="24"/>
      <c r="V3" s="24"/>
    </row>
    <row r="4" ht="23.25" customHeight="1">
      <c r="A4" s="24"/>
      <c r="B4" s="77">
        <v>10034.0</v>
      </c>
      <c r="C4" s="77" t="s">
        <v>141</v>
      </c>
      <c r="D4" s="77" t="s">
        <v>142</v>
      </c>
      <c r="E4" s="77">
        <v>64.0</v>
      </c>
      <c r="F4" s="78" t="str">
        <f t="shared" si="1"/>
        <v>FAIL</v>
      </c>
      <c r="G4" s="24"/>
      <c r="H4" s="24"/>
      <c r="I4" s="77">
        <v>10034.0</v>
      </c>
      <c r="J4" s="77" t="s">
        <v>141</v>
      </c>
      <c r="K4" s="77" t="s">
        <v>142</v>
      </c>
      <c r="L4" s="77">
        <v>64.0</v>
      </c>
      <c r="M4" s="11" t="str">
        <f t="shared" si="2"/>
        <v>VASAT</v>
      </c>
      <c r="N4" s="24"/>
      <c r="O4" s="24"/>
      <c r="P4" s="24"/>
      <c r="Q4" s="24"/>
      <c r="R4" s="24"/>
      <c r="S4" s="24"/>
      <c r="T4" s="24"/>
      <c r="U4" s="24"/>
      <c r="V4" s="24"/>
    </row>
    <row r="5" ht="23.25" customHeight="1">
      <c r="A5" s="24"/>
      <c r="B5" s="77">
        <v>10072.0</v>
      </c>
      <c r="C5" s="77" t="s">
        <v>143</v>
      </c>
      <c r="D5" s="77" t="s">
        <v>144</v>
      </c>
      <c r="E5" s="77">
        <v>75.0</v>
      </c>
      <c r="F5" s="78" t="str">
        <f t="shared" si="1"/>
        <v>PASS</v>
      </c>
      <c r="G5" s="24"/>
      <c r="H5" s="24"/>
      <c r="I5" s="77">
        <v>10072.0</v>
      </c>
      <c r="J5" s="77" t="s">
        <v>143</v>
      </c>
      <c r="K5" s="77" t="s">
        <v>144</v>
      </c>
      <c r="L5" s="77">
        <v>75.0</v>
      </c>
      <c r="M5" s="11" t="str">
        <f t="shared" si="2"/>
        <v>VASAT</v>
      </c>
      <c r="N5" s="24"/>
      <c r="O5" s="24"/>
      <c r="P5" s="24"/>
      <c r="Q5" s="24"/>
      <c r="R5" s="24"/>
      <c r="S5" s="24"/>
      <c r="T5" s="24"/>
      <c r="U5" s="24"/>
      <c r="V5" s="24"/>
    </row>
    <row r="6" ht="23.25" customHeight="1">
      <c r="A6" s="24"/>
      <c r="B6" s="77">
        <v>10076.0</v>
      </c>
      <c r="C6" s="77" t="s">
        <v>145</v>
      </c>
      <c r="D6" s="77" t="s">
        <v>146</v>
      </c>
      <c r="E6" s="77">
        <v>44.0</v>
      </c>
      <c r="F6" s="78" t="str">
        <f t="shared" si="1"/>
        <v>FAIL</v>
      </c>
      <c r="G6" s="24"/>
      <c r="H6" s="24"/>
      <c r="I6" s="77">
        <v>10076.0</v>
      </c>
      <c r="J6" s="77" t="s">
        <v>145</v>
      </c>
      <c r="K6" s="77" t="s">
        <v>146</v>
      </c>
      <c r="L6" s="77">
        <v>44.0</v>
      </c>
      <c r="M6" s="11" t="str">
        <f t="shared" si="2"/>
        <v>ZAVALLI</v>
      </c>
      <c r="N6" s="24"/>
      <c r="O6" s="24"/>
      <c r="P6" s="24"/>
      <c r="Q6" s="24"/>
      <c r="R6" s="24"/>
      <c r="S6" s="24"/>
      <c r="T6" s="24"/>
      <c r="U6" s="24"/>
      <c r="V6" s="24"/>
    </row>
    <row r="7" ht="23.25" customHeight="1">
      <c r="A7" s="24"/>
      <c r="B7" s="77">
        <v>10079.0</v>
      </c>
      <c r="C7" s="77" t="s">
        <v>147</v>
      </c>
      <c r="D7" s="77" t="s">
        <v>148</v>
      </c>
      <c r="E7" s="77">
        <v>77.0</v>
      </c>
      <c r="F7" s="78" t="str">
        <f t="shared" si="1"/>
        <v>PASS</v>
      </c>
      <c r="G7" s="24"/>
      <c r="H7" s="24"/>
      <c r="I7" s="77">
        <v>10079.0</v>
      </c>
      <c r="J7" s="77" t="s">
        <v>147</v>
      </c>
      <c r="K7" s="77" t="s">
        <v>148</v>
      </c>
      <c r="L7" s="77">
        <v>77.0</v>
      </c>
      <c r="M7" s="11" t="str">
        <f t="shared" si="2"/>
        <v>VASAT</v>
      </c>
      <c r="N7" s="24"/>
      <c r="O7" s="24"/>
      <c r="P7" s="24"/>
      <c r="Q7" s="24"/>
      <c r="R7" s="24"/>
      <c r="S7" s="24"/>
      <c r="T7" s="24"/>
      <c r="U7" s="24"/>
      <c r="V7" s="24"/>
    </row>
    <row r="8" ht="23.25" customHeight="1">
      <c r="A8" s="24"/>
      <c r="B8" s="77">
        <v>10071.0</v>
      </c>
      <c r="C8" s="77" t="s">
        <v>149</v>
      </c>
      <c r="D8" s="77" t="s">
        <v>137</v>
      </c>
      <c r="E8" s="77">
        <v>90.0</v>
      </c>
      <c r="F8" s="78" t="str">
        <f t="shared" si="1"/>
        <v>PASS</v>
      </c>
      <c r="G8" s="24"/>
      <c r="H8" s="24"/>
      <c r="I8" s="77">
        <v>10071.0</v>
      </c>
      <c r="J8" s="77" t="s">
        <v>149</v>
      </c>
      <c r="K8" s="77" t="s">
        <v>137</v>
      </c>
      <c r="L8" s="77">
        <v>90.0</v>
      </c>
      <c r="M8" s="11" t="str">
        <f t="shared" si="2"/>
        <v>ZALIM</v>
      </c>
      <c r="N8" s="24"/>
      <c r="O8" s="24"/>
      <c r="P8" s="24"/>
      <c r="Q8" s="24"/>
      <c r="R8" s="24"/>
      <c r="S8" s="24"/>
      <c r="T8" s="24"/>
      <c r="U8" s="24"/>
      <c r="V8" s="24"/>
    </row>
    <row r="9" ht="23.25" customHeight="1">
      <c r="A9" s="24"/>
      <c r="B9" s="77">
        <v>10067.0</v>
      </c>
      <c r="C9" s="77" t="s">
        <v>150</v>
      </c>
      <c r="D9" s="77" t="s">
        <v>151</v>
      </c>
      <c r="E9" s="77">
        <v>30.0</v>
      </c>
      <c r="F9" s="78" t="str">
        <f t="shared" si="1"/>
        <v>FAIL</v>
      </c>
      <c r="G9" s="24"/>
      <c r="H9" s="24"/>
      <c r="I9" s="77">
        <v>10067.0</v>
      </c>
      <c r="J9" s="77" t="s">
        <v>150</v>
      </c>
      <c r="K9" s="77" t="s">
        <v>151</v>
      </c>
      <c r="L9" s="77">
        <v>30.0</v>
      </c>
      <c r="M9" s="11" t="str">
        <f t="shared" si="2"/>
        <v>ZAVALLI</v>
      </c>
      <c r="N9" s="24"/>
      <c r="O9" s="24"/>
      <c r="P9" s="24"/>
      <c r="Q9" s="24"/>
      <c r="R9" s="24"/>
      <c r="S9" s="24"/>
      <c r="T9" s="24"/>
      <c r="U9" s="24"/>
      <c r="V9" s="24"/>
    </row>
    <row r="10" ht="23.25" customHeight="1">
      <c r="A10" s="24"/>
      <c r="B10" s="77">
        <v>10088.0</v>
      </c>
      <c r="C10" s="77" t="s">
        <v>152</v>
      </c>
      <c r="D10" s="77" t="s">
        <v>153</v>
      </c>
      <c r="E10" s="77">
        <v>34.0</v>
      </c>
      <c r="F10" s="78" t="str">
        <f t="shared" si="1"/>
        <v>FAIL</v>
      </c>
      <c r="G10" s="24"/>
      <c r="H10" s="24"/>
      <c r="I10" s="77">
        <v>10088.0</v>
      </c>
      <c r="J10" s="77" t="s">
        <v>152</v>
      </c>
      <c r="K10" s="77" t="s">
        <v>153</v>
      </c>
      <c r="L10" s="77">
        <v>34.0</v>
      </c>
      <c r="M10" s="11" t="str">
        <f t="shared" si="2"/>
        <v>ZAVALLI</v>
      </c>
      <c r="N10" s="24"/>
      <c r="O10" s="24"/>
      <c r="P10" s="24"/>
      <c r="Q10" s="24"/>
      <c r="R10" s="24"/>
      <c r="S10" s="24"/>
      <c r="T10" s="24"/>
      <c r="U10" s="24"/>
      <c r="V10" s="24"/>
    </row>
    <row r="11" ht="23.25" customHeight="1">
      <c r="A11" s="24"/>
      <c r="B11" s="77">
        <v>10099.0</v>
      </c>
      <c r="C11" s="77" t="s">
        <v>154</v>
      </c>
      <c r="D11" s="77" t="s">
        <v>155</v>
      </c>
      <c r="E11" s="77">
        <v>99.0</v>
      </c>
      <c r="F11" s="78" t="str">
        <f t="shared" si="1"/>
        <v>PASS</v>
      </c>
      <c r="G11" s="24"/>
      <c r="H11" s="24"/>
      <c r="I11" s="77">
        <v>10099.0</v>
      </c>
      <c r="J11" s="77" t="s">
        <v>154</v>
      </c>
      <c r="K11" s="77" t="s">
        <v>155</v>
      </c>
      <c r="L11" s="77">
        <v>99.0</v>
      </c>
      <c r="M11" s="11" t="str">
        <f t="shared" si="2"/>
        <v>ZALIM</v>
      </c>
      <c r="N11" s="24"/>
      <c r="O11" s="24"/>
      <c r="P11" s="24"/>
      <c r="Q11" s="24"/>
      <c r="R11" s="24"/>
      <c r="S11" s="24"/>
      <c r="T11" s="24"/>
      <c r="U11" s="24"/>
      <c r="V11" s="24"/>
    </row>
    <row r="12" ht="15.75" customHeight="1">
      <c r="A12" s="24"/>
      <c r="B12" s="35"/>
      <c r="C12" s="35"/>
      <c r="D12" s="35"/>
      <c r="E12" s="35"/>
      <c r="F12" s="35"/>
      <c r="G12" s="24"/>
      <c r="H12" s="24"/>
      <c r="I12" s="24"/>
      <c r="J12" s="24"/>
      <c r="K12" s="24"/>
      <c r="L12" s="24"/>
      <c r="M12" s="24"/>
      <c r="N12" s="24"/>
      <c r="O12" s="24"/>
      <c r="P12" s="24"/>
      <c r="Q12" s="24"/>
      <c r="R12" s="24"/>
      <c r="S12" s="24"/>
      <c r="T12" s="24"/>
      <c r="U12" s="24"/>
      <c r="V12" s="24"/>
    </row>
    <row r="13" ht="15.75" customHeight="1">
      <c r="A13" s="24"/>
      <c r="B13" s="35"/>
      <c r="C13" s="35"/>
      <c r="D13" s="35"/>
      <c r="E13" s="35"/>
      <c r="F13" s="35"/>
      <c r="G13" s="24"/>
      <c r="H13" s="24"/>
      <c r="I13" s="24"/>
      <c r="J13" s="24"/>
      <c r="K13" s="24"/>
      <c r="L13" s="24"/>
      <c r="M13" s="24"/>
      <c r="N13" s="24"/>
      <c r="O13" s="24"/>
      <c r="P13" s="24"/>
      <c r="Q13" s="24"/>
      <c r="R13" s="24"/>
      <c r="S13" s="24"/>
      <c r="T13" s="24"/>
      <c r="U13" s="24"/>
      <c r="V13" s="24"/>
    </row>
    <row r="14" ht="15.75" customHeight="1">
      <c r="A14" s="24"/>
      <c r="B14" s="35"/>
      <c r="C14" s="35"/>
      <c r="D14" s="35"/>
      <c r="E14" s="35"/>
      <c r="F14" s="35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</row>
    <row r="15" ht="15.75" customHeight="1">
      <c r="A15" s="24"/>
      <c r="B15" s="35"/>
      <c r="C15" s="35"/>
      <c r="D15" s="35"/>
      <c r="E15" s="35"/>
      <c r="F15" s="35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</row>
    <row r="16" ht="15.75" customHeight="1">
      <c r="A16" s="24"/>
      <c r="B16" s="35"/>
      <c r="C16" s="35"/>
      <c r="D16" s="35"/>
      <c r="E16" s="35"/>
      <c r="F16" s="35"/>
      <c r="G16" s="24"/>
      <c r="H16" s="24"/>
      <c r="I16" s="24"/>
      <c r="J16" s="24"/>
      <c r="K16" s="24"/>
      <c r="L16" s="24"/>
      <c r="M16" s="24"/>
      <c r="N16" s="24"/>
      <c r="O16" s="24"/>
      <c r="P16" s="24"/>
      <c r="Q16" s="24"/>
      <c r="R16" s="24"/>
      <c r="S16" s="24"/>
      <c r="T16" s="24"/>
      <c r="U16" s="24"/>
      <c r="V16" s="24"/>
    </row>
    <row r="17" ht="15.75" customHeight="1">
      <c r="A17" s="24"/>
      <c r="B17" s="35"/>
      <c r="C17" s="35"/>
      <c r="D17" s="35"/>
      <c r="E17" s="35"/>
      <c r="F17" s="35"/>
      <c r="G17" s="24"/>
      <c r="H17" s="24"/>
      <c r="I17" s="24"/>
      <c r="J17" s="24"/>
      <c r="K17" s="24"/>
      <c r="L17" s="24"/>
      <c r="M17" s="24"/>
      <c r="N17" s="24"/>
      <c r="O17" s="24"/>
      <c r="P17" s="24"/>
      <c r="Q17" s="24"/>
      <c r="R17" s="24"/>
      <c r="S17" s="24"/>
      <c r="T17" s="24"/>
      <c r="U17" s="24"/>
      <c r="V17" s="24"/>
    </row>
    <row r="18" ht="15.75" customHeight="1">
      <c r="A18" s="24"/>
      <c r="B18" s="35"/>
      <c r="C18" s="35"/>
      <c r="D18" s="35"/>
      <c r="E18" s="35"/>
      <c r="F18" s="35"/>
      <c r="G18" s="24"/>
      <c r="H18" s="24"/>
      <c r="I18" s="24"/>
      <c r="J18" s="24"/>
      <c r="K18" s="24"/>
      <c r="L18" s="24"/>
      <c r="M18" s="24"/>
      <c r="N18" s="24"/>
      <c r="O18" s="24"/>
      <c r="P18" s="24"/>
      <c r="Q18" s="24"/>
      <c r="R18" s="24"/>
      <c r="S18" s="24"/>
      <c r="T18" s="24"/>
      <c r="U18" s="24"/>
      <c r="V18" s="24"/>
    </row>
    <row r="19" ht="15.75" customHeight="1">
      <c r="A19" s="24"/>
      <c r="B19" s="35"/>
      <c r="C19" s="35"/>
      <c r="D19" s="35"/>
      <c r="E19" s="35"/>
      <c r="F19" s="35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</row>
    <row r="20" ht="15.75" customHeight="1">
      <c r="A20" s="24"/>
      <c r="B20" s="35"/>
      <c r="C20" s="35"/>
      <c r="D20" s="35"/>
      <c r="E20" s="35"/>
      <c r="F20" s="35"/>
      <c r="G20" s="24"/>
      <c r="H20" s="24"/>
      <c r="I20" s="24"/>
      <c r="J20" s="24"/>
      <c r="K20" s="24"/>
      <c r="L20" s="24"/>
      <c r="M20" s="24"/>
      <c r="N20" s="24"/>
      <c r="O20" s="24"/>
      <c r="P20" s="24"/>
      <c r="Q20" s="24"/>
      <c r="R20" s="24"/>
      <c r="S20" s="24"/>
      <c r="T20" s="24"/>
      <c r="U20" s="24"/>
      <c r="V20" s="24"/>
    </row>
    <row r="21" ht="15.75" customHeight="1">
      <c r="A21" s="24"/>
      <c r="B21" s="35"/>
      <c r="C21" s="35"/>
      <c r="D21" s="35"/>
      <c r="E21" s="35"/>
      <c r="F21" s="35"/>
      <c r="G21" s="24"/>
      <c r="H21" s="24"/>
      <c r="I21" s="24"/>
      <c r="J21" s="24"/>
      <c r="K21" s="24"/>
      <c r="L21" s="24"/>
      <c r="M21" s="24"/>
      <c r="N21" s="24"/>
      <c r="O21" s="24"/>
      <c r="P21" s="24"/>
      <c r="Q21" s="24"/>
      <c r="R21" s="24"/>
      <c r="S21" s="24"/>
      <c r="T21" s="24"/>
      <c r="U21" s="24"/>
      <c r="V21" s="24"/>
    </row>
    <row r="22" ht="15.75" customHeight="1">
      <c r="A22" s="24"/>
      <c r="B22" s="35"/>
      <c r="C22" s="35"/>
      <c r="D22" s="35"/>
      <c r="E22" s="35"/>
      <c r="F22" s="35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</row>
    <row r="23" ht="15.75" customHeight="1">
      <c r="A23" s="24"/>
      <c r="B23" s="35"/>
      <c r="C23" s="35"/>
      <c r="D23" s="35"/>
      <c r="E23" s="35"/>
      <c r="F23" s="35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</row>
    <row r="24" ht="15.75" customHeight="1">
      <c r="A24" s="24"/>
      <c r="B24" s="35"/>
      <c r="C24" s="35"/>
      <c r="D24" s="35"/>
      <c r="E24" s="35"/>
      <c r="F24" s="35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</row>
    <row r="25" ht="15.75" customHeight="1">
      <c r="A25" s="24"/>
      <c r="B25" s="35"/>
      <c r="C25" s="35"/>
      <c r="D25" s="35"/>
      <c r="E25" s="35"/>
      <c r="F25" s="35"/>
      <c r="G25" s="24"/>
      <c r="H25" s="24"/>
      <c r="I25" s="24"/>
      <c r="J25" s="24"/>
      <c r="K25" s="24"/>
      <c r="L25" s="24"/>
      <c r="M25" s="24"/>
      <c r="N25" s="24"/>
      <c r="O25" s="24"/>
      <c r="P25" s="24"/>
      <c r="Q25" s="24"/>
      <c r="R25" s="24"/>
      <c r="S25" s="24"/>
      <c r="T25" s="24"/>
      <c r="U25" s="24"/>
      <c r="V25" s="24"/>
    </row>
    <row r="26" ht="15.75" customHeight="1">
      <c r="A26" s="24"/>
      <c r="B26" s="35"/>
      <c r="C26" s="35"/>
      <c r="D26" s="35"/>
      <c r="E26" s="35"/>
      <c r="F26" s="35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</row>
    <row r="27" ht="15.75" customHeight="1">
      <c r="A27" s="24"/>
      <c r="B27" s="35"/>
      <c r="C27" s="35"/>
      <c r="D27" s="35"/>
      <c r="E27" s="35"/>
      <c r="F27" s="35"/>
      <c r="G27" s="24"/>
      <c r="H27" s="24"/>
      <c r="I27" s="24"/>
      <c r="J27" s="24"/>
      <c r="K27" s="24"/>
      <c r="L27" s="24"/>
      <c r="M27" s="24"/>
      <c r="N27" s="24"/>
      <c r="O27" s="24"/>
      <c r="P27" s="24"/>
      <c r="Q27" s="24"/>
      <c r="R27" s="24"/>
      <c r="S27" s="24"/>
      <c r="T27" s="24"/>
      <c r="U27" s="24"/>
      <c r="V27" s="24"/>
    </row>
    <row r="28" ht="15.75" customHeight="1">
      <c r="A28" s="24"/>
      <c r="B28" s="35"/>
      <c r="C28" s="35"/>
      <c r="D28" s="35"/>
      <c r="E28" s="35"/>
      <c r="F28" s="35"/>
      <c r="G28" s="24"/>
      <c r="H28" s="24"/>
      <c r="I28" s="24"/>
      <c r="J28" s="24"/>
      <c r="K28" s="24"/>
      <c r="L28" s="24"/>
      <c r="M28" s="24"/>
      <c r="N28" s="24"/>
      <c r="O28" s="24"/>
      <c r="P28" s="24"/>
      <c r="Q28" s="24"/>
      <c r="R28" s="24"/>
      <c r="S28" s="24"/>
      <c r="T28" s="24"/>
      <c r="U28" s="24"/>
      <c r="V28" s="24"/>
    </row>
    <row r="29" ht="15.75" customHeight="1">
      <c r="A29" s="24"/>
      <c r="B29" s="35"/>
      <c r="C29" s="35"/>
      <c r="D29" s="35"/>
      <c r="E29" s="35"/>
      <c r="F29" s="35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</row>
    <row r="30" ht="15.75" customHeight="1">
      <c r="A30" s="24"/>
      <c r="B30" s="35"/>
      <c r="C30" s="35"/>
      <c r="D30" s="35"/>
      <c r="E30" s="35"/>
      <c r="F30" s="35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</row>
    <row r="31" ht="15.75" customHeight="1">
      <c r="A31" s="24"/>
      <c r="B31" s="35"/>
      <c r="C31" s="35"/>
      <c r="D31" s="35"/>
      <c r="E31" s="35"/>
      <c r="F31" s="35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</row>
    <row r="32" ht="15.75" customHeight="1">
      <c r="A32" s="24"/>
      <c r="B32" s="35"/>
      <c r="C32" s="35"/>
      <c r="D32" s="35"/>
      <c r="E32" s="35"/>
      <c r="F32" s="35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</row>
    <row r="33" ht="15.75" customHeight="1">
      <c r="A33" s="24"/>
      <c r="B33" s="35"/>
      <c r="C33" s="35"/>
      <c r="D33" s="35"/>
      <c r="E33" s="35"/>
      <c r="F33" s="35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</row>
    <row r="34" ht="15.75" customHeight="1">
      <c r="A34" s="24"/>
      <c r="B34" s="35"/>
      <c r="C34" s="35"/>
      <c r="D34" s="35"/>
      <c r="E34" s="35"/>
      <c r="F34" s="35"/>
      <c r="G34" s="24"/>
      <c r="H34" s="24"/>
      <c r="I34" s="24"/>
      <c r="J34" s="24"/>
      <c r="K34" s="24"/>
      <c r="L34" s="24"/>
      <c r="M34" s="24"/>
      <c r="N34" s="24"/>
      <c r="O34" s="24"/>
      <c r="P34" s="24"/>
      <c r="Q34" s="24"/>
      <c r="R34" s="24"/>
      <c r="S34" s="24"/>
      <c r="T34" s="24"/>
      <c r="U34" s="24"/>
      <c r="V34" s="24"/>
    </row>
    <row r="35" ht="15.75" customHeight="1">
      <c r="A35" s="24"/>
      <c r="B35" s="35"/>
      <c r="C35" s="35"/>
      <c r="D35" s="35"/>
      <c r="E35" s="35"/>
      <c r="F35" s="35"/>
      <c r="G35" s="24"/>
      <c r="H35" s="24"/>
      <c r="I35" s="24"/>
      <c r="J35" s="24"/>
      <c r="K35" s="24"/>
      <c r="L35" s="24"/>
      <c r="M35" s="24"/>
      <c r="N35" s="24"/>
      <c r="O35" s="24"/>
      <c r="P35" s="24"/>
      <c r="Q35" s="24"/>
      <c r="R35" s="24"/>
      <c r="S35" s="24"/>
      <c r="T35" s="24"/>
      <c r="U35" s="24"/>
      <c r="V35" s="24"/>
    </row>
    <row r="36" ht="15.75" customHeight="1">
      <c r="A36" s="24"/>
      <c r="B36" s="35"/>
      <c r="C36" s="35"/>
      <c r="D36" s="35"/>
      <c r="E36" s="35"/>
      <c r="F36" s="35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4"/>
      <c r="U36" s="24"/>
      <c r="V36" s="24"/>
    </row>
    <row r="37" ht="15.75" customHeight="1">
      <c r="A37" s="24"/>
      <c r="B37" s="35"/>
      <c r="C37" s="35"/>
      <c r="D37" s="35"/>
      <c r="E37" s="35"/>
      <c r="F37" s="35"/>
      <c r="G37" s="24"/>
      <c r="H37" s="24"/>
      <c r="I37" s="24"/>
      <c r="J37" s="24"/>
      <c r="K37" s="24"/>
      <c r="L37" s="24"/>
      <c r="M37" s="24"/>
      <c r="N37" s="24"/>
      <c r="O37" s="24"/>
      <c r="P37" s="24"/>
      <c r="Q37" s="24"/>
      <c r="R37" s="24"/>
      <c r="S37" s="24"/>
      <c r="T37" s="24"/>
      <c r="U37" s="24"/>
      <c r="V37" s="24"/>
    </row>
    <row r="38" ht="15.75" customHeight="1">
      <c r="A38" s="24"/>
      <c r="B38" s="35"/>
      <c r="C38" s="35"/>
      <c r="D38" s="35"/>
      <c r="E38" s="35"/>
      <c r="F38" s="35"/>
      <c r="G38" s="24"/>
      <c r="H38" s="24"/>
      <c r="I38" s="24"/>
      <c r="J38" s="24"/>
      <c r="K38" s="24"/>
      <c r="L38" s="24"/>
      <c r="M38" s="24"/>
      <c r="N38" s="24"/>
      <c r="O38" s="24"/>
      <c r="P38" s="24"/>
      <c r="Q38" s="24"/>
      <c r="R38" s="24"/>
      <c r="S38" s="24"/>
      <c r="T38" s="24"/>
      <c r="U38" s="24"/>
      <c r="V38" s="24"/>
    </row>
    <row r="39" ht="15.75" customHeight="1">
      <c r="A39" s="24"/>
      <c r="B39" s="35"/>
      <c r="C39" s="35"/>
      <c r="D39" s="35"/>
      <c r="E39" s="35"/>
      <c r="F39" s="35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</row>
    <row r="40" ht="15.75" customHeight="1">
      <c r="A40" s="24"/>
      <c r="B40" s="35"/>
      <c r="C40" s="35"/>
      <c r="D40" s="35"/>
      <c r="E40" s="35"/>
      <c r="F40" s="35"/>
      <c r="G40" s="24"/>
      <c r="H40" s="24"/>
      <c r="I40" s="24"/>
      <c r="J40" s="24"/>
      <c r="K40" s="24"/>
      <c r="L40" s="24"/>
      <c r="M40" s="24"/>
      <c r="N40" s="24"/>
      <c r="O40" s="24"/>
      <c r="P40" s="24"/>
      <c r="Q40" s="24"/>
      <c r="R40" s="24"/>
      <c r="S40" s="24"/>
      <c r="T40" s="24"/>
      <c r="U40" s="24"/>
      <c r="V40" s="24"/>
    </row>
    <row r="41" ht="15.75" customHeight="1">
      <c r="A41" s="24"/>
      <c r="B41" s="35"/>
      <c r="C41" s="35"/>
      <c r="D41" s="35"/>
      <c r="E41" s="35"/>
      <c r="F41" s="35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</row>
    <row r="42" ht="15.75" customHeight="1">
      <c r="A42" s="24"/>
      <c r="B42" s="35"/>
      <c r="C42" s="35"/>
      <c r="D42" s="35"/>
      <c r="E42" s="35"/>
      <c r="F42" s="35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</row>
    <row r="43" ht="15.75" customHeight="1">
      <c r="A43" s="24"/>
      <c r="B43" s="35"/>
      <c r="C43" s="35"/>
      <c r="D43" s="35"/>
      <c r="E43" s="35"/>
      <c r="F43" s="35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</row>
    <row r="44" ht="15.75" customHeight="1">
      <c r="A44" s="24"/>
      <c r="B44" s="35"/>
      <c r="C44" s="35"/>
      <c r="D44" s="35"/>
      <c r="E44" s="35"/>
      <c r="F44" s="35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</row>
    <row r="45" ht="15.75" customHeight="1">
      <c r="A45" s="24"/>
      <c r="B45" s="35"/>
      <c r="C45" s="35"/>
      <c r="D45" s="35"/>
      <c r="E45" s="35"/>
      <c r="F45" s="35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</row>
    <row r="46" ht="15.75" customHeight="1">
      <c r="A46" s="24"/>
      <c r="B46" s="35"/>
      <c r="C46" s="35"/>
      <c r="D46" s="35"/>
      <c r="E46" s="35"/>
      <c r="F46" s="35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</row>
    <row r="47" ht="15.75" customHeight="1">
      <c r="A47" s="24"/>
      <c r="B47" s="35"/>
      <c r="C47" s="35"/>
      <c r="D47" s="35"/>
      <c r="E47" s="35"/>
      <c r="F47" s="35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</row>
    <row r="48" ht="15.75" customHeight="1">
      <c r="A48" s="24"/>
      <c r="B48" s="35"/>
      <c r="C48" s="35"/>
      <c r="D48" s="35"/>
      <c r="E48" s="35"/>
      <c r="F48" s="35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</row>
    <row r="49" ht="15.75" customHeight="1">
      <c r="A49" s="24"/>
      <c r="B49" s="35"/>
      <c r="C49" s="35"/>
      <c r="D49" s="35"/>
      <c r="E49" s="35"/>
      <c r="F49" s="35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</row>
    <row r="50" ht="15.75" customHeight="1">
      <c r="A50" s="24"/>
      <c r="B50" s="35"/>
      <c r="C50" s="35"/>
      <c r="D50" s="35"/>
      <c r="E50" s="35"/>
      <c r="F50" s="35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</row>
    <row r="51" ht="15.75" customHeight="1">
      <c r="A51" s="24"/>
      <c r="B51" s="35"/>
      <c r="C51" s="35"/>
      <c r="D51" s="35"/>
      <c r="E51" s="35"/>
      <c r="F51" s="35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</row>
    <row r="52" ht="15.75" customHeight="1">
      <c r="A52" s="24"/>
      <c r="B52" s="35"/>
      <c r="C52" s="35"/>
      <c r="D52" s="35"/>
      <c r="E52" s="35"/>
      <c r="F52" s="35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</row>
    <row r="53" ht="15.75" customHeight="1">
      <c r="A53" s="24"/>
      <c r="B53" s="35"/>
      <c r="C53" s="35"/>
      <c r="D53" s="35"/>
      <c r="E53" s="35"/>
      <c r="F53" s="35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</row>
    <row r="54" ht="15.75" customHeight="1">
      <c r="A54" s="24"/>
      <c r="B54" s="35"/>
      <c r="C54" s="35"/>
      <c r="D54" s="35"/>
      <c r="E54" s="35"/>
      <c r="F54" s="35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</row>
    <row r="55" ht="15.75" customHeight="1">
      <c r="A55" s="24"/>
      <c r="B55" s="35"/>
      <c r="C55" s="35"/>
      <c r="D55" s="35"/>
      <c r="E55" s="35"/>
      <c r="F55" s="35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</row>
    <row r="56" ht="15.75" customHeight="1">
      <c r="A56" s="24"/>
      <c r="B56" s="35"/>
      <c r="C56" s="35"/>
      <c r="D56" s="35"/>
      <c r="E56" s="35"/>
      <c r="F56" s="35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</row>
    <row r="57" ht="15.75" customHeight="1">
      <c r="A57" s="24"/>
      <c r="B57" s="35"/>
      <c r="C57" s="35"/>
      <c r="D57" s="35"/>
      <c r="E57" s="35"/>
      <c r="F57" s="35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</row>
    <row r="58" ht="15.75" customHeight="1">
      <c r="A58" s="24"/>
      <c r="B58" s="35"/>
      <c r="C58" s="35"/>
      <c r="D58" s="35"/>
      <c r="E58" s="35"/>
      <c r="F58" s="35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</row>
    <row r="59" ht="15.75" customHeight="1">
      <c r="A59" s="24"/>
      <c r="B59" s="35"/>
      <c r="C59" s="35"/>
      <c r="D59" s="35"/>
      <c r="E59" s="35"/>
      <c r="F59" s="35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</row>
    <row r="60" ht="15.75" customHeight="1">
      <c r="A60" s="24"/>
      <c r="B60" s="35"/>
      <c r="C60" s="35"/>
      <c r="D60" s="35"/>
      <c r="E60" s="35"/>
      <c r="F60" s="35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</row>
    <row r="61" ht="15.75" customHeight="1">
      <c r="A61" s="24"/>
      <c r="B61" s="35"/>
      <c r="C61" s="35"/>
      <c r="D61" s="35"/>
      <c r="E61" s="35"/>
      <c r="F61" s="35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</row>
    <row r="62" ht="15.75" customHeight="1">
      <c r="A62" s="24"/>
      <c r="B62" s="35"/>
      <c r="C62" s="35"/>
      <c r="D62" s="35"/>
      <c r="E62" s="35"/>
      <c r="F62" s="35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</row>
    <row r="63" ht="15.75" customHeight="1">
      <c r="A63" s="24"/>
      <c r="B63" s="35"/>
      <c r="C63" s="35"/>
      <c r="D63" s="35"/>
      <c r="E63" s="35"/>
      <c r="F63" s="35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</row>
    <row r="64" ht="15.75" customHeight="1">
      <c r="A64" s="24"/>
      <c r="B64" s="35"/>
      <c r="C64" s="35"/>
      <c r="D64" s="35"/>
      <c r="E64" s="35"/>
      <c r="F64" s="35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</row>
    <row r="65" ht="15.75" customHeight="1">
      <c r="A65" s="24"/>
      <c r="B65" s="35"/>
      <c r="C65" s="35"/>
      <c r="D65" s="35"/>
      <c r="E65" s="35"/>
      <c r="F65" s="35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</row>
    <row r="66" ht="15.75" customHeight="1">
      <c r="A66" s="24"/>
      <c r="B66" s="35"/>
      <c r="C66" s="35"/>
      <c r="D66" s="35"/>
      <c r="E66" s="35"/>
      <c r="F66" s="35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</row>
    <row r="67" ht="15.75" customHeight="1">
      <c r="A67" s="24"/>
      <c r="B67" s="35"/>
      <c r="C67" s="35"/>
      <c r="D67" s="35"/>
      <c r="E67" s="35"/>
      <c r="F67" s="35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</row>
    <row r="68" ht="15.75" customHeight="1">
      <c r="A68" s="24"/>
      <c r="B68" s="35"/>
      <c r="C68" s="35"/>
      <c r="D68" s="35"/>
      <c r="E68" s="35"/>
      <c r="F68" s="35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</row>
    <row r="69" ht="15.75" customHeight="1">
      <c r="A69" s="24"/>
      <c r="B69" s="35"/>
      <c r="C69" s="35"/>
      <c r="D69" s="35"/>
      <c r="E69" s="35"/>
      <c r="F69" s="35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</row>
    <row r="70" ht="15.75" customHeight="1">
      <c r="A70" s="24"/>
      <c r="B70" s="35"/>
      <c r="C70" s="35"/>
      <c r="D70" s="35"/>
      <c r="E70" s="35"/>
      <c r="F70" s="35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</row>
    <row r="71" ht="15.75" customHeight="1">
      <c r="A71" s="24"/>
      <c r="B71" s="35"/>
      <c r="C71" s="35"/>
      <c r="D71" s="35"/>
      <c r="E71" s="35"/>
      <c r="F71" s="35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</row>
    <row r="72" ht="15.75" customHeight="1">
      <c r="A72" s="24"/>
      <c r="B72" s="35"/>
      <c r="C72" s="35"/>
      <c r="D72" s="35"/>
      <c r="E72" s="35"/>
      <c r="F72" s="35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</row>
    <row r="73" ht="15.75" customHeight="1">
      <c r="A73" s="24"/>
      <c r="B73" s="35"/>
      <c r="C73" s="35"/>
      <c r="D73" s="35"/>
      <c r="E73" s="35"/>
      <c r="F73" s="35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</row>
    <row r="74" ht="15.75" customHeight="1">
      <c r="A74" s="24"/>
      <c r="B74" s="35"/>
      <c r="C74" s="35"/>
      <c r="D74" s="35"/>
      <c r="E74" s="35"/>
      <c r="F74" s="35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</row>
    <row r="75" ht="15.75" customHeight="1">
      <c r="A75" s="24"/>
      <c r="B75" s="35"/>
      <c r="C75" s="35"/>
      <c r="D75" s="35"/>
      <c r="E75" s="35"/>
      <c r="F75" s="35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</row>
    <row r="76" ht="15.75" customHeight="1">
      <c r="A76" s="24"/>
      <c r="B76" s="35"/>
      <c r="C76" s="35"/>
      <c r="D76" s="35"/>
      <c r="E76" s="35"/>
      <c r="F76" s="35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</row>
    <row r="77" ht="15.75" customHeight="1">
      <c r="A77" s="24"/>
      <c r="B77" s="35"/>
      <c r="C77" s="35"/>
      <c r="D77" s="35"/>
      <c r="E77" s="35"/>
      <c r="F77" s="35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</row>
    <row r="78" ht="15.75" customHeight="1">
      <c r="A78" s="24"/>
      <c r="B78" s="35"/>
      <c r="C78" s="35"/>
      <c r="D78" s="35"/>
      <c r="E78" s="35"/>
      <c r="F78" s="35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</row>
    <row r="79" ht="15.75" customHeight="1">
      <c r="A79" s="24"/>
      <c r="B79" s="35"/>
      <c r="C79" s="35"/>
      <c r="D79" s="35"/>
      <c r="E79" s="35"/>
      <c r="F79" s="35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</row>
    <row r="80" ht="15.75" customHeight="1">
      <c r="A80" s="24"/>
      <c r="B80" s="35"/>
      <c r="C80" s="35"/>
      <c r="D80" s="35"/>
      <c r="E80" s="35"/>
      <c r="F80" s="35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</row>
    <row r="81" ht="15.75" customHeight="1">
      <c r="A81" s="24"/>
      <c r="B81" s="35"/>
      <c r="C81" s="35"/>
      <c r="D81" s="35"/>
      <c r="E81" s="35"/>
      <c r="F81" s="35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</row>
    <row r="82" ht="15.75" customHeight="1">
      <c r="A82" s="24"/>
      <c r="B82" s="35"/>
      <c r="C82" s="35"/>
      <c r="D82" s="35"/>
      <c r="E82" s="35"/>
      <c r="F82" s="35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</row>
    <row r="83" ht="15.75" customHeight="1">
      <c r="A83" s="24"/>
      <c r="B83" s="35"/>
      <c r="C83" s="35"/>
      <c r="D83" s="35"/>
      <c r="E83" s="35"/>
      <c r="F83" s="35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</row>
    <row r="84" ht="15.75" customHeight="1">
      <c r="A84" s="24"/>
      <c r="B84" s="35"/>
      <c r="C84" s="35"/>
      <c r="D84" s="35"/>
      <c r="E84" s="35"/>
      <c r="F84" s="35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</row>
    <row r="85" ht="15.75" customHeight="1">
      <c r="A85" s="24"/>
      <c r="B85" s="35"/>
      <c r="C85" s="35"/>
      <c r="D85" s="35"/>
      <c r="E85" s="35"/>
      <c r="F85" s="35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</row>
    <row r="86" ht="15.75" customHeight="1">
      <c r="A86" s="24"/>
      <c r="B86" s="35"/>
      <c r="C86" s="35"/>
      <c r="D86" s="35"/>
      <c r="E86" s="35"/>
      <c r="F86" s="35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</row>
    <row r="87" ht="15.75" customHeight="1">
      <c r="A87" s="24"/>
      <c r="B87" s="35"/>
      <c r="C87" s="35"/>
      <c r="D87" s="35"/>
      <c r="E87" s="35"/>
      <c r="F87" s="35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</row>
    <row r="88" ht="15.75" customHeight="1">
      <c r="A88" s="24"/>
      <c r="B88" s="35"/>
      <c r="C88" s="35"/>
      <c r="D88" s="35"/>
      <c r="E88" s="35"/>
      <c r="F88" s="35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</row>
    <row r="89" ht="15.75" customHeight="1">
      <c r="A89" s="24"/>
      <c r="B89" s="35"/>
      <c r="C89" s="35"/>
      <c r="D89" s="35"/>
      <c r="E89" s="35"/>
      <c r="F89" s="35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</row>
    <row r="90" ht="15.75" customHeight="1">
      <c r="A90" s="24"/>
      <c r="B90" s="35"/>
      <c r="C90" s="35"/>
      <c r="D90" s="35"/>
      <c r="E90" s="35"/>
      <c r="F90" s="35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</row>
    <row r="91" ht="15.75" customHeight="1">
      <c r="A91" s="24"/>
      <c r="B91" s="35"/>
      <c r="C91" s="35"/>
      <c r="D91" s="35"/>
      <c r="E91" s="35"/>
      <c r="F91" s="35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</row>
    <row r="92" ht="15.75" customHeight="1">
      <c r="A92" s="24"/>
      <c r="B92" s="35"/>
      <c r="C92" s="35"/>
      <c r="D92" s="35"/>
      <c r="E92" s="35"/>
      <c r="F92" s="35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</row>
    <row r="93" ht="15.75" customHeight="1">
      <c r="A93" s="24"/>
      <c r="B93" s="35"/>
      <c r="C93" s="35"/>
      <c r="D93" s="35"/>
      <c r="E93" s="35"/>
      <c r="F93" s="35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</row>
    <row r="94" ht="15.75" customHeight="1">
      <c r="A94" s="24"/>
      <c r="B94" s="35"/>
      <c r="C94" s="35"/>
      <c r="D94" s="35"/>
      <c r="E94" s="35"/>
      <c r="F94" s="35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</row>
    <row r="95" ht="15.75" customHeight="1">
      <c r="A95" s="24"/>
      <c r="B95" s="35"/>
      <c r="C95" s="35"/>
      <c r="D95" s="35"/>
      <c r="E95" s="35"/>
      <c r="F95" s="35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</row>
    <row r="96" ht="15.75" customHeight="1">
      <c r="A96" s="24"/>
      <c r="B96" s="35"/>
      <c r="C96" s="35"/>
      <c r="D96" s="35"/>
      <c r="E96" s="35"/>
      <c r="F96" s="35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</row>
    <row r="97" ht="15.75" customHeight="1">
      <c r="A97" s="24"/>
      <c r="B97" s="35"/>
      <c r="C97" s="35"/>
      <c r="D97" s="35"/>
      <c r="E97" s="35"/>
      <c r="F97" s="35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</row>
    <row r="98" ht="15.75" customHeight="1">
      <c r="A98" s="24"/>
      <c r="B98" s="35"/>
      <c r="C98" s="35"/>
      <c r="D98" s="35"/>
      <c r="E98" s="35"/>
      <c r="F98" s="35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</row>
    <row r="99" ht="15.75" customHeight="1">
      <c r="A99" s="24"/>
      <c r="B99" s="35"/>
      <c r="C99" s="35"/>
      <c r="D99" s="35"/>
      <c r="E99" s="35"/>
      <c r="F99" s="35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</row>
    <row r="100" ht="15.75" customHeight="1">
      <c r="A100" s="24"/>
      <c r="B100" s="35"/>
      <c r="C100" s="35"/>
      <c r="D100" s="35"/>
      <c r="E100" s="35"/>
      <c r="F100" s="35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</row>
    <row r="101" ht="15.75" customHeight="1">
      <c r="A101" s="24"/>
      <c r="B101" s="35"/>
      <c r="C101" s="35"/>
      <c r="D101" s="35"/>
      <c r="E101" s="35"/>
      <c r="F101" s="35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</row>
    <row r="102" ht="15.75" customHeight="1">
      <c r="A102" s="24"/>
      <c r="B102" s="35"/>
      <c r="C102" s="35"/>
      <c r="D102" s="35"/>
      <c r="E102" s="35"/>
      <c r="F102" s="35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</row>
    <row r="103" ht="15.75" customHeight="1">
      <c r="A103" s="24"/>
      <c r="B103" s="35"/>
      <c r="C103" s="35"/>
      <c r="D103" s="35"/>
      <c r="E103" s="35"/>
      <c r="F103" s="35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</row>
    <row r="104" ht="15.75" customHeight="1">
      <c r="A104" s="24"/>
      <c r="B104" s="35"/>
      <c r="C104" s="35"/>
      <c r="D104" s="35"/>
      <c r="E104" s="35"/>
      <c r="F104" s="35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</row>
    <row r="105" ht="15.75" customHeight="1">
      <c r="A105" s="24"/>
      <c r="B105" s="35"/>
      <c r="C105" s="35"/>
      <c r="D105" s="35"/>
      <c r="E105" s="35"/>
      <c r="F105" s="35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</row>
    <row r="106" ht="15.75" customHeight="1">
      <c r="A106" s="24"/>
      <c r="B106" s="35"/>
      <c r="C106" s="35"/>
      <c r="D106" s="35"/>
      <c r="E106" s="35"/>
      <c r="F106" s="35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</row>
    <row r="107" ht="15.75" customHeight="1">
      <c r="A107" s="24"/>
      <c r="B107" s="35"/>
      <c r="C107" s="35"/>
      <c r="D107" s="35"/>
      <c r="E107" s="35"/>
      <c r="F107" s="35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</row>
    <row r="108" ht="15.75" customHeight="1">
      <c r="A108" s="24"/>
      <c r="B108" s="35"/>
      <c r="C108" s="35"/>
      <c r="D108" s="35"/>
      <c r="E108" s="35"/>
      <c r="F108" s="35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</row>
    <row r="109" ht="15.75" customHeight="1">
      <c r="A109" s="24"/>
      <c r="B109" s="35"/>
      <c r="C109" s="35"/>
      <c r="D109" s="35"/>
      <c r="E109" s="35"/>
      <c r="F109" s="35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</row>
    <row r="110" ht="15.75" customHeight="1">
      <c r="A110" s="24"/>
      <c r="B110" s="35"/>
      <c r="C110" s="35"/>
      <c r="D110" s="35"/>
      <c r="E110" s="35"/>
      <c r="F110" s="35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</row>
    <row r="111" ht="15.75" customHeight="1">
      <c r="A111" s="24"/>
      <c r="B111" s="35"/>
      <c r="C111" s="35"/>
      <c r="D111" s="35"/>
      <c r="E111" s="35"/>
      <c r="F111" s="35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</row>
    <row r="112" ht="15.75" customHeight="1">
      <c r="A112" s="24"/>
      <c r="B112" s="35"/>
      <c r="C112" s="35"/>
      <c r="D112" s="35"/>
      <c r="E112" s="35"/>
      <c r="F112" s="35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</row>
    <row r="113" ht="15.75" customHeight="1">
      <c r="A113" s="24"/>
      <c r="B113" s="35"/>
      <c r="C113" s="35"/>
      <c r="D113" s="35"/>
      <c r="E113" s="35"/>
      <c r="F113" s="35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</row>
    <row r="114" ht="15.75" customHeight="1">
      <c r="A114" s="24"/>
      <c r="B114" s="35"/>
      <c r="C114" s="35"/>
      <c r="D114" s="35"/>
      <c r="E114" s="35"/>
      <c r="F114" s="35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</row>
    <row r="115" ht="15.75" customHeight="1">
      <c r="A115" s="24"/>
      <c r="B115" s="35"/>
      <c r="C115" s="35"/>
      <c r="D115" s="35"/>
      <c r="E115" s="35"/>
      <c r="F115" s="35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</row>
    <row r="116" ht="15.75" customHeight="1">
      <c r="A116" s="24"/>
      <c r="B116" s="35"/>
      <c r="C116" s="35"/>
      <c r="D116" s="35"/>
      <c r="E116" s="35"/>
      <c r="F116" s="35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</row>
    <row r="117" ht="15.75" customHeight="1">
      <c r="A117" s="24"/>
      <c r="B117" s="35"/>
      <c r="C117" s="35"/>
      <c r="D117" s="35"/>
      <c r="E117" s="35"/>
      <c r="F117" s="35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</row>
    <row r="118" ht="15.75" customHeight="1">
      <c r="A118" s="24"/>
      <c r="B118" s="35"/>
      <c r="C118" s="35"/>
      <c r="D118" s="35"/>
      <c r="E118" s="35"/>
      <c r="F118" s="35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</row>
    <row r="119" ht="15.75" customHeight="1">
      <c r="A119" s="24"/>
      <c r="B119" s="35"/>
      <c r="C119" s="35"/>
      <c r="D119" s="35"/>
      <c r="E119" s="35"/>
      <c r="F119" s="35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</row>
    <row r="120" ht="15.75" customHeight="1">
      <c r="A120" s="24"/>
      <c r="B120" s="35"/>
      <c r="C120" s="35"/>
      <c r="D120" s="35"/>
      <c r="E120" s="35"/>
      <c r="F120" s="35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</row>
    <row r="121" ht="15.75" customHeight="1">
      <c r="A121" s="24"/>
      <c r="B121" s="35"/>
      <c r="C121" s="35"/>
      <c r="D121" s="35"/>
      <c r="E121" s="35"/>
      <c r="F121" s="35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</row>
    <row r="122" ht="15.75" customHeight="1">
      <c r="A122" s="24"/>
      <c r="B122" s="35"/>
      <c r="C122" s="35"/>
      <c r="D122" s="35"/>
      <c r="E122" s="35"/>
      <c r="F122" s="35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</row>
    <row r="123" ht="15.75" customHeight="1">
      <c r="A123" s="24"/>
      <c r="B123" s="35"/>
      <c r="C123" s="35"/>
      <c r="D123" s="35"/>
      <c r="E123" s="35"/>
      <c r="F123" s="35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</row>
    <row r="124" ht="15.75" customHeight="1">
      <c r="A124" s="24"/>
      <c r="B124" s="35"/>
      <c r="C124" s="35"/>
      <c r="D124" s="35"/>
      <c r="E124" s="35"/>
      <c r="F124" s="35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</row>
    <row r="125" ht="15.75" customHeight="1">
      <c r="A125" s="24"/>
      <c r="B125" s="35"/>
      <c r="C125" s="35"/>
      <c r="D125" s="35"/>
      <c r="E125" s="35"/>
      <c r="F125" s="35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</row>
    <row r="126" ht="15.75" customHeight="1">
      <c r="A126" s="24"/>
      <c r="B126" s="35"/>
      <c r="C126" s="35"/>
      <c r="D126" s="35"/>
      <c r="E126" s="35"/>
      <c r="F126" s="35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</row>
    <row r="127" ht="15.75" customHeight="1">
      <c r="A127" s="24"/>
      <c r="B127" s="35"/>
      <c r="C127" s="35"/>
      <c r="D127" s="35"/>
      <c r="E127" s="35"/>
      <c r="F127" s="35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</row>
    <row r="128" ht="15.75" customHeight="1">
      <c r="A128" s="24"/>
      <c r="B128" s="35"/>
      <c r="C128" s="35"/>
      <c r="D128" s="35"/>
      <c r="E128" s="35"/>
      <c r="F128" s="35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</row>
    <row r="129" ht="15.75" customHeight="1">
      <c r="A129" s="24"/>
      <c r="B129" s="35"/>
      <c r="C129" s="35"/>
      <c r="D129" s="35"/>
      <c r="E129" s="35"/>
      <c r="F129" s="35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</row>
    <row r="130" ht="15.75" customHeight="1">
      <c r="A130" s="24"/>
      <c r="B130" s="35"/>
      <c r="C130" s="35"/>
      <c r="D130" s="35"/>
      <c r="E130" s="35"/>
      <c r="F130" s="35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</row>
    <row r="131" ht="15.75" customHeight="1">
      <c r="A131" s="24"/>
      <c r="B131" s="35"/>
      <c r="C131" s="35"/>
      <c r="D131" s="35"/>
      <c r="E131" s="35"/>
      <c r="F131" s="35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</row>
    <row r="132" ht="15.75" customHeight="1">
      <c r="A132" s="24"/>
      <c r="B132" s="35"/>
      <c r="C132" s="35"/>
      <c r="D132" s="35"/>
      <c r="E132" s="35"/>
      <c r="F132" s="35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</row>
    <row r="133" ht="15.75" customHeight="1">
      <c r="A133" s="24"/>
      <c r="B133" s="35"/>
      <c r="C133" s="35"/>
      <c r="D133" s="35"/>
      <c r="E133" s="35"/>
      <c r="F133" s="35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</row>
    <row r="134" ht="15.75" customHeight="1">
      <c r="A134" s="24"/>
      <c r="B134" s="35"/>
      <c r="C134" s="35"/>
      <c r="D134" s="35"/>
      <c r="E134" s="35"/>
      <c r="F134" s="35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</row>
    <row r="135" ht="15.75" customHeight="1">
      <c r="A135" s="24"/>
      <c r="B135" s="35"/>
      <c r="C135" s="35"/>
      <c r="D135" s="35"/>
      <c r="E135" s="35"/>
      <c r="F135" s="35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</row>
    <row r="136" ht="15.75" customHeight="1">
      <c r="A136" s="24"/>
      <c r="B136" s="35"/>
      <c r="C136" s="35"/>
      <c r="D136" s="35"/>
      <c r="E136" s="35"/>
      <c r="F136" s="35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</row>
    <row r="137" ht="15.75" customHeight="1">
      <c r="A137" s="24"/>
      <c r="B137" s="35"/>
      <c r="C137" s="35"/>
      <c r="D137" s="35"/>
      <c r="E137" s="35"/>
      <c r="F137" s="35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</row>
    <row r="138" ht="15.75" customHeight="1">
      <c r="A138" s="24"/>
      <c r="B138" s="35"/>
      <c r="C138" s="35"/>
      <c r="D138" s="35"/>
      <c r="E138" s="35"/>
      <c r="F138" s="35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</row>
    <row r="139" ht="15.75" customHeight="1">
      <c r="A139" s="24"/>
      <c r="B139" s="35"/>
      <c r="C139" s="35"/>
      <c r="D139" s="35"/>
      <c r="E139" s="35"/>
      <c r="F139" s="35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</row>
    <row r="140" ht="15.75" customHeight="1">
      <c r="A140" s="24"/>
      <c r="B140" s="35"/>
      <c r="C140" s="35"/>
      <c r="D140" s="35"/>
      <c r="E140" s="35"/>
      <c r="F140" s="35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</row>
    <row r="141" ht="15.75" customHeight="1">
      <c r="A141" s="24"/>
      <c r="B141" s="35"/>
      <c r="C141" s="35"/>
      <c r="D141" s="35"/>
      <c r="E141" s="35"/>
      <c r="F141" s="35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</row>
    <row r="142" ht="15.75" customHeight="1">
      <c r="A142" s="24"/>
      <c r="B142" s="35"/>
      <c r="C142" s="35"/>
      <c r="D142" s="35"/>
      <c r="E142" s="35"/>
      <c r="F142" s="35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</row>
    <row r="143" ht="15.75" customHeight="1">
      <c r="A143" s="24"/>
      <c r="B143" s="35"/>
      <c r="C143" s="35"/>
      <c r="D143" s="35"/>
      <c r="E143" s="35"/>
      <c r="F143" s="35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</row>
    <row r="144" ht="15.75" customHeight="1">
      <c r="A144" s="24"/>
      <c r="B144" s="35"/>
      <c r="C144" s="35"/>
      <c r="D144" s="35"/>
      <c r="E144" s="35"/>
      <c r="F144" s="35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</row>
    <row r="145" ht="15.75" customHeight="1">
      <c r="A145" s="24"/>
      <c r="B145" s="35"/>
      <c r="C145" s="35"/>
      <c r="D145" s="35"/>
      <c r="E145" s="35"/>
      <c r="F145" s="35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</row>
    <row r="146" ht="15.75" customHeight="1">
      <c r="A146" s="24"/>
      <c r="B146" s="35"/>
      <c r="C146" s="35"/>
      <c r="D146" s="35"/>
      <c r="E146" s="35"/>
      <c r="F146" s="35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</row>
    <row r="147" ht="15.75" customHeight="1">
      <c r="A147" s="24"/>
      <c r="B147" s="35"/>
      <c r="C147" s="35"/>
      <c r="D147" s="35"/>
      <c r="E147" s="35"/>
      <c r="F147" s="35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</row>
    <row r="148" ht="15.75" customHeight="1">
      <c r="A148" s="24"/>
      <c r="B148" s="35"/>
      <c r="C148" s="35"/>
      <c r="D148" s="35"/>
      <c r="E148" s="35"/>
      <c r="F148" s="35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</row>
    <row r="149" ht="15.75" customHeight="1">
      <c r="A149" s="24"/>
      <c r="B149" s="35"/>
      <c r="C149" s="35"/>
      <c r="D149" s="35"/>
      <c r="E149" s="35"/>
      <c r="F149" s="35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</row>
    <row r="150" ht="15.75" customHeight="1">
      <c r="A150" s="24"/>
      <c r="B150" s="35"/>
      <c r="C150" s="35"/>
      <c r="D150" s="35"/>
      <c r="E150" s="35"/>
      <c r="F150" s="35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</row>
    <row r="151" ht="15.75" customHeight="1">
      <c r="A151" s="24"/>
      <c r="B151" s="35"/>
      <c r="C151" s="35"/>
      <c r="D151" s="35"/>
      <c r="E151" s="35"/>
      <c r="F151" s="35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</row>
    <row r="152" ht="15.75" customHeight="1">
      <c r="A152" s="24"/>
      <c r="B152" s="35"/>
      <c r="C152" s="35"/>
      <c r="D152" s="35"/>
      <c r="E152" s="35"/>
      <c r="F152" s="35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</row>
    <row r="153" ht="15.75" customHeight="1">
      <c r="A153" s="24"/>
      <c r="B153" s="35"/>
      <c r="C153" s="35"/>
      <c r="D153" s="35"/>
      <c r="E153" s="35"/>
      <c r="F153" s="35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</row>
    <row r="154" ht="15.75" customHeight="1">
      <c r="A154" s="24"/>
      <c r="B154" s="35"/>
      <c r="C154" s="35"/>
      <c r="D154" s="35"/>
      <c r="E154" s="35"/>
      <c r="F154" s="35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</row>
    <row r="155" ht="15.75" customHeight="1">
      <c r="A155" s="24"/>
      <c r="B155" s="35"/>
      <c r="C155" s="35"/>
      <c r="D155" s="35"/>
      <c r="E155" s="35"/>
      <c r="F155" s="35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</row>
    <row r="156" ht="15.75" customHeight="1">
      <c r="A156" s="24"/>
      <c r="B156" s="35"/>
      <c r="C156" s="35"/>
      <c r="D156" s="35"/>
      <c r="E156" s="35"/>
      <c r="F156" s="35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</row>
    <row r="157" ht="15.75" customHeight="1">
      <c r="A157" s="24"/>
      <c r="B157" s="35"/>
      <c r="C157" s="35"/>
      <c r="D157" s="35"/>
      <c r="E157" s="35"/>
      <c r="F157" s="35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</row>
    <row r="158" ht="15.75" customHeight="1">
      <c r="A158" s="24"/>
      <c r="B158" s="35"/>
      <c r="C158" s="35"/>
      <c r="D158" s="35"/>
      <c r="E158" s="35"/>
      <c r="F158" s="35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</row>
    <row r="159" ht="15.75" customHeight="1">
      <c r="A159" s="24"/>
      <c r="B159" s="35"/>
      <c r="C159" s="35"/>
      <c r="D159" s="35"/>
      <c r="E159" s="35"/>
      <c r="F159" s="35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</row>
    <row r="160" ht="15.75" customHeight="1">
      <c r="A160" s="24"/>
      <c r="B160" s="35"/>
      <c r="C160" s="35"/>
      <c r="D160" s="35"/>
      <c r="E160" s="35"/>
      <c r="F160" s="35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</row>
    <row r="161" ht="15.75" customHeight="1">
      <c r="A161" s="24"/>
      <c r="B161" s="35"/>
      <c r="C161" s="35"/>
      <c r="D161" s="35"/>
      <c r="E161" s="35"/>
      <c r="F161" s="35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</row>
    <row r="162" ht="15.75" customHeight="1">
      <c r="A162" s="24"/>
      <c r="B162" s="35"/>
      <c r="C162" s="35"/>
      <c r="D162" s="35"/>
      <c r="E162" s="35"/>
      <c r="F162" s="35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</row>
    <row r="163" ht="15.75" customHeight="1">
      <c r="A163" s="24"/>
      <c r="B163" s="35"/>
      <c r="C163" s="35"/>
      <c r="D163" s="35"/>
      <c r="E163" s="35"/>
      <c r="F163" s="35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</row>
    <row r="164" ht="15.75" customHeight="1">
      <c r="A164" s="24"/>
      <c r="B164" s="35"/>
      <c r="C164" s="35"/>
      <c r="D164" s="35"/>
      <c r="E164" s="35"/>
      <c r="F164" s="35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</row>
    <row r="165" ht="15.75" customHeight="1">
      <c r="A165" s="24"/>
      <c r="B165" s="35"/>
      <c r="C165" s="35"/>
      <c r="D165" s="35"/>
      <c r="E165" s="35"/>
      <c r="F165" s="35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</row>
    <row r="166" ht="15.75" customHeight="1">
      <c r="A166" s="24"/>
      <c r="B166" s="35"/>
      <c r="C166" s="35"/>
      <c r="D166" s="35"/>
      <c r="E166" s="35"/>
      <c r="F166" s="35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</row>
    <row r="167" ht="15.75" customHeight="1">
      <c r="A167" s="24"/>
      <c r="B167" s="35"/>
      <c r="C167" s="35"/>
      <c r="D167" s="35"/>
      <c r="E167" s="35"/>
      <c r="F167" s="35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</row>
    <row r="168" ht="15.75" customHeight="1">
      <c r="A168" s="24"/>
      <c r="B168" s="35"/>
      <c r="C168" s="35"/>
      <c r="D168" s="35"/>
      <c r="E168" s="35"/>
      <c r="F168" s="35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</row>
    <row r="169" ht="15.75" customHeight="1">
      <c r="A169" s="24"/>
      <c r="B169" s="35"/>
      <c r="C169" s="35"/>
      <c r="D169" s="35"/>
      <c r="E169" s="35"/>
      <c r="F169" s="35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</row>
    <row r="170" ht="15.75" customHeight="1">
      <c r="A170" s="24"/>
      <c r="B170" s="35"/>
      <c r="C170" s="35"/>
      <c r="D170" s="35"/>
      <c r="E170" s="35"/>
      <c r="F170" s="35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</row>
    <row r="171" ht="15.75" customHeight="1">
      <c r="A171" s="24"/>
      <c r="B171" s="35"/>
      <c r="C171" s="35"/>
      <c r="D171" s="35"/>
      <c r="E171" s="35"/>
      <c r="F171" s="35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</row>
    <row r="172" ht="15.75" customHeight="1">
      <c r="A172" s="24"/>
      <c r="B172" s="35"/>
      <c r="C172" s="35"/>
      <c r="D172" s="35"/>
      <c r="E172" s="35"/>
      <c r="F172" s="35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</row>
    <row r="173" ht="15.75" customHeight="1">
      <c r="A173" s="24"/>
      <c r="B173" s="35"/>
      <c r="C173" s="35"/>
      <c r="D173" s="35"/>
      <c r="E173" s="35"/>
      <c r="F173" s="35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</row>
    <row r="174" ht="15.75" customHeight="1">
      <c r="A174" s="24"/>
      <c r="B174" s="35"/>
      <c r="C174" s="35"/>
      <c r="D174" s="35"/>
      <c r="E174" s="35"/>
      <c r="F174" s="35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</row>
    <row r="175" ht="15.75" customHeight="1">
      <c r="A175" s="24"/>
      <c r="B175" s="35"/>
      <c r="C175" s="35"/>
      <c r="D175" s="35"/>
      <c r="E175" s="35"/>
      <c r="F175" s="35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</row>
    <row r="176" ht="15.75" customHeight="1">
      <c r="A176" s="24"/>
      <c r="B176" s="35"/>
      <c r="C176" s="35"/>
      <c r="D176" s="35"/>
      <c r="E176" s="35"/>
      <c r="F176" s="35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</row>
    <row r="177" ht="15.75" customHeight="1">
      <c r="A177" s="24"/>
      <c r="B177" s="35"/>
      <c r="C177" s="35"/>
      <c r="D177" s="35"/>
      <c r="E177" s="35"/>
      <c r="F177" s="35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</row>
    <row r="178" ht="15.75" customHeight="1">
      <c r="A178" s="24"/>
      <c r="B178" s="35"/>
      <c r="C178" s="35"/>
      <c r="D178" s="35"/>
      <c r="E178" s="35"/>
      <c r="F178" s="35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</row>
    <row r="179" ht="15.75" customHeight="1">
      <c r="A179" s="24"/>
      <c r="B179" s="35"/>
      <c r="C179" s="35"/>
      <c r="D179" s="35"/>
      <c r="E179" s="35"/>
      <c r="F179" s="35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</row>
    <row r="180" ht="15.75" customHeight="1">
      <c r="A180" s="24"/>
      <c r="B180" s="35"/>
      <c r="C180" s="35"/>
      <c r="D180" s="35"/>
      <c r="E180" s="35"/>
      <c r="F180" s="35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</row>
    <row r="181" ht="15.75" customHeight="1">
      <c r="A181" s="24"/>
      <c r="B181" s="35"/>
      <c r="C181" s="35"/>
      <c r="D181" s="35"/>
      <c r="E181" s="35"/>
      <c r="F181" s="35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</row>
    <row r="182" ht="15.75" customHeight="1">
      <c r="A182" s="24"/>
      <c r="B182" s="35"/>
      <c r="C182" s="35"/>
      <c r="D182" s="35"/>
      <c r="E182" s="35"/>
      <c r="F182" s="35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</row>
    <row r="183" ht="15.75" customHeight="1">
      <c r="A183" s="24"/>
      <c r="B183" s="35"/>
      <c r="C183" s="35"/>
      <c r="D183" s="35"/>
      <c r="E183" s="35"/>
      <c r="F183" s="35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</row>
    <row r="184" ht="15.75" customHeight="1">
      <c r="A184" s="24"/>
      <c r="B184" s="35"/>
      <c r="C184" s="35"/>
      <c r="D184" s="35"/>
      <c r="E184" s="35"/>
      <c r="F184" s="35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</row>
    <row r="185" ht="15.75" customHeight="1">
      <c r="A185" s="24"/>
      <c r="B185" s="35"/>
      <c r="C185" s="35"/>
      <c r="D185" s="35"/>
      <c r="E185" s="35"/>
      <c r="F185" s="35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</row>
    <row r="186" ht="15.75" customHeight="1">
      <c r="A186" s="24"/>
      <c r="B186" s="35"/>
      <c r="C186" s="35"/>
      <c r="D186" s="35"/>
      <c r="E186" s="35"/>
      <c r="F186" s="35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</row>
    <row r="187" ht="15.75" customHeight="1">
      <c r="A187" s="24"/>
      <c r="B187" s="35"/>
      <c r="C187" s="35"/>
      <c r="D187" s="35"/>
      <c r="E187" s="35"/>
      <c r="F187" s="35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</row>
    <row r="188" ht="15.75" customHeight="1">
      <c r="A188" s="24"/>
      <c r="B188" s="35"/>
      <c r="C188" s="35"/>
      <c r="D188" s="35"/>
      <c r="E188" s="35"/>
      <c r="F188" s="35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</row>
    <row r="189" ht="15.75" customHeight="1">
      <c r="A189" s="24"/>
      <c r="B189" s="35"/>
      <c r="C189" s="35"/>
      <c r="D189" s="35"/>
      <c r="E189" s="35"/>
      <c r="F189" s="35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</row>
    <row r="190" ht="15.75" customHeight="1">
      <c r="A190" s="24"/>
      <c r="B190" s="35"/>
      <c r="C190" s="35"/>
      <c r="D190" s="35"/>
      <c r="E190" s="35"/>
      <c r="F190" s="35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</row>
    <row r="191" ht="15.75" customHeight="1">
      <c r="A191" s="24"/>
      <c r="B191" s="35"/>
      <c r="C191" s="35"/>
      <c r="D191" s="35"/>
      <c r="E191" s="35"/>
      <c r="F191" s="35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</row>
    <row r="192" ht="15.75" customHeight="1">
      <c r="A192" s="24"/>
      <c r="B192" s="35"/>
      <c r="C192" s="35"/>
      <c r="D192" s="35"/>
      <c r="E192" s="35"/>
      <c r="F192" s="35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</row>
    <row r="193" ht="15.75" customHeight="1">
      <c r="A193" s="24"/>
      <c r="B193" s="35"/>
      <c r="C193" s="35"/>
      <c r="D193" s="35"/>
      <c r="E193" s="35"/>
      <c r="F193" s="35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</row>
    <row r="194" ht="15.75" customHeight="1">
      <c r="A194" s="24"/>
      <c r="B194" s="35"/>
      <c r="C194" s="35"/>
      <c r="D194" s="35"/>
      <c r="E194" s="35"/>
      <c r="F194" s="35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</row>
    <row r="195" ht="15.75" customHeight="1">
      <c r="A195" s="24"/>
      <c r="B195" s="35"/>
      <c r="C195" s="35"/>
      <c r="D195" s="35"/>
      <c r="E195" s="35"/>
      <c r="F195" s="35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</row>
    <row r="196" ht="15.75" customHeight="1">
      <c r="A196" s="24"/>
      <c r="B196" s="35"/>
      <c r="C196" s="35"/>
      <c r="D196" s="35"/>
      <c r="E196" s="35"/>
      <c r="F196" s="35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</row>
    <row r="197" ht="15.75" customHeight="1">
      <c r="A197" s="24"/>
      <c r="B197" s="35"/>
      <c r="C197" s="35"/>
      <c r="D197" s="35"/>
      <c r="E197" s="35"/>
      <c r="F197" s="35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</row>
    <row r="198" ht="15.75" customHeight="1">
      <c r="A198" s="24"/>
      <c r="B198" s="35"/>
      <c r="C198" s="35"/>
      <c r="D198" s="35"/>
      <c r="E198" s="35"/>
      <c r="F198" s="35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</row>
    <row r="199" ht="15.75" customHeight="1">
      <c r="A199" s="24"/>
      <c r="B199" s="35"/>
      <c r="C199" s="35"/>
      <c r="D199" s="35"/>
      <c r="E199" s="35"/>
      <c r="F199" s="35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</row>
    <row r="200" ht="15.75" customHeight="1">
      <c r="A200" s="24"/>
      <c r="B200" s="35"/>
      <c r="C200" s="35"/>
      <c r="D200" s="35"/>
      <c r="E200" s="35"/>
      <c r="F200" s="35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</row>
    <row r="201" ht="15.75" customHeight="1">
      <c r="A201" s="24"/>
      <c r="B201" s="35"/>
      <c r="C201" s="35"/>
      <c r="D201" s="35"/>
      <c r="E201" s="35"/>
      <c r="F201" s="35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</row>
    <row r="202" ht="15.75" customHeight="1">
      <c r="A202" s="24"/>
      <c r="B202" s="35"/>
      <c r="C202" s="35"/>
      <c r="D202" s="35"/>
      <c r="E202" s="35"/>
      <c r="F202" s="35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</row>
    <row r="203" ht="15.75" customHeight="1">
      <c r="A203" s="24"/>
      <c r="B203" s="35"/>
      <c r="C203" s="35"/>
      <c r="D203" s="35"/>
      <c r="E203" s="35"/>
      <c r="F203" s="35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</row>
    <row r="204" ht="15.75" customHeight="1">
      <c r="A204" s="24"/>
      <c r="B204" s="35"/>
      <c r="C204" s="35"/>
      <c r="D204" s="35"/>
      <c r="E204" s="35"/>
      <c r="F204" s="35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</row>
    <row r="205" ht="15.75" customHeight="1">
      <c r="A205" s="24"/>
      <c r="B205" s="35"/>
      <c r="C205" s="35"/>
      <c r="D205" s="35"/>
      <c r="E205" s="35"/>
      <c r="F205" s="35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</row>
    <row r="206" ht="15.75" customHeight="1">
      <c r="A206" s="24"/>
      <c r="B206" s="35"/>
      <c r="C206" s="35"/>
      <c r="D206" s="35"/>
      <c r="E206" s="35"/>
      <c r="F206" s="35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</row>
    <row r="207" ht="15.75" customHeight="1">
      <c r="A207" s="24"/>
      <c r="B207" s="35"/>
      <c r="C207" s="35"/>
      <c r="D207" s="35"/>
      <c r="E207" s="35"/>
      <c r="F207" s="35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</row>
    <row r="208" ht="15.75" customHeight="1">
      <c r="A208" s="24"/>
      <c r="B208" s="35"/>
      <c r="C208" s="35"/>
      <c r="D208" s="35"/>
      <c r="E208" s="35"/>
      <c r="F208" s="35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</row>
    <row r="209" ht="15.75" customHeight="1">
      <c r="A209" s="24"/>
      <c r="B209" s="35"/>
      <c r="C209" s="35"/>
      <c r="D209" s="35"/>
      <c r="E209" s="35"/>
      <c r="F209" s="35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</row>
    <row r="210" ht="15.75" customHeight="1">
      <c r="A210" s="24"/>
      <c r="B210" s="35"/>
      <c r="C210" s="35"/>
      <c r="D210" s="35"/>
      <c r="E210" s="35"/>
      <c r="F210" s="35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</row>
    <row r="211" ht="15.75" customHeight="1">
      <c r="A211" s="24"/>
      <c r="B211" s="35"/>
      <c r="C211" s="35"/>
      <c r="D211" s="35"/>
      <c r="E211" s="35"/>
      <c r="F211" s="35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</row>
    <row r="212" ht="15.75" customHeight="1">
      <c r="A212" s="24"/>
      <c r="B212" s="35"/>
      <c r="C212" s="35"/>
      <c r="D212" s="35"/>
      <c r="E212" s="35"/>
      <c r="F212" s="35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</row>
    <row r="213" ht="15.75" customHeight="1">
      <c r="A213" s="24"/>
      <c r="B213" s="35"/>
      <c r="C213" s="35"/>
      <c r="D213" s="35"/>
      <c r="E213" s="35"/>
      <c r="F213" s="35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</row>
    <row r="214" ht="15.75" customHeight="1">
      <c r="A214" s="24"/>
      <c r="B214" s="35"/>
      <c r="C214" s="35"/>
      <c r="D214" s="35"/>
      <c r="E214" s="35"/>
      <c r="F214" s="35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</row>
    <row r="215" ht="15.75" customHeight="1">
      <c r="A215" s="24"/>
      <c r="B215" s="35"/>
      <c r="C215" s="35"/>
      <c r="D215" s="35"/>
      <c r="E215" s="35"/>
      <c r="F215" s="35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</row>
    <row r="216" ht="15.75" customHeight="1">
      <c r="A216" s="24"/>
      <c r="B216" s="35"/>
      <c r="C216" s="35"/>
      <c r="D216" s="35"/>
      <c r="E216" s="35"/>
      <c r="F216" s="35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</row>
    <row r="217" ht="15.75" customHeight="1">
      <c r="A217" s="24"/>
      <c r="B217" s="35"/>
      <c r="C217" s="35"/>
      <c r="D217" s="35"/>
      <c r="E217" s="35"/>
      <c r="F217" s="35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</row>
    <row r="218" ht="15.75" customHeight="1">
      <c r="A218" s="24"/>
      <c r="B218" s="35"/>
      <c r="C218" s="35"/>
      <c r="D218" s="35"/>
      <c r="E218" s="35"/>
      <c r="F218" s="35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</row>
    <row r="219" ht="15.75" customHeight="1">
      <c r="A219" s="24"/>
      <c r="B219" s="35"/>
      <c r="C219" s="35"/>
      <c r="D219" s="35"/>
      <c r="E219" s="35"/>
      <c r="F219" s="35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</row>
    <row r="220" ht="15.75" customHeight="1">
      <c r="A220" s="24"/>
      <c r="B220" s="35"/>
      <c r="C220" s="35"/>
      <c r="D220" s="35"/>
      <c r="E220" s="35"/>
      <c r="F220" s="35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F3:F11">
    <cfRule type="cellIs" dxfId="12" priority="1" operator="equal">
      <formula>"FAIL"</formula>
    </cfRule>
  </conditionalFormatting>
  <conditionalFormatting sqref="F3:F11">
    <cfRule type="cellIs" dxfId="13" priority="2" operator="equal">
      <formula>"PASS"</formula>
    </cfRule>
  </conditionalFormatting>
  <conditionalFormatting sqref="H15">
    <cfRule type="notContainsBlanks" dxfId="0" priority="3">
      <formula>LEN(TRIM(H15))&gt;0</formula>
    </cfRule>
  </conditionalFormatting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>
      <c r="A1" s="79" t="s">
        <v>156</v>
      </c>
      <c r="B1" s="79" t="s">
        <v>157</v>
      </c>
      <c r="C1" s="79" t="s">
        <v>158</v>
      </c>
      <c r="D1" s="80" t="s">
        <v>159</v>
      </c>
    </row>
    <row r="2">
      <c r="A2" s="81">
        <v>2.0</v>
      </c>
      <c r="B2" s="81">
        <v>15.0</v>
      </c>
      <c r="C2" s="81">
        <v>100.0</v>
      </c>
      <c r="D2" s="82" t="s">
        <v>160</v>
      </c>
      <c r="E2" s="83" t="str">
        <f t="shared" ref="E2:E7" si="1">IF(AND(A2&gt;10, D2="ADIDAS"), "BÜYÜK", "KÜÇÜK")
</f>
        <v>KÜÇÜK</v>
      </c>
    </row>
    <row r="3">
      <c r="A3" s="84">
        <v>5.0</v>
      </c>
      <c r="B3" s="84">
        <v>9.0</v>
      </c>
      <c r="C3" s="84">
        <v>200.0</v>
      </c>
      <c r="D3" s="85" t="s">
        <v>161</v>
      </c>
      <c r="E3" s="83" t="str">
        <f t="shared" si="1"/>
        <v>KÜÇÜK</v>
      </c>
    </row>
    <row r="4">
      <c r="A4" s="84">
        <v>10.0</v>
      </c>
      <c r="B4" s="84">
        <v>11.0</v>
      </c>
      <c r="C4" s="84">
        <v>300.0</v>
      </c>
      <c r="D4" s="85" t="s">
        <v>162</v>
      </c>
      <c r="E4" s="83" t="str">
        <f t="shared" si="1"/>
        <v>KÜÇÜK</v>
      </c>
    </row>
    <row r="5">
      <c r="A5" s="84">
        <v>12.0</v>
      </c>
      <c r="B5" s="84">
        <v>16.0</v>
      </c>
      <c r="C5" s="84">
        <v>400.0</v>
      </c>
      <c r="D5" s="85" t="s">
        <v>163</v>
      </c>
      <c r="E5" s="83" t="str">
        <f t="shared" si="1"/>
        <v>KÜÇÜK</v>
      </c>
    </row>
    <row r="6">
      <c r="A6" s="84">
        <v>15.0</v>
      </c>
      <c r="B6" s="84">
        <v>18.0</v>
      </c>
      <c r="C6" s="84">
        <v>500.0</v>
      </c>
      <c r="D6" s="85" t="s">
        <v>164</v>
      </c>
      <c r="E6" s="83" t="str">
        <f t="shared" si="1"/>
        <v>KÜÇÜK</v>
      </c>
    </row>
    <row r="7">
      <c r="A7" s="81">
        <v>20.0</v>
      </c>
      <c r="B7" s="81">
        <v>15.0</v>
      </c>
      <c r="C7" s="81">
        <v>100.0</v>
      </c>
      <c r="D7" s="82" t="s">
        <v>160</v>
      </c>
      <c r="E7" s="83" t="str">
        <f t="shared" si="1"/>
        <v>BÜYÜK</v>
      </c>
    </row>
    <row r="8">
      <c r="A8" s="86"/>
    </row>
    <row r="9">
      <c r="A9" s="87"/>
    </row>
    <row r="16">
      <c r="A16" s="88" t="str">
        <f t="shared" ref="A16:A25" si="2">IF(OR(D2="ADIDAS",D2="NIKE"),"Seçildi","Seçilmedi")</f>
        <v>Seçildi</v>
      </c>
    </row>
    <row r="17">
      <c r="A17" s="88" t="str">
        <f t="shared" si="2"/>
        <v>Seçildi</v>
      </c>
    </row>
    <row r="18">
      <c r="A18" s="88" t="str">
        <f t="shared" si="2"/>
        <v>Seçilmedi</v>
      </c>
    </row>
    <row r="19">
      <c r="A19" s="88" t="str">
        <f t="shared" si="2"/>
        <v>Seçilmedi</v>
      </c>
    </row>
    <row r="20">
      <c r="A20" s="88" t="str">
        <f t="shared" si="2"/>
        <v>Seçilmedi</v>
      </c>
    </row>
    <row r="21" ht="15.75" customHeight="1">
      <c r="A21" s="88" t="str">
        <f t="shared" si="2"/>
        <v>Seçildi</v>
      </c>
    </row>
    <row r="22" ht="15.75" customHeight="1">
      <c r="A22" s="88" t="str">
        <f t="shared" si="2"/>
        <v>Seçilmedi</v>
      </c>
    </row>
    <row r="23" ht="15.75" customHeight="1">
      <c r="A23" s="88" t="str">
        <f t="shared" si="2"/>
        <v>Seçilmedi</v>
      </c>
    </row>
    <row r="24" ht="15.75" customHeight="1">
      <c r="A24" s="88" t="str">
        <f t="shared" si="2"/>
        <v>Seçilmedi</v>
      </c>
    </row>
    <row r="25" ht="15.75" customHeight="1">
      <c r="A25" s="88" t="str">
        <f t="shared" si="2"/>
        <v>Seçilmedi</v>
      </c>
    </row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.5"/>
    <col customWidth="1" min="2" max="2" width="27.38"/>
    <col customWidth="1" min="3" max="3" width="26.38"/>
    <col customWidth="1" min="4" max="5" width="12.63"/>
    <col customWidth="1" min="6" max="6" width="16.75"/>
    <col customWidth="1" min="7" max="7" width="26.38"/>
    <col customWidth="1" min="10" max="10" width="16.75"/>
    <col customWidth="1" min="11" max="11" width="26.38"/>
  </cols>
  <sheetData>
    <row r="1" ht="39.75" customHeight="1">
      <c r="A1" s="89"/>
      <c r="B1" s="90"/>
      <c r="C1" s="91" t="s">
        <v>165</v>
      </c>
      <c r="D1" s="90"/>
      <c r="F1" s="35"/>
      <c r="G1" s="76" t="s">
        <v>166</v>
      </c>
      <c r="H1" s="35"/>
      <c r="I1" s="24"/>
      <c r="J1" s="35"/>
      <c r="K1" s="76" t="s">
        <v>167</v>
      </c>
      <c r="L1" s="35"/>
      <c r="M1" s="24"/>
      <c r="N1" s="24"/>
      <c r="O1" s="24"/>
      <c r="P1" s="24"/>
      <c r="Q1" s="24"/>
    </row>
    <row r="2" ht="15.75" customHeight="1">
      <c r="A2" s="89"/>
      <c r="B2" s="92" t="s">
        <v>168</v>
      </c>
      <c r="C2" s="92" t="s">
        <v>77</v>
      </c>
      <c r="D2" s="92" t="s">
        <v>169</v>
      </c>
      <c r="E2" s="24"/>
      <c r="F2" s="77" t="s">
        <v>168</v>
      </c>
      <c r="G2" s="77" t="s">
        <v>77</v>
      </c>
      <c r="H2" s="77" t="s">
        <v>169</v>
      </c>
      <c r="I2" s="24"/>
      <c r="J2" s="77" t="s">
        <v>168</v>
      </c>
      <c r="K2" s="77" t="s">
        <v>77</v>
      </c>
      <c r="L2" s="77" t="s">
        <v>169</v>
      </c>
      <c r="M2" s="24"/>
      <c r="N2" s="24"/>
      <c r="O2" s="24"/>
      <c r="P2" s="24"/>
      <c r="Q2" s="24"/>
    </row>
    <row r="3" ht="15.75" customHeight="1">
      <c r="A3" s="89"/>
      <c r="B3" s="92">
        <v>1999.0</v>
      </c>
      <c r="C3" s="92" t="s">
        <v>139</v>
      </c>
      <c r="D3" s="93">
        <v>3340.0</v>
      </c>
      <c r="E3" s="24"/>
      <c r="F3" s="77">
        <v>1999.0</v>
      </c>
      <c r="G3" s="77" t="s">
        <v>139</v>
      </c>
      <c r="H3" s="94">
        <v>3340.0</v>
      </c>
      <c r="I3" s="24"/>
      <c r="J3" s="77">
        <v>1999.0</v>
      </c>
      <c r="K3" s="77" t="s">
        <v>139</v>
      </c>
      <c r="L3" s="94">
        <v>3340.0</v>
      </c>
      <c r="M3" s="24"/>
      <c r="N3" s="24"/>
      <c r="O3" s="24"/>
      <c r="P3" s="24"/>
      <c r="Q3" s="24"/>
    </row>
    <row r="4" ht="15.75" customHeight="1">
      <c r="A4" s="89"/>
      <c r="B4" s="92">
        <v>2000.0</v>
      </c>
      <c r="C4" s="92" t="s">
        <v>141</v>
      </c>
      <c r="D4" s="93">
        <v>2340.0</v>
      </c>
      <c r="E4" s="24"/>
      <c r="F4" s="77">
        <v>2000.0</v>
      </c>
      <c r="G4" s="77" t="s">
        <v>141</v>
      </c>
      <c r="H4" s="94">
        <v>2340.0</v>
      </c>
      <c r="I4" s="24"/>
      <c r="J4" s="77">
        <v>2000.0</v>
      </c>
      <c r="K4" s="77" t="s">
        <v>141</v>
      </c>
      <c r="L4" s="94">
        <v>2340.0</v>
      </c>
      <c r="M4" s="24"/>
      <c r="N4" s="24"/>
      <c r="O4" s="24"/>
      <c r="P4" s="24"/>
      <c r="Q4" s="24"/>
    </row>
    <row r="5" ht="15.75" customHeight="1">
      <c r="A5" s="89"/>
      <c r="B5" s="92">
        <v>2000.0</v>
      </c>
      <c r="C5" s="92" t="s">
        <v>143</v>
      </c>
      <c r="D5" s="93">
        <v>2340.0</v>
      </c>
      <c r="E5" s="24"/>
      <c r="F5" s="77">
        <v>2000.0</v>
      </c>
      <c r="G5" s="77" t="s">
        <v>143</v>
      </c>
      <c r="H5" s="94">
        <v>2340.0</v>
      </c>
      <c r="I5" s="24"/>
      <c r="J5" s="77">
        <v>2000.0</v>
      </c>
      <c r="K5" s="77" t="s">
        <v>143</v>
      </c>
      <c r="L5" s="94">
        <v>2340.0</v>
      </c>
      <c r="M5" s="24"/>
      <c r="N5" s="24"/>
      <c r="O5" s="24"/>
      <c r="P5" s="24"/>
      <c r="Q5" s="24"/>
    </row>
    <row r="6" ht="15.75" customHeight="1">
      <c r="A6" s="89"/>
      <c r="B6" s="92">
        <v>2002.0</v>
      </c>
      <c r="C6" s="92" t="s">
        <v>145</v>
      </c>
      <c r="D6" s="93">
        <v>2340.0</v>
      </c>
      <c r="E6" s="24"/>
      <c r="F6" s="77">
        <v>2002.0</v>
      </c>
      <c r="G6" s="77" t="s">
        <v>145</v>
      </c>
      <c r="H6" s="94">
        <v>2340.0</v>
      </c>
      <c r="I6" s="24"/>
      <c r="J6" s="77">
        <v>2002.0</v>
      </c>
      <c r="K6" s="77" t="s">
        <v>145</v>
      </c>
      <c r="L6" s="94">
        <v>2340.0</v>
      </c>
      <c r="M6" s="24"/>
      <c r="N6" s="24"/>
      <c r="O6" s="24"/>
      <c r="P6" s="24"/>
      <c r="Q6" s="24"/>
    </row>
    <row r="7" ht="15.75" customHeight="1">
      <c r="A7" s="89"/>
      <c r="B7" s="92">
        <v>2002.0</v>
      </c>
      <c r="C7" s="92" t="s">
        <v>147</v>
      </c>
      <c r="D7" s="93">
        <v>2340.0</v>
      </c>
      <c r="E7" s="24"/>
      <c r="F7" s="77">
        <v>2002.0</v>
      </c>
      <c r="G7" s="77" t="s">
        <v>147</v>
      </c>
      <c r="H7" s="94">
        <v>2340.0</v>
      </c>
      <c r="I7" s="24"/>
      <c r="J7" s="77">
        <v>2002.0</v>
      </c>
      <c r="K7" s="77" t="s">
        <v>147</v>
      </c>
      <c r="L7" s="94">
        <v>2340.0</v>
      </c>
      <c r="M7" s="24"/>
      <c r="N7" s="24"/>
      <c r="O7" s="24"/>
      <c r="P7" s="24"/>
      <c r="Q7" s="24"/>
    </row>
    <row r="8" ht="15.75" customHeight="1">
      <c r="A8" s="89"/>
      <c r="B8" s="92">
        <v>2003.0</v>
      </c>
      <c r="C8" s="92" t="s">
        <v>149</v>
      </c>
      <c r="D8" s="93">
        <v>2340.0</v>
      </c>
      <c r="E8" s="24"/>
      <c r="F8" s="77">
        <v>2003.0</v>
      </c>
      <c r="G8" s="77" t="s">
        <v>149</v>
      </c>
      <c r="H8" s="94">
        <v>2340.0</v>
      </c>
      <c r="I8" s="24"/>
      <c r="J8" s="77">
        <v>2003.0</v>
      </c>
      <c r="K8" s="77" t="s">
        <v>149</v>
      </c>
      <c r="L8" s="94">
        <v>2340.0</v>
      </c>
      <c r="M8" s="24"/>
      <c r="N8" s="24"/>
      <c r="O8" s="24"/>
      <c r="P8" s="24"/>
      <c r="Q8" s="24"/>
    </row>
    <row r="9" ht="15.75" customHeight="1">
      <c r="A9" s="89"/>
      <c r="B9" s="92">
        <v>2002.0</v>
      </c>
      <c r="C9" s="92" t="s">
        <v>150</v>
      </c>
      <c r="D9" s="93">
        <v>2340.0</v>
      </c>
      <c r="E9" s="24"/>
      <c r="F9" s="77">
        <v>2002.0</v>
      </c>
      <c r="G9" s="77" t="s">
        <v>150</v>
      </c>
      <c r="H9" s="94">
        <v>2340.0</v>
      </c>
      <c r="I9" s="24"/>
      <c r="J9" s="77">
        <v>2002.0</v>
      </c>
      <c r="K9" s="77" t="s">
        <v>150</v>
      </c>
      <c r="L9" s="94">
        <v>2340.0</v>
      </c>
      <c r="M9" s="24"/>
      <c r="N9" s="24"/>
      <c r="O9" s="24"/>
      <c r="P9" s="24"/>
      <c r="Q9" s="24"/>
    </row>
    <row r="10" ht="15.75" customHeight="1">
      <c r="A10" s="89"/>
      <c r="B10" s="92">
        <v>2008.0</v>
      </c>
      <c r="C10" s="92" t="s">
        <v>152</v>
      </c>
      <c r="D10" s="93">
        <v>4340.0</v>
      </c>
      <c r="E10" s="24"/>
      <c r="F10" s="77">
        <v>2008.0</v>
      </c>
      <c r="G10" s="77" t="s">
        <v>152</v>
      </c>
      <c r="H10" s="94">
        <v>4340.0</v>
      </c>
      <c r="I10" s="24"/>
      <c r="J10" s="77">
        <v>2008.0</v>
      </c>
      <c r="K10" s="77" t="s">
        <v>152</v>
      </c>
      <c r="L10" s="94">
        <v>4340.0</v>
      </c>
      <c r="M10" s="24"/>
      <c r="N10" s="24"/>
      <c r="O10" s="24"/>
      <c r="P10" s="24"/>
      <c r="Q10" s="24"/>
    </row>
    <row r="11" ht="15.75" customHeight="1">
      <c r="A11" s="89"/>
      <c r="B11" s="92">
        <v>2007.0</v>
      </c>
      <c r="C11" s="92" t="s">
        <v>154</v>
      </c>
      <c r="D11" s="93">
        <v>2340.0</v>
      </c>
      <c r="E11" s="24"/>
      <c r="F11" s="77">
        <v>2007.0</v>
      </c>
      <c r="G11" s="77" t="s">
        <v>154</v>
      </c>
      <c r="H11" s="94">
        <v>2340.0</v>
      </c>
      <c r="I11" s="24"/>
      <c r="J11" s="77">
        <v>2007.0</v>
      </c>
      <c r="K11" s="77" t="s">
        <v>154</v>
      </c>
      <c r="L11" s="94">
        <v>2340.0</v>
      </c>
      <c r="M11" s="24"/>
      <c r="N11" s="24"/>
      <c r="O11" s="24"/>
      <c r="P11" s="24"/>
      <c r="Q11" s="24"/>
    </row>
    <row r="12" ht="15.75" customHeight="1">
      <c r="A12" s="89"/>
      <c r="B12" s="92">
        <v>2000.0</v>
      </c>
      <c r="C12" s="92" t="s">
        <v>143</v>
      </c>
      <c r="D12" s="93">
        <v>9340.0</v>
      </c>
      <c r="E12" s="24"/>
      <c r="F12" s="77">
        <v>2000.0</v>
      </c>
      <c r="G12" s="77" t="s">
        <v>143</v>
      </c>
      <c r="H12" s="94">
        <v>9340.0</v>
      </c>
      <c r="I12" s="24"/>
      <c r="J12" s="77">
        <v>2000.0</v>
      </c>
      <c r="K12" s="77" t="s">
        <v>143</v>
      </c>
      <c r="L12" s="94">
        <v>9340.0</v>
      </c>
      <c r="M12" s="24"/>
      <c r="N12" s="24"/>
      <c r="O12" s="24"/>
      <c r="P12" s="24"/>
      <c r="Q12" s="24"/>
    </row>
    <row r="13" ht="15.75" customHeight="1">
      <c r="A13" s="89"/>
      <c r="B13" s="92">
        <v>2002.0</v>
      </c>
      <c r="C13" s="92" t="s">
        <v>145</v>
      </c>
      <c r="D13" s="93">
        <v>2340.0</v>
      </c>
      <c r="E13" s="24"/>
      <c r="F13" s="77">
        <v>2002.0</v>
      </c>
      <c r="G13" s="77" t="s">
        <v>145</v>
      </c>
      <c r="H13" s="94">
        <v>2340.0</v>
      </c>
      <c r="I13" s="24"/>
      <c r="J13" s="77">
        <v>2002.0</v>
      </c>
      <c r="K13" s="77" t="s">
        <v>145</v>
      </c>
      <c r="L13" s="94">
        <v>2340.0</v>
      </c>
      <c r="M13" s="24"/>
      <c r="N13" s="24"/>
      <c r="O13" s="24"/>
      <c r="P13" s="24"/>
      <c r="Q13" s="24"/>
    </row>
    <row r="14" ht="15.75" customHeight="1">
      <c r="A14" s="89"/>
      <c r="B14" s="92">
        <v>2002.0</v>
      </c>
      <c r="C14" s="92" t="s">
        <v>147</v>
      </c>
      <c r="D14" s="93">
        <v>2340.0</v>
      </c>
      <c r="E14" s="24"/>
      <c r="F14" s="77">
        <v>2002.0</v>
      </c>
      <c r="G14" s="77" t="s">
        <v>147</v>
      </c>
      <c r="H14" s="94">
        <v>2340.0</v>
      </c>
      <c r="I14" s="24"/>
      <c r="J14" s="77">
        <v>2002.0</v>
      </c>
      <c r="K14" s="77" t="s">
        <v>147</v>
      </c>
      <c r="L14" s="94">
        <v>2340.0</v>
      </c>
      <c r="M14" s="24"/>
      <c r="N14" s="24"/>
      <c r="O14" s="24"/>
      <c r="P14" s="24"/>
      <c r="Q14" s="24"/>
    </row>
    <row r="15" ht="15.75" customHeight="1">
      <c r="A15" s="89"/>
      <c r="B15" s="92">
        <v>2003.0</v>
      </c>
      <c r="C15" s="92" t="s">
        <v>149</v>
      </c>
      <c r="D15" s="93">
        <v>2340.0</v>
      </c>
      <c r="E15" s="24"/>
      <c r="F15" s="77">
        <v>2003.0</v>
      </c>
      <c r="G15" s="77" t="s">
        <v>149</v>
      </c>
      <c r="H15" s="94">
        <v>2340.0</v>
      </c>
      <c r="I15" s="24"/>
      <c r="J15" s="77">
        <v>2003.0</v>
      </c>
      <c r="K15" s="77" t="s">
        <v>149</v>
      </c>
      <c r="L15" s="94">
        <v>2340.0</v>
      </c>
      <c r="M15" s="24"/>
      <c r="N15" s="24"/>
      <c r="O15" s="24"/>
      <c r="P15" s="24"/>
      <c r="Q15" s="24"/>
    </row>
    <row r="16" ht="15.75" customHeight="1">
      <c r="A16" s="89"/>
      <c r="B16" s="92">
        <v>2002.0</v>
      </c>
      <c r="C16" s="92" t="s">
        <v>150</v>
      </c>
      <c r="D16" s="93">
        <v>2340.0</v>
      </c>
      <c r="E16" s="24"/>
      <c r="F16" s="77">
        <v>2002.0</v>
      </c>
      <c r="G16" s="77" t="s">
        <v>150</v>
      </c>
      <c r="H16" s="94">
        <v>2340.0</v>
      </c>
      <c r="I16" s="24"/>
      <c r="J16" s="77">
        <v>2002.0</v>
      </c>
      <c r="K16" s="77" t="s">
        <v>150</v>
      </c>
      <c r="L16" s="94">
        <v>2340.0</v>
      </c>
      <c r="M16" s="24"/>
      <c r="N16" s="24"/>
      <c r="O16" s="24"/>
      <c r="P16" s="24"/>
      <c r="Q16" s="24"/>
    </row>
    <row r="17" ht="15.75" customHeight="1">
      <c r="A17" s="89"/>
      <c r="B17" s="92">
        <v>2000.0</v>
      </c>
      <c r="C17" s="92" t="s">
        <v>143</v>
      </c>
      <c r="D17" s="93">
        <v>7340.0</v>
      </c>
      <c r="E17" s="24"/>
      <c r="F17" s="77">
        <v>2000.0</v>
      </c>
      <c r="G17" s="77" t="s">
        <v>143</v>
      </c>
      <c r="H17" s="94">
        <v>7340.0</v>
      </c>
      <c r="I17" s="24"/>
      <c r="J17" s="77">
        <v>2000.0</v>
      </c>
      <c r="K17" s="77" t="s">
        <v>143</v>
      </c>
      <c r="L17" s="94">
        <v>7340.0</v>
      </c>
      <c r="M17" s="24"/>
      <c r="N17" s="24"/>
      <c r="O17" s="24"/>
      <c r="P17" s="24"/>
      <c r="Q17" s="24"/>
    </row>
    <row r="18" ht="15.75" customHeight="1">
      <c r="A18" s="89"/>
      <c r="B18" s="92">
        <v>2002.0</v>
      </c>
      <c r="C18" s="92" t="s">
        <v>145</v>
      </c>
      <c r="D18" s="93">
        <v>2340.0</v>
      </c>
      <c r="E18" s="24"/>
      <c r="F18" s="77">
        <v>2002.0</v>
      </c>
      <c r="G18" s="77" t="s">
        <v>145</v>
      </c>
      <c r="H18" s="94">
        <v>2340.0</v>
      </c>
      <c r="I18" s="24"/>
      <c r="J18" s="77">
        <v>2002.0</v>
      </c>
      <c r="K18" s="77" t="s">
        <v>145</v>
      </c>
      <c r="L18" s="94">
        <v>2340.0</v>
      </c>
      <c r="M18" s="24"/>
      <c r="N18" s="24"/>
      <c r="O18" s="24"/>
      <c r="P18" s="24"/>
      <c r="Q18" s="24"/>
    </row>
    <row r="19" ht="15.75" customHeight="1">
      <c r="A19" s="89"/>
      <c r="B19" s="92">
        <v>2000.0</v>
      </c>
      <c r="C19" s="92" t="s">
        <v>143</v>
      </c>
      <c r="D19" s="93">
        <v>2340.0</v>
      </c>
      <c r="E19" s="24"/>
      <c r="F19" s="77">
        <v>2000.0</v>
      </c>
      <c r="G19" s="77" t="s">
        <v>143</v>
      </c>
      <c r="H19" s="94">
        <v>2340.0</v>
      </c>
      <c r="I19" s="24"/>
      <c r="J19" s="77">
        <v>2000.0</v>
      </c>
      <c r="K19" s="77" t="s">
        <v>143</v>
      </c>
      <c r="L19" s="94">
        <v>2340.0</v>
      </c>
      <c r="M19" s="24"/>
      <c r="N19" s="24"/>
      <c r="O19" s="24"/>
      <c r="P19" s="24"/>
      <c r="Q19" s="24"/>
    </row>
    <row r="20" ht="15.75" customHeight="1">
      <c r="A20" s="89"/>
      <c r="B20" s="92">
        <v>2002.0</v>
      </c>
      <c r="C20" s="92" t="s">
        <v>145</v>
      </c>
      <c r="D20" s="93">
        <v>12340.0</v>
      </c>
      <c r="E20" s="24"/>
      <c r="F20" s="77">
        <v>2002.0</v>
      </c>
      <c r="G20" s="77" t="s">
        <v>145</v>
      </c>
      <c r="H20" s="94">
        <v>12340.0</v>
      </c>
      <c r="I20" s="24"/>
      <c r="J20" s="77">
        <v>2002.0</v>
      </c>
      <c r="K20" s="77" t="s">
        <v>145</v>
      </c>
      <c r="L20" s="94">
        <v>12340.0</v>
      </c>
      <c r="M20" s="24"/>
      <c r="N20" s="24"/>
      <c r="O20" s="24"/>
      <c r="P20" s="24"/>
      <c r="Q20" s="24"/>
    </row>
    <row r="21" ht="15.75" customHeight="1">
      <c r="A21" s="24"/>
      <c r="B21" s="35"/>
      <c r="C21" s="35"/>
      <c r="D21" s="35"/>
      <c r="E21" s="24"/>
      <c r="F21" s="35"/>
      <c r="G21" s="35"/>
      <c r="H21" s="35"/>
      <c r="I21" s="24"/>
      <c r="J21" s="35"/>
      <c r="K21" s="35"/>
      <c r="L21" s="35"/>
      <c r="M21" s="24"/>
      <c r="N21" s="24"/>
      <c r="O21" s="24"/>
      <c r="P21" s="24"/>
      <c r="Q21" s="24"/>
    </row>
    <row r="22" ht="15.75" customHeight="1">
      <c r="A22" s="24"/>
      <c r="B22" s="35">
        <v>2000.0</v>
      </c>
      <c r="C22" s="35">
        <f t="shared" ref="C22:C23" si="1">sumif(B3:B20,B22,D3:D20)</f>
        <v>23700</v>
      </c>
      <c r="D22" s="35"/>
      <c r="E22" s="24"/>
      <c r="F22" s="35">
        <v>2000.0</v>
      </c>
      <c r="G22" s="35">
        <f t="shared" ref="G22:G23" si="2">AVERAGEIF(F3:F20,F22,H3:H20)</f>
        <v>4740</v>
      </c>
      <c r="H22" s="35"/>
      <c r="I22" s="24"/>
      <c r="J22" s="35">
        <v>2000.0</v>
      </c>
      <c r="K22" s="35">
        <f t="shared" ref="K22:K23" si="3">COUNTIF(J3:J20,J22)</f>
        <v>5</v>
      </c>
      <c r="L22" s="35"/>
      <c r="M22" s="24"/>
      <c r="N22" s="24"/>
      <c r="O22" s="24"/>
      <c r="P22" s="24"/>
      <c r="Q22" s="24"/>
    </row>
    <row r="23" ht="15.75" customHeight="1">
      <c r="A23" s="24"/>
      <c r="B23" s="35">
        <v>2008.0</v>
      </c>
      <c r="C23" s="35">
        <f t="shared" si="1"/>
        <v>4340</v>
      </c>
      <c r="D23" s="35"/>
      <c r="E23" s="24"/>
      <c r="F23" s="35">
        <v>2002.0</v>
      </c>
      <c r="G23" s="35">
        <f t="shared" si="2"/>
        <v>3590</v>
      </c>
      <c r="H23" s="35"/>
      <c r="I23" s="24"/>
      <c r="J23" s="35">
        <v>2002.0</v>
      </c>
      <c r="K23" s="35">
        <f t="shared" si="3"/>
        <v>8</v>
      </c>
      <c r="L23" s="35"/>
      <c r="M23" s="24"/>
      <c r="N23" s="24"/>
      <c r="O23" s="24"/>
      <c r="P23" s="24"/>
      <c r="Q23" s="24"/>
    </row>
    <row r="24" ht="15.75" customHeight="1">
      <c r="A24" s="24"/>
      <c r="B24" s="35">
        <v>2003.0</v>
      </c>
      <c r="C24" s="35">
        <f>SUMIF(B3:B20,B24,D3:D20)</f>
        <v>4680</v>
      </c>
      <c r="D24" s="35"/>
      <c r="E24" s="24"/>
      <c r="F24" s="35"/>
      <c r="G24" s="35"/>
      <c r="H24" s="35"/>
      <c r="I24" s="24"/>
      <c r="J24" s="35"/>
      <c r="K24" s="35"/>
      <c r="L24" s="35"/>
      <c r="M24" s="24"/>
      <c r="N24" s="24"/>
      <c r="O24" s="24"/>
      <c r="P24" s="24"/>
      <c r="Q24" s="24"/>
    </row>
    <row r="25" ht="15.75" customHeight="1">
      <c r="A25" s="24"/>
      <c r="B25" s="95"/>
      <c r="C25" s="35"/>
      <c r="D25" s="35"/>
      <c r="E25" s="24"/>
      <c r="F25" s="35"/>
      <c r="G25" s="35"/>
      <c r="H25" s="35"/>
      <c r="I25" s="24"/>
      <c r="J25" s="35"/>
      <c r="K25" s="35"/>
      <c r="L25" s="35"/>
      <c r="M25" s="24"/>
      <c r="N25" s="24"/>
      <c r="O25" s="24"/>
      <c r="P25" s="24"/>
      <c r="Q25" s="24"/>
    </row>
    <row r="26" ht="15.75" customHeight="1">
      <c r="A26" s="24"/>
      <c r="B26" s="35"/>
      <c r="C26" s="35"/>
      <c r="D26" s="35"/>
      <c r="E26" s="24"/>
      <c r="F26" s="35"/>
      <c r="G26" s="35"/>
      <c r="H26" s="35"/>
      <c r="I26" s="24"/>
      <c r="J26" s="35"/>
      <c r="K26" s="35"/>
      <c r="L26" s="35"/>
      <c r="M26" s="24"/>
      <c r="N26" s="24"/>
      <c r="O26" s="24"/>
      <c r="P26" s="24"/>
      <c r="Q26" s="24"/>
    </row>
    <row r="27" ht="15.75" customHeight="1">
      <c r="A27" s="24"/>
      <c r="B27" s="35"/>
      <c r="C27" s="35"/>
      <c r="D27" s="35"/>
      <c r="E27" s="24"/>
      <c r="F27" s="35"/>
      <c r="G27" s="35"/>
      <c r="H27" s="35"/>
      <c r="I27" s="24"/>
      <c r="J27" s="35"/>
      <c r="K27" s="35"/>
      <c r="L27" s="35"/>
      <c r="M27" s="24"/>
      <c r="N27" s="24"/>
      <c r="O27" s="24"/>
      <c r="P27" s="24"/>
      <c r="Q27" s="24"/>
    </row>
    <row r="28" ht="15.75" customHeight="1">
      <c r="A28" s="24"/>
      <c r="B28" s="35"/>
      <c r="C28" s="35"/>
      <c r="D28" s="35"/>
      <c r="E28" s="24"/>
      <c r="F28" s="35"/>
      <c r="G28" s="35"/>
      <c r="H28" s="35"/>
      <c r="I28" s="24"/>
      <c r="J28" s="35"/>
      <c r="K28" s="35"/>
      <c r="L28" s="35"/>
      <c r="M28" s="24"/>
      <c r="N28" s="24"/>
      <c r="O28" s="24"/>
      <c r="P28" s="24"/>
      <c r="Q28" s="24"/>
    </row>
    <row r="29" ht="15.75" customHeight="1">
      <c r="A29" s="24"/>
      <c r="B29" s="35"/>
      <c r="C29" s="35"/>
      <c r="D29" s="35"/>
      <c r="E29" s="24"/>
      <c r="F29" s="35"/>
      <c r="G29" s="35"/>
      <c r="H29" s="35"/>
      <c r="I29" s="24"/>
      <c r="J29" s="35"/>
      <c r="K29" s="35"/>
      <c r="L29" s="35"/>
      <c r="M29" s="24"/>
      <c r="N29" s="24"/>
      <c r="O29" s="24"/>
      <c r="P29" s="24"/>
      <c r="Q29" s="24"/>
    </row>
    <row r="30" ht="15.75" customHeight="1">
      <c r="A30" s="24"/>
      <c r="B30" s="35"/>
      <c r="C30" s="35"/>
      <c r="D30" s="35"/>
      <c r="E30" s="24"/>
      <c r="F30" s="35"/>
      <c r="G30" s="35"/>
      <c r="H30" s="35"/>
      <c r="I30" s="24"/>
      <c r="J30" s="35"/>
      <c r="K30" s="35"/>
      <c r="L30" s="35"/>
      <c r="M30" s="24"/>
      <c r="N30" s="24"/>
      <c r="O30" s="24"/>
      <c r="P30" s="24"/>
      <c r="Q30" s="24"/>
    </row>
    <row r="31" ht="15.75" customHeight="1">
      <c r="A31" s="24"/>
      <c r="B31" s="35"/>
      <c r="C31" s="35"/>
      <c r="D31" s="35"/>
      <c r="E31" s="24"/>
      <c r="F31" s="35"/>
      <c r="G31" s="35"/>
      <c r="H31" s="35"/>
      <c r="I31" s="24"/>
      <c r="J31" s="35"/>
      <c r="K31" s="35"/>
      <c r="L31" s="35"/>
      <c r="M31" s="24"/>
      <c r="N31" s="24"/>
      <c r="O31" s="24"/>
      <c r="P31" s="24"/>
      <c r="Q31" s="24"/>
    </row>
    <row r="32" ht="15.75" customHeight="1">
      <c r="A32" s="24"/>
      <c r="B32" s="35"/>
      <c r="C32" s="35"/>
      <c r="D32" s="35"/>
      <c r="E32" s="24"/>
      <c r="F32" s="35"/>
      <c r="G32" s="35"/>
      <c r="H32" s="35"/>
      <c r="I32" s="24"/>
      <c r="J32" s="35"/>
      <c r="K32" s="35"/>
      <c r="L32" s="35"/>
      <c r="M32" s="24"/>
      <c r="N32" s="24"/>
      <c r="O32" s="24"/>
      <c r="P32" s="24"/>
      <c r="Q32" s="24"/>
    </row>
    <row r="33" ht="15.75" customHeight="1">
      <c r="A33" s="24"/>
      <c r="B33" s="35"/>
      <c r="C33" s="35"/>
      <c r="D33" s="35"/>
      <c r="E33" s="24"/>
      <c r="F33" s="35"/>
      <c r="G33" s="35"/>
      <c r="H33" s="35"/>
      <c r="I33" s="24"/>
      <c r="J33" s="35"/>
      <c r="K33" s="35"/>
      <c r="L33" s="35"/>
      <c r="M33" s="24"/>
      <c r="N33" s="24"/>
      <c r="O33" s="24"/>
      <c r="P33" s="24"/>
      <c r="Q33" s="24"/>
    </row>
    <row r="34" ht="15.75" customHeight="1">
      <c r="A34" s="24"/>
      <c r="B34" s="35"/>
      <c r="C34" s="35"/>
      <c r="D34" s="35"/>
      <c r="E34" s="24"/>
      <c r="F34" s="35"/>
      <c r="G34" s="35"/>
      <c r="H34" s="35"/>
      <c r="I34" s="24"/>
      <c r="J34" s="35"/>
      <c r="K34" s="35"/>
      <c r="L34" s="35"/>
      <c r="M34" s="24"/>
      <c r="N34" s="24"/>
      <c r="O34" s="24"/>
      <c r="P34" s="24"/>
      <c r="Q34" s="24"/>
    </row>
    <row r="35" ht="15.75" customHeight="1">
      <c r="A35" s="24"/>
      <c r="B35" s="35"/>
      <c r="C35" s="35"/>
      <c r="D35" s="35"/>
      <c r="E35" s="24"/>
      <c r="F35" s="35"/>
      <c r="G35" s="35"/>
      <c r="H35" s="35"/>
      <c r="I35" s="24"/>
      <c r="J35" s="35"/>
      <c r="K35" s="35"/>
      <c r="L35" s="35"/>
      <c r="M35" s="24"/>
      <c r="N35" s="24"/>
      <c r="O35" s="24"/>
      <c r="P35" s="24"/>
      <c r="Q35" s="24"/>
    </row>
    <row r="36" ht="15.75" customHeight="1">
      <c r="A36" s="24"/>
      <c r="B36" s="35"/>
      <c r="C36" s="35"/>
      <c r="D36" s="35"/>
      <c r="E36" s="24"/>
      <c r="F36" s="35"/>
      <c r="G36" s="35"/>
      <c r="H36" s="35"/>
      <c r="I36" s="24"/>
      <c r="J36" s="35"/>
      <c r="K36" s="35"/>
      <c r="L36" s="35"/>
      <c r="M36" s="24"/>
      <c r="N36" s="24"/>
      <c r="O36" s="24"/>
      <c r="P36" s="24"/>
      <c r="Q36" s="24"/>
    </row>
    <row r="37" ht="15.75" customHeight="1">
      <c r="A37" s="24"/>
      <c r="B37" s="35"/>
      <c r="C37" s="35"/>
      <c r="D37" s="35"/>
      <c r="E37" s="24"/>
      <c r="F37" s="35"/>
      <c r="G37" s="35"/>
      <c r="H37" s="35"/>
      <c r="I37" s="24"/>
      <c r="J37" s="35"/>
      <c r="K37" s="35"/>
      <c r="L37" s="35"/>
      <c r="M37" s="24"/>
      <c r="N37" s="24"/>
      <c r="O37" s="24"/>
      <c r="P37" s="24"/>
      <c r="Q37" s="24"/>
    </row>
    <row r="38" ht="15.75" customHeight="1">
      <c r="A38" s="24"/>
      <c r="B38" s="35"/>
      <c r="C38" s="35"/>
      <c r="D38" s="35"/>
      <c r="E38" s="24"/>
      <c r="F38" s="35"/>
      <c r="G38" s="35"/>
      <c r="H38" s="35"/>
      <c r="I38" s="24"/>
      <c r="J38" s="35"/>
      <c r="K38" s="35"/>
      <c r="L38" s="35"/>
      <c r="M38" s="24"/>
      <c r="N38" s="24"/>
      <c r="O38" s="24"/>
      <c r="P38" s="24"/>
      <c r="Q38" s="24"/>
    </row>
    <row r="39" ht="15.75" customHeight="1">
      <c r="A39" s="24"/>
      <c r="B39" s="35"/>
      <c r="C39" s="35"/>
      <c r="D39" s="35"/>
      <c r="E39" s="24"/>
      <c r="F39" s="35"/>
      <c r="G39" s="35"/>
      <c r="H39" s="35"/>
      <c r="I39" s="24"/>
      <c r="J39" s="35"/>
      <c r="K39" s="35"/>
      <c r="L39" s="35"/>
      <c r="M39" s="24"/>
      <c r="N39" s="24"/>
      <c r="O39" s="24"/>
      <c r="P39" s="24"/>
      <c r="Q39" s="24"/>
    </row>
    <row r="40" ht="15.75" customHeight="1">
      <c r="A40" s="24"/>
      <c r="B40" s="35"/>
      <c r="C40" s="35"/>
      <c r="D40" s="35"/>
      <c r="E40" s="24"/>
      <c r="F40" s="35"/>
      <c r="G40" s="35"/>
      <c r="H40" s="35"/>
      <c r="I40" s="24"/>
      <c r="J40" s="35"/>
      <c r="K40" s="35"/>
      <c r="L40" s="35"/>
      <c r="M40" s="24"/>
      <c r="N40" s="24"/>
      <c r="O40" s="24"/>
      <c r="P40" s="24"/>
      <c r="Q40" s="24"/>
    </row>
    <row r="41" ht="15.75" customHeight="1">
      <c r="A41" s="24"/>
      <c r="B41" s="35"/>
      <c r="C41" s="35"/>
      <c r="D41" s="35"/>
      <c r="E41" s="24"/>
      <c r="F41" s="35"/>
      <c r="G41" s="35"/>
      <c r="H41" s="35"/>
      <c r="I41" s="24"/>
      <c r="J41" s="35"/>
      <c r="K41" s="35"/>
      <c r="L41" s="35"/>
      <c r="M41" s="24"/>
      <c r="N41" s="24"/>
      <c r="O41" s="24"/>
      <c r="P41" s="24"/>
      <c r="Q41" s="24"/>
    </row>
    <row r="42" ht="15.75" customHeight="1">
      <c r="A42" s="24"/>
      <c r="B42" s="35"/>
      <c r="C42" s="35"/>
      <c r="D42" s="35"/>
      <c r="E42" s="24"/>
      <c r="F42" s="35"/>
      <c r="G42" s="35"/>
      <c r="H42" s="35"/>
      <c r="I42" s="24"/>
      <c r="J42" s="35"/>
      <c r="K42" s="35"/>
      <c r="L42" s="35"/>
      <c r="M42" s="24"/>
      <c r="N42" s="24"/>
      <c r="O42" s="24"/>
      <c r="P42" s="24"/>
      <c r="Q42" s="24"/>
    </row>
    <row r="43" ht="15.75" customHeight="1">
      <c r="A43" s="24"/>
      <c r="B43" s="35"/>
      <c r="C43" s="35"/>
      <c r="D43" s="35"/>
      <c r="E43" s="24"/>
      <c r="F43" s="35"/>
      <c r="G43" s="35"/>
      <c r="H43" s="35"/>
      <c r="I43" s="24"/>
      <c r="J43" s="35"/>
      <c r="K43" s="35"/>
      <c r="L43" s="35"/>
      <c r="M43" s="24"/>
      <c r="N43" s="24"/>
      <c r="O43" s="24"/>
      <c r="P43" s="24"/>
      <c r="Q43" s="24"/>
    </row>
    <row r="44" ht="15.75" customHeight="1">
      <c r="A44" s="24"/>
      <c r="B44" s="35"/>
      <c r="C44" s="35"/>
      <c r="D44" s="35"/>
      <c r="E44" s="24"/>
      <c r="F44" s="35"/>
      <c r="G44" s="35"/>
      <c r="H44" s="35"/>
      <c r="I44" s="24"/>
      <c r="J44" s="35"/>
      <c r="K44" s="35"/>
      <c r="L44" s="35"/>
      <c r="M44" s="24"/>
      <c r="N44" s="24"/>
      <c r="O44" s="24"/>
      <c r="P44" s="24"/>
      <c r="Q44" s="24"/>
    </row>
    <row r="45" ht="15.75" customHeight="1">
      <c r="A45" s="24"/>
      <c r="B45" s="35"/>
      <c r="C45" s="35"/>
      <c r="D45" s="35"/>
      <c r="E45" s="24"/>
      <c r="F45" s="35"/>
      <c r="G45" s="35"/>
      <c r="H45" s="35"/>
      <c r="I45" s="24"/>
      <c r="J45" s="35"/>
      <c r="K45" s="35"/>
      <c r="L45" s="35"/>
      <c r="M45" s="24"/>
      <c r="N45" s="24"/>
      <c r="O45" s="24"/>
      <c r="P45" s="24"/>
      <c r="Q45" s="24"/>
    </row>
    <row r="46" ht="15.75" customHeight="1">
      <c r="A46" s="24"/>
      <c r="B46" s="35"/>
      <c r="C46" s="35"/>
      <c r="D46" s="35"/>
      <c r="E46" s="24"/>
      <c r="F46" s="35"/>
      <c r="G46" s="35"/>
      <c r="H46" s="35"/>
      <c r="I46" s="24"/>
      <c r="J46" s="35"/>
      <c r="K46" s="35"/>
      <c r="L46" s="35"/>
      <c r="M46" s="24"/>
      <c r="N46" s="24"/>
      <c r="O46" s="24"/>
      <c r="P46" s="24"/>
      <c r="Q46" s="24"/>
    </row>
    <row r="47" ht="15.75" customHeight="1">
      <c r="A47" s="24"/>
      <c r="B47" s="35"/>
      <c r="C47" s="35"/>
      <c r="D47" s="35"/>
      <c r="E47" s="24"/>
      <c r="F47" s="35"/>
      <c r="G47" s="35"/>
      <c r="H47" s="35"/>
      <c r="I47" s="24"/>
      <c r="J47" s="35"/>
      <c r="K47" s="35"/>
      <c r="L47" s="35"/>
      <c r="M47" s="24"/>
      <c r="N47" s="24"/>
      <c r="O47" s="24"/>
      <c r="P47" s="24"/>
      <c r="Q47" s="24"/>
    </row>
    <row r="48" ht="15.75" customHeight="1">
      <c r="A48" s="24"/>
      <c r="B48" s="35"/>
      <c r="C48" s="35"/>
      <c r="D48" s="35"/>
      <c r="E48" s="24"/>
      <c r="F48" s="35"/>
      <c r="G48" s="35"/>
      <c r="H48" s="35"/>
      <c r="I48" s="24"/>
      <c r="J48" s="35"/>
      <c r="K48" s="35"/>
      <c r="L48" s="35"/>
      <c r="M48" s="24"/>
      <c r="N48" s="24"/>
      <c r="O48" s="24"/>
      <c r="P48" s="24"/>
      <c r="Q48" s="24"/>
    </row>
    <row r="49" ht="15.75" customHeight="1">
      <c r="A49" s="24"/>
      <c r="B49" s="35"/>
      <c r="C49" s="35"/>
      <c r="D49" s="35"/>
      <c r="E49" s="24"/>
      <c r="F49" s="35"/>
      <c r="G49" s="35"/>
      <c r="H49" s="35"/>
      <c r="I49" s="24"/>
      <c r="J49" s="35"/>
      <c r="K49" s="35"/>
      <c r="L49" s="35"/>
      <c r="M49" s="24"/>
      <c r="N49" s="24"/>
      <c r="O49" s="24"/>
      <c r="P49" s="24"/>
      <c r="Q49" s="24"/>
    </row>
    <row r="50" ht="15.75" customHeight="1">
      <c r="A50" s="24"/>
      <c r="B50" s="35"/>
      <c r="C50" s="35"/>
      <c r="D50" s="35"/>
      <c r="E50" s="24"/>
      <c r="F50" s="35"/>
      <c r="G50" s="35"/>
      <c r="H50" s="35"/>
      <c r="I50" s="24"/>
      <c r="J50" s="35"/>
      <c r="K50" s="35"/>
      <c r="L50" s="35"/>
      <c r="M50" s="24"/>
      <c r="N50" s="24"/>
      <c r="O50" s="24"/>
      <c r="P50" s="24"/>
      <c r="Q50" s="24"/>
    </row>
    <row r="51" ht="15.75" customHeight="1">
      <c r="A51" s="24"/>
      <c r="B51" s="35"/>
      <c r="C51" s="35"/>
      <c r="D51" s="35"/>
      <c r="E51" s="24"/>
      <c r="F51" s="35"/>
      <c r="G51" s="35"/>
      <c r="H51" s="35"/>
      <c r="I51" s="24"/>
      <c r="J51" s="35"/>
      <c r="K51" s="35"/>
      <c r="L51" s="35"/>
      <c r="M51" s="24"/>
      <c r="N51" s="24"/>
      <c r="O51" s="24"/>
      <c r="P51" s="24"/>
      <c r="Q51" s="24"/>
    </row>
    <row r="52" ht="15.75" customHeight="1">
      <c r="A52" s="24"/>
      <c r="B52" s="35"/>
      <c r="C52" s="35"/>
      <c r="D52" s="35"/>
      <c r="E52" s="24"/>
      <c r="F52" s="35"/>
      <c r="G52" s="35"/>
      <c r="H52" s="35"/>
      <c r="I52" s="24"/>
      <c r="J52" s="35"/>
      <c r="K52" s="35"/>
      <c r="L52" s="35"/>
      <c r="M52" s="24"/>
      <c r="N52" s="24"/>
      <c r="O52" s="24"/>
      <c r="P52" s="24"/>
      <c r="Q52" s="24"/>
    </row>
    <row r="53" ht="15.75" customHeight="1">
      <c r="A53" s="24"/>
      <c r="B53" s="35"/>
      <c r="C53" s="35"/>
      <c r="D53" s="35"/>
      <c r="E53" s="24"/>
      <c r="F53" s="35"/>
      <c r="G53" s="35"/>
      <c r="H53" s="35"/>
      <c r="I53" s="24"/>
      <c r="J53" s="35"/>
      <c r="K53" s="35"/>
      <c r="L53" s="35"/>
      <c r="M53" s="24"/>
      <c r="N53" s="24"/>
      <c r="O53" s="24"/>
      <c r="P53" s="24"/>
      <c r="Q53" s="24"/>
    </row>
    <row r="54" ht="15.75" customHeight="1">
      <c r="A54" s="24"/>
      <c r="B54" s="35"/>
      <c r="C54" s="35"/>
      <c r="D54" s="35"/>
      <c r="E54" s="24"/>
      <c r="F54" s="35"/>
      <c r="G54" s="35"/>
      <c r="H54" s="35"/>
      <c r="I54" s="24"/>
      <c r="J54" s="35"/>
      <c r="K54" s="35"/>
      <c r="L54" s="35"/>
      <c r="M54" s="24"/>
      <c r="N54" s="24"/>
      <c r="O54" s="24"/>
      <c r="P54" s="24"/>
      <c r="Q54" s="24"/>
    </row>
    <row r="55" ht="15.75" customHeight="1">
      <c r="A55" s="24"/>
      <c r="B55" s="35"/>
      <c r="C55" s="35"/>
      <c r="D55" s="35"/>
      <c r="E55" s="24"/>
      <c r="F55" s="35"/>
      <c r="G55" s="35"/>
      <c r="H55" s="35"/>
      <c r="I55" s="24"/>
      <c r="J55" s="35"/>
      <c r="K55" s="35"/>
      <c r="L55" s="35"/>
      <c r="M55" s="24"/>
      <c r="N55" s="24"/>
      <c r="O55" s="24"/>
      <c r="P55" s="24"/>
      <c r="Q55" s="24"/>
    </row>
    <row r="56" ht="15.75" customHeight="1">
      <c r="A56" s="24"/>
      <c r="B56" s="35"/>
      <c r="C56" s="35"/>
      <c r="D56" s="35"/>
      <c r="E56" s="24"/>
      <c r="F56" s="35"/>
      <c r="G56" s="35"/>
      <c r="H56" s="35"/>
      <c r="I56" s="24"/>
      <c r="J56" s="35"/>
      <c r="K56" s="35"/>
      <c r="L56" s="35"/>
      <c r="M56" s="24"/>
      <c r="N56" s="24"/>
      <c r="O56" s="24"/>
      <c r="P56" s="24"/>
      <c r="Q56" s="24"/>
    </row>
    <row r="57" ht="15.75" customHeight="1">
      <c r="A57" s="24"/>
      <c r="B57" s="35"/>
      <c r="C57" s="35"/>
      <c r="D57" s="35"/>
      <c r="E57" s="24"/>
      <c r="F57" s="35"/>
      <c r="G57" s="35"/>
      <c r="H57" s="35"/>
      <c r="I57" s="24"/>
      <c r="J57" s="35"/>
      <c r="K57" s="35"/>
      <c r="L57" s="35"/>
      <c r="M57" s="24"/>
      <c r="N57" s="24"/>
      <c r="O57" s="24"/>
      <c r="P57" s="24"/>
      <c r="Q57" s="24"/>
    </row>
    <row r="58" ht="15.75" customHeight="1">
      <c r="A58" s="24"/>
      <c r="B58" s="35"/>
      <c r="C58" s="35"/>
      <c r="D58" s="35"/>
      <c r="E58" s="24"/>
      <c r="F58" s="35"/>
      <c r="G58" s="35"/>
      <c r="H58" s="35"/>
      <c r="I58" s="24"/>
      <c r="J58" s="35"/>
      <c r="K58" s="35"/>
      <c r="L58" s="35"/>
      <c r="M58" s="24"/>
      <c r="N58" s="24"/>
      <c r="O58" s="24"/>
      <c r="P58" s="24"/>
      <c r="Q58" s="24"/>
    </row>
    <row r="59" ht="15.75" customHeight="1">
      <c r="A59" s="24"/>
      <c r="B59" s="35"/>
      <c r="C59" s="35"/>
      <c r="D59" s="35"/>
      <c r="E59" s="24"/>
      <c r="F59" s="35"/>
      <c r="G59" s="35"/>
      <c r="H59" s="35"/>
      <c r="I59" s="24"/>
      <c r="J59" s="35"/>
      <c r="K59" s="35"/>
      <c r="L59" s="35"/>
      <c r="M59" s="24"/>
      <c r="N59" s="24"/>
      <c r="O59" s="24"/>
      <c r="P59" s="24"/>
      <c r="Q59" s="24"/>
    </row>
    <row r="60" ht="15.75" customHeight="1">
      <c r="A60" s="24"/>
      <c r="B60" s="35"/>
      <c r="C60" s="35"/>
      <c r="D60" s="35"/>
      <c r="E60" s="24"/>
      <c r="F60" s="35"/>
      <c r="G60" s="35"/>
      <c r="H60" s="35"/>
      <c r="I60" s="24"/>
      <c r="J60" s="35"/>
      <c r="K60" s="35"/>
      <c r="L60" s="35"/>
      <c r="M60" s="24"/>
      <c r="N60" s="24"/>
      <c r="O60" s="24"/>
      <c r="P60" s="24"/>
      <c r="Q60" s="24"/>
    </row>
    <row r="61" ht="15.75" customHeight="1">
      <c r="A61" s="24"/>
      <c r="B61" s="35"/>
      <c r="C61" s="35"/>
      <c r="D61" s="35"/>
      <c r="E61" s="24"/>
      <c r="F61" s="35"/>
      <c r="G61" s="35"/>
      <c r="H61" s="35"/>
      <c r="I61" s="24"/>
      <c r="J61" s="35"/>
      <c r="K61" s="35"/>
      <c r="L61" s="35"/>
      <c r="M61" s="24"/>
      <c r="N61" s="24"/>
      <c r="O61" s="24"/>
      <c r="P61" s="24"/>
      <c r="Q61" s="24"/>
    </row>
    <row r="62" ht="15.75" customHeight="1">
      <c r="A62" s="24"/>
      <c r="B62" s="35"/>
      <c r="C62" s="35"/>
      <c r="D62" s="35"/>
      <c r="E62" s="24"/>
      <c r="F62" s="35"/>
      <c r="G62" s="35"/>
      <c r="H62" s="35"/>
      <c r="I62" s="24"/>
      <c r="J62" s="35"/>
      <c r="K62" s="35"/>
      <c r="L62" s="35"/>
      <c r="M62" s="24"/>
      <c r="N62" s="24"/>
      <c r="O62" s="24"/>
      <c r="P62" s="24"/>
      <c r="Q62" s="24"/>
    </row>
    <row r="63" ht="15.75" customHeight="1">
      <c r="A63" s="24"/>
      <c r="B63" s="35"/>
      <c r="C63" s="35"/>
      <c r="D63" s="35"/>
      <c r="E63" s="24"/>
      <c r="F63" s="35"/>
      <c r="G63" s="35"/>
      <c r="H63" s="35"/>
      <c r="I63" s="24"/>
      <c r="J63" s="35"/>
      <c r="K63" s="35"/>
      <c r="L63" s="35"/>
      <c r="M63" s="24"/>
      <c r="N63" s="24"/>
      <c r="O63" s="24"/>
      <c r="P63" s="24"/>
      <c r="Q63" s="24"/>
    </row>
    <row r="64" ht="15.75" customHeight="1">
      <c r="A64" s="24"/>
      <c r="B64" s="35"/>
      <c r="C64" s="35"/>
      <c r="D64" s="35"/>
      <c r="E64" s="24"/>
      <c r="F64" s="35"/>
      <c r="G64" s="35"/>
      <c r="H64" s="35"/>
      <c r="I64" s="24"/>
      <c r="J64" s="35"/>
      <c r="K64" s="35"/>
      <c r="L64" s="35"/>
      <c r="M64" s="24"/>
      <c r="N64" s="24"/>
      <c r="O64" s="24"/>
      <c r="P64" s="24"/>
      <c r="Q64" s="24"/>
    </row>
    <row r="65" ht="15.75" customHeight="1">
      <c r="A65" s="24"/>
      <c r="B65" s="35"/>
      <c r="C65" s="35"/>
      <c r="D65" s="35"/>
      <c r="E65" s="24"/>
      <c r="F65" s="35"/>
      <c r="G65" s="35"/>
      <c r="H65" s="35"/>
      <c r="I65" s="24"/>
      <c r="J65" s="35"/>
      <c r="K65" s="35"/>
      <c r="L65" s="35"/>
      <c r="M65" s="24"/>
      <c r="N65" s="24"/>
      <c r="O65" s="24"/>
      <c r="P65" s="24"/>
      <c r="Q65" s="24"/>
    </row>
    <row r="66" ht="15.75" customHeight="1">
      <c r="A66" s="24"/>
      <c r="B66" s="35"/>
      <c r="C66" s="35"/>
      <c r="D66" s="35"/>
      <c r="E66" s="24"/>
      <c r="F66" s="35"/>
      <c r="G66" s="35"/>
      <c r="H66" s="35"/>
      <c r="I66" s="24"/>
      <c r="J66" s="35"/>
      <c r="K66" s="35"/>
      <c r="L66" s="35"/>
      <c r="M66" s="24"/>
      <c r="N66" s="24"/>
      <c r="O66" s="24"/>
      <c r="P66" s="24"/>
      <c r="Q66" s="24"/>
    </row>
    <row r="67" ht="15.75" customHeight="1">
      <c r="A67" s="24"/>
      <c r="B67" s="35"/>
      <c r="C67" s="35"/>
      <c r="D67" s="35"/>
      <c r="E67" s="24"/>
      <c r="F67" s="35"/>
      <c r="G67" s="35"/>
      <c r="H67" s="35"/>
      <c r="I67" s="24"/>
      <c r="J67" s="35"/>
      <c r="K67" s="35"/>
      <c r="L67" s="35"/>
      <c r="M67" s="24"/>
      <c r="N67" s="24"/>
      <c r="O67" s="24"/>
      <c r="P67" s="24"/>
      <c r="Q67" s="24"/>
    </row>
    <row r="68" ht="15.75" customHeight="1">
      <c r="A68" s="24"/>
      <c r="B68" s="35"/>
      <c r="C68" s="35"/>
      <c r="D68" s="35"/>
      <c r="E68" s="24"/>
      <c r="F68" s="35"/>
      <c r="G68" s="35"/>
      <c r="H68" s="35"/>
      <c r="I68" s="24"/>
      <c r="J68" s="35"/>
      <c r="K68" s="35"/>
      <c r="L68" s="35"/>
      <c r="M68" s="24"/>
      <c r="N68" s="24"/>
      <c r="O68" s="24"/>
      <c r="P68" s="24"/>
      <c r="Q68" s="24"/>
    </row>
    <row r="69" ht="15.75" customHeight="1">
      <c r="A69" s="24"/>
      <c r="B69" s="35"/>
      <c r="C69" s="35"/>
      <c r="D69" s="35"/>
      <c r="E69" s="24"/>
      <c r="F69" s="35"/>
      <c r="G69" s="35"/>
      <c r="H69" s="35"/>
      <c r="I69" s="24"/>
      <c r="J69" s="35"/>
      <c r="K69" s="35"/>
      <c r="L69" s="35"/>
      <c r="M69" s="24"/>
      <c r="N69" s="24"/>
      <c r="O69" s="24"/>
      <c r="P69" s="24"/>
      <c r="Q69" s="24"/>
    </row>
    <row r="70" ht="15.75" customHeight="1">
      <c r="A70" s="24"/>
      <c r="B70" s="35"/>
      <c r="C70" s="35"/>
      <c r="D70" s="35"/>
      <c r="E70" s="24"/>
      <c r="F70" s="35"/>
      <c r="G70" s="35"/>
      <c r="H70" s="35"/>
      <c r="I70" s="24"/>
      <c r="J70" s="35"/>
      <c r="K70" s="35"/>
      <c r="L70" s="35"/>
      <c r="M70" s="24"/>
      <c r="N70" s="24"/>
      <c r="O70" s="24"/>
      <c r="P70" s="24"/>
      <c r="Q70" s="24"/>
    </row>
    <row r="71" ht="15.75" customHeight="1">
      <c r="A71" s="24"/>
      <c r="B71" s="35"/>
      <c r="C71" s="35"/>
      <c r="D71" s="35"/>
      <c r="E71" s="24"/>
      <c r="F71" s="35"/>
      <c r="G71" s="35"/>
      <c r="H71" s="35"/>
      <c r="I71" s="24"/>
      <c r="J71" s="35"/>
      <c r="K71" s="35"/>
      <c r="L71" s="35"/>
      <c r="M71" s="24"/>
      <c r="N71" s="24"/>
      <c r="O71" s="24"/>
      <c r="P71" s="24"/>
      <c r="Q71" s="24"/>
    </row>
    <row r="72" ht="15.75" customHeight="1">
      <c r="A72" s="24"/>
      <c r="B72" s="35"/>
      <c r="C72" s="35"/>
      <c r="D72" s="35"/>
      <c r="E72" s="24"/>
      <c r="F72" s="35"/>
      <c r="G72" s="35"/>
      <c r="H72" s="35"/>
      <c r="I72" s="24"/>
      <c r="J72" s="35"/>
      <c r="K72" s="35"/>
      <c r="L72" s="35"/>
      <c r="M72" s="24"/>
      <c r="N72" s="24"/>
      <c r="O72" s="24"/>
      <c r="P72" s="24"/>
      <c r="Q72" s="24"/>
    </row>
    <row r="73" ht="15.75" customHeight="1">
      <c r="A73" s="24"/>
      <c r="B73" s="35"/>
      <c r="C73" s="35"/>
      <c r="D73" s="35"/>
      <c r="E73" s="24"/>
      <c r="F73" s="35"/>
      <c r="G73" s="35"/>
      <c r="H73" s="35"/>
      <c r="I73" s="24"/>
      <c r="J73" s="35"/>
      <c r="K73" s="35"/>
      <c r="L73" s="35"/>
      <c r="M73" s="24"/>
      <c r="N73" s="24"/>
      <c r="O73" s="24"/>
      <c r="P73" s="24"/>
      <c r="Q73" s="24"/>
    </row>
    <row r="74" ht="15.75" customHeight="1">
      <c r="A74" s="24"/>
      <c r="B74" s="35"/>
      <c r="C74" s="35"/>
      <c r="D74" s="35"/>
      <c r="E74" s="24"/>
      <c r="F74" s="35"/>
      <c r="G74" s="35"/>
      <c r="H74" s="35"/>
      <c r="I74" s="24"/>
      <c r="J74" s="35"/>
      <c r="K74" s="35"/>
      <c r="L74" s="35"/>
      <c r="M74" s="24"/>
      <c r="N74" s="24"/>
      <c r="O74" s="24"/>
      <c r="P74" s="24"/>
      <c r="Q74" s="24"/>
    </row>
    <row r="75" ht="15.75" customHeight="1">
      <c r="A75" s="24"/>
      <c r="B75" s="35"/>
      <c r="C75" s="35"/>
      <c r="D75" s="35"/>
      <c r="E75" s="24"/>
      <c r="F75" s="35"/>
      <c r="G75" s="35"/>
      <c r="H75" s="35"/>
      <c r="I75" s="24"/>
      <c r="J75" s="35"/>
      <c r="K75" s="35"/>
      <c r="L75" s="35"/>
      <c r="M75" s="24"/>
      <c r="N75" s="24"/>
      <c r="O75" s="24"/>
      <c r="P75" s="24"/>
      <c r="Q75" s="24"/>
    </row>
    <row r="76" ht="15.75" customHeight="1">
      <c r="A76" s="24"/>
      <c r="B76" s="35"/>
      <c r="C76" s="35"/>
      <c r="D76" s="35"/>
      <c r="E76" s="24"/>
      <c r="F76" s="35"/>
      <c r="G76" s="35"/>
      <c r="H76" s="35"/>
      <c r="I76" s="24"/>
      <c r="J76" s="35"/>
      <c r="K76" s="35"/>
      <c r="L76" s="35"/>
      <c r="M76" s="24"/>
      <c r="N76" s="24"/>
      <c r="O76" s="24"/>
      <c r="P76" s="24"/>
      <c r="Q76" s="24"/>
    </row>
    <row r="77" ht="15.75" customHeight="1">
      <c r="A77" s="24"/>
      <c r="B77" s="35"/>
      <c r="C77" s="35"/>
      <c r="D77" s="35"/>
      <c r="E77" s="24"/>
      <c r="F77" s="35"/>
      <c r="G77" s="35"/>
      <c r="H77" s="35"/>
      <c r="I77" s="24"/>
      <c r="J77" s="35"/>
      <c r="K77" s="35"/>
      <c r="L77" s="35"/>
      <c r="M77" s="24"/>
      <c r="N77" s="24"/>
      <c r="O77" s="24"/>
      <c r="P77" s="24"/>
      <c r="Q77" s="24"/>
    </row>
    <row r="78" ht="15.75" customHeight="1">
      <c r="A78" s="24"/>
      <c r="B78" s="35"/>
      <c r="C78" s="35"/>
      <c r="D78" s="35"/>
      <c r="E78" s="24"/>
      <c r="F78" s="35"/>
      <c r="G78" s="35"/>
      <c r="H78" s="35"/>
      <c r="I78" s="24"/>
      <c r="J78" s="35"/>
      <c r="K78" s="35"/>
      <c r="L78" s="35"/>
      <c r="M78" s="24"/>
      <c r="N78" s="24"/>
      <c r="O78" s="24"/>
      <c r="P78" s="24"/>
      <c r="Q78" s="24"/>
    </row>
    <row r="79" ht="15.75" customHeight="1">
      <c r="A79" s="24"/>
      <c r="B79" s="35"/>
      <c r="C79" s="35"/>
      <c r="D79" s="35"/>
      <c r="E79" s="24"/>
      <c r="F79" s="35"/>
      <c r="G79" s="35"/>
      <c r="H79" s="35"/>
      <c r="I79" s="24"/>
      <c r="J79" s="35"/>
      <c r="K79" s="35"/>
      <c r="L79" s="35"/>
      <c r="M79" s="24"/>
      <c r="N79" s="24"/>
      <c r="O79" s="24"/>
      <c r="P79" s="24"/>
      <c r="Q79" s="24"/>
    </row>
    <row r="80" ht="15.75" customHeight="1">
      <c r="A80" s="24"/>
      <c r="B80" s="35"/>
      <c r="C80" s="35"/>
      <c r="D80" s="35"/>
      <c r="E80" s="24"/>
      <c r="F80" s="35"/>
      <c r="G80" s="35"/>
      <c r="H80" s="35"/>
      <c r="I80" s="24"/>
      <c r="J80" s="35"/>
      <c r="K80" s="35"/>
      <c r="L80" s="35"/>
      <c r="M80" s="24"/>
      <c r="N80" s="24"/>
      <c r="O80" s="24"/>
      <c r="P80" s="24"/>
      <c r="Q80" s="24"/>
    </row>
    <row r="81" ht="15.75" customHeight="1">
      <c r="A81" s="24"/>
      <c r="B81" s="35"/>
      <c r="C81" s="35"/>
      <c r="D81" s="35"/>
      <c r="E81" s="24"/>
      <c r="F81" s="35"/>
      <c r="G81" s="35"/>
      <c r="H81" s="35"/>
      <c r="I81" s="24"/>
      <c r="J81" s="35"/>
      <c r="K81" s="35"/>
      <c r="L81" s="35"/>
      <c r="M81" s="24"/>
      <c r="N81" s="24"/>
      <c r="O81" s="24"/>
      <c r="P81" s="24"/>
      <c r="Q81" s="24"/>
    </row>
    <row r="82" ht="15.75" customHeight="1">
      <c r="A82" s="24"/>
      <c r="B82" s="35"/>
      <c r="C82" s="35"/>
      <c r="D82" s="35"/>
      <c r="E82" s="24"/>
      <c r="F82" s="35"/>
      <c r="G82" s="35"/>
      <c r="H82" s="35"/>
      <c r="I82" s="24"/>
      <c r="J82" s="35"/>
      <c r="K82" s="35"/>
      <c r="L82" s="35"/>
      <c r="M82" s="24"/>
      <c r="N82" s="24"/>
      <c r="O82" s="24"/>
      <c r="P82" s="24"/>
      <c r="Q82" s="24"/>
    </row>
    <row r="83" ht="15.75" customHeight="1">
      <c r="A83" s="24"/>
      <c r="B83" s="35"/>
      <c r="C83" s="35"/>
      <c r="D83" s="35"/>
      <c r="E83" s="24"/>
      <c r="F83" s="35"/>
      <c r="G83" s="35"/>
      <c r="H83" s="35"/>
      <c r="I83" s="24"/>
      <c r="J83" s="35"/>
      <c r="K83" s="35"/>
      <c r="L83" s="35"/>
      <c r="M83" s="24"/>
      <c r="N83" s="24"/>
      <c r="O83" s="24"/>
      <c r="P83" s="24"/>
      <c r="Q83" s="24"/>
    </row>
    <row r="84" ht="15.75" customHeight="1">
      <c r="A84" s="24"/>
      <c r="B84" s="35"/>
      <c r="C84" s="35"/>
      <c r="D84" s="35"/>
      <c r="E84" s="24"/>
      <c r="F84" s="35"/>
      <c r="G84" s="35"/>
      <c r="H84" s="35"/>
      <c r="I84" s="24"/>
      <c r="J84" s="35"/>
      <c r="K84" s="35"/>
      <c r="L84" s="35"/>
      <c r="M84" s="24"/>
      <c r="N84" s="24"/>
      <c r="O84" s="24"/>
      <c r="P84" s="24"/>
      <c r="Q84" s="24"/>
    </row>
    <row r="85" ht="15.75" customHeight="1">
      <c r="A85" s="24"/>
      <c r="B85" s="35"/>
      <c r="C85" s="35"/>
      <c r="D85" s="35"/>
      <c r="E85" s="24"/>
      <c r="F85" s="35"/>
      <c r="G85" s="35"/>
      <c r="H85" s="35"/>
      <c r="I85" s="24"/>
      <c r="J85" s="35"/>
      <c r="K85" s="35"/>
      <c r="L85" s="35"/>
      <c r="M85" s="24"/>
      <c r="N85" s="24"/>
      <c r="O85" s="24"/>
      <c r="P85" s="24"/>
      <c r="Q85" s="24"/>
    </row>
    <row r="86" ht="15.75" customHeight="1">
      <c r="A86" s="24"/>
      <c r="B86" s="35"/>
      <c r="C86" s="35"/>
      <c r="D86" s="35"/>
      <c r="E86" s="24"/>
      <c r="F86" s="35"/>
      <c r="G86" s="35"/>
      <c r="H86" s="35"/>
      <c r="I86" s="24"/>
      <c r="J86" s="35"/>
      <c r="K86" s="35"/>
      <c r="L86" s="35"/>
      <c r="M86" s="24"/>
      <c r="N86" s="24"/>
      <c r="O86" s="24"/>
      <c r="P86" s="24"/>
      <c r="Q86" s="24"/>
    </row>
    <row r="87" ht="15.75" customHeight="1">
      <c r="A87" s="24"/>
      <c r="B87" s="35"/>
      <c r="C87" s="35"/>
      <c r="D87" s="35"/>
      <c r="E87" s="24"/>
      <c r="F87" s="35"/>
      <c r="G87" s="35"/>
      <c r="H87" s="35"/>
      <c r="I87" s="24"/>
      <c r="J87" s="35"/>
      <c r="K87" s="35"/>
      <c r="L87" s="35"/>
      <c r="M87" s="24"/>
      <c r="N87" s="24"/>
      <c r="O87" s="24"/>
      <c r="P87" s="24"/>
      <c r="Q87" s="24"/>
    </row>
    <row r="88" ht="15.75" customHeight="1">
      <c r="A88" s="24"/>
      <c r="B88" s="35"/>
      <c r="C88" s="35"/>
      <c r="D88" s="35"/>
      <c r="E88" s="24"/>
      <c r="F88" s="35"/>
      <c r="G88" s="35"/>
      <c r="H88" s="35"/>
      <c r="I88" s="24"/>
      <c r="J88" s="35"/>
      <c r="K88" s="35"/>
      <c r="L88" s="35"/>
      <c r="M88" s="24"/>
      <c r="N88" s="24"/>
      <c r="O88" s="24"/>
      <c r="P88" s="24"/>
      <c r="Q88" s="24"/>
    </row>
    <row r="89" ht="15.75" customHeight="1">
      <c r="A89" s="24"/>
      <c r="B89" s="35"/>
      <c r="C89" s="35"/>
      <c r="D89" s="35"/>
      <c r="E89" s="24"/>
      <c r="F89" s="35"/>
      <c r="G89" s="35"/>
      <c r="H89" s="35"/>
      <c r="I89" s="24"/>
      <c r="J89" s="35"/>
      <c r="K89" s="35"/>
      <c r="L89" s="35"/>
      <c r="M89" s="24"/>
      <c r="N89" s="24"/>
      <c r="O89" s="24"/>
      <c r="P89" s="24"/>
      <c r="Q89" s="24"/>
    </row>
    <row r="90" ht="15.75" customHeight="1">
      <c r="A90" s="24"/>
      <c r="B90" s="35"/>
      <c r="C90" s="35"/>
      <c r="D90" s="35"/>
      <c r="E90" s="24"/>
      <c r="F90" s="35"/>
      <c r="G90" s="35"/>
      <c r="H90" s="35"/>
      <c r="I90" s="24"/>
      <c r="J90" s="35"/>
      <c r="K90" s="35"/>
      <c r="L90" s="35"/>
      <c r="M90" s="24"/>
      <c r="N90" s="24"/>
      <c r="O90" s="24"/>
      <c r="P90" s="24"/>
      <c r="Q90" s="24"/>
    </row>
    <row r="91" ht="15.75" customHeight="1">
      <c r="A91" s="24"/>
      <c r="B91" s="35"/>
      <c r="C91" s="35"/>
      <c r="D91" s="35"/>
      <c r="E91" s="24"/>
      <c r="F91" s="35"/>
      <c r="G91" s="35"/>
      <c r="H91" s="35"/>
      <c r="I91" s="24"/>
      <c r="J91" s="35"/>
      <c r="K91" s="35"/>
      <c r="L91" s="35"/>
      <c r="M91" s="24"/>
      <c r="N91" s="24"/>
      <c r="O91" s="24"/>
      <c r="P91" s="24"/>
      <c r="Q91" s="24"/>
    </row>
    <row r="92" ht="15.75" customHeight="1">
      <c r="A92" s="24"/>
      <c r="B92" s="35"/>
      <c r="C92" s="35"/>
      <c r="D92" s="35"/>
      <c r="E92" s="24"/>
      <c r="F92" s="35"/>
      <c r="G92" s="35"/>
      <c r="H92" s="35"/>
      <c r="I92" s="24"/>
      <c r="J92" s="35"/>
      <c r="K92" s="35"/>
      <c r="L92" s="35"/>
      <c r="M92" s="24"/>
      <c r="N92" s="24"/>
      <c r="O92" s="24"/>
      <c r="P92" s="24"/>
      <c r="Q92" s="24"/>
    </row>
    <row r="93" ht="15.75" customHeight="1">
      <c r="A93" s="24"/>
      <c r="B93" s="35"/>
      <c r="C93" s="35"/>
      <c r="D93" s="35"/>
      <c r="E93" s="24"/>
      <c r="F93" s="35"/>
      <c r="G93" s="35"/>
      <c r="H93" s="35"/>
      <c r="I93" s="24"/>
      <c r="J93" s="35"/>
      <c r="K93" s="35"/>
      <c r="L93" s="35"/>
      <c r="M93" s="24"/>
      <c r="N93" s="24"/>
      <c r="O93" s="24"/>
      <c r="P93" s="24"/>
      <c r="Q93" s="24"/>
    </row>
    <row r="94" ht="15.75" customHeight="1">
      <c r="A94" s="24"/>
      <c r="B94" s="35"/>
      <c r="C94" s="35"/>
      <c r="D94" s="35"/>
      <c r="E94" s="24"/>
      <c r="F94" s="35"/>
      <c r="G94" s="35"/>
      <c r="H94" s="35"/>
      <c r="I94" s="24"/>
      <c r="J94" s="35"/>
      <c r="K94" s="35"/>
      <c r="L94" s="35"/>
      <c r="M94" s="24"/>
      <c r="N94" s="24"/>
      <c r="O94" s="24"/>
      <c r="P94" s="24"/>
      <c r="Q94" s="24"/>
    </row>
    <row r="95" ht="15.75" customHeight="1">
      <c r="A95" s="24"/>
      <c r="B95" s="35"/>
      <c r="C95" s="35"/>
      <c r="D95" s="35"/>
      <c r="E95" s="24"/>
      <c r="F95" s="35"/>
      <c r="G95" s="35"/>
      <c r="H95" s="35"/>
      <c r="I95" s="24"/>
      <c r="J95" s="35"/>
      <c r="K95" s="35"/>
      <c r="L95" s="35"/>
      <c r="M95" s="24"/>
      <c r="N95" s="24"/>
      <c r="O95" s="24"/>
      <c r="P95" s="24"/>
      <c r="Q95" s="24"/>
    </row>
    <row r="96" ht="15.75" customHeight="1">
      <c r="A96" s="24"/>
      <c r="B96" s="35"/>
      <c r="C96" s="35"/>
      <c r="D96" s="35"/>
      <c r="E96" s="24"/>
      <c r="F96" s="35"/>
      <c r="G96" s="35"/>
      <c r="H96" s="35"/>
      <c r="I96" s="24"/>
      <c r="J96" s="35"/>
      <c r="K96" s="35"/>
      <c r="L96" s="35"/>
      <c r="M96" s="24"/>
      <c r="N96" s="24"/>
      <c r="O96" s="24"/>
      <c r="P96" s="24"/>
      <c r="Q96" s="24"/>
    </row>
    <row r="97" ht="15.75" customHeight="1">
      <c r="A97" s="24"/>
      <c r="B97" s="35"/>
      <c r="C97" s="35"/>
      <c r="D97" s="35"/>
      <c r="E97" s="24"/>
      <c r="F97" s="35"/>
      <c r="G97" s="35"/>
      <c r="H97" s="35"/>
      <c r="I97" s="24"/>
      <c r="J97" s="35"/>
      <c r="K97" s="35"/>
      <c r="L97" s="35"/>
      <c r="M97" s="24"/>
      <c r="N97" s="24"/>
      <c r="O97" s="24"/>
      <c r="P97" s="24"/>
      <c r="Q97" s="24"/>
    </row>
    <row r="98" ht="15.75" customHeight="1">
      <c r="A98" s="24"/>
      <c r="B98" s="35"/>
      <c r="C98" s="35"/>
      <c r="D98" s="35"/>
      <c r="E98" s="24"/>
      <c r="F98" s="35"/>
      <c r="G98" s="35"/>
      <c r="H98" s="35"/>
      <c r="I98" s="24"/>
      <c r="J98" s="35"/>
      <c r="K98" s="35"/>
      <c r="L98" s="35"/>
      <c r="M98" s="24"/>
      <c r="N98" s="24"/>
      <c r="O98" s="24"/>
      <c r="P98" s="24"/>
      <c r="Q98" s="24"/>
    </row>
    <row r="99" ht="15.75" customHeight="1">
      <c r="A99" s="24"/>
      <c r="B99" s="35"/>
      <c r="C99" s="35"/>
      <c r="D99" s="35"/>
      <c r="E99" s="24"/>
      <c r="F99" s="35"/>
      <c r="G99" s="35"/>
      <c r="H99" s="35"/>
      <c r="I99" s="24"/>
      <c r="J99" s="35"/>
      <c r="K99" s="35"/>
      <c r="L99" s="35"/>
      <c r="M99" s="24"/>
      <c r="N99" s="24"/>
      <c r="O99" s="24"/>
      <c r="P99" s="24"/>
      <c r="Q99" s="24"/>
    </row>
    <row r="100" ht="15.75" customHeight="1">
      <c r="A100" s="24"/>
      <c r="B100" s="35"/>
      <c r="C100" s="35"/>
      <c r="D100" s="35"/>
      <c r="E100" s="24"/>
      <c r="F100" s="35"/>
      <c r="G100" s="35"/>
      <c r="H100" s="35"/>
      <c r="I100" s="24"/>
      <c r="J100" s="35"/>
      <c r="K100" s="35"/>
      <c r="L100" s="35"/>
      <c r="M100" s="24"/>
      <c r="N100" s="24"/>
      <c r="O100" s="24"/>
      <c r="P100" s="24"/>
      <c r="Q100" s="24"/>
    </row>
    <row r="101" ht="15.75" customHeight="1">
      <c r="A101" s="24"/>
      <c r="B101" s="35"/>
      <c r="C101" s="35"/>
      <c r="D101" s="35"/>
      <c r="E101" s="24"/>
      <c r="F101" s="35"/>
      <c r="G101" s="35"/>
      <c r="H101" s="35"/>
      <c r="I101" s="24"/>
      <c r="J101" s="35"/>
      <c r="K101" s="35"/>
      <c r="L101" s="35"/>
      <c r="M101" s="24"/>
      <c r="N101" s="24"/>
      <c r="O101" s="24"/>
      <c r="P101" s="24"/>
      <c r="Q101" s="24"/>
    </row>
    <row r="102" ht="15.75" customHeight="1">
      <c r="A102" s="24"/>
      <c r="B102" s="35"/>
      <c r="C102" s="35"/>
      <c r="D102" s="35"/>
      <c r="E102" s="24"/>
      <c r="F102" s="35"/>
      <c r="G102" s="35"/>
      <c r="H102" s="35"/>
      <c r="I102" s="24"/>
      <c r="J102" s="35"/>
      <c r="K102" s="35"/>
      <c r="L102" s="35"/>
      <c r="M102" s="24"/>
      <c r="N102" s="24"/>
      <c r="O102" s="24"/>
      <c r="P102" s="24"/>
      <c r="Q102" s="24"/>
    </row>
    <row r="103" ht="15.75" customHeight="1">
      <c r="A103" s="24"/>
      <c r="B103" s="35"/>
      <c r="C103" s="35"/>
      <c r="D103" s="35"/>
      <c r="E103" s="24"/>
      <c r="F103" s="35"/>
      <c r="G103" s="35"/>
      <c r="H103" s="35"/>
      <c r="I103" s="24"/>
      <c r="J103" s="35"/>
      <c r="K103" s="35"/>
      <c r="L103" s="35"/>
      <c r="M103" s="24"/>
      <c r="N103" s="24"/>
      <c r="O103" s="24"/>
      <c r="P103" s="24"/>
      <c r="Q103" s="24"/>
    </row>
    <row r="104" ht="15.75" customHeight="1">
      <c r="A104" s="24"/>
      <c r="B104" s="35"/>
      <c r="C104" s="35"/>
      <c r="D104" s="35"/>
      <c r="E104" s="24"/>
      <c r="F104" s="35"/>
      <c r="G104" s="35"/>
      <c r="H104" s="35"/>
      <c r="I104" s="24"/>
      <c r="J104" s="35"/>
      <c r="K104" s="35"/>
      <c r="L104" s="35"/>
      <c r="M104" s="24"/>
      <c r="N104" s="24"/>
      <c r="O104" s="24"/>
      <c r="P104" s="24"/>
      <c r="Q104" s="24"/>
    </row>
    <row r="105" ht="15.75" customHeight="1">
      <c r="A105" s="24"/>
      <c r="B105" s="35"/>
      <c r="C105" s="35"/>
      <c r="D105" s="35"/>
      <c r="E105" s="24"/>
      <c r="F105" s="35"/>
      <c r="G105" s="35"/>
      <c r="H105" s="35"/>
      <c r="I105" s="24"/>
      <c r="J105" s="35"/>
      <c r="K105" s="35"/>
      <c r="L105" s="35"/>
      <c r="M105" s="24"/>
      <c r="N105" s="24"/>
      <c r="O105" s="24"/>
      <c r="P105" s="24"/>
      <c r="Q105" s="24"/>
    </row>
    <row r="106" ht="15.75" customHeight="1">
      <c r="A106" s="24"/>
      <c r="B106" s="35"/>
      <c r="C106" s="35"/>
      <c r="D106" s="35"/>
      <c r="E106" s="24"/>
      <c r="F106" s="35"/>
      <c r="G106" s="35"/>
      <c r="H106" s="35"/>
      <c r="I106" s="24"/>
      <c r="J106" s="35"/>
      <c r="K106" s="35"/>
      <c r="L106" s="35"/>
      <c r="M106" s="24"/>
      <c r="N106" s="24"/>
      <c r="O106" s="24"/>
      <c r="P106" s="24"/>
      <c r="Q106" s="24"/>
    </row>
    <row r="107" ht="15.75" customHeight="1">
      <c r="A107" s="24"/>
      <c r="B107" s="35"/>
      <c r="C107" s="35"/>
      <c r="D107" s="35"/>
      <c r="E107" s="24"/>
      <c r="F107" s="35"/>
      <c r="G107" s="35"/>
      <c r="H107" s="35"/>
      <c r="I107" s="24"/>
      <c r="J107" s="35"/>
      <c r="K107" s="35"/>
      <c r="L107" s="35"/>
      <c r="M107" s="24"/>
      <c r="N107" s="24"/>
      <c r="O107" s="24"/>
      <c r="P107" s="24"/>
      <c r="Q107" s="24"/>
    </row>
    <row r="108" ht="15.75" customHeight="1">
      <c r="A108" s="24"/>
      <c r="B108" s="35"/>
      <c r="C108" s="35"/>
      <c r="D108" s="35"/>
      <c r="E108" s="24"/>
      <c r="F108" s="35"/>
      <c r="G108" s="35"/>
      <c r="H108" s="35"/>
      <c r="I108" s="24"/>
      <c r="J108" s="35"/>
      <c r="K108" s="35"/>
      <c r="L108" s="35"/>
      <c r="M108" s="24"/>
      <c r="N108" s="24"/>
      <c r="O108" s="24"/>
      <c r="P108" s="24"/>
      <c r="Q108" s="24"/>
    </row>
    <row r="109" ht="15.75" customHeight="1">
      <c r="A109" s="24"/>
      <c r="B109" s="35"/>
      <c r="C109" s="35"/>
      <c r="D109" s="35"/>
      <c r="E109" s="24"/>
      <c r="F109" s="35"/>
      <c r="G109" s="35"/>
      <c r="H109" s="35"/>
      <c r="I109" s="24"/>
      <c r="J109" s="35"/>
      <c r="K109" s="35"/>
      <c r="L109" s="35"/>
      <c r="M109" s="24"/>
      <c r="N109" s="24"/>
      <c r="O109" s="24"/>
      <c r="P109" s="24"/>
      <c r="Q109" s="24"/>
    </row>
    <row r="110" ht="15.75" customHeight="1">
      <c r="A110" s="24"/>
      <c r="B110" s="35"/>
      <c r="C110" s="35"/>
      <c r="D110" s="35"/>
      <c r="E110" s="24"/>
      <c r="F110" s="35"/>
      <c r="G110" s="35"/>
      <c r="H110" s="35"/>
      <c r="I110" s="24"/>
      <c r="J110" s="35"/>
      <c r="K110" s="35"/>
      <c r="L110" s="35"/>
      <c r="M110" s="24"/>
      <c r="N110" s="24"/>
      <c r="O110" s="24"/>
      <c r="P110" s="24"/>
      <c r="Q110" s="24"/>
    </row>
    <row r="111" ht="15.75" customHeight="1">
      <c r="A111" s="24"/>
      <c r="B111" s="35"/>
      <c r="C111" s="35"/>
      <c r="D111" s="35"/>
      <c r="E111" s="24"/>
      <c r="F111" s="35"/>
      <c r="G111" s="35"/>
      <c r="H111" s="35"/>
      <c r="I111" s="24"/>
      <c r="J111" s="35"/>
      <c r="K111" s="35"/>
      <c r="L111" s="35"/>
      <c r="M111" s="24"/>
      <c r="N111" s="24"/>
      <c r="O111" s="24"/>
      <c r="P111" s="24"/>
      <c r="Q111" s="24"/>
    </row>
    <row r="112" ht="15.75" customHeight="1">
      <c r="A112" s="24"/>
      <c r="B112" s="35"/>
      <c r="C112" s="35"/>
      <c r="D112" s="35"/>
      <c r="E112" s="24"/>
      <c r="F112" s="35"/>
      <c r="G112" s="35"/>
      <c r="H112" s="35"/>
      <c r="I112" s="24"/>
      <c r="J112" s="35"/>
      <c r="K112" s="35"/>
      <c r="L112" s="35"/>
      <c r="M112" s="24"/>
      <c r="N112" s="24"/>
      <c r="O112" s="24"/>
      <c r="P112" s="24"/>
      <c r="Q112" s="24"/>
    </row>
    <row r="113" ht="15.75" customHeight="1">
      <c r="A113" s="24"/>
      <c r="B113" s="35"/>
      <c r="C113" s="35"/>
      <c r="D113" s="35"/>
      <c r="E113" s="24"/>
      <c r="F113" s="35"/>
      <c r="G113" s="35"/>
      <c r="H113" s="35"/>
      <c r="I113" s="24"/>
      <c r="J113" s="35"/>
      <c r="K113" s="35"/>
      <c r="L113" s="35"/>
      <c r="M113" s="24"/>
      <c r="N113" s="24"/>
      <c r="O113" s="24"/>
      <c r="P113" s="24"/>
      <c r="Q113" s="24"/>
    </row>
    <row r="114" ht="15.75" customHeight="1">
      <c r="A114" s="24"/>
      <c r="B114" s="35"/>
      <c r="C114" s="35"/>
      <c r="D114" s="35"/>
      <c r="E114" s="24"/>
      <c r="F114" s="35"/>
      <c r="G114" s="35"/>
      <c r="H114" s="35"/>
      <c r="I114" s="24"/>
      <c r="J114" s="35"/>
      <c r="K114" s="35"/>
      <c r="L114" s="35"/>
      <c r="M114" s="24"/>
      <c r="N114" s="24"/>
      <c r="O114" s="24"/>
      <c r="P114" s="24"/>
      <c r="Q114" s="24"/>
    </row>
    <row r="115" ht="15.75" customHeight="1">
      <c r="A115" s="24"/>
      <c r="B115" s="35"/>
      <c r="C115" s="35"/>
      <c r="D115" s="35"/>
      <c r="E115" s="24"/>
      <c r="F115" s="35"/>
      <c r="G115" s="35"/>
      <c r="H115" s="35"/>
      <c r="I115" s="24"/>
      <c r="J115" s="35"/>
      <c r="K115" s="35"/>
      <c r="L115" s="35"/>
      <c r="M115" s="24"/>
      <c r="N115" s="24"/>
      <c r="O115" s="24"/>
      <c r="P115" s="24"/>
      <c r="Q115" s="24"/>
    </row>
    <row r="116" ht="15.75" customHeight="1">
      <c r="A116" s="24"/>
      <c r="B116" s="35"/>
      <c r="C116" s="35"/>
      <c r="D116" s="35"/>
      <c r="E116" s="24"/>
      <c r="F116" s="35"/>
      <c r="G116" s="35"/>
      <c r="H116" s="35"/>
      <c r="I116" s="24"/>
      <c r="J116" s="35"/>
      <c r="K116" s="35"/>
      <c r="L116" s="35"/>
      <c r="M116" s="24"/>
      <c r="N116" s="24"/>
      <c r="O116" s="24"/>
      <c r="P116" s="24"/>
      <c r="Q116" s="24"/>
    </row>
    <row r="117" ht="15.75" customHeight="1">
      <c r="A117" s="24"/>
      <c r="B117" s="35"/>
      <c r="C117" s="35"/>
      <c r="D117" s="35"/>
      <c r="E117" s="24"/>
      <c r="F117" s="35"/>
      <c r="G117" s="35"/>
      <c r="H117" s="35"/>
      <c r="I117" s="24"/>
      <c r="J117" s="35"/>
      <c r="K117" s="35"/>
      <c r="L117" s="35"/>
      <c r="M117" s="24"/>
      <c r="N117" s="24"/>
      <c r="O117" s="24"/>
      <c r="P117" s="24"/>
      <c r="Q117" s="24"/>
    </row>
    <row r="118" ht="15.75" customHeight="1">
      <c r="A118" s="24"/>
      <c r="B118" s="35"/>
      <c r="C118" s="35"/>
      <c r="D118" s="35"/>
      <c r="E118" s="24"/>
      <c r="F118" s="35"/>
      <c r="G118" s="35"/>
      <c r="H118" s="35"/>
      <c r="I118" s="24"/>
      <c r="J118" s="35"/>
      <c r="K118" s="35"/>
      <c r="L118" s="35"/>
      <c r="M118" s="24"/>
      <c r="N118" s="24"/>
      <c r="O118" s="24"/>
      <c r="P118" s="24"/>
      <c r="Q118" s="24"/>
    </row>
    <row r="119" ht="15.75" customHeight="1">
      <c r="A119" s="24"/>
      <c r="B119" s="35"/>
      <c r="C119" s="35"/>
      <c r="D119" s="35"/>
      <c r="E119" s="24"/>
      <c r="F119" s="35"/>
      <c r="G119" s="35"/>
      <c r="H119" s="35"/>
      <c r="I119" s="24"/>
      <c r="J119" s="35"/>
      <c r="K119" s="35"/>
      <c r="L119" s="35"/>
      <c r="M119" s="24"/>
      <c r="N119" s="24"/>
      <c r="O119" s="24"/>
      <c r="P119" s="24"/>
      <c r="Q119" s="24"/>
    </row>
    <row r="120" ht="15.75" customHeight="1">
      <c r="A120" s="24"/>
      <c r="B120" s="35"/>
      <c r="C120" s="35"/>
      <c r="D120" s="35"/>
      <c r="E120" s="24"/>
      <c r="F120" s="35"/>
      <c r="G120" s="35"/>
      <c r="H120" s="35"/>
      <c r="I120" s="24"/>
      <c r="J120" s="35"/>
      <c r="K120" s="35"/>
      <c r="L120" s="35"/>
      <c r="M120" s="24"/>
      <c r="N120" s="24"/>
      <c r="O120" s="24"/>
      <c r="P120" s="24"/>
      <c r="Q120" s="24"/>
    </row>
    <row r="121" ht="15.75" customHeight="1">
      <c r="A121" s="24"/>
      <c r="B121" s="35"/>
      <c r="C121" s="35"/>
      <c r="D121" s="35"/>
      <c r="E121" s="24"/>
      <c r="F121" s="35"/>
      <c r="G121" s="35"/>
      <c r="H121" s="35"/>
      <c r="I121" s="24"/>
      <c r="J121" s="35"/>
      <c r="K121" s="35"/>
      <c r="L121" s="35"/>
      <c r="M121" s="24"/>
      <c r="N121" s="24"/>
      <c r="O121" s="24"/>
      <c r="P121" s="24"/>
      <c r="Q121" s="24"/>
    </row>
    <row r="122" ht="15.75" customHeight="1">
      <c r="A122" s="24"/>
      <c r="B122" s="35"/>
      <c r="C122" s="35"/>
      <c r="D122" s="35"/>
      <c r="E122" s="24"/>
      <c r="F122" s="35"/>
      <c r="G122" s="35"/>
      <c r="H122" s="35"/>
      <c r="I122" s="24"/>
      <c r="J122" s="35"/>
      <c r="K122" s="35"/>
      <c r="L122" s="35"/>
      <c r="M122" s="24"/>
      <c r="N122" s="24"/>
      <c r="O122" s="24"/>
      <c r="P122" s="24"/>
      <c r="Q122" s="24"/>
    </row>
    <row r="123" ht="15.75" customHeight="1">
      <c r="A123" s="24"/>
      <c r="B123" s="35"/>
      <c r="C123" s="35"/>
      <c r="D123" s="35"/>
      <c r="E123" s="24"/>
      <c r="F123" s="35"/>
      <c r="G123" s="35"/>
      <c r="H123" s="35"/>
      <c r="I123" s="24"/>
      <c r="J123" s="35"/>
      <c r="K123" s="35"/>
      <c r="L123" s="35"/>
      <c r="M123" s="24"/>
      <c r="N123" s="24"/>
      <c r="O123" s="24"/>
      <c r="P123" s="24"/>
      <c r="Q123" s="24"/>
    </row>
    <row r="124" ht="15.75" customHeight="1">
      <c r="A124" s="24"/>
      <c r="B124" s="35"/>
      <c r="C124" s="35"/>
      <c r="D124" s="35"/>
      <c r="E124" s="24"/>
      <c r="F124" s="35"/>
      <c r="G124" s="35"/>
      <c r="H124" s="35"/>
      <c r="I124" s="24"/>
      <c r="J124" s="35"/>
      <c r="K124" s="35"/>
      <c r="L124" s="35"/>
      <c r="M124" s="24"/>
      <c r="N124" s="24"/>
      <c r="O124" s="24"/>
      <c r="P124" s="24"/>
      <c r="Q124" s="24"/>
    </row>
    <row r="125" ht="15.75" customHeight="1">
      <c r="A125" s="24"/>
      <c r="B125" s="35"/>
      <c r="C125" s="35"/>
      <c r="D125" s="35"/>
      <c r="E125" s="24"/>
      <c r="F125" s="35"/>
      <c r="G125" s="35"/>
      <c r="H125" s="35"/>
      <c r="I125" s="24"/>
      <c r="J125" s="35"/>
      <c r="K125" s="35"/>
      <c r="L125" s="35"/>
      <c r="M125" s="24"/>
      <c r="N125" s="24"/>
      <c r="O125" s="24"/>
      <c r="P125" s="24"/>
      <c r="Q125" s="24"/>
    </row>
    <row r="126" ht="15.75" customHeight="1">
      <c r="A126" s="24"/>
      <c r="B126" s="35"/>
      <c r="C126" s="35"/>
      <c r="D126" s="35"/>
      <c r="E126" s="24"/>
      <c r="F126" s="35"/>
      <c r="G126" s="35"/>
      <c r="H126" s="35"/>
      <c r="I126" s="24"/>
      <c r="J126" s="35"/>
      <c r="K126" s="35"/>
      <c r="L126" s="35"/>
      <c r="M126" s="24"/>
      <c r="N126" s="24"/>
      <c r="O126" s="24"/>
      <c r="P126" s="24"/>
      <c r="Q126" s="24"/>
    </row>
    <row r="127" ht="15.75" customHeight="1">
      <c r="A127" s="24"/>
      <c r="B127" s="35"/>
      <c r="C127" s="35"/>
      <c r="D127" s="35"/>
      <c r="E127" s="24"/>
      <c r="F127" s="35"/>
      <c r="G127" s="35"/>
      <c r="H127" s="35"/>
      <c r="I127" s="24"/>
      <c r="J127" s="35"/>
      <c r="K127" s="35"/>
      <c r="L127" s="35"/>
      <c r="M127" s="24"/>
      <c r="N127" s="24"/>
      <c r="O127" s="24"/>
      <c r="P127" s="24"/>
      <c r="Q127" s="24"/>
    </row>
    <row r="128" ht="15.75" customHeight="1">
      <c r="A128" s="24"/>
      <c r="B128" s="35"/>
      <c r="C128" s="35"/>
      <c r="D128" s="35"/>
      <c r="E128" s="24"/>
      <c r="F128" s="35"/>
      <c r="G128" s="35"/>
      <c r="H128" s="35"/>
      <c r="I128" s="24"/>
      <c r="J128" s="35"/>
      <c r="K128" s="35"/>
      <c r="L128" s="35"/>
      <c r="M128" s="24"/>
      <c r="N128" s="24"/>
      <c r="O128" s="24"/>
      <c r="P128" s="24"/>
      <c r="Q128" s="24"/>
    </row>
    <row r="129" ht="15.75" customHeight="1">
      <c r="A129" s="24"/>
      <c r="B129" s="35"/>
      <c r="C129" s="35"/>
      <c r="D129" s="35"/>
      <c r="E129" s="24"/>
      <c r="F129" s="35"/>
      <c r="G129" s="35"/>
      <c r="H129" s="35"/>
      <c r="I129" s="24"/>
      <c r="J129" s="35"/>
      <c r="K129" s="35"/>
      <c r="L129" s="35"/>
      <c r="M129" s="24"/>
      <c r="N129" s="24"/>
      <c r="O129" s="24"/>
      <c r="P129" s="24"/>
      <c r="Q129" s="24"/>
    </row>
    <row r="130" ht="15.75" customHeight="1">
      <c r="A130" s="24"/>
      <c r="B130" s="35"/>
      <c r="C130" s="35"/>
      <c r="D130" s="35"/>
      <c r="E130" s="24"/>
      <c r="F130" s="35"/>
      <c r="G130" s="35"/>
      <c r="H130" s="35"/>
      <c r="I130" s="24"/>
      <c r="J130" s="35"/>
      <c r="K130" s="35"/>
      <c r="L130" s="35"/>
      <c r="M130" s="24"/>
      <c r="N130" s="24"/>
      <c r="O130" s="24"/>
      <c r="P130" s="24"/>
      <c r="Q130" s="24"/>
    </row>
    <row r="131" ht="15.75" customHeight="1">
      <c r="A131" s="24"/>
      <c r="B131" s="35"/>
      <c r="C131" s="35"/>
      <c r="D131" s="35"/>
      <c r="E131" s="24"/>
      <c r="F131" s="35"/>
      <c r="G131" s="35"/>
      <c r="H131" s="35"/>
      <c r="I131" s="24"/>
      <c r="J131" s="35"/>
      <c r="K131" s="35"/>
      <c r="L131" s="35"/>
      <c r="M131" s="24"/>
      <c r="N131" s="24"/>
      <c r="O131" s="24"/>
      <c r="P131" s="24"/>
      <c r="Q131" s="24"/>
    </row>
    <row r="132" ht="15.75" customHeight="1">
      <c r="A132" s="24"/>
      <c r="B132" s="35"/>
      <c r="C132" s="35"/>
      <c r="D132" s="35"/>
      <c r="E132" s="24"/>
      <c r="F132" s="35"/>
      <c r="G132" s="35"/>
      <c r="H132" s="35"/>
      <c r="I132" s="24"/>
      <c r="J132" s="35"/>
      <c r="K132" s="35"/>
      <c r="L132" s="35"/>
      <c r="M132" s="24"/>
      <c r="N132" s="24"/>
      <c r="O132" s="24"/>
      <c r="P132" s="24"/>
      <c r="Q132" s="24"/>
    </row>
    <row r="133" ht="15.75" customHeight="1">
      <c r="A133" s="24"/>
      <c r="B133" s="35"/>
      <c r="C133" s="35"/>
      <c r="D133" s="35"/>
      <c r="E133" s="24"/>
      <c r="F133" s="35"/>
      <c r="G133" s="35"/>
      <c r="H133" s="35"/>
      <c r="I133" s="24"/>
      <c r="J133" s="35"/>
      <c r="K133" s="35"/>
      <c r="L133" s="35"/>
      <c r="M133" s="24"/>
      <c r="N133" s="24"/>
      <c r="O133" s="24"/>
      <c r="P133" s="24"/>
      <c r="Q133" s="24"/>
    </row>
    <row r="134" ht="15.75" customHeight="1">
      <c r="A134" s="24"/>
      <c r="B134" s="35"/>
      <c r="C134" s="35"/>
      <c r="D134" s="35"/>
      <c r="E134" s="24"/>
      <c r="F134" s="35"/>
      <c r="G134" s="35"/>
      <c r="H134" s="35"/>
      <c r="I134" s="24"/>
      <c r="J134" s="35"/>
      <c r="K134" s="35"/>
      <c r="L134" s="35"/>
      <c r="M134" s="24"/>
      <c r="N134" s="24"/>
      <c r="O134" s="24"/>
      <c r="P134" s="24"/>
      <c r="Q134" s="24"/>
    </row>
    <row r="135" ht="15.75" customHeight="1">
      <c r="A135" s="24"/>
      <c r="B135" s="35"/>
      <c r="C135" s="35"/>
      <c r="D135" s="35"/>
      <c r="E135" s="24"/>
      <c r="F135" s="35"/>
      <c r="G135" s="35"/>
      <c r="H135" s="35"/>
      <c r="I135" s="24"/>
      <c r="J135" s="35"/>
      <c r="K135" s="35"/>
      <c r="L135" s="35"/>
      <c r="M135" s="24"/>
      <c r="N135" s="24"/>
      <c r="O135" s="24"/>
      <c r="P135" s="24"/>
      <c r="Q135" s="24"/>
    </row>
    <row r="136" ht="15.75" customHeight="1">
      <c r="A136" s="24"/>
      <c r="B136" s="35"/>
      <c r="C136" s="35"/>
      <c r="D136" s="35"/>
      <c r="E136" s="24"/>
      <c r="F136" s="35"/>
      <c r="G136" s="35"/>
      <c r="H136" s="35"/>
      <c r="I136" s="24"/>
      <c r="J136" s="35"/>
      <c r="K136" s="35"/>
      <c r="L136" s="35"/>
      <c r="M136" s="24"/>
      <c r="N136" s="24"/>
      <c r="O136" s="24"/>
      <c r="P136" s="24"/>
      <c r="Q136" s="24"/>
    </row>
    <row r="137" ht="15.75" customHeight="1">
      <c r="A137" s="24"/>
      <c r="B137" s="35"/>
      <c r="C137" s="35"/>
      <c r="D137" s="35"/>
      <c r="E137" s="24"/>
      <c r="F137" s="35"/>
      <c r="G137" s="35"/>
      <c r="H137" s="35"/>
      <c r="I137" s="24"/>
      <c r="J137" s="35"/>
      <c r="K137" s="35"/>
      <c r="L137" s="35"/>
      <c r="M137" s="24"/>
      <c r="N137" s="24"/>
      <c r="O137" s="24"/>
      <c r="P137" s="24"/>
      <c r="Q137" s="24"/>
    </row>
    <row r="138" ht="15.75" customHeight="1">
      <c r="A138" s="24"/>
      <c r="B138" s="35"/>
      <c r="C138" s="35"/>
      <c r="D138" s="35"/>
      <c r="E138" s="24"/>
      <c r="F138" s="35"/>
      <c r="G138" s="35"/>
      <c r="H138" s="35"/>
      <c r="I138" s="24"/>
      <c r="J138" s="35"/>
      <c r="K138" s="35"/>
      <c r="L138" s="35"/>
      <c r="M138" s="24"/>
      <c r="N138" s="24"/>
      <c r="O138" s="24"/>
      <c r="P138" s="24"/>
      <c r="Q138" s="24"/>
    </row>
    <row r="139" ht="15.75" customHeight="1">
      <c r="A139" s="24"/>
      <c r="B139" s="35"/>
      <c r="C139" s="35"/>
      <c r="D139" s="35"/>
      <c r="E139" s="24"/>
      <c r="F139" s="35"/>
      <c r="G139" s="35"/>
      <c r="H139" s="35"/>
      <c r="I139" s="24"/>
      <c r="J139" s="35"/>
      <c r="K139" s="35"/>
      <c r="L139" s="35"/>
      <c r="M139" s="24"/>
      <c r="N139" s="24"/>
      <c r="O139" s="24"/>
      <c r="P139" s="24"/>
      <c r="Q139" s="24"/>
    </row>
    <row r="140" ht="15.75" customHeight="1">
      <c r="A140" s="24"/>
      <c r="B140" s="35"/>
      <c r="C140" s="35"/>
      <c r="D140" s="35"/>
      <c r="E140" s="24"/>
      <c r="F140" s="35"/>
      <c r="G140" s="35"/>
      <c r="H140" s="35"/>
      <c r="I140" s="24"/>
      <c r="J140" s="35"/>
      <c r="K140" s="35"/>
      <c r="L140" s="35"/>
      <c r="M140" s="24"/>
      <c r="N140" s="24"/>
      <c r="O140" s="24"/>
      <c r="P140" s="24"/>
      <c r="Q140" s="24"/>
    </row>
    <row r="141" ht="15.75" customHeight="1">
      <c r="A141" s="24"/>
      <c r="B141" s="35"/>
      <c r="C141" s="35"/>
      <c r="D141" s="35"/>
      <c r="E141" s="24"/>
      <c r="F141" s="35"/>
      <c r="G141" s="35"/>
      <c r="H141" s="35"/>
      <c r="I141" s="24"/>
      <c r="J141" s="35"/>
      <c r="K141" s="35"/>
      <c r="L141" s="35"/>
      <c r="M141" s="24"/>
      <c r="N141" s="24"/>
      <c r="O141" s="24"/>
      <c r="P141" s="24"/>
      <c r="Q141" s="24"/>
    </row>
    <row r="142" ht="15.75" customHeight="1">
      <c r="A142" s="24"/>
      <c r="B142" s="35"/>
      <c r="C142" s="35"/>
      <c r="D142" s="35"/>
      <c r="E142" s="24"/>
      <c r="F142" s="35"/>
      <c r="G142" s="35"/>
      <c r="H142" s="35"/>
      <c r="I142" s="24"/>
      <c r="J142" s="35"/>
      <c r="K142" s="35"/>
      <c r="L142" s="35"/>
      <c r="M142" s="24"/>
      <c r="N142" s="24"/>
      <c r="O142" s="24"/>
      <c r="P142" s="24"/>
      <c r="Q142" s="24"/>
    </row>
    <row r="143" ht="15.75" customHeight="1">
      <c r="A143" s="24"/>
      <c r="B143" s="35"/>
      <c r="C143" s="35"/>
      <c r="D143" s="35"/>
      <c r="E143" s="24"/>
      <c r="F143" s="35"/>
      <c r="G143" s="35"/>
      <c r="H143" s="35"/>
      <c r="I143" s="24"/>
      <c r="J143" s="35"/>
      <c r="K143" s="35"/>
      <c r="L143" s="35"/>
      <c r="M143" s="24"/>
      <c r="N143" s="24"/>
      <c r="O143" s="24"/>
      <c r="P143" s="24"/>
      <c r="Q143" s="24"/>
    </row>
    <row r="144" ht="15.75" customHeight="1">
      <c r="A144" s="24"/>
      <c r="B144" s="35"/>
      <c r="C144" s="35"/>
      <c r="D144" s="35"/>
      <c r="E144" s="24"/>
      <c r="F144" s="35"/>
      <c r="G144" s="35"/>
      <c r="H144" s="35"/>
      <c r="I144" s="24"/>
      <c r="J144" s="35"/>
      <c r="K144" s="35"/>
      <c r="L144" s="35"/>
      <c r="M144" s="24"/>
      <c r="N144" s="24"/>
      <c r="O144" s="24"/>
      <c r="P144" s="24"/>
      <c r="Q144" s="24"/>
    </row>
    <row r="145" ht="15.75" customHeight="1">
      <c r="A145" s="24"/>
      <c r="B145" s="35"/>
      <c r="C145" s="35"/>
      <c r="D145" s="35"/>
      <c r="E145" s="24"/>
      <c r="F145" s="35"/>
      <c r="G145" s="35"/>
      <c r="H145" s="35"/>
      <c r="I145" s="24"/>
      <c r="J145" s="35"/>
      <c r="K145" s="35"/>
      <c r="L145" s="35"/>
      <c r="M145" s="24"/>
      <c r="N145" s="24"/>
      <c r="O145" s="24"/>
      <c r="P145" s="24"/>
      <c r="Q145" s="24"/>
    </row>
    <row r="146" ht="15.75" customHeight="1">
      <c r="A146" s="24"/>
      <c r="B146" s="35"/>
      <c r="C146" s="35"/>
      <c r="D146" s="35"/>
      <c r="E146" s="24"/>
      <c r="F146" s="35"/>
      <c r="G146" s="35"/>
      <c r="H146" s="35"/>
      <c r="I146" s="24"/>
      <c r="J146" s="35"/>
      <c r="K146" s="35"/>
      <c r="L146" s="35"/>
      <c r="M146" s="24"/>
      <c r="N146" s="24"/>
      <c r="O146" s="24"/>
      <c r="P146" s="24"/>
      <c r="Q146" s="24"/>
    </row>
    <row r="147" ht="15.75" customHeight="1">
      <c r="A147" s="24"/>
      <c r="B147" s="35"/>
      <c r="C147" s="35"/>
      <c r="D147" s="35"/>
      <c r="E147" s="24"/>
      <c r="F147" s="35"/>
      <c r="G147" s="35"/>
      <c r="H147" s="35"/>
      <c r="I147" s="24"/>
      <c r="J147" s="35"/>
      <c r="K147" s="35"/>
      <c r="L147" s="35"/>
      <c r="M147" s="24"/>
      <c r="N147" s="24"/>
      <c r="O147" s="24"/>
      <c r="P147" s="24"/>
      <c r="Q147" s="24"/>
    </row>
    <row r="148" ht="15.75" customHeight="1">
      <c r="A148" s="24"/>
      <c r="B148" s="35"/>
      <c r="C148" s="35"/>
      <c r="D148" s="35"/>
      <c r="E148" s="24"/>
      <c r="F148" s="35"/>
      <c r="G148" s="35"/>
      <c r="H148" s="35"/>
      <c r="I148" s="24"/>
      <c r="J148" s="35"/>
      <c r="K148" s="35"/>
      <c r="L148" s="35"/>
      <c r="M148" s="24"/>
      <c r="N148" s="24"/>
      <c r="O148" s="24"/>
      <c r="P148" s="24"/>
      <c r="Q148" s="24"/>
    </row>
    <row r="149" ht="15.75" customHeight="1">
      <c r="A149" s="24"/>
      <c r="B149" s="35"/>
      <c r="C149" s="35"/>
      <c r="D149" s="35"/>
      <c r="E149" s="24"/>
      <c r="F149" s="35"/>
      <c r="G149" s="35"/>
      <c r="H149" s="35"/>
      <c r="I149" s="24"/>
      <c r="J149" s="35"/>
      <c r="K149" s="35"/>
      <c r="L149" s="35"/>
      <c r="M149" s="24"/>
      <c r="N149" s="24"/>
      <c r="O149" s="24"/>
      <c r="P149" s="24"/>
      <c r="Q149" s="24"/>
    </row>
    <row r="150" ht="15.75" customHeight="1">
      <c r="A150" s="24"/>
      <c r="B150" s="35"/>
      <c r="C150" s="35"/>
      <c r="D150" s="35"/>
      <c r="E150" s="24"/>
      <c r="F150" s="35"/>
      <c r="G150" s="35"/>
      <c r="H150" s="35"/>
      <c r="I150" s="24"/>
      <c r="J150" s="35"/>
      <c r="K150" s="35"/>
      <c r="L150" s="35"/>
      <c r="M150" s="24"/>
      <c r="N150" s="24"/>
      <c r="O150" s="24"/>
      <c r="P150" s="24"/>
      <c r="Q150" s="24"/>
    </row>
    <row r="151" ht="15.75" customHeight="1">
      <c r="A151" s="24"/>
      <c r="B151" s="35"/>
      <c r="C151" s="35"/>
      <c r="D151" s="35"/>
      <c r="E151" s="24"/>
      <c r="F151" s="35"/>
      <c r="G151" s="35"/>
      <c r="H151" s="35"/>
      <c r="I151" s="24"/>
      <c r="J151" s="35"/>
      <c r="K151" s="35"/>
      <c r="L151" s="35"/>
      <c r="M151" s="24"/>
      <c r="N151" s="24"/>
      <c r="O151" s="24"/>
      <c r="P151" s="24"/>
      <c r="Q151" s="24"/>
    </row>
    <row r="152" ht="15.75" customHeight="1">
      <c r="A152" s="24"/>
      <c r="B152" s="35"/>
      <c r="C152" s="35"/>
      <c r="D152" s="35"/>
      <c r="E152" s="24"/>
      <c r="F152" s="35"/>
      <c r="G152" s="35"/>
      <c r="H152" s="35"/>
      <c r="I152" s="24"/>
      <c r="J152" s="35"/>
      <c r="K152" s="35"/>
      <c r="L152" s="35"/>
      <c r="M152" s="24"/>
      <c r="N152" s="24"/>
      <c r="O152" s="24"/>
      <c r="P152" s="24"/>
      <c r="Q152" s="24"/>
    </row>
    <row r="153" ht="15.75" customHeight="1">
      <c r="A153" s="24"/>
      <c r="B153" s="35"/>
      <c r="C153" s="35"/>
      <c r="D153" s="35"/>
      <c r="E153" s="24"/>
      <c r="F153" s="35"/>
      <c r="G153" s="35"/>
      <c r="H153" s="35"/>
      <c r="I153" s="24"/>
      <c r="J153" s="35"/>
      <c r="K153" s="35"/>
      <c r="L153" s="35"/>
      <c r="M153" s="24"/>
      <c r="N153" s="24"/>
      <c r="O153" s="24"/>
      <c r="P153" s="24"/>
      <c r="Q153" s="24"/>
    </row>
    <row r="154" ht="15.75" customHeight="1">
      <c r="A154" s="24"/>
      <c r="B154" s="35"/>
      <c r="C154" s="35"/>
      <c r="D154" s="35"/>
      <c r="E154" s="24"/>
      <c r="F154" s="35"/>
      <c r="G154" s="35"/>
      <c r="H154" s="35"/>
      <c r="I154" s="24"/>
      <c r="J154" s="35"/>
      <c r="K154" s="35"/>
      <c r="L154" s="35"/>
      <c r="M154" s="24"/>
      <c r="N154" s="24"/>
      <c r="O154" s="24"/>
      <c r="P154" s="24"/>
      <c r="Q154" s="24"/>
    </row>
    <row r="155" ht="15.75" customHeight="1">
      <c r="A155" s="24"/>
      <c r="B155" s="35"/>
      <c r="C155" s="35"/>
      <c r="D155" s="35"/>
      <c r="E155" s="24"/>
      <c r="F155" s="35"/>
      <c r="G155" s="35"/>
      <c r="H155" s="35"/>
      <c r="I155" s="24"/>
      <c r="J155" s="35"/>
      <c r="K155" s="35"/>
      <c r="L155" s="35"/>
      <c r="M155" s="24"/>
      <c r="N155" s="24"/>
      <c r="O155" s="24"/>
      <c r="P155" s="24"/>
      <c r="Q155" s="24"/>
    </row>
    <row r="156" ht="15.75" customHeight="1">
      <c r="A156" s="24"/>
      <c r="B156" s="35"/>
      <c r="C156" s="35"/>
      <c r="D156" s="35"/>
      <c r="E156" s="24"/>
      <c r="F156" s="35"/>
      <c r="G156" s="35"/>
      <c r="H156" s="35"/>
      <c r="I156" s="24"/>
      <c r="J156" s="35"/>
      <c r="K156" s="35"/>
      <c r="L156" s="35"/>
      <c r="M156" s="24"/>
      <c r="N156" s="24"/>
      <c r="O156" s="24"/>
      <c r="P156" s="24"/>
      <c r="Q156" s="24"/>
    </row>
    <row r="157" ht="15.75" customHeight="1">
      <c r="A157" s="24"/>
      <c r="B157" s="35"/>
      <c r="C157" s="35"/>
      <c r="D157" s="35"/>
      <c r="E157" s="24"/>
      <c r="F157" s="35"/>
      <c r="G157" s="35"/>
      <c r="H157" s="35"/>
      <c r="I157" s="24"/>
      <c r="J157" s="35"/>
      <c r="K157" s="35"/>
      <c r="L157" s="35"/>
      <c r="M157" s="24"/>
      <c r="N157" s="24"/>
      <c r="O157" s="24"/>
      <c r="P157" s="24"/>
      <c r="Q157" s="24"/>
    </row>
    <row r="158" ht="15.75" customHeight="1">
      <c r="A158" s="24"/>
      <c r="B158" s="35"/>
      <c r="C158" s="35"/>
      <c r="D158" s="35"/>
      <c r="E158" s="24"/>
      <c r="F158" s="35"/>
      <c r="G158" s="35"/>
      <c r="H158" s="35"/>
      <c r="I158" s="24"/>
      <c r="J158" s="35"/>
      <c r="K158" s="35"/>
      <c r="L158" s="35"/>
      <c r="M158" s="24"/>
      <c r="N158" s="24"/>
      <c r="O158" s="24"/>
      <c r="P158" s="24"/>
      <c r="Q158" s="24"/>
    </row>
    <row r="159" ht="15.75" customHeight="1">
      <c r="A159" s="24"/>
      <c r="B159" s="35"/>
      <c r="C159" s="35"/>
      <c r="D159" s="35"/>
      <c r="E159" s="24"/>
      <c r="F159" s="35"/>
      <c r="G159" s="35"/>
      <c r="H159" s="35"/>
      <c r="I159" s="24"/>
      <c r="J159" s="35"/>
      <c r="K159" s="35"/>
      <c r="L159" s="35"/>
      <c r="M159" s="24"/>
      <c r="N159" s="24"/>
      <c r="O159" s="24"/>
      <c r="P159" s="24"/>
      <c r="Q159" s="24"/>
    </row>
    <row r="160" ht="15.75" customHeight="1">
      <c r="A160" s="24"/>
      <c r="B160" s="35"/>
      <c r="C160" s="35"/>
      <c r="D160" s="35"/>
      <c r="E160" s="24"/>
      <c r="F160" s="35"/>
      <c r="G160" s="35"/>
      <c r="H160" s="35"/>
      <c r="I160" s="24"/>
      <c r="J160" s="35"/>
      <c r="K160" s="35"/>
      <c r="L160" s="35"/>
      <c r="M160" s="24"/>
      <c r="N160" s="24"/>
      <c r="O160" s="24"/>
      <c r="P160" s="24"/>
      <c r="Q160" s="24"/>
    </row>
    <row r="161" ht="15.75" customHeight="1">
      <c r="A161" s="24"/>
      <c r="B161" s="35"/>
      <c r="C161" s="35"/>
      <c r="D161" s="35"/>
      <c r="E161" s="24"/>
      <c r="F161" s="35"/>
      <c r="G161" s="35"/>
      <c r="H161" s="35"/>
      <c r="I161" s="24"/>
      <c r="J161" s="35"/>
      <c r="K161" s="35"/>
      <c r="L161" s="35"/>
      <c r="M161" s="24"/>
      <c r="N161" s="24"/>
      <c r="O161" s="24"/>
      <c r="P161" s="24"/>
      <c r="Q161" s="24"/>
    </row>
    <row r="162" ht="15.75" customHeight="1">
      <c r="A162" s="24"/>
      <c r="B162" s="35"/>
      <c r="C162" s="35"/>
      <c r="D162" s="35"/>
      <c r="E162" s="24"/>
      <c r="F162" s="35"/>
      <c r="G162" s="35"/>
      <c r="H162" s="35"/>
      <c r="I162" s="24"/>
      <c r="J162" s="35"/>
      <c r="K162" s="35"/>
      <c r="L162" s="35"/>
      <c r="M162" s="24"/>
      <c r="N162" s="24"/>
      <c r="O162" s="24"/>
      <c r="P162" s="24"/>
      <c r="Q162" s="24"/>
    </row>
    <row r="163" ht="15.75" customHeight="1">
      <c r="A163" s="24"/>
      <c r="B163" s="35"/>
      <c r="C163" s="35"/>
      <c r="D163" s="35"/>
      <c r="E163" s="24"/>
      <c r="F163" s="35"/>
      <c r="G163" s="35"/>
      <c r="H163" s="35"/>
      <c r="I163" s="24"/>
      <c r="J163" s="35"/>
      <c r="K163" s="35"/>
      <c r="L163" s="35"/>
      <c r="M163" s="24"/>
      <c r="N163" s="24"/>
      <c r="O163" s="24"/>
      <c r="P163" s="24"/>
      <c r="Q163" s="24"/>
    </row>
    <row r="164" ht="15.75" customHeight="1">
      <c r="A164" s="24"/>
      <c r="B164" s="35"/>
      <c r="C164" s="35"/>
      <c r="D164" s="35"/>
      <c r="E164" s="24"/>
      <c r="F164" s="35"/>
      <c r="G164" s="35"/>
      <c r="H164" s="35"/>
      <c r="I164" s="24"/>
      <c r="J164" s="35"/>
      <c r="K164" s="35"/>
      <c r="L164" s="35"/>
      <c r="M164" s="24"/>
      <c r="N164" s="24"/>
      <c r="O164" s="24"/>
      <c r="P164" s="24"/>
      <c r="Q164" s="24"/>
    </row>
    <row r="165" ht="15.75" customHeight="1">
      <c r="A165" s="24"/>
      <c r="B165" s="35"/>
      <c r="C165" s="35"/>
      <c r="D165" s="35"/>
      <c r="E165" s="24"/>
      <c r="F165" s="35"/>
      <c r="G165" s="35"/>
      <c r="H165" s="35"/>
      <c r="I165" s="24"/>
      <c r="J165" s="35"/>
      <c r="K165" s="35"/>
      <c r="L165" s="35"/>
      <c r="M165" s="24"/>
      <c r="N165" s="24"/>
      <c r="O165" s="24"/>
      <c r="P165" s="24"/>
      <c r="Q165" s="24"/>
    </row>
    <row r="166" ht="15.75" customHeight="1">
      <c r="A166" s="24"/>
      <c r="B166" s="35"/>
      <c r="C166" s="35"/>
      <c r="D166" s="35"/>
      <c r="E166" s="24"/>
      <c r="F166" s="35"/>
      <c r="G166" s="35"/>
      <c r="H166" s="35"/>
      <c r="I166" s="24"/>
      <c r="J166" s="35"/>
      <c r="K166" s="35"/>
      <c r="L166" s="35"/>
      <c r="M166" s="24"/>
      <c r="N166" s="24"/>
      <c r="O166" s="24"/>
      <c r="P166" s="24"/>
      <c r="Q166" s="24"/>
    </row>
    <row r="167" ht="15.75" customHeight="1">
      <c r="A167" s="24"/>
      <c r="B167" s="35"/>
      <c r="C167" s="35"/>
      <c r="D167" s="35"/>
      <c r="E167" s="24"/>
      <c r="F167" s="35"/>
      <c r="G167" s="35"/>
      <c r="H167" s="35"/>
      <c r="I167" s="24"/>
      <c r="J167" s="35"/>
      <c r="K167" s="35"/>
      <c r="L167" s="35"/>
      <c r="M167" s="24"/>
      <c r="N167" s="24"/>
      <c r="O167" s="24"/>
      <c r="P167" s="24"/>
      <c r="Q167" s="24"/>
    </row>
    <row r="168" ht="15.75" customHeight="1">
      <c r="A168" s="24"/>
      <c r="B168" s="35"/>
      <c r="C168" s="35"/>
      <c r="D168" s="35"/>
      <c r="E168" s="24"/>
      <c r="F168" s="35"/>
      <c r="G168" s="35"/>
      <c r="H168" s="35"/>
      <c r="I168" s="24"/>
      <c r="J168" s="35"/>
      <c r="K168" s="35"/>
      <c r="L168" s="35"/>
      <c r="M168" s="24"/>
      <c r="N168" s="24"/>
      <c r="O168" s="24"/>
      <c r="P168" s="24"/>
      <c r="Q168" s="24"/>
    </row>
    <row r="169" ht="15.75" customHeight="1">
      <c r="A169" s="24"/>
      <c r="B169" s="35"/>
      <c r="C169" s="35"/>
      <c r="D169" s="35"/>
      <c r="E169" s="24"/>
      <c r="F169" s="35"/>
      <c r="G169" s="35"/>
      <c r="H169" s="35"/>
      <c r="I169" s="24"/>
      <c r="J169" s="35"/>
      <c r="K169" s="35"/>
      <c r="L169" s="35"/>
      <c r="M169" s="24"/>
      <c r="N169" s="24"/>
      <c r="O169" s="24"/>
      <c r="P169" s="24"/>
      <c r="Q169" s="24"/>
    </row>
    <row r="170" ht="15.75" customHeight="1">
      <c r="A170" s="24"/>
      <c r="B170" s="35"/>
      <c r="C170" s="35"/>
      <c r="D170" s="35"/>
      <c r="E170" s="24"/>
      <c r="F170" s="35"/>
      <c r="G170" s="35"/>
      <c r="H170" s="35"/>
      <c r="I170" s="24"/>
      <c r="J170" s="35"/>
      <c r="K170" s="35"/>
      <c r="L170" s="35"/>
      <c r="M170" s="24"/>
      <c r="N170" s="24"/>
      <c r="O170" s="24"/>
      <c r="P170" s="24"/>
      <c r="Q170" s="24"/>
    </row>
    <row r="171" ht="15.75" customHeight="1">
      <c r="A171" s="24"/>
      <c r="B171" s="35"/>
      <c r="C171" s="35"/>
      <c r="D171" s="35"/>
      <c r="E171" s="24"/>
      <c r="F171" s="35"/>
      <c r="G171" s="35"/>
      <c r="H171" s="35"/>
      <c r="I171" s="24"/>
      <c r="J171" s="35"/>
      <c r="K171" s="35"/>
      <c r="L171" s="35"/>
      <c r="M171" s="24"/>
      <c r="N171" s="24"/>
      <c r="O171" s="24"/>
      <c r="P171" s="24"/>
      <c r="Q171" s="24"/>
    </row>
    <row r="172" ht="15.75" customHeight="1">
      <c r="A172" s="24"/>
      <c r="B172" s="35"/>
      <c r="C172" s="35"/>
      <c r="D172" s="35"/>
      <c r="E172" s="24"/>
      <c r="F172" s="35"/>
      <c r="G172" s="35"/>
      <c r="H172" s="35"/>
      <c r="I172" s="24"/>
      <c r="J172" s="35"/>
      <c r="K172" s="35"/>
      <c r="L172" s="35"/>
      <c r="M172" s="24"/>
      <c r="N172" s="24"/>
      <c r="O172" s="24"/>
      <c r="P172" s="24"/>
      <c r="Q172" s="24"/>
    </row>
    <row r="173" ht="15.75" customHeight="1">
      <c r="A173" s="24"/>
      <c r="B173" s="35"/>
      <c r="C173" s="35"/>
      <c r="D173" s="35"/>
      <c r="E173" s="24"/>
      <c r="F173" s="35"/>
      <c r="G173" s="35"/>
      <c r="H173" s="35"/>
      <c r="I173" s="24"/>
      <c r="J173" s="35"/>
      <c r="K173" s="35"/>
      <c r="L173" s="35"/>
      <c r="M173" s="24"/>
      <c r="N173" s="24"/>
      <c r="O173" s="24"/>
      <c r="P173" s="24"/>
      <c r="Q173" s="24"/>
    </row>
    <row r="174" ht="15.75" customHeight="1">
      <c r="A174" s="24"/>
      <c r="B174" s="35"/>
      <c r="C174" s="35"/>
      <c r="D174" s="35"/>
      <c r="E174" s="24"/>
      <c r="F174" s="35"/>
      <c r="G174" s="35"/>
      <c r="H174" s="35"/>
      <c r="I174" s="24"/>
      <c r="J174" s="35"/>
      <c r="K174" s="35"/>
      <c r="L174" s="35"/>
      <c r="M174" s="24"/>
      <c r="N174" s="24"/>
      <c r="O174" s="24"/>
      <c r="P174" s="24"/>
      <c r="Q174" s="24"/>
    </row>
    <row r="175" ht="15.75" customHeight="1">
      <c r="A175" s="24"/>
      <c r="B175" s="35"/>
      <c r="C175" s="35"/>
      <c r="D175" s="35"/>
      <c r="E175" s="24"/>
      <c r="F175" s="35"/>
      <c r="G175" s="35"/>
      <c r="H175" s="35"/>
      <c r="I175" s="24"/>
      <c r="J175" s="35"/>
      <c r="K175" s="35"/>
      <c r="L175" s="35"/>
      <c r="M175" s="24"/>
      <c r="N175" s="24"/>
      <c r="O175" s="24"/>
      <c r="P175" s="24"/>
      <c r="Q175" s="24"/>
    </row>
    <row r="176" ht="15.75" customHeight="1">
      <c r="A176" s="24"/>
      <c r="B176" s="35"/>
      <c r="C176" s="35"/>
      <c r="D176" s="35"/>
      <c r="E176" s="24"/>
      <c r="F176" s="35"/>
      <c r="G176" s="35"/>
      <c r="H176" s="35"/>
      <c r="I176" s="24"/>
      <c r="J176" s="35"/>
      <c r="K176" s="35"/>
      <c r="L176" s="35"/>
      <c r="M176" s="24"/>
      <c r="N176" s="24"/>
      <c r="O176" s="24"/>
      <c r="P176" s="24"/>
      <c r="Q176" s="24"/>
    </row>
    <row r="177" ht="15.75" customHeight="1">
      <c r="A177" s="24"/>
      <c r="B177" s="35"/>
      <c r="C177" s="35"/>
      <c r="D177" s="35"/>
      <c r="E177" s="24"/>
      <c r="F177" s="35"/>
      <c r="G177" s="35"/>
      <c r="H177" s="35"/>
      <c r="I177" s="24"/>
      <c r="J177" s="35"/>
      <c r="K177" s="35"/>
      <c r="L177" s="35"/>
      <c r="M177" s="24"/>
      <c r="N177" s="24"/>
      <c r="O177" s="24"/>
      <c r="P177" s="24"/>
      <c r="Q177" s="24"/>
    </row>
    <row r="178" ht="15.75" customHeight="1">
      <c r="A178" s="24"/>
      <c r="B178" s="35"/>
      <c r="C178" s="35"/>
      <c r="D178" s="35"/>
      <c r="E178" s="24"/>
      <c r="F178" s="35"/>
      <c r="G178" s="35"/>
      <c r="H178" s="35"/>
      <c r="I178" s="24"/>
      <c r="J178" s="35"/>
      <c r="K178" s="35"/>
      <c r="L178" s="35"/>
      <c r="M178" s="24"/>
      <c r="N178" s="24"/>
      <c r="O178" s="24"/>
      <c r="P178" s="24"/>
      <c r="Q178" s="24"/>
    </row>
    <row r="179" ht="15.75" customHeight="1">
      <c r="A179" s="24"/>
      <c r="B179" s="35"/>
      <c r="C179" s="35"/>
      <c r="D179" s="35"/>
      <c r="E179" s="24"/>
      <c r="F179" s="35"/>
      <c r="G179" s="35"/>
      <c r="H179" s="35"/>
      <c r="I179" s="24"/>
      <c r="J179" s="35"/>
      <c r="K179" s="35"/>
      <c r="L179" s="35"/>
      <c r="M179" s="24"/>
      <c r="N179" s="24"/>
      <c r="O179" s="24"/>
      <c r="P179" s="24"/>
      <c r="Q179" s="24"/>
    </row>
    <row r="180" ht="15.75" customHeight="1">
      <c r="A180" s="24"/>
      <c r="B180" s="35"/>
      <c r="C180" s="35"/>
      <c r="D180" s="35"/>
      <c r="E180" s="24"/>
      <c r="F180" s="35"/>
      <c r="G180" s="35"/>
      <c r="H180" s="35"/>
      <c r="I180" s="24"/>
      <c r="J180" s="35"/>
      <c r="K180" s="35"/>
      <c r="L180" s="35"/>
      <c r="M180" s="24"/>
      <c r="N180" s="24"/>
      <c r="O180" s="24"/>
      <c r="P180" s="24"/>
      <c r="Q180" s="24"/>
    </row>
    <row r="181" ht="15.75" customHeight="1">
      <c r="A181" s="24"/>
      <c r="B181" s="35"/>
      <c r="C181" s="35"/>
      <c r="D181" s="35"/>
      <c r="E181" s="24"/>
      <c r="F181" s="35"/>
      <c r="G181" s="35"/>
      <c r="H181" s="35"/>
      <c r="I181" s="24"/>
      <c r="J181" s="35"/>
      <c r="K181" s="35"/>
      <c r="L181" s="35"/>
      <c r="M181" s="24"/>
      <c r="N181" s="24"/>
      <c r="O181" s="24"/>
      <c r="P181" s="24"/>
      <c r="Q181" s="24"/>
    </row>
    <row r="182" ht="15.75" customHeight="1">
      <c r="A182" s="24"/>
      <c r="B182" s="35"/>
      <c r="C182" s="35"/>
      <c r="D182" s="35"/>
      <c r="E182" s="24"/>
      <c r="F182" s="35"/>
      <c r="G182" s="35"/>
      <c r="H182" s="35"/>
      <c r="I182" s="24"/>
      <c r="J182" s="35"/>
      <c r="K182" s="35"/>
      <c r="L182" s="35"/>
      <c r="M182" s="24"/>
      <c r="N182" s="24"/>
      <c r="O182" s="24"/>
      <c r="P182" s="24"/>
      <c r="Q182" s="24"/>
    </row>
    <row r="183" ht="15.75" customHeight="1">
      <c r="A183" s="24"/>
      <c r="B183" s="35"/>
      <c r="C183" s="35"/>
      <c r="D183" s="35"/>
      <c r="E183" s="24"/>
      <c r="F183" s="35"/>
      <c r="G183" s="35"/>
      <c r="H183" s="35"/>
      <c r="I183" s="24"/>
      <c r="J183" s="35"/>
      <c r="K183" s="35"/>
      <c r="L183" s="35"/>
      <c r="M183" s="24"/>
      <c r="N183" s="24"/>
      <c r="O183" s="24"/>
      <c r="P183" s="24"/>
      <c r="Q183" s="24"/>
    </row>
    <row r="184" ht="15.75" customHeight="1">
      <c r="A184" s="24"/>
      <c r="B184" s="35"/>
      <c r="C184" s="35"/>
      <c r="D184" s="35"/>
      <c r="E184" s="24"/>
      <c r="F184" s="35"/>
      <c r="G184" s="35"/>
      <c r="H184" s="35"/>
      <c r="I184" s="24"/>
      <c r="J184" s="35"/>
      <c r="K184" s="35"/>
      <c r="L184" s="35"/>
      <c r="M184" s="24"/>
      <c r="N184" s="24"/>
      <c r="O184" s="24"/>
      <c r="P184" s="24"/>
      <c r="Q184" s="24"/>
    </row>
    <row r="185" ht="15.75" customHeight="1">
      <c r="A185" s="24"/>
      <c r="B185" s="35"/>
      <c r="C185" s="35"/>
      <c r="D185" s="35"/>
      <c r="E185" s="24"/>
      <c r="F185" s="35"/>
      <c r="G185" s="35"/>
      <c r="H185" s="35"/>
      <c r="I185" s="24"/>
      <c r="J185" s="35"/>
      <c r="K185" s="35"/>
      <c r="L185" s="35"/>
      <c r="M185" s="24"/>
      <c r="N185" s="24"/>
      <c r="O185" s="24"/>
      <c r="P185" s="24"/>
      <c r="Q185" s="24"/>
    </row>
    <row r="186" ht="15.75" customHeight="1">
      <c r="A186" s="24"/>
      <c r="B186" s="35"/>
      <c r="C186" s="35"/>
      <c r="D186" s="35"/>
      <c r="E186" s="24"/>
      <c r="F186" s="35"/>
      <c r="G186" s="35"/>
      <c r="H186" s="35"/>
      <c r="I186" s="24"/>
      <c r="J186" s="35"/>
      <c r="K186" s="35"/>
      <c r="L186" s="35"/>
      <c r="M186" s="24"/>
      <c r="N186" s="24"/>
      <c r="O186" s="24"/>
      <c r="P186" s="24"/>
      <c r="Q186" s="24"/>
    </row>
    <row r="187" ht="15.75" customHeight="1">
      <c r="A187" s="24"/>
      <c r="B187" s="35"/>
      <c r="C187" s="35"/>
      <c r="D187" s="35"/>
      <c r="E187" s="24"/>
      <c r="F187" s="35"/>
      <c r="G187" s="35"/>
      <c r="H187" s="35"/>
      <c r="I187" s="24"/>
      <c r="J187" s="35"/>
      <c r="K187" s="35"/>
      <c r="L187" s="35"/>
      <c r="M187" s="24"/>
      <c r="N187" s="24"/>
      <c r="O187" s="24"/>
      <c r="P187" s="24"/>
      <c r="Q187" s="24"/>
    </row>
    <row r="188" ht="15.75" customHeight="1">
      <c r="A188" s="24"/>
      <c r="B188" s="35"/>
      <c r="C188" s="35"/>
      <c r="D188" s="35"/>
      <c r="E188" s="24"/>
      <c r="F188" s="35"/>
      <c r="G188" s="35"/>
      <c r="H188" s="35"/>
      <c r="I188" s="24"/>
      <c r="J188" s="35"/>
      <c r="K188" s="35"/>
      <c r="L188" s="35"/>
      <c r="M188" s="24"/>
      <c r="N188" s="24"/>
      <c r="O188" s="24"/>
      <c r="P188" s="24"/>
      <c r="Q188" s="24"/>
    </row>
    <row r="189" ht="15.75" customHeight="1">
      <c r="A189" s="24"/>
      <c r="B189" s="35"/>
      <c r="C189" s="35"/>
      <c r="D189" s="35"/>
      <c r="E189" s="24"/>
      <c r="F189" s="35"/>
      <c r="G189" s="35"/>
      <c r="H189" s="35"/>
      <c r="I189" s="24"/>
      <c r="J189" s="35"/>
      <c r="K189" s="35"/>
      <c r="L189" s="35"/>
      <c r="M189" s="24"/>
      <c r="N189" s="24"/>
      <c r="O189" s="24"/>
      <c r="P189" s="24"/>
      <c r="Q189" s="24"/>
    </row>
    <row r="190" ht="15.75" customHeight="1">
      <c r="A190" s="24"/>
      <c r="B190" s="35"/>
      <c r="C190" s="35"/>
      <c r="D190" s="35"/>
      <c r="E190" s="24"/>
      <c r="F190" s="35"/>
      <c r="G190" s="35"/>
      <c r="H190" s="35"/>
      <c r="I190" s="24"/>
      <c r="J190" s="35"/>
      <c r="K190" s="35"/>
      <c r="L190" s="35"/>
      <c r="M190" s="24"/>
      <c r="N190" s="24"/>
      <c r="O190" s="24"/>
      <c r="P190" s="24"/>
      <c r="Q190" s="24"/>
    </row>
    <row r="191" ht="15.75" customHeight="1">
      <c r="A191" s="24"/>
      <c r="B191" s="35"/>
      <c r="C191" s="35"/>
      <c r="D191" s="35"/>
      <c r="E191" s="24"/>
      <c r="F191" s="35"/>
      <c r="G191" s="35"/>
      <c r="H191" s="35"/>
      <c r="I191" s="24"/>
      <c r="J191" s="35"/>
      <c r="K191" s="35"/>
      <c r="L191" s="35"/>
      <c r="M191" s="24"/>
      <c r="N191" s="24"/>
      <c r="O191" s="24"/>
      <c r="P191" s="24"/>
      <c r="Q191" s="24"/>
    </row>
    <row r="192" ht="15.75" customHeight="1">
      <c r="A192" s="24"/>
      <c r="B192" s="35"/>
      <c r="C192" s="35"/>
      <c r="D192" s="35"/>
      <c r="E192" s="24"/>
      <c r="F192" s="35"/>
      <c r="G192" s="35"/>
      <c r="H192" s="35"/>
      <c r="I192" s="24"/>
      <c r="J192" s="35"/>
      <c r="K192" s="35"/>
      <c r="L192" s="35"/>
      <c r="M192" s="24"/>
      <c r="N192" s="24"/>
      <c r="O192" s="24"/>
      <c r="P192" s="24"/>
      <c r="Q192" s="24"/>
    </row>
    <row r="193" ht="15.75" customHeight="1">
      <c r="A193" s="24"/>
      <c r="B193" s="35"/>
      <c r="C193" s="35"/>
      <c r="D193" s="35"/>
      <c r="E193" s="24"/>
      <c r="F193" s="35"/>
      <c r="G193" s="35"/>
      <c r="H193" s="35"/>
      <c r="I193" s="24"/>
      <c r="J193" s="35"/>
      <c r="K193" s="35"/>
      <c r="L193" s="35"/>
      <c r="M193" s="24"/>
      <c r="N193" s="24"/>
      <c r="O193" s="24"/>
      <c r="P193" s="24"/>
      <c r="Q193" s="24"/>
    </row>
    <row r="194" ht="15.75" customHeight="1">
      <c r="A194" s="24"/>
      <c r="B194" s="35"/>
      <c r="C194" s="35"/>
      <c r="D194" s="35"/>
      <c r="E194" s="24"/>
      <c r="F194" s="35"/>
      <c r="G194" s="35"/>
      <c r="H194" s="35"/>
      <c r="I194" s="24"/>
      <c r="J194" s="35"/>
      <c r="K194" s="35"/>
      <c r="L194" s="35"/>
      <c r="M194" s="24"/>
      <c r="N194" s="24"/>
      <c r="O194" s="24"/>
      <c r="P194" s="24"/>
      <c r="Q194" s="24"/>
    </row>
    <row r="195" ht="15.75" customHeight="1">
      <c r="A195" s="24"/>
      <c r="B195" s="35"/>
      <c r="C195" s="35"/>
      <c r="D195" s="35"/>
      <c r="E195" s="24"/>
      <c r="F195" s="35"/>
      <c r="G195" s="35"/>
      <c r="H195" s="35"/>
      <c r="I195" s="24"/>
      <c r="J195" s="35"/>
      <c r="K195" s="35"/>
      <c r="L195" s="35"/>
      <c r="M195" s="24"/>
      <c r="N195" s="24"/>
      <c r="O195" s="24"/>
      <c r="P195" s="24"/>
      <c r="Q195" s="24"/>
    </row>
    <row r="196" ht="15.75" customHeight="1">
      <c r="A196" s="24"/>
      <c r="B196" s="35"/>
      <c r="C196" s="35"/>
      <c r="D196" s="35"/>
      <c r="E196" s="24"/>
      <c r="F196" s="35"/>
      <c r="G196" s="35"/>
      <c r="H196" s="35"/>
      <c r="I196" s="24"/>
      <c r="J196" s="35"/>
      <c r="K196" s="35"/>
      <c r="L196" s="35"/>
      <c r="M196" s="24"/>
      <c r="N196" s="24"/>
      <c r="O196" s="24"/>
      <c r="P196" s="24"/>
      <c r="Q196" s="24"/>
    </row>
    <row r="197" ht="15.75" customHeight="1">
      <c r="A197" s="24"/>
      <c r="B197" s="35"/>
      <c r="C197" s="35"/>
      <c r="D197" s="35"/>
      <c r="E197" s="24"/>
      <c r="F197" s="35"/>
      <c r="G197" s="35"/>
      <c r="H197" s="35"/>
      <c r="I197" s="24"/>
      <c r="J197" s="35"/>
      <c r="K197" s="35"/>
      <c r="L197" s="35"/>
      <c r="M197" s="24"/>
      <c r="N197" s="24"/>
      <c r="O197" s="24"/>
      <c r="P197" s="24"/>
      <c r="Q197" s="24"/>
    </row>
    <row r="198" ht="15.75" customHeight="1">
      <c r="A198" s="24"/>
      <c r="B198" s="35"/>
      <c r="C198" s="35"/>
      <c r="D198" s="35"/>
      <c r="E198" s="24"/>
      <c r="F198" s="35"/>
      <c r="G198" s="35"/>
      <c r="H198" s="35"/>
      <c r="I198" s="24"/>
      <c r="J198" s="35"/>
      <c r="K198" s="35"/>
      <c r="L198" s="35"/>
      <c r="M198" s="24"/>
      <c r="N198" s="24"/>
      <c r="O198" s="24"/>
      <c r="P198" s="24"/>
      <c r="Q198" s="24"/>
    </row>
    <row r="199" ht="15.75" customHeight="1">
      <c r="A199" s="24"/>
      <c r="B199" s="35"/>
      <c r="C199" s="35"/>
      <c r="D199" s="35"/>
      <c r="E199" s="24"/>
      <c r="F199" s="35"/>
      <c r="G199" s="35"/>
      <c r="H199" s="35"/>
      <c r="I199" s="24"/>
      <c r="J199" s="35"/>
      <c r="K199" s="35"/>
      <c r="L199" s="35"/>
      <c r="M199" s="24"/>
      <c r="N199" s="24"/>
      <c r="O199" s="24"/>
      <c r="P199" s="24"/>
      <c r="Q199" s="24"/>
    </row>
    <row r="200" ht="15.75" customHeight="1">
      <c r="A200" s="24"/>
      <c r="B200" s="35"/>
      <c r="C200" s="35"/>
      <c r="D200" s="35"/>
      <c r="E200" s="24"/>
      <c r="F200" s="35"/>
      <c r="G200" s="35"/>
      <c r="H200" s="35"/>
      <c r="I200" s="24"/>
      <c r="J200" s="35"/>
      <c r="K200" s="35"/>
      <c r="L200" s="35"/>
      <c r="M200" s="24"/>
      <c r="N200" s="24"/>
      <c r="O200" s="24"/>
      <c r="P200" s="24"/>
      <c r="Q200" s="24"/>
    </row>
    <row r="201" ht="15.75" customHeight="1">
      <c r="A201" s="24"/>
      <c r="B201" s="35"/>
      <c r="C201" s="35"/>
      <c r="D201" s="35"/>
      <c r="E201" s="24"/>
      <c r="F201" s="35"/>
      <c r="G201" s="35"/>
      <c r="H201" s="35"/>
      <c r="I201" s="24"/>
      <c r="J201" s="35"/>
      <c r="K201" s="35"/>
      <c r="L201" s="35"/>
      <c r="M201" s="24"/>
      <c r="N201" s="24"/>
      <c r="O201" s="24"/>
      <c r="P201" s="24"/>
      <c r="Q201" s="24"/>
    </row>
    <row r="202" ht="15.75" customHeight="1">
      <c r="A202" s="24"/>
      <c r="B202" s="35"/>
      <c r="C202" s="35"/>
      <c r="D202" s="35"/>
      <c r="E202" s="24"/>
      <c r="F202" s="35"/>
      <c r="G202" s="35"/>
      <c r="H202" s="35"/>
      <c r="I202" s="24"/>
      <c r="J202" s="35"/>
      <c r="K202" s="35"/>
      <c r="L202" s="35"/>
      <c r="M202" s="24"/>
      <c r="N202" s="24"/>
      <c r="O202" s="24"/>
      <c r="P202" s="24"/>
      <c r="Q202" s="24"/>
    </row>
    <row r="203" ht="15.75" customHeight="1">
      <c r="A203" s="24"/>
      <c r="B203" s="35"/>
      <c r="C203" s="35"/>
      <c r="D203" s="35"/>
      <c r="E203" s="24"/>
      <c r="F203" s="35"/>
      <c r="G203" s="35"/>
      <c r="H203" s="35"/>
      <c r="I203" s="24"/>
      <c r="J203" s="35"/>
      <c r="K203" s="35"/>
      <c r="L203" s="35"/>
      <c r="M203" s="24"/>
      <c r="N203" s="24"/>
      <c r="O203" s="24"/>
      <c r="P203" s="24"/>
      <c r="Q203" s="24"/>
    </row>
    <row r="204" ht="15.75" customHeight="1">
      <c r="A204" s="24"/>
      <c r="B204" s="35"/>
      <c r="C204" s="35"/>
      <c r="D204" s="35"/>
      <c r="E204" s="24"/>
      <c r="F204" s="35"/>
      <c r="G204" s="35"/>
      <c r="H204" s="35"/>
      <c r="I204" s="24"/>
      <c r="J204" s="35"/>
      <c r="K204" s="35"/>
      <c r="L204" s="35"/>
      <c r="M204" s="24"/>
      <c r="N204" s="24"/>
      <c r="O204" s="24"/>
      <c r="P204" s="24"/>
      <c r="Q204" s="24"/>
    </row>
    <row r="205" ht="15.75" customHeight="1">
      <c r="A205" s="24"/>
      <c r="B205" s="35"/>
      <c r="C205" s="35"/>
      <c r="D205" s="35"/>
      <c r="E205" s="24"/>
      <c r="F205" s="35"/>
      <c r="G205" s="35"/>
      <c r="H205" s="35"/>
      <c r="I205" s="24"/>
      <c r="J205" s="35"/>
      <c r="K205" s="35"/>
      <c r="L205" s="35"/>
      <c r="M205" s="24"/>
      <c r="N205" s="24"/>
      <c r="O205" s="24"/>
      <c r="P205" s="24"/>
      <c r="Q205" s="24"/>
    </row>
    <row r="206" ht="15.75" customHeight="1">
      <c r="A206" s="24"/>
      <c r="B206" s="35"/>
      <c r="C206" s="35"/>
      <c r="D206" s="35"/>
      <c r="E206" s="24"/>
      <c r="F206" s="35"/>
      <c r="G206" s="35"/>
      <c r="H206" s="35"/>
      <c r="I206" s="24"/>
      <c r="J206" s="35"/>
      <c r="K206" s="35"/>
      <c r="L206" s="35"/>
      <c r="M206" s="24"/>
      <c r="N206" s="24"/>
      <c r="O206" s="24"/>
      <c r="P206" s="24"/>
      <c r="Q206" s="24"/>
    </row>
    <row r="207" ht="15.75" customHeight="1">
      <c r="A207" s="24"/>
      <c r="B207" s="35"/>
      <c r="C207" s="35"/>
      <c r="D207" s="35"/>
      <c r="E207" s="24"/>
      <c r="F207" s="35"/>
      <c r="G207" s="35"/>
      <c r="H207" s="35"/>
      <c r="I207" s="24"/>
      <c r="J207" s="35"/>
      <c r="K207" s="35"/>
      <c r="L207" s="35"/>
      <c r="M207" s="24"/>
      <c r="N207" s="24"/>
      <c r="O207" s="24"/>
      <c r="P207" s="24"/>
      <c r="Q207" s="24"/>
    </row>
    <row r="208" ht="15.75" customHeight="1">
      <c r="A208" s="24"/>
      <c r="B208" s="35"/>
      <c r="C208" s="35"/>
      <c r="D208" s="35"/>
      <c r="E208" s="24"/>
      <c r="F208" s="35"/>
      <c r="G208" s="35"/>
      <c r="H208" s="35"/>
      <c r="I208" s="24"/>
      <c r="J208" s="35"/>
      <c r="K208" s="35"/>
      <c r="L208" s="35"/>
      <c r="M208" s="24"/>
      <c r="N208" s="24"/>
      <c r="O208" s="24"/>
      <c r="P208" s="24"/>
      <c r="Q208" s="24"/>
    </row>
    <row r="209" ht="15.75" customHeight="1">
      <c r="A209" s="24"/>
      <c r="B209" s="35"/>
      <c r="C209" s="35"/>
      <c r="D209" s="35"/>
      <c r="E209" s="24"/>
      <c r="F209" s="35"/>
      <c r="G209" s="35"/>
      <c r="H209" s="35"/>
      <c r="I209" s="24"/>
      <c r="J209" s="35"/>
      <c r="K209" s="35"/>
      <c r="L209" s="35"/>
      <c r="M209" s="24"/>
      <c r="N209" s="24"/>
      <c r="O209" s="24"/>
      <c r="P209" s="24"/>
      <c r="Q209" s="24"/>
    </row>
    <row r="210" ht="15.75" customHeight="1">
      <c r="A210" s="24"/>
      <c r="B210" s="35"/>
      <c r="C210" s="35"/>
      <c r="D210" s="35"/>
      <c r="E210" s="24"/>
      <c r="F210" s="35"/>
      <c r="G210" s="35"/>
      <c r="H210" s="35"/>
      <c r="I210" s="24"/>
      <c r="J210" s="35"/>
      <c r="K210" s="35"/>
      <c r="L210" s="35"/>
      <c r="M210" s="24"/>
      <c r="N210" s="24"/>
      <c r="O210" s="24"/>
      <c r="P210" s="24"/>
      <c r="Q210" s="24"/>
    </row>
    <row r="211" ht="15.75" customHeight="1">
      <c r="A211" s="24"/>
      <c r="B211" s="35"/>
      <c r="C211" s="35"/>
      <c r="D211" s="35"/>
      <c r="E211" s="24"/>
      <c r="F211" s="35"/>
      <c r="G211" s="35"/>
      <c r="H211" s="35"/>
      <c r="I211" s="24"/>
      <c r="J211" s="35"/>
      <c r="K211" s="35"/>
      <c r="L211" s="35"/>
      <c r="M211" s="24"/>
      <c r="N211" s="24"/>
      <c r="O211" s="24"/>
      <c r="P211" s="24"/>
      <c r="Q211" s="24"/>
    </row>
    <row r="212" ht="15.75" customHeight="1">
      <c r="A212" s="24"/>
      <c r="B212" s="35"/>
      <c r="C212" s="35"/>
      <c r="D212" s="35"/>
      <c r="E212" s="24"/>
      <c r="F212" s="35"/>
      <c r="G212" s="35"/>
      <c r="H212" s="35"/>
      <c r="I212" s="24"/>
      <c r="J212" s="35"/>
      <c r="K212" s="35"/>
      <c r="L212" s="35"/>
      <c r="M212" s="24"/>
      <c r="N212" s="24"/>
      <c r="O212" s="24"/>
      <c r="P212" s="24"/>
      <c r="Q212" s="24"/>
    </row>
    <row r="213" ht="15.75" customHeight="1">
      <c r="A213" s="24"/>
      <c r="B213" s="35"/>
      <c r="C213" s="35"/>
      <c r="D213" s="35"/>
      <c r="E213" s="24"/>
      <c r="F213" s="35"/>
      <c r="G213" s="35"/>
      <c r="H213" s="35"/>
      <c r="I213" s="24"/>
      <c r="J213" s="35"/>
      <c r="K213" s="35"/>
      <c r="L213" s="35"/>
      <c r="M213" s="24"/>
      <c r="N213" s="24"/>
      <c r="O213" s="24"/>
      <c r="P213" s="24"/>
      <c r="Q213" s="24"/>
    </row>
    <row r="214" ht="15.75" customHeight="1">
      <c r="A214" s="24"/>
      <c r="B214" s="35"/>
      <c r="C214" s="35"/>
      <c r="D214" s="35"/>
      <c r="E214" s="24"/>
      <c r="F214" s="35"/>
      <c r="G214" s="35"/>
      <c r="H214" s="35"/>
      <c r="I214" s="24"/>
      <c r="J214" s="35"/>
      <c r="K214" s="35"/>
      <c r="L214" s="35"/>
      <c r="M214" s="24"/>
      <c r="N214" s="24"/>
      <c r="O214" s="24"/>
      <c r="P214" s="24"/>
      <c r="Q214" s="24"/>
    </row>
    <row r="215" ht="15.75" customHeight="1">
      <c r="A215" s="24"/>
      <c r="B215" s="35"/>
      <c r="C215" s="35"/>
      <c r="D215" s="35"/>
      <c r="E215" s="24"/>
      <c r="F215" s="35"/>
      <c r="G215" s="35"/>
      <c r="H215" s="35"/>
      <c r="I215" s="24"/>
      <c r="J215" s="35"/>
      <c r="K215" s="35"/>
      <c r="L215" s="35"/>
      <c r="M215" s="24"/>
      <c r="N215" s="24"/>
      <c r="O215" s="24"/>
      <c r="P215" s="24"/>
      <c r="Q215" s="24"/>
    </row>
    <row r="216" ht="15.75" customHeight="1">
      <c r="A216" s="24"/>
      <c r="B216" s="35"/>
      <c r="C216" s="35"/>
      <c r="D216" s="35"/>
      <c r="E216" s="24"/>
      <c r="F216" s="35"/>
      <c r="G216" s="35"/>
      <c r="H216" s="35"/>
      <c r="I216" s="24"/>
      <c r="J216" s="35"/>
      <c r="K216" s="35"/>
      <c r="L216" s="35"/>
      <c r="M216" s="24"/>
      <c r="N216" s="24"/>
      <c r="O216" s="24"/>
      <c r="P216" s="24"/>
      <c r="Q216" s="24"/>
    </row>
    <row r="217" ht="15.75" customHeight="1">
      <c r="A217" s="24"/>
      <c r="B217" s="35"/>
      <c r="C217" s="35"/>
      <c r="D217" s="35"/>
      <c r="E217" s="24"/>
      <c r="F217" s="35"/>
      <c r="G217" s="35"/>
      <c r="H217" s="35"/>
      <c r="I217" s="24"/>
      <c r="J217" s="35"/>
      <c r="K217" s="35"/>
      <c r="L217" s="35"/>
      <c r="M217" s="24"/>
      <c r="N217" s="24"/>
      <c r="O217" s="24"/>
      <c r="P217" s="24"/>
      <c r="Q217" s="24"/>
    </row>
    <row r="218" ht="15.75" customHeight="1">
      <c r="A218" s="24"/>
      <c r="B218" s="35"/>
      <c r="C218" s="35"/>
      <c r="D218" s="35"/>
      <c r="E218" s="24"/>
      <c r="F218" s="35"/>
      <c r="G218" s="35"/>
      <c r="H218" s="35"/>
      <c r="I218" s="24"/>
      <c r="J218" s="35"/>
      <c r="K218" s="35"/>
      <c r="L218" s="35"/>
      <c r="M218" s="24"/>
      <c r="N218" s="24"/>
      <c r="O218" s="24"/>
      <c r="P218" s="24"/>
      <c r="Q218" s="24"/>
    </row>
    <row r="219" ht="15.75" customHeight="1">
      <c r="A219" s="24"/>
      <c r="B219" s="35"/>
      <c r="C219" s="35"/>
      <c r="D219" s="35"/>
      <c r="E219" s="24"/>
      <c r="F219" s="35"/>
      <c r="G219" s="35"/>
      <c r="H219" s="35"/>
      <c r="I219" s="24"/>
      <c r="J219" s="35"/>
      <c r="K219" s="35"/>
      <c r="L219" s="35"/>
      <c r="M219" s="24"/>
      <c r="N219" s="24"/>
      <c r="O219" s="24"/>
      <c r="P219" s="24"/>
      <c r="Q219" s="24"/>
    </row>
    <row r="220" ht="15.75" customHeight="1">
      <c r="A220" s="24"/>
      <c r="B220" s="35"/>
      <c r="C220" s="35"/>
      <c r="D220" s="35"/>
      <c r="E220" s="24"/>
      <c r="F220" s="35"/>
      <c r="G220" s="35"/>
      <c r="H220" s="35"/>
      <c r="I220" s="24"/>
      <c r="J220" s="35"/>
      <c r="K220" s="35"/>
      <c r="L220" s="35"/>
      <c r="M220" s="24"/>
      <c r="N220" s="24"/>
      <c r="O220" s="24"/>
      <c r="P220" s="24"/>
      <c r="Q220" s="24"/>
    </row>
    <row r="221" ht="15.75" customHeight="1">
      <c r="A221" s="24"/>
      <c r="B221" s="35"/>
      <c r="C221" s="35"/>
      <c r="D221" s="35"/>
      <c r="E221" s="24"/>
      <c r="F221" s="35"/>
      <c r="G221" s="35"/>
      <c r="H221" s="35"/>
      <c r="I221" s="24"/>
      <c r="J221" s="35"/>
      <c r="K221" s="35"/>
      <c r="L221" s="35"/>
      <c r="M221" s="24"/>
      <c r="N221" s="24"/>
      <c r="O221" s="24"/>
      <c r="P221" s="24"/>
      <c r="Q221" s="24"/>
    </row>
    <row r="222" ht="15.75" customHeight="1">
      <c r="A222" s="24"/>
      <c r="B222" s="35"/>
      <c r="C222" s="35"/>
      <c r="D222" s="35"/>
      <c r="E222" s="24"/>
      <c r="F222" s="35"/>
      <c r="G222" s="35"/>
      <c r="H222" s="35"/>
      <c r="I222" s="24"/>
      <c r="J222" s="35"/>
      <c r="K222" s="35"/>
      <c r="L222" s="35"/>
      <c r="M222" s="24"/>
      <c r="N222" s="24"/>
      <c r="O222" s="24"/>
      <c r="P222" s="24"/>
      <c r="Q222" s="24"/>
    </row>
    <row r="223" ht="15.75" customHeight="1">
      <c r="A223" s="24"/>
      <c r="B223" s="35"/>
      <c r="C223" s="35"/>
      <c r="D223" s="35"/>
      <c r="E223" s="24"/>
      <c r="F223" s="35"/>
      <c r="G223" s="35"/>
      <c r="H223" s="35"/>
      <c r="I223" s="24"/>
      <c r="J223" s="35"/>
      <c r="K223" s="35"/>
      <c r="L223" s="35"/>
      <c r="M223" s="24"/>
      <c r="N223" s="24"/>
      <c r="O223" s="24"/>
      <c r="P223" s="24"/>
      <c r="Q223" s="24"/>
    </row>
    <row r="224" ht="15.75" customHeight="1">
      <c r="A224" s="24"/>
      <c r="B224" s="35"/>
      <c r="C224" s="35"/>
      <c r="D224" s="35"/>
      <c r="E224" s="24"/>
      <c r="F224" s="35"/>
      <c r="G224" s="35"/>
      <c r="H224" s="35"/>
      <c r="I224" s="24"/>
      <c r="J224" s="35"/>
      <c r="K224" s="35"/>
      <c r="L224" s="35"/>
      <c r="M224" s="24"/>
      <c r="N224" s="24"/>
      <c r="O224" s="24"/>
      <c r="P224" s="24"/>
      <c r="Q224" s="24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F2:H20">
    <cfRule type="containsText" dxfId="0" priority="1" operator="containsText" text="chen">
      <formula>NOT(ISERROR(SEARCH(("chen"),(F2))))</formula>
    </cfRule>
  </conditionalFormatting>
  <drawing r:id="rId1"/>
  <tableParts count="1">
    <tablePart r:id="rId3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5.5"/>
    <col customWidth="1" min="2" max="2" width="15.63"/>
    <col customWidth="1" min="3" max="3" width="18.13"/>
    <col customWidth="1" min="4" max="6" width="12.63"/>
    <col customWidth="1" min="10" max="10" width="25.63"/>
    <col customWidth="1" min="11" max="11" width="26.25"/>
  </cols>
  <sheetData>
    <row r="1" ht="54.75" customHeight="1">
      <c r="A1" s="96" t="s">
        <v>170</v>
      </c>
      <c r="B1" s="97" t="s">
        <v>171</v>
      </c>
      <c r="C1" s="97" t="s">
        <v>172</v>
      </c>
      <c r="D1" s="97" t="s">
        <v>173</v>
      </c>
      <c r="E1" s="97" t="s">
        <v>174</v>
      </c>
      <c r="F1" s="97" t="s">
        <v>175</v>
      </c>
      <c r="G1" s="97" t="s">
        <v>2</v>
      </c>
      <c r="H1" s="98" t="s">
        <v>176</v>
      </c>
      <c r="I1" s="98" t="s">
        <v>177</v>
      </c>
      <c r="J1" s="98" t="s">
        <v>178</v>
      </c>
      <c r="K1" s="99" t="s">
        <v>179</v>
      </c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</row>
    <row r="2" ht="25.5" customHeight="1">
      <c r="A2" s="100" t="s">
        <v>180</v>
      </c>
      <c r="B2" s="101" t="s">
        <v>181</v>
      </c>
      <c r="C2" s="101" t="s">
        <v>182</v>
      </c>
      <c r="D2" s="101" t="s">
        <v>183</v>
      </c>
      <c r="E2" s="101" t="s">
        <v>184</v>
      </c>
      <c r="F2" s="102">
        <v>67410.0</v>
      </c>
      <c r="G2" s="102">
        <v>2568.0</v>
      </c>
      <c r="H2" s="103" t="s">
        <v>185</v>
      </c>
      <c r="I2" s="103" t="s">
        <v>186</v>
      </c>
      <c r="J2" s="103">
        <v>61.0</v>
      </c>
      <c r="K2" s="104" t="s">
        <v>187</v>
      </c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</row>
    <row r="3" ht="25.5" customHeight="1">
      <c r="A3" s="100" t="s">
        <v>188</v>
      </c>
      <c r="B3" s="101" t="s">
        <v>189</v>
      </c>
      <c r="C3" s="101" t="s">
        <v>190</v>
      </c>
      <c r="D3" s="101" t="s">
        <v>183</v>
      </c>
      <c r="E3" s="101" t="s">
        <v>184</v>
      </c>
      <c r="F3" s="102">
        <v>67410.0</v>
      </c>
      <c r="G3" s="102">
        <v>2568.0</v>
      </c>
      <c r="H3" s="103" t="s">
        <v>185</v>
      </c>
      <c r="I3" s="103" t="s">
        <v>191</v>
      </c>
      <c r="J3" s="103">
        <v>61.0</v>
      </c>
      <c r="K3" s="104" t="s">
        <v>187</v>
      </c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</row>
    <row r="4" ht="25.5" customHeight="1">
      <c r="A4" s="100" t="s">
        <v>192</v>
      </c>
      <c r="B4" s="101" t="s">
        <v>193</v>
      </c>
      <c r="C4" s="101" t="s">
        <v>194</v>
      </c>
      <c r="D4" s="101" t="s">
        <v>183</v>
      </c>
      <c r="E4" s="101" t="s">
        <v>184</v>
      </c>
      <c r="F4" s="102">
        <v>67410.0</v>
      </c>
      <c r="G4" s="102">
        <v>2568.0</v>
      </c>
      <c r="H4" s="103" t="s">
        <v>195</v>
      </c>
      <c r="I4" s="103" t="s">
        <v>196</v>
      </c>
      <c r="J4" s="103">
        <v>61.0</v>
      </c>
      <c r="K4" s="104" t="s">
        <v>187</v>
      </c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</row>
    <row r="5" ht="25.5" customHeight="1">
      <c r="A5" s="100" t="s">
        <v>197</v>
      </c>
      <c r="B5" s="101" t="s">
        <v>198</v>
      </c>
      <c r="C5" s="101" t="s">
        <v>199</v>
      </c>
      <c r="D5" s="101" t="s">
        <v>183</v>
      </c>
      <c r="E5" s="101" t="s">
        <v>184</v>
      </c>
      <c r="F5" s="102">
        <v>67410.0</v>
      </c>
      <c r="G5" s="102">
        <v>2568.0</v>
      </c>
      <c r="H5" s="103" t="s">
        <v>185</v>
      </c>
      <c r="I5" s="103" t="s">
        <v>191</v>
      </c>
      <c r="J5" s="103">
        <v>61.0</v>
      </c>
      <c r="K5" s="104" t="s">
        <v>187</v>
      </c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</row>
    <row r="6" ht="25.5" customHeight="1">
      <c r="A6" s="100" t="s">
        <v>180</v>
      </c>
      <c r="B6" s="101" t="s">
        <v>200</v>
      </c>
      <c r="C6" s="101" t="s">
        <v>201</v>
      </c>
      <c r="D6" s="101" t="s">
        <v>183</v>
      </c>
      <c r="E6" s="101" t="s">
        <v>184</v>
      </c>
      <c r="F6" s="102">
        <v>67410.0</v>
      </c>
      <c r="G6" s="102">
        <v>2568.0</v>
      </c>
      <c r="H6" s="103" t="s">
        <v>195</v>
      </c>
      <c r="I6" s="103" t="s">
        <v>191</v>
      </c>
      <c r="J6" s="103">
        <v>61.0</v>
      </c>
      <c r="K6" s="104" t="s">
        <v>187</v>
      </c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</row>
    <row r="7" ht="25.5" customHeight="1">
      <c r="A7" s="100" t="s">
        <v>180</v>
      </c>
      <c r="B7" s="101" t="s">
        <v>200</v>
      </c>
      <c r="C7" s="101" t="s">
        <v>202</v>
      </c>
      <c r="D7" s="101" t="s">
        <v>183</v>
      </c>
      <c r="E7" s="101" t="s">
        <v>184</v>
      </c>
      <c r="F7" s="102">
        <v>67410.0</v>
      </c>
      <c r="G7" s="102">
        <v>2568.0</v>
      </c>
      <c r="H7" s="103" t="s">
        <v>185</v>
      </c>
      <c r="I7" s="103" t="s">
        <v>191</v>
      </c>
      <c r="J7" s="103">
        <v>61.0</v>
      </c>
      <c r="K7" s="104" t="s">
        <v>187</v>
      </c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</row>
    <row r="8" ht="25.5" customHeight="1">
      <c r="A8" s="100" t="s">
        <v>203</v>
      </c>
      <c r="B8" s="101" t="s">
        <v>200</v>
      </c>
      <c r="C8" s="101" t="s">
        <v>204</v>
      </c>
      <c r="D8" s="101" t="s">
        <v>183</v>
      </c>
      <c r="E8" s="101" t="s">
        <v>184</v>
      </c>
      <c r="F8" s="102">
        <v>67410.0</v>
      </c>
      <c r="G8" s="102">
        <v>2568.0</v>
      </c>
      <c r="H8" s="103" t="s">
        <v>195</v>
      </c>
      <c r="I8" s="103" t="s">
        <v>191</v>
      </c>
      <c r="J8" s="103">
        <v>61.0</v>
      </c>
      <c r="K8" s="104" t="s">
        <v>187</v>
      </c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</row>
    <row r="9" ht="25.5" customHeight="1">
      <c r="A9" s="100" t="s">
        <v>205</v>
      </c>
      <c r="B9" s="101" t="s">
        <v>206</v>
      </c>
      <c r="C9" s="101" t="s">
        <v>207</v>
      </c>
      <c r="D9" s="101" t="s">
        <v>183</v>
      </c>
      <c r="E9" s="101" t="s">
        <v>184</v>
      </c>
      <c r="F9" s="102">
        <v>67410.0</v>
      </c>
      <c r="G9" s="102">
        <v>2568.0</v>
      </c>
      <c r="H9" s="103" t="s">
        <v>195</v>
      </c>
      <c r="I9" s="103" t="s">
        <v>191</v>
      </c>
      <c r="J9" s="103">
        <v>61.0</v>
      </c>
      <c r="K9" s="104" t="s">
        <v>187</v>
      </c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</row>
    <row r="10" ht="25.5" customHeight="1">
      <c r="A10" s="100" t="s">
        <v>208</v>
      </c>
      <c r="B10" s="101" t="s">
        <v>209</v>
      </c>
      <c r="C10" s="101" t="s">
        <v>210</v>
      </c>
      <c r="D10" s="101" t="s">
        <v>211</v>
      </c>
      <c r="E10" s="101" t="s">
        <v>212</v>
      </c>
      <c r="F10" s="102">
        <v>12128.0</v>
      </c>
      <c r="G10" s="102">
        <v>5328.0</v>
      </c>
      <c r="H10" s="103" t="s">
        <v>185</v>
      </c>
      <c r="I10" s="103" t="s">
        <v>186</v>
      </c>
      <c r="J10" s="103">
        <v>60.0</v>
      </c>
      <c r="K10" s="104" t="s">
        <v>213</v>
      </c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</row>
    <row r="11" ht="25.5" customHeight="1">
      <c r="A11" s="100" t="s">
        <v>214</v>
      </c>
      <c r="B11" s="101" t="s">
        <v>215</v>
      </c>
      <c r="C11" s="101" t="s">
        <v>216</v>
      </c>
      <c r="D11" s="101" t="s">
        <v>211</v>
      </c>
      <c r="E11" s="101" t="s">
        <v>212</v>
      </c>
      <c r="F11" s="102">
        <v>12128.0</v>
      </c>
      <c r="G11" s="102">
        <v>5328.0</v>
      </c>
      <c r="H11" s="103" t="s">
        <v>185</v>
      </c>
      <c r="I11" s="103" t="s">
        <v>186</v>
      </c>
      <c r="J11" s="103">
        <v>60.0</v>
      </c>
      <c r="K11" s="104" t="s">
        <v>213</v>
      </c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</row>
    <row r="12" ht="25.5" customHeight="1">
      <c r="A12" s="100" t="s">
        <v>217</v>
      </c>
      <c r="B12" s="101" t="s">
        <v>218</v>
      </c>
      <c r="C12" s="101" t="s">
        <v>219</v>
      </c>
      <c r="D12" s="101" t="s">
        <v>211</v>
      </c>
      <c r="E12" s="101" t="s">
        <v>212</v>
      </c>
      <c r="F12" s="102">
        <v>12128.0</v>
      </c>
      <c r="G12" s="102">
        <v>5328.0</v>
      </c>
      <c r="H12" s="103" t="s">
        <v>185</v>
      </c>
      <c r="I12" s="103" t="s">
        <v>196</v>
      </c>
      <c r="J12" s="103">
        <v>60.0</v>
      </c>
      <c r="K12" s="104" t="s">
        <v>213</v>
      </c>
      <c r="L12" s="16"/>
      <c r="M12" s="16"/>
      <c r="N12" s="16"/>
      <c r="O12" s="16"/>
      <c r="P12" s="16"/>
      <c r="Q12" s="16"/>
      <c r="R12" s="16"/>
      <c r="S12" s="16"/>
      <c r="T12" s="16"/>
      <c r="U12" s="16"/>
      <c r="V12" s="16"/>
      <c r="W12" s="16"/>
      <c r="X12" s="16"/>
      <c r="Y12" s="16"/>
      <c r="Z12" s="16"/>
    </row>
    <row r="13" ht="25.5" customHeight="1">
      <c r="A13" s="100" t="s">
        <v>208</v>
      </c>
      <c r="B13" s="101" t="s">
        <v>220</v>
      </c>
      <c r="C13" s="101" t="s">
        <v>221</v>
      </c>
      <c r="D13" s="101" t="s">
        <v>211</v>
      </c>
      <c r="E13" s="101" t="s">
        <v>212</v>
      </c>
      <c r="F13" s="102">
        <v>12128.0</v>
      </c>
      <c r="G13" s="102">
        <v>5328.0</v>
      </c>
      <c r="H13" s="103" t="s">
        <v>185</v>
      </c>
      <c r="I13" s="103" t="s">
        <v>191</v>
      </c>
      <c r="J13" s="103">
        <v>60.0</v>
      </c>
      <c r="K13" s="104" t="s">
        <v>213</v>
      </c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</row>
    <row r="14" ht="25.5" customHeight="1">
      <c r="A14" s="100" t="s">
        <v>222</v>
      </c>
      <c r="B14" s="101" t="s">
        <v>223</v>
      </c>
      <c r="C14" s="101" t="s">
        <v>224</v>
      </c>
      <c r="D14" s="101" t="s">
        <v>225</v>
      </c>
      <c r="E14" s="101" t="s">
        <v>226</v>
      </c>
      <c r="F14" s="102">
        <v>93012.0</v>
      </c>
      <c r="G14" s="102">
        <v>8923.0</v>
      </c>
      <c r="H14" s="103" t="s">
        <v>185</v>
      </c>
      <c r="I14" s="103" t="s">
        <v>196</v>
      </c>
      <c r="J14" s="103">
        <v>16.0</v>
      </c>
      <c r="K14" s="104" t="s">
        <v>227</v>
      </c>
      <c r="L14" s="16"/>
      <c r="M14" s="16"/>
      <c r="N14" s="16"/>
      <c r="O14" s="16"/>
      <c r="P14" s="16"/>
      <c r="Q14" s="16"/>
      <c r="R14" s="16"/>
      <c r="S14" s="16"/>
      <c r="T14" s="16"/>
      <c r="U14" s="16"/>
      <c r="V14" s="16"/>
      <c r="W14" s="16"/>
      <c r="X14" s="16"/>
      <c r="Y14" s="16"/>
      <c r="Z14" s="16"/>
    </row>
    <row r="15" ht="25.5" customHeight="1">
      <c r="A15" s="100" t="s">
        <v>228</v>
      </c>
      <c r="B15" s="101" t="s">
        <v>150</v>
      </c>
      <c r="C15" s="101" t="s">
        <v>229</v>
      </c>
      <c r="D15" s="101" t="s">
        <v>225</v>
      </c>
      <c r="E15" s="101" t="s">
        <v>226</v>
      </c>
      <c r="F15" s="102">
        <v>93012.0</v>
      </c>
      <c r="G15" s="102">
        <v>6986.0</v>
      </c>
      <c r="H15" s="103" t="s">
        <v>195</v>
      </c>
      <c r="I15" s="103" t="s">
        <v>196</v>
      </c>
      <c r="J15" s="103">
        <v>28.0</v>
      </c>
      <c r="K15" s="104" t="s">
        <v>227</v>
      </c>
      <c r="L15" s="16"/>
      <c r="M15" s="16"/>
      <c r="N15" s="16"/>
      <c r="O15" s="16"/>
      <c r="P15" s="16"/>
      <c r="Q15" s="16"/>
      <c r="R15" s="16"/>
      <c r="S15" s="16"/>
      <c r="T15" s="16"/>
      <c r="U15" s="16"/>
      <c r="V15" s="16"/>
      <c r="W15" s="16"/>
      <c r="X15" s="16"/>
      <c r="Y15" s="16"/>
      <c r="Z15" s="16"/>
    </row>
    <row r="16" ht="25.5" customHeight="1">
      <c r="A16" s="100" t="s">
        <v>230</v>
      </c>
      <c r="B16" s="101" t="s">
        <v>231</v>
      </c>
      <c r="C16" s="101" t="s">
        <v>232</v>
      </c>
      <c r="D16" s="101" t="s">
        <v>233</v>
      </c>
      <c r="E16" s="101" t="s">
        <v>234</v>
      </c>
      <c r="F16" s="102">
        <v>18812.0</v>
      </c>
      <c r="G16" s="102">
        <v>2489.0</v>
      </c>
      <c r="H16" s="103" t="s">
        <v>185</v>
      </c>
      <c r="I16" s="103" t="s">
        <v>191</v>
      </c>
      <c r="J16" s="103">
        <v>31.0</v>
      </c>
      <c r="K16" s="104" t="s">
        <v>235</v>
      </c>
      <c r="L16" s="16"/>
      <c r="M16" s="16"/>
      <c r="N16" s="16"/>
      <c r="O16" s="16"/>
      <c r="P16" s="16"/>
      <c r="Q16" s="16"/>
      <c r="R16" s="16"/>
      <c r="S16" s="16"/>
      <c r="T16" s="16"/>
      <c r="U16" s="16"/>
      <c r="V16" s="16"/>
      <c r="W16" s="16"/>
      <c r="X16" s="16"/>
      <c r="Y16" s="16"/>
      <c r="Z16" s="16"/>
    </row>
    <row r="17" ht="25.5" customHeight="1">
      <c r="A17" s="100" t="s">
        <v>236</v>
      </c>
      <c r="B17" s="101" t="s">
        <v>237</v>
      </c>
      <c r="C17" s="101" t="s">
        <v>238</v>
      </c>
      <c r="D17" s="101" t="s">
        <v>233</v>
      </c>
      <c r="E17" s="101" t="s">
        <v>234</v>
      </c>
      <c r="F17" s="102">
        <v>18812.0</v>
      </c>
      <c r="G17" s="102">
        <v>2489.0</v>
      </c>
      <c r="H17" s="103" t="s">
        <v>185</v>
      </c>
      <c r="I17" s="103" t="s">
        <v>196</v>
      </c>
      <c r="J17" s="103">
        <v>31.0</v>
      </c>
      <c r="K17" s="104" t="s">
        <v>235</v>
      </c>
      <c r="L17" s="16"/>
      <c r="M17" s="16"/>
      <c r="N17" s="16"/>
      <c r="O17" s="16"/>
      <c r="P17" s="16"/>
      <c r="Q17" s="16"/>
      <c r="R17" s="16"/>
      <c r="S17" s="16"/>
      <c r="T17" s="16"/>
      <c r="U17" s="16"/>
      <c r="V17" s="16"/>
      <c r="W17" s="16"/>
      <c r="X17" s="16"/>
      <c r="Y17" s="16"/>
      <c r="Z17" s="16"/>
    </row>
    <row r="18" ht="25.5" customHeight="1">
      <c r="A18" s="100" t="s">
        <v>239</v>
      </c>
      <c r="B18" s="101" t="s">
        <v>240</v>
      </c>
      <c r="C18" s="101" t="s">
        <v>241</v>
      </c>
      <c r="D18" s="101" t="s">
        <v>233</v>
      </c>
      <c r="E18" s="101" t="s">
        <v>234</v>
      </c>
      <c r="F18" s="102">
        <v>18812.0</v>
      </c>
      <c r="G18" s="102">
        <v>2489.0</v>
      </c>
      <c r="H18" s="103" t="s">
        <v>185</v>
      </c>
      <c r="I18" s="103" t="s">
        <v>191</v>
      </c>
      <c r="J18" s="103">
        <v>31.0</v>
      </c>
      <c r="K18" s="104" t="s">
        <v>235</v>
      </c>
      <c r="L18" s="16"/>
      <c r="M18" s="16"/>
      <c r="N18" s="16"/>
      <c r="O18" s="16"/>
      <c r="P18" s="16"/>
      <c r="Q18" s="16"/>
      <c r="R18" s="16"/>
      <c r="S18" s="16"/>
      <c r="T18" s="16"/>
      <c r="U18" s="16"/>
      <c r="V18" s="16"/>
      <c r="W18" s="16"/>
      <c r="X18" s="16"/>
      <c r="Y18" s="16"/>
      <c r="Z18" s="16"/>
    </row>
    <row r="19" ht="25.5" customHeight="1">
      <c r="A19" s="100" t="s">
        <v>230</v>
      </c>
      <c r="B19" s="101" t="s">
        <v>242</v>
      </c>
      <c r="C19" s="101" t="s">
        <v>243</v>
      </c>
      <c r="D19" s="101" t="s">
        <v>233</v>
      </c>
      <c r="E19" s="101" t="s">
        <v>234</v>
      </c>
      <c r="F19" s="102">
        <v>18812.0</v>
      </c>
      <c r="G19" s="102">
        <v>2489.0</v>
      </c>
      <c r="H19" s="103" t="s">
        <v>185</v>
      </c>
      <c r="I19" s="103" t="s">
        <v>186</v>
      </c>
      <c r="J19" s="103">
        <v>31.0</v>
      </c>
      <c r="K19" s="104" t="s">
        <v>235</v>
      </c>
      <c r="L19" s="16"/>
      <c r="M19" s="16"/>
      <c r="N19" s="16"/>
      <c r="O19" s="16"/>
      <c r="P19" s="16"/>
      <c r="Q19" s="16"/>
      <c r="R19" s="16"/>
      <c r="S19" s="16"/>
      <c r="T19" s="16"/>
      <c r="U19" s="16"/>
      <c r="V19" s="16"/>
      <c r="W19" s="16"/>
      <c r="X19" s="16"/>
      <c r="Y19" s="16"/>
      <c r="Z19" s="16"/>
    </row>
    <row r="20" ht="25.5" customHeight="1">
      <c r="A20" s="100" t="s">
        <v>244</v>
      </c>
      <c r="B20" s="101" t="s">
        <v>242</v>
      </c>
      <c r="C20" s="101" t="s">
        <v>245</v>
      </c>
      <c r="D20" s="101" t="s">
        <v>233</v>
      </c>
      <c r="E20" s="101" t="s">
        <v>234</v>
      </c>
      <c r="F20" s="102">
        <v>18812.0</v>
      </c>
      <c r="G20" s="102">
        <v>2489.0</v>
      </c>
      <c r="H20" s="103" t="s">
        <v>185</v>
      </c>
      <c r="I20" s="103" t="s">
        <v>186</v>
      </c>
      <c r="J20" s="103">
        <v>31.0</v>
      </c>
      <c r="K20" s="104" t="s">
        <v>235</v>
      </c>
      <c r="L20" s="16"/>
      <c r="M20" s="16"/>
      <c r="N20" s="16"/>
      <c r="O20" s="16"/>
      <c r="P20" s="16"/>
      <c r="Q20" s="16"/>
      <c r="R20" s="16"/>
      <c r="S20" s="16"/>
      <c r="T20" s="16"/>
      <c r="U20" s="16"/>
      <c r="V20" s="16"/>
      <c r="W20" s="16"/>
      <c r="X20" s="16"/>
      <c r="Y20" s="16"/>
      <c r="Z20" s="16"/>
    </row>
    <row r="21" ht="25.5" customHeight="1">
      <c r="A21" s="100" t="s">
        <v>246</v>
      </c>
      <c r="B21" s="101" t="s">
        <v>247</v>
      </c>
      <c r="C21" s="101" t="s">
        <v>248</v>
      </c>
      <c r="D21" s="101" t="s">
        <v>249</v>
      </c>
      <c r="E21" s="101" t="s">
        <v>250</v>
      </c>
      <c r="F21" s="102">
        <v>99708.0</v>
      </c>
      <c r="G21" s="102">
        <v>4896.0</v>
      </c>
      <c r="H21" s="103" t="s">
        <v>185</v>
      </c>
      <c r="I21" s="103" t="s">
        <v>186</v>
      </c>
      <c r="J21" s="103">
        <v>73.0</v>
      </c>
      <c r="K21" s="104" t="s">
        <v>251</v>
      </c>
      <c r="L21" s="16"/>
      <c r="M21" s="16"/>
      <c r="N21" s="16"/>
      <c r="O21" s="16"/>
      <c r="P21" s="16"/>
      <c r="Q21" s="16"/>
      <c r="R21" s="16"/>
      <c r="S21" s="16"/>
      <c r="T21" s="16"/>
      <c r="U21" s="16"/>
      <c r="V21" s="16"/>
      <c r="W21" s="16"/>
      <c r="X21" s="16"/>
      <c r="Y21" s="16"/>
      <c r="Z21" s="16"/>
    </row>
    <row r="22" ht="25.5" customHeight="1">
      <c r="A22" s="100" t="s">
        <v>252</v>
      </c>
      <c r="B22" s="101" t="s">
        <v>253</v>
      </c>
      <c r="C22" s="101" t="s">
        <v>254</v>
      </c>
      <c r="D22" s="101" t="s">
        <v>249</v>
      </c>
      <c r="E22" s="101" t="s">
        <v>250</v>
      </c>
      <c r="F22" s="102">
        <v>99712.0</v>
      </c>
      <c r="G22" s="102">
        <v>7569.0</v>
      </c>
      <c r="H22" s="103" t="s">
        <v>195</v>
      </c>
      <c r="I22" s="103" t="s">
        <v>196</v>
      </c>
      <c r="J22" s="103">
        <v>75.0</v>
      </c>
      <c r="K22" s="104" t="s">
        <v>255</v>
      </c>
      <c r="L22" s="16"/>
      <c r="M22" s="16"/>
      <c r="N22" s="16"/>
      <c r="O22" s="16"/>
      <c r="P22" s="16"/>
      <c r="Q22" s="16"/>
      <c r="R22" s="16"/>
      <c r="S22" s="16"/>
      <c r="T22" s="16"/>
      <c r="U22" s="16"/>
      <c r="V22" s="16"/>
      <c r="W22" s="16"/>
      <c r="X22" s="16"/>
      <c r="Y22" s="16"/>
      <c r="Z22" s="16"/>
    </row>
    <row r="23" ht="25.5" customHeight="1">
      <c r="A23" s="100" t="s">
        <v>256</v>
      </c>
      <c r="B23" s="101" t="s">
        <v>257</v>
      </c>
      <c r="C23" s="101" t="s">
        <v>258</v>
      </c>
      <c r="D23" s="101" t="s">
        <v>259</v>
      </c>
      <c r="E23" s="101" t="s">
        <v>260</v>
      </c>
      <c r="F23" s="102">
        <v>55343.0</v>
      </c>
      <c r="G23" s="102">
        <v>4582.0</v>
      </c>
      <c r="H23" s="103" t="s">
        <v>185</v>
      </c>
      <c r="I23" s="103" t="s">
        <v>196</v>
      </c>
      <c r="J23" s="103">
        <v>28.0</v>
      </c>
      <c r="K23" s="104" t="s">
        <v>261</v>
      </c>
      <c r="L23" s="16"/>
      <c r="M23" s="16"/>
      <c r="N23" s="16"/>
      <c r="O23" s="16"/>
      <c r="P23" s="16"/>
      <c r="Q23" s="16"/>
      <c r="R23" s="16"/>
      <c r="S23" s="16"/>
      <c r="T23" s="16"/>
      <c r="U23" s="16"/>
      <c r="V23" s="16"/>
      <c r="W23" s="16"/>
      <c r="X23" s="16"/>
      <c r="Y23" s="16"/>
      <c r="Z23" s="16"/>
    </row>
    <row r="24" ht="25.5" customHeight="1">
      <c r="A24" s="100" t="s">
        <v>256</v>
      </c>
      <c r="B24" s="101" t="s">
        <v>262</v>
      </c>
      <c r="C24" s="101" t="s">
        <v>263</v>
      </c>
      <c r="D24" s="101" t="s">
        <v>259</v>
      </c>
      <c r="E24" s="101" t="s">
        <v>260</v>
      </c>
      <c r="F24" s="102">
        <v>55343.0</v>
      </c>
      <c r="G24" s="102">
        <v>4582.0</v>
      </c>
      <c r="H24" s="103" t="s">
        <v>185</v>
      </c>
      <c r="I24" s="103" t="s">
        <v>196</v>
      </c>
      <c r="J24" s="103">
        <v>28.0</v>
      </c>
      <c r="K24" s="104" t="s">
        <v>261</v>
      </c>
      <c r="L24" s="16"/>
      <c r="M24" s="16"/>
      <c r="N24" s="16"/>
      <c r="O24" s="16"/>
      <c r="P24" s="16"/>
      <c r="Q24" s="16"/>
      <c r="R24" s="16"/>
      <c r="S24" s="16"/>
      <c r="T24" s="16"/>
      <c r="U24" s="16"/>
      <c r="V24" s="16"/>
      <c r="W24" s="16"/>
      <c r="X24" s="16"/>
      <c r="Y24" s="16"/>
      <c r="Z24" s="16"/>
    </row>
    <row r="25" ht="25.5" customHeight="1">
      <c r="A25" s="100" t="s">
        <v>264</v>
      </c>
      <c r="B25" s="101" t="s">
        <v>265</v>
      </c>
      <c r="C25" s="101" t="s">
        <v>266</v>
      </c>
      <c r="D25" s="101" t="s">
        <v>259</v>
      </c>
      <c r="E25" s="101" t="s">
        <v>260</v>
      </c>
      <c r="F25" s="102">
        <v>55343.0</v>
      </c>
      <c r="G25" s="102">
        <v>4582.0</v>
      </c>
      <c r="H25" s="103" t="s">
        <v>185</v>
      </c>
      <c r="I25" s="103" t="s">
        <v>191</v>
      </c>
      <c r="J25" s="103">
        <v>28.0</v>
      </c>
      <c r="K25" s="104" t="s">
        <v>261</v>
      </c>
      <c r="L25" s="16"/>
      <c r="M25" s="16"/>
      <c r="N25" s="16"/>
      <c r="O25" s="16"/>
      <c r="P25" s="16"/>
      <c r="Q25" s="16"/>
      <c r="R25" s="16"/>
      <c r="S25" s="16"/>
      <c r="T25" s="16"/>
      <c r="U25" s="16"/>
      <c r="V25" s="16"/>
      <c r="W25" s="16"/>
      <c r="X25" s="16"/>
      <c r="Y25" s="16"/>
      <c r="Z25" s="16"/>
    </row>
    <row r="26" ht="25.5" customHeight="1">
      <c r="A26" s="100" t="s">
        <v>256</v>
      </c>
      <c r="B26" s="101" t="s">
        <v>267</v>
      </c>
      <c r="C26" s="101" t="s">
        <v>268</v>
      </c>
      <c r="D26" s="101" t="s">
        <v>259</v>
      </c>
      <c r="E26" s="101" t="s">
        <v>260</v>
      </c>
      <c r="F26" s="102">
        <v>55343.0</v>
      </c>
      <c r="G26" s="102">
        <v>4582.0</v>
      </c>
      <c r="H26" s="103" t="s">
        <v>185</v>
      </c>
      <c r="I26" s="103" t="s">
        <v>186</v>
      </c>
      <c r="J26" s="103">
        <v>28.0</v>
      </c>
      <c r="K26" s="104" t="s">
        <v>261</v>
      </c>
      <c r="L26" s="16"/>
      <c r="M26" s="16"/>
      <c r="N26" s="16"/>
      <c r="O26" s="16"/>
      <c r="P26" s="16"/>
      <c r="Q26" s="16"/>
      <c r="R26" s="16"/>
      <c r="S26" s="16"/>
      <c r="T26" s="16"/>
      <c r="U26" s="16"/>
      <c r="V26" s="16"/>
      <c r="W26" s="16"/>
      <c r="X26" s="16"/>
      <c r="Y26" s="16"/>
      <c r="Z26" s="16"/>
    </row>
    <row r="27" ht="25.5" customHeight="1">
      <c r="A27" s="100" t="s">
        <v>269</v>
      </c>
      <c r="B27" s="101" t="s">
        <v>270</v>
      </c>
      <c r="C27" s="101" t="s">
        <v>271</v>
      </c>
      <c r="D27" s="101" t="s">
        <v>272</v>
      </c>
      <c r="E27" s="101" t="s">
        <v>226</v>
      </c>
      <c r="F27" s="102">
        <v>90006.0</v>
      </c>
      <c r="G27" s="102">
        <v>5678.0</v>
      </c>
      <c r="H27" s="103" t="s">
        <v>185</v>
      </c>
      <c r="I27" s="103" t="s">
        <v>191</v>
      </c>
      <c r="J27" s="103">
        <v>60.0</v>
      </c>
      <c r="K27" s="104" t="s">
        <v>273</v>
      </c>
      <c r="L27" s="16"/>
      <c r="M27" s="16"/>
      <c r="N27" s="16"/>
      <c r="O27" s="16"/>
      <c r="P27" s="16"/>
      <c r="Q27" s="16"/>
      <c r="R27" s="16"/>
      <c r="S27" s="16"/>
      <c r="T27" s="16"/>
      <c r="U27" s="16"/>
      <c r="V27" s="16"/>
      <c r="W27" s="16"/>
      <c r="X27" s="16"/>
      <c r="Y27" s="16"/>
      <c r="Z27" s="16"/>
    </row>
    <row r="28" ht="25.5" customHeight="1">
      <c r="A28" s="100" t="s">
        <v>274</v>
      </c>
      <c r="B28" s="101" t="s">
        <v>275</v>
      </c>
      <c r="C28" s="101" t="s">
        <v>276</v>
      </c>
      <c r="D28" s="101" t="s">
        <v>277</v>
      </c>
      <c r="E28" s="101" t="s">
        <v>278</v>
      </c>
      <c r="F28" s="102">
        <v>70002.0</v>
      </c>
      <c r="G28" s="102">
        <v>8617.0</v>
      </c>
      <c r="H28" s="103" t="s">
        <v>185</v>
      </c>
      <c r="I28" s="103" t="s">
        <v>191</v>
      </c>
      <c r="J28" s="103">
        <v>22.0</v>
      </c>
      <c r="K28" s="104" t="s">
        <v>279</v>
      </c>
      <c r="L28" s="16"/>
      <c r="M28" s="16"/>
      <c r="N28" s="16"/>
      <c r="O28" s="16"/>
      <c r="P28" s="16"/>
      <c r="Q28" s="16"/>
      <c r="R28" s="16"/>
      <c r="S28" s="16"/>
      <c r="T28" s="16"/>
      <c r="U28" s="16"/>
      <c r="V28" s="16"/>
      <c r="W28" s="16"/>
      <c r="X28" s="16"/>
      <c r="Y28" s="16"/>
      <c r="Z28" s="16"/>
    </row>
    <row r="29" ht="25.5" customHeight="1">
      <c r="A29" s="100" t="s">
        <v>146</v>
      </c>
      <c r="B29" s="101" t="s">
        <v>280</v>
      </c>
      <c r="C29" s="101" t="s">
        <v>281</v>
      </c>
      <c r="D29" s="101" t="s">
        <v>277</v>
      </c>
      <c r="E29" s="101" t="s">
        <v>278</v>
      </c>
      <c r="F29" s="102">
        <v>70002.0</v>
      </c>
      <c r="G29" s="102">
        <v>8617.0</v>
      </c>
      <c r="H29" s="103" t="s">
        <v>185</v>
      </c>
      <c r="I29" s="103" t="s">
        <v>196</v>
      </c>
      <c r="J29" s="103">
        <v>22.0</v>
      </c>
      <c r="K29" s="104" t="s">
        <v>279</v>
      </c>
      <c r="L29" s="16"/>
      <c r="M29" s="16"/>
      <c r="N29" s="16"/>
      <c r="O29" s="16"/>
      <c r="P29" s="16"/>
      <c r="Q29" s="16"/>
      <c r="R29" s="16"/>
      <c r="S29" s="16"/>
      <c r="T29" s="16"/>
      <c r="U29" s="16"/>
      <c r="V29" s="16"/>
      <c r="W29" s="16"/>
      <c r="X29" s="16"/>
      <c r="Y29" s="16"/>
      <c r="Z29" s="16"/>
    </row>
    <row r="30" ht="25.5" customHeight="1">
      <c r="A30" s="100" t="s">
        <v>282</v>
      </c>
      <c r="B30" s="101" t="s">
        <v>283</v>
      </c>
      <c r="C30" s="101" t="s">
        <v>284</v>
      </c>
      <c r="D30" s="101" t="s">
        <v>277</v>
      </c>
      <c r="E30" s="101" t="s">
        <v>226</v>
      </c>
      <c r="F30" s="102">
        <v>70002.0</v>
      </c>
      <c r="G30" s="102">
        <v>6789.0</v>
      </c>
      <c r="H30" s="103" t="s">
        <v>185</v>
      </c>
      <c r="I30" s="103" t="s">
        <v>196</v>
      </c>
      <c r="J30" s="103">
        <v>45.0</v>
      </c>
      <c r="K30" s="104" t="s">
        <v>285</v>
      </c>
      <c r="L30" s="16"/>
      <c r="M30" s="16"/>
      <c r="N30" s="16"/>
      <c r="O30" s="16"/>
      <c r="P30" s="16"/>
      <c r="Q30" s="16"/>
      <c r="R30" s="16"/>
      <c r="S30" s="16"/>
      <c r="T30" s="16"/>
      <c r="U30" s="16"/>
      <c r="V30" s="16"/>
      <c r="W30" s="16"/>
      <c r="X30" s="16"/>
      <c r="Y30" s="16"/>
      <c r="Z30" s="16"/>
    </row>
    <row r="31" ht="25.5" customHeight="1">
      <c r="A31" s="100" t="s">
        <v>286</v>
      </c>
      <c r="B31" s="101" t="s">
        <v>287</v>
      </c>
      <c r="C31" s="101" t="s">
        <v>284</v>
      </c>
      <c r="D31" s="101" t="s">
        <v>277</v>
      </c>
      <c r="E31" s="101" t="s">
        <v>278</v>
      </c>
      <c r="F31" s="102">
        <v>70002.0</v>
      </c>
      <c r="G31" s="102">
        <v>8617.0</v>
      </c>
      <c r="H31" s="103" t="s">
        <v>185</v>
      </c>
      <c r="I31" s="103" t="s">
        <v>186</v>
      </c>
      <c r="J31" s="103">
        <v>22.0</v>
      </c>
      <c r="K31" s="104" t="s">
        <v>279</v>
      </c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ht="25.5" customHeight="1">
      <c r="A32" s="100" t="s">
        <v>288</v>
      </c>
      <c r="B32" s="101" t="s">
        <v>289</v>
      </c>
      <c r="C32" s="101" t="s">
        <v>290</v>
      </c>
      <c r="D32" s="101" t="s">
        <v>277</v>
      </c>
      <c r="E32" s="101" t="s">
        <v>278</v>
      </c>
      <c r="F32" s="102">
        <v>70002.0</v>
      </c>
      <c r="G32" s="102">
        <v>8617.0</v>
      </c>
      <c r="H32" s="103" t="s">
        <v>185</v>
      </c>
      <c r="I32" s="103" t="s">
        <v>186</v>
      </c>
      <c r="J32" s="103">
        <v>22.0</v>
      </c>
      <c r="K32" s="104" t="s">
        <v>279</v>
      </c>
      <c r="L32" s="16"/>
      <c r="M32" s="16"/>
      <c r="N32" s="16"/>
      <c r="O32" s="16"/>
      <c r="P32" s="16"/>
      <c r="Q32" s="16"/>
      <c r="R32" s="16"/>
      <c r="S32" s="16"/>
      <c r="T32" s="16"/>
      <c r="U32" s="16"/>
      <c r="V32" s="16"/>
      <c r="W32" s="16"/>
      <c r="X32" s="16"/>
      <c r="Y32" s="16"/>
      <c r="Z32" s="16"/>
    </row>
    <row r="33" ht="25.5" customHeight="1">
      <c r="A33" s="100" t="s">
        <v>291</v>
      </c>
      <c r="B33" s="101" t="s">
        <v>292</v>
      </c>
      <c r="C33" s="101" t="s">
        <v>293</v>
      </c>
      <c r="D33" s="101" t="s">
        <v>294</v>
      </c>
      <c r="E33" s="101" t="s">
        <v>295</v>
      </c>
      <c r="F33" s="102">
        <v>33196.0</v>
      </c>
      <c r="G33" s="102">
        <v>4983.0</v>
      </c>
      <c r="H33" s="103" t="s">
        <v>185</v>
      </c>
      <c r="I33" s="103" t="s">
        <v>186</v>
      </c>
      <c r="J33" s="103">
        <v>9.0</v>
      </c>
      <c r="K33" s="104" t="s">
        <v>296</v>
      </c>
      <c r="L33" s="16"/>
      <c r="M33" s="16"/>
      <c r="N33" s="16"/>
      <c r="O33" s="16"/>
      <c r="P33" s="16"/>
      <c r="Q33" s="16"/>
      <c r="R33" s="16"/>
      <c r="S33" s="16"/>
      <c r="T33" s="16"/>
      <c r="U33" s="16"/>
      <c r="V33" s="16"/>
      <c r="W33" s="16"/>
      <c r="X33" s="16"/>
      <c r="Y33" s="16"/>
      <c r="Z33" s="16"/>
    </row>
    <row r="34" ht="25.5" customHeight="1">
      <c r="A34" s="100" t="s">
        <v>291</v>
      </c>
      <c r="B34" s="101" t="s">
        <v>292</v>
      </c>
      <c r="C34" s="101" t="s">
        <v>293</v>
      </c>
      <c r="D34" s="101" t="s">
        <v>294</v>
      </c>
      <c r="E34" s="101" t="s">
        <v>295</v>
      </c>
      <c r="F34" s="102">
        <v>33196.0</v>
      </c>
      <c r="G34" s="102">
        <v>4983.0</v>
      </c>
      <c r="H34" s="103" t="s">
        <v>185</v>
      </c>
      <c r="I34" s="103" t="s">
        <v>191</v>
      </c>
      <c r="J34" s="103">
        <v>9.0</v>
      </c>
      <c r="K34" s="104" t="s">
        <v>296</v>
      </c>
      <c r="L34" s="16"/>
      <c r="M34" s="16"/>
      <c r="N34" s="16"/>
      <c r="O34" s="16"/>
      <c r="P34" s="16"/>
      <c r="Q34" s="16"/>
      <c r="R34" s="16"/>
      <c r="S34" s="16"/>
      <c r="T34" s="16"/>
      <c r="U34" s="16"/>
      <c r="V34" s="16"/>
      <c r="W34" s="16"/>
      <c r="X34" s="16"/>
      <c r="Y34" s="16"/>
      <c r="Z34" s="16"/>
    </row>
    <row r="35" ht="25.5" customHeight="1">
      <c r="A35" s="100" t="s">
        <v>297</v>
      </c>
      <c r="B35" s="101" t="s">
        <v>298</v>
      </c>
      <c r="C35" s="101" t="s">
        <v>293</v>
      </c>
      <c r="D35" s="101" t="s">
        <v>294</v>
      </c>
      <c r="E35" s="101" t="s">
        <v>295</v>
      </c>
      <c r="F35" s="102">
        <v>33196.0</v>
      </c>
      <c r="G35" s="102">
        <v>4983.0</v>
      </c>
      <c r="H35" s="103" t="s">
        <v>185</v>
      </c>
      <c r="I35" s="103" t="s">
        <v>191</v>
      </c>
      <c r="J35" s="103">
        <v>9.0</v>
      </c>
      <c r="K35" s="104" t="s">
        <v>296</v>
      </c>
      <c r="L35" s="16"/>
      <c r="M35" s="16"/>
      <c r="N35" s="16"/>
      <c r="O35" s="16"/>
      <c r="P35" s="16"/>
      <c r="Q35" s="16"/>
      <c r="R35" s="16"/>
      <c r="S35" s="16"/>
      <c r="T35" s="16"/>
      <c r="U35" s="16"/>
      <c r="V35" s="16"/>
      <c r="W35" s="16"/>
      <c r="X35" s="16"/>
      <c r="Y35" s="16"/>
      <c r="Z35" s="16"/>
    </row>
    <row r="36" ht="25.5" customHeight="1">
      <c r="A36" s="100" t="s">
        <v>299</v>
      </c>
      <c r="B36" s="101" t="s">
        <v>300</v>
      </c>
      <c r="C36" s="101" t="s">
        <v>301</v>
      </c>
      <c r="D36" s="101" t="s">
        <v>302</v>
      </c>
      <c r="E36" s="101" t="s">
        <v>303</v>
      </c>
      <c r="F36" s="102">
        <v>10011.0</v>
      </c>
      <c r="G36" s="102">
        <v>6123.0</v>
      </c>
      <c r="H36" s="103" t="s">
        <v>195</v>
      </c>
      <c r="I36" s="103" t="s">
        <v>196</v>
      </c>
      <c r="J36" s="103">
        <v>27.0</v>
      </c>
      <c r="K36" s="104" t="s">
        <v>304</v>
      </c>
      <c r="L36" s="16"/>
      <c r="M36" s="16"/>
      <c r="N36" s="16"/>
      <c r="O36" s="16"/>
      <c r="P36" s="16"/>
      <c r="Q36" s="16"/>
      <c r="R36" s="16"/>
      <c r="S36" s="16"/>
      <c r="T36" s="16"/>
      <c r="U36" s="16"/>
      <c r="V36" s="16"/>
      <c r="W36" s="16"/>
      <c r="X36" s="16"/>
      <c r="Y36" s="16"/>
      <c r="Z36" s="16"/>
    </row>
    <row r="37" ht="25.5" customHeight="1">
      <c r="A37" s="100" t="s">
        <v>305</v>
      </c>
      <c r="B37" s="101" t="s">
        <v>306</v>
      </c>
      <c r="C37" s="101" t="s">
        <v>307</v>
      </c>
      <c r="D37" s="101" t="s">
        <v>302</v>
      </c>
      <c r="E37" s="101" t="s">
        <v>303</v>
      </c>
      <c r="F37" s="102">
        <v>10011.0</v>
      </c>
      <c r="G37" s="102">
        <v>6123.0</v>
      </c>
      <c r="H37" s="103" t="s">
        <v>195</v>
      </c>
      <c r="I37" s="103" t="s">
        <v>186</v>
      </c>
      <c r="J37" s="103">
        <v>27.0</v>
      </c>
      <c r="K37" s="104" t="s">
        <v>304</v>
      </c>
      <c r="L37" s="16"/>
      <c r="M37" s="16"/>
      <c r="N37" s="16"/>
      <c r="O37" s="16"/>
      <c r="P37" s="16"/>
      <c r="Q37" s="16"/>
      <c r="R37" s="16"/>
      <c r="S37" s="16"/>
      <c r="T37" s="16"/>
      <c r="U37" s="16"/>
      <c r="V37" s="16"/>
      <c r="W37" s="16"/>
      <c r="X37" s="16"/>
      <c r="Y37" s="16"/>
      <c r="Z37" s="16"/>
    </row>
    <row r="38" ht="25.5" customHeight="1">
      <c r="A38" s="100" t="s">
        <v>299</v>
      </c>
      <c r="B38" s="101" t="s">
        <v>308</v>
      </c>
      <c r="C38" s="101" t="s">
        <v>309</v>
      </c>
      <c r="D38" s="101" t="s">
        <v>302</v>
      </c>
      <c r="E38" s="101" t="s">
        <v>303</v>
      </c>
      <c r="F38" s="102">
        <v>10011.0</v>
      </c>
      <c r="G38" s="102">
        <v>6123.0</v>
      </c>
      <c r="H38" s="103" t="s">
        <v>195</v>
      </c>
      <c r="I38" s="103" t="s">
        <v>196</v>
      </c>
      <c r="J38" s="103">
        <v>27.0</v>
      </c>
      <c r="K38" s="104" t="s">
        <v>304</v>
      </c>
      <c r="L38" s="16"/>
      <c r="M38" s="16"/>
      <c r="N38" s="16"/>
      <c r="O38" s="16"/>
      <c r="P38" s="16"/>
      <c r="Q38" s="16"/>
      <c r="R38" s="16"/>
      <c r="S38" s="16"/>
      <c r="T38" s="16"/>
      <c r="U38" s="16"/>
      <c r="V38" s="16"/>
      <c r="W38" s="16"/>
      <c r="X38" s="16"/>
      <c r="Y38" s="16"/>
      <c r="Z38" s="16"/>
    </row>
    <row r="39" ht="25.5" customHeight="1">
      <c r="A39" s="100" t="s">
        <v>310</v>
      </c>
      <c r="B39" s="101" t="s">
        <v>311</v>
      </c>
      <c r="C39" s="101" t="s">
        <v>312</v>
      </c>
      <c r="D39" s="101" t="s">
        <v>302</v>
      </c>
      <c r="E39" s="101" t="s">
        <v>303</v>
      </c>
      <c r="F39" s="102">
        <v>10025.0</v>
      </c>
      <c r="G39" s="102">
        <v>5627.0</v>
      </c>
      <c r="H39" s="103" t="s">
        <v>185</v>
      </c>
      <c r="I39" s="103" t="s">
        <v>191</v>
      </c>
      <c r="J39" s="103">
        <v>54.0</v>
      </c>
      <c r="K39" s="104" t="s">
        <v>313</v>
      </c>
      <c r="L39" s="16"/>
      <c r="M39" s="16"/>
      <c r="N39" s="16"/>
      <c r="O39" s="16"/>
      <c r="P39" s="16"/>
      <c r="Q39" s="16"/>
      <c r="R39" s="16"/>
      <c r="S39" s="16"/>
      <c r="T39" s="16"/>
      <c r="U39" s="16"/>
      <c r="V39" s="16"/>
      <c r="W39" s="16"/>
      <c r="X39" s="16"/>
      <c r="Y39" s="16"/>
      <c r="Z39" s="16"/>
    </row>
    <row r="40" ht="25.5" customHeight="1">
      <c r="A40" s="100" t="s">
        <v>314</v>
      </c>
      <c r="B40" s="101" t="s">
        <v>315</v>
      </c>
      <c r="C40" s="101" t="s">
        <v>316</v>
      </c>
      <c r="D40" s="101" t="s">
        <v>302</v>
      </c>
      <c r="E40" s="101" t="s">
        <v>303</v>
      </c>
      <c r="F40" s="102">
        <v>10025.0</v>
      </c>
      <c r="G40" s="102">
        <v>5627.0</v>
      </c>
      <c r="H40" s="103" t="s">
        <v>185</v>
      </c>
      <c r="I40" s="103" t="s">
        <v>186</v>
      </c>
      <c r="J40" s="103">
        <v>54.0</v>
      </c>
      <c r="K40" s="104" t="s">
        <v>313</v>
      </c>
      <c r="L40" s="16"/>
      <c r="M40" s="16"/>
      <c r="N40" s="16"/>
      <c r="O40" s="16"/>
      <c r="P40" s="16"/>
      <c r="Q40" s="16"/>
      <c r="R40" s="16"/>
      <c r="S40" s="16"/>
      <c r="T40" s="16"/>
      <c r="U40" s="16"/>
      <c r="V40" s="16"/>
      <c r="W40" s="16"/>
      <c r="X40" s="16"/>
      <c r="Y40" s="16"/>
      <c r="Z40" s="16"/>
    </row>
    <row r="41" ht="25.5" customHeight="1">
      <c r="A41" s="100" t="s">
        <v>314</v>
      </c>
      <c r="B41" s="101" t="s">
        <v>315</v>
      </c>
      <c r="C41" s="101" t="s">
        <v>317</v>
      </c>
      <c r="D41" s="101" t="s">
        <v>302</v>
      </c>
      <c r="E41" s="101" t="s">
        <v>303</v>
      </c>
      <c r="F41" s="102">
        <v>10025.0</v>
      </c>
      <c r="G41" s="102">
        <v>5627.0</v>
      </c>
      <c r="H41" s="103" t="s">
        <v>185</v>
      </c>
      <c r="I41" s="103" t="s">
        <v>186</v>
      </c>
      <c r="J41" s="103">
        <v>54.0</v>
      </c>
      <c r="K41" s="104" t="s">
        <v>313</v>
      </c>
      <c r="L41" s="16"/>
      <c r="M41" s="16"/>
      <c r="N41" s="16"/>
      <c r="O41" s="16"/>
      <c r="P41" s="16"/>
      <c r="Q41" s="16"/>
      <c r="R41" s="16"/>
      <c r="S41" s="16"/>
      <c r="T41" s="16"/>
      <c r="U41" s="16"/>
      <c r="V41" s="16"/>
      <c r="W41" s="16"/>
      <c r="X41" s="16"/>
      <c r="Y41" s="16"/>
      <c r="Z41" s="16"/>
    </row>
    <row r="42" ht="25.5" customHeight="1">
      <c r="A42" s="100" t="s">
        <v>318</v>
      </c>
      <c r="B42" s="101" t="s">
        <v>315</v>
      </c>
      <c r="C42" s="101" t="s">
        <v>319</v>
      </c>
      <c r="D42" s="101" t="s">
        <v>302</v>
      </c>
      <c r="E42" s="101" t="s">
        <v>303</v>
      </c>
      <c r="F42" s="102">
        <v>10025.0</v>
      </c>
      <c r="G42" s="102">
        <v>5627.0</v>
      </c>
      <c r="H42" s="103" t="s">
        <v>185</v>
      </c>
      <c r="I42" s="103" t="s">
        <v>196</v>
      </c>
      <c r="J42" s="103">
        <v>54.0</v>
      </c>
      <c r="K42" s="104" t="s">
        <v>313</v>
      </c>
      <c r="L42" s="16"/>
      <c r="M42" s="16"/>
      <c r="N42" s="16"/>
      <c r="O42" s="16"/>
      <c r="P42" s="16"/>
      <c r="Q42" s="16"/>
      <c r="R42" s="16"/>
      <c r="S42" s="16"/>
      <c r="T42" s="16"/>
      <c r="U42" s="16"/>
      <c r="V42" s="16"/>
      <c r="W42" s="16"/>
      <c r="X42" s="16"/>
      <c r="Y42" s="16"/>
      <c r="Z42" s="16"/>
    </row>
    <row r="43" ht="25.5" customHeight="1">
      <c r="A43" s="100" t="s">
        <v>320</v>
      </c>
      <c r="B43" s="101" t="s">
        <v>321</v>
      </c>
      <c r="C43" s="101" t="s">
        <v>301</v>
      </c>
      <c r="D43" s="101" t="s">
        <v>302</v>
      </c>
      <c r="E43" s="101" t="s">
        <v>303</v>
      </c>
      <c r="F43" s="102">
        <v>10011.0</v>
      </c>
      <c r="G43" s="102">
        <v>6123.0</v>
      </c>
      <c r="H43" s="103" t="s">
        <v>195</v>
      </c>
      <c r="I43" s="103" t="s">
        <v>196</v>
      </c>
      <c r="J43" s="103">
        <v>27.0</v>
      </c>
      <c r="K43" s="104" t="s">
        <v>304</v>
      </c>
      <c r="L43" s="16"/>
      <c r="M43" s="16"/>
      <c r="N43" s="16"/>
      <c r="O43" s="16"/>
      <c r="P43" s="16"/>
      <c r="Q43" s="16"/>
      <c r="R43" s="16"/>
      <c r="S43" s="16"/>
      <c r="T43" s="16"/>
      <c r="U43" s="16"/>
      <c r="V43" s="16"/>
      <c r="W43" s="16"/>
      <c r="X43" s="16"/>
      <c r="Y43" s="16"/>
      <c r="Z43" s="16"/>
    </row>
    <row r="44" ht="25.5" customHeight="1">
      <c r="A44" s="100" t="s">
        <v>322</v>
      </c>
      <c r="B44" s="101" t="s">
        <v>323</v>
      </c>
      <c r="C44" s="101" t="s">
        <v>324</v>
      </c>
      <c r="D44" s="101" t="s">
        <v>325</v>
      </c>
      <c r="E44" s="101" t="s">
        <v>184</v>
      </c>
      <c r="F44" s="102">
        <v>66204.0</v>
      </c>
      <c r="G44" s="102">
        <v>2381.0</v>
      </c>
      <c r="H44" s="103" t="s">
        <v>195</v>
      </c>
      <c r="I44" s="103" t="s">
        <v>191</v>
      </c>
      <c r="J44" s="103">
        <v>11.0</v>
      </c>
      <c r="K44" s="104" t="s">
        <v>326</v>
      </c>
      <c r="L44" s="16"/>
      <c r="M44" s="16"/>
      <c r="N44" s="16"/>
      <c r="O44" s="16"/>
      <c r="P44" s="16"/>
      <c r="Q44" s="16"/>
      <c r="R44" s="16"/>
      <c r="S44" s="16"/>
      <c r="T44" s="16"/>
      <c r="U44" s="16"/>
      <c r="V44" s="16"/>
      <c r="W44" s="16"/>
      <c r="X44" s="16"/>
      <c r="Y44" s="16"/>
      <c r="Z44" s="16"/>
    </row>
    <row r="45" ht="25.5" customHeight="1">
      <c r="A45" s="100" t="s">
        <v>327</v>
      </c>
      <c r="B45" s="101" t="s">
        <v>323</v>
      </c>
      <c r="C45" s="101" t="s">
        <v>328</v>
      </c>
      <c r="D45" s="101" t="s">
        <v>325</v>
      </c>
      <c r="E45" s="101" t="s">
        <v>184</v>
      </c>
      <c r="F45" s="102">
        <v>66204.0</v>
      </c>
      <c r="G45" s="102">
        <v>2381.0</v>
      </c>
      <c r="H45" s="103" t="s">
        <v>195</v>
      </c>
      <c r="I45" s="103" t="s">
        <v>191</v>
      </c>
      <c r="J45" s="103">
        <v>11.0</v>
      </c>
      <c r="K45" s="104" t="s">
        <v>326</v>
      </c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</row>
    <row r="46" ht="25.5" customHeight="1">
      <c r="A46" s="100" t="s">
        <v>329</v>
      </c>
      <c r="B46" s="101" t="s">
        <v>330</v>
      </c>
      <c r="C46" s="101" t="s">
        <v>331</v>
      </c>
      <c r="D46" s="101" t="s">
        <v>325</v>
      </c>
      <c r="E46" s="101" t="s">
        <v>184</v>
      </c>
      <c r="F46" s="102">
        <v>66204.0</v>
      </c>
      <c r="G46" s="102">
        <v>2381.0</v>
      </c>
      <c r="H46" s="103" t="s">
        <v>195</v>
      </c>
      <c r="I46" s="103" t="s">
        <v>191</v>
      </c>
      <c r="J46" s="103">
        <v>11.0</v>
      </c>
      <c r="K46" s="104" t="s">
        <v>326</v>
      </c>
      <c r="L46" s="16"/>
      <c r="M46" s="16"/>
      <c r="N46" s="16"/>
      <c r="O46" s="16"/>
      <c r="P46" s="16"/>
      <c r="Q46" s="16"/>
      <c r="R46" s="16"/>
      <c r="S46" s="16"/>
      <c r="T46" s="16"/>
      <c r="U46" s="16"/>
      <c r="V46" s="16"/>
      <c r="W46" s="16"/>
      <c r="X46" s="16"/>
      <c r="Y46" s="16"/>
      <c r="Z46" s="16"/>
    </row>
    <row r="47" ht="25.5" customHeight="1">
      <c r="A47" s="100" t="s">
        <v>327</v>
      </c>
      <c r="B47" s="101" t="s">
        <v>332</v>
      </c>
      <c r="C47" s="101" t="s">
        <v>333</v>
      </c>
      <c r="D47" s="101" t="s">
        <v>325</v>
      </c>
      <c r="E47" s="101" t="s">
        <v>184</v>
      </c>
      <c r="F47" s="102">
        <v>66204.0</v>
      </c>
      <c r="G47" s="102">
        <v>2381.0</v>
      </c>
      <c r="H47" s="103" t="s">
        <v>195</v>
      </c>
      <c r="I47" s="103" t="s">
        <v>186</v>
      </c>
      <c r="J47" s="103">
        <v>11.0</v>
      </c>
      <c r="K47" s="104" t="s">
        <v>326</v>
      </c>
      <c r="L47" s="16"/>
      <c r="M47" s="16"/>
      <c r="N47" s="16"/>
      <c r="O47" s="16"/>
      <c r="P47" s="16"/>
      <c r="Q47" s="16"/>
      <c r="R47" s="16"/>
      <c r="S47" s="16"/>
      <c r="T47" s="16"/>
      <c r="U47" s="16"/>
      <c r="V47" s="16"/>
      <c r="W47" s="16"/>
      <c r="X47" s="16"/>
      <c r="Y47" s="16"/>
      <c r="Z47" s="16"/>
    </row>
    <row r="48" ht="25.5" customHeight="1">
      <c r="A48" s="100" t="s">
        <v>334</v>
      </c>
      <c r="B48" s="101" t="s">
        <v>335</v>
      </c>
      <c r="C48" s="101" t="s">
        <v>336</v>
      </c>
      <c r="D48" s="101" t="s">
        <v>337</v>
      </c>
      <c r="E48" s="101" t="s">
        <v>338</v>
      </c>
      <c r="F48" s="102">
        <v>97754.0</v>
      </c>
      <c r="G48" s="102">
        <v>5217.0</v>
      </c>
      <c r="H48" s="103" t="s">
        <v>185</v>
      </c>
      <c r="I48" s="103" t="s">
        <v>196</v>
      </c>
      <c r="J48" s="103">
        <v>73.0</v>
      </c>
      <c r="K48" s="104" t="s">
        <v>339</v>
      </c>
      <c r="L48" s="16"/>
      <c r="M48" s="16"/>
      <c r="N48" s="16"/>
      <c r="O48" s="16"/>
      <c r="P48" s="16"/>
      <c r="Q48" s="16"/>
      <c r="R48" s="16"/>
      <c r="S48" s="16"/>
      <c r="T48" s="16"/>
      <c r="U48" s="16"/>
      <c r="V48" s="16"/>
      <c r="W48" s="16"/>
      <c r="X48" s="16"/>
      <c r="Y48" s="16"/>
      <c r="Z48" s="16"/>
    </row>
    <row r="49" ht="25.5" customHeight="1">
      <c r="A49" s="100" t="s">
        <v>86</v>
      </c>
      <c r="B49" s="101" t="s">
        <v>340</v>
      </c>
      <c r="C49" s="101" t="s">
        <v>341</v>
      </c>
      <c r="D49" s="101" t="s">
        <v>337</v>
      </c>
      <c r="E49" s="101" t="s">
        <v>338</v>
      </c>
      <c r="F49" s="102">
        <v>97754.0</v>
      </c>
      <c r="G49" s="102">
        <v>5217.0</v>
      </c>
      <c r="H49" s="103" t="s">
        <v>185</v>
      </c>
      <c r="I49" s="103" t="s">
        <v>191</v>
      </c>
      <c r="J49" s="103">
        <v>73.0</v>
      </c>
      <c r="K49" s="104" t="s">
        <v>339</v>
      </c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</row>
    <row r="50" ht="25.5" customHeight="1">
      <c r="A50" s="100" t="s">
        <v>342</v>
      </c>
      <c r="B50" s="101" t="s">
        <v>343</v>
      </c>
      <c r="C50" s="101" t="s">
        <v>344</v>
      </c>
      <c r="D50" s="101" t="s">
        <v>337</v>
      </c>
      <c r="E50" s="101" t="s">
        <v>338</v>
      </c>
      <c r="F50" s="102">
        <v>97754.0</v>
      </c>
      <c r="G50" s="102">
        <v>5217.0</v>
      </c>
      <c r="H50" s="103" t="s">
        <v>185</v>
      </c>
      <c r="I50" s="103" t="s">
        <v>191</v>
      </c>
      <c r="J50" s="103">
        <v>73.0</v>
      </c>
      <c r="K50" s="104" t="s">
        <v>339</v>
      </c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</row>
    <row r="51" ht="25.5" customHeight="1">
      <c r="A51" s="100" t="s">
        <v>345</v>
      </c>
      <c r="B51" s="101" t="s">
        <v>346</v>
      </c>
      <c r="C51" s="101" t="s">
        <v>347</v>
      </c>
      <c r="D51" s="101" t="s">
        <v>337</v>
      </c>
      <c r="E51" s="101" t="s">
        <v>338</v>
      </c>
      <c r="F51" s="102">
        <v>97754.0</v>
      </c>
      <c r="G51" s="102">
        <v>5217.0</v>
      </c>
      <c r="H51" s="103" t="s">
        <v>185</v>
      </c>
      <c r="I51" s="103" t="s">
        <v>196</v>
      </c>
      <c r="J51" s="103">
        <v>73.0</v>
      </c>
      <c r="K51" s="104" t="s">
        <v>339</v>
      </c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</row>
    <row r="52" ht="25.5" customHeight="1">
      <c r="A52" s="100" t="s">
        <v>348</v>
      </c>
      <c r="B52" s="101" t="s">
        <v>346</v>
      </c>
      <c r="C52" s="101" t="s">
        <v>349</v>
      </c>
      <c r="D52" s="101" t="s">
        <v>337</v>
      </c>
      <c r="E52" s="101" t="s">
        <v>338</v>
      </c>
      <c r="F52" s="102">
        <v>97754.0</v>
      </c>
      <c r="G52" s="102">
        <v>5217.0</v>
      </c>
      <c r="H52" s="103" t="s">
        <v>185</v>
      </c>
      <c r="I52" s="103" t="s">
        <v>196</v>
      </c>
      <c r="J52" s="103">
        <v>73.0</v>
      </c>
      <c r="K52" s="104" t="s">
        <v>339</v>
      </c>
      <c r="L52" s="16"/>
      <c r="M52" s="16"/>
      <c r="N52" s="16"/>
      <c r="O52" s="16"/>
      <c r="P52" s="16"/>
      <c r="Q52" s="16"/>
      <c r="R52" s="16"/>
      <c r="S52" s="16"/>
      <c r="T52" s="16"/>
      <c r="U52" s="16"/>
      <c r="V52" s="16"/>
      <c r="W52" s="16"/>
      <c r="X52" s="16"/>
      <c r="Y52" s="16"/>
      <c r="Z52" s="16"/>
    </row>
    <row r="53" ht="25.5" customHeight="1">
      <c r="A53" s="100" t="s">
        <v>230</v>
      </c>
      <c r="B53" s="101" t="s">
        <v>350</v>
      </c>
      <c r="C53" s="101" t="s">
        <v>351</v>
      </c>
      <c r="D53" s="101" t="s">
        <v>352</v>
      </c>
      <c r="E53" s="101" t="s">
        <v>353</v>
      </c>
      <c r="F53" s="102">
        <v>78204.0</v>
      </c>
      <c r="G53" s="102">
        <v>5812.0</v>
      </c>
      <c r="H53" s="103" t="s">
        <v>195</v>
      </c>
      <c r="I53" s="103" t="s">
        <v>191</v>
      </c>
      <c r="J53" s="103">
        <v>48.0</v>
      </c>
      <c r="K53" s="104" t="s">
        <v>354</v>
      </c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</row>
    <row r="54" ht="25.5" customHeight="1">
      <c r="A54" s="100" t="s">
        <v>355</v>
      </c>
      <c r="B54" s="101" t="s">
        <v>350</v>
      </c>
      <c r="C54" s="101" t="s">
        <v>356</v>
      </c>
      <c r="D54" s="101" t="s">
        <v>352</v>
      </c>
      <c r="E54" s="101" t="s">
        <v>353</v>
      </c>
      <c r="F54" s="102">
        <v>78204.0</v>
      </c>
      <c r="G54" s="102">
        <v>5812.0</v>
      </c>
      <c r="H54" s="103" t="s">
        <v>195</v>
      </c>
      <c r="I54" s="103" t="s">
        <v>191</v>
      </c>
      <c r="J54" s="103">
        <v>48.0</v>
      </c>
      <c r="K54" s="104" t="s">
        <v>354</v>
      </c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</row>
    <row r="55" ht="25.5" customHeight="1">
      <c r="A55" s="100" t="s">
        <v>357</v>
      </c>
      <c r="B55" s="101" t="s">
        <v>228</v>
      </c>
      <c r="C55" s="101" t="s">
        <v>358</v>
      </c>
      <c r="D55" s="101" t="s">
        <v>352</v>
      </c>
      <c r="E55" s="101" t="s">
        <v>353</v>
      </c>
      <c r="F55" s="102">
        <v>78204.0</v>
      </c>
      <c r="G55" s="102">
        <v>3973.0</v>
      </c>
      <c r="H55" s="103" t="s">
        <v>195</v>
      </c>
      <c r="I55" s="103" t="s">
        <v>186</v>
      </c>
      <c r="J55" s="103">
        <v>76.0</v>
      </c>
      <c r="K55" s="104" t="s">
        <v>354</v>
      </c>
      <c r="L55" s="16"/>
      <c r="M55" s="16"/>
      <c r="N55" s="16"/>
      <c r="O55" s="16"/>
      <c r="P55" s="16"/>
      <c r="Q55" s="16"/>
      <c r="R55" s="16"/>
      <c r="S55" s="16"/>
      <c r="T55" s="16"/>
      <c r="U55" s="16"/>
      <c r="V55" s="16"/>
      <c r="W55" s="16"/>
      <c r="X55" s="16"/>
      <c r="Y55" s="16"/>
      <c r="Z55" s="16"/>
    </row>
    <row r="56" ht="25.5" customHeight="1">
      <c r="A56" s="100" t="s">
        <v>334</v>
      </c>
      <c r="B56" s="101" t="s">
        <v>359</v>
      </c>
      <c r="C56" s="101" t="s">
        <v>360</v>
      </c>
      <c r="D56" s="101" t="s">
        <v>352</v>
      </c>
      <c r="E56" s="101" t="s">
        <v>353</v>
      </c>
      <c r="F56" s="102">
        <v>78204.0</v>
      </c>
      <c r="G56" s="102">
        <v>3973.0</v>
      </c>
      <c r="H56" s="103" t="s">
        <v>195</v>
      </c>
      <c r="I56" s="103" t="s">
        <v>191</v>
      </c>
      <c r="J56" s="103">
        <v>76.0</v>
      </c>
      <c r="K56" s="104" t="s">
        <v>354</v>
      </c>
      <c r="L56" s="16"/>
      <c r="M56" s="16"/>
      <c r="N56" s="16"/>
      <c r="O56" s="16"/>
      <c r="P56" s="16"/>
      <c r="Q56" s="16"/>
      <c r="R56" s="16"/>
      <c r="S56" s="16"/>
      <c r="T56" s="16"/>
      <c r="U56" s="16"/>
      <c r="V56" s="16"/>
      <c r="W56" s="16"/>
      <c r="X56" s="16"/>
      <c r="Y56" s="16"/>
      <c r="Z56" s="16"/>
    </row>
    <row r="57" ht="25.5" customHeight="1">
      <c r="A57" s="100" t="s">
        <v>357</v>
      </c>
      <c r="B57" s="101" t="s">
        <v>359</v>
      </c>
      <c r="C57" s="101" t="s">
        <v>361</v>
      </c>
      <c r="D57" s="101" t="s">
        <v>352</v>
      </c>
      <c r="E57" s="101" t="s">
        <v>353</v>
      </c>
      <c r="F57" s="102">
        <v>78204.0</v>
      </c>
      <c r="G57" s="102">
        <v>3973.0</v>
      </c>
      <c r="H57" s="103" t="s">
        <v>195</v>
      </c>
      <c r="I57" s="103" t="s">
        <v>191</v>
      </c>
      <c r="J57" s="103">
        <v>76.0</v>
      </c>
      <c r="K57" s="104" t="s">
        <v>354</v>
      </c>
      <c r="L57" s="16"/>
      <c r="M57" s="16"/>
      <c r="N57" s="16"/>
      <c r="O57" s="16"/>
      <c r="P57" s="16"/>
      <c r="Q57" s="16"/>
      <c r="R57" s="16"/>
      <c r="S57" s="16"/>
      <c r="T57" s="16"/>
      <c r="U57" s="16"/>
      <c r="V57" s="16"/>
      <c r="W57" s="16"/>
      <c r="X57" s="16"/>
      <c r="Y57" s="16"/>
      <c r="Z57" s="16"/>
    </row>
    <row r="58" ht="25.5" customHeight="1">
      <c r="A58" s="100" t="s">
        <v>362</v>
      </c>
      <c r="B58" s="101" t="s">
        <v>359</v>
      </c>
      <c r="C58" s="101" t="s">
        <v>363</v>
      </c>
      <c r="D58" s="101" t="s">
        <v>352</v>
      </c>
      <c r="E58" s="101" t="s">
        <v>353</v>
      </c>
      <c r="F58" s="102">
        <v>78204.0</v>
      </c>
      <c r="G58" s="102">
        <v>3973.0</v>
      </c>
      <c r="H58" s="103" t="s">
        <v>195</v>
      </c>
      <c r="I58" s="103" t="s">
        <v>186</v>
      </c>
      <c r="J58" s="103">
        <v>76.0</v>
      </c>
      <c r="K58" s="104" t="s">
        <v>354</v>
      </c>
      <c r="L58" s="16"/>
      <c r="M58" s="16"/>
      <c r="N58" s="16"/>
      <c r="O58" s="16"/>
      <c r="P58" s="16"/>
      <c r="Q58" s="16"/>
      <c r="R58" s="16"/>
      <c r="S58" s="16"/>
      <c r="T58" s="16"/>
      <c r="U58" s="16"/>
      <c r="V58" s="16"/>
      <c r="W58" s="16"/>
      <c r="X58" s="16"/>
      <c r="Y58" s="16"/>
      <c r="Z58" s="16"/>
    </row>
    <row r="59" ht="25.5" customHeight="1">
      <c r="A59" s="100" t="s">
        <v>357</v>
      </c>
      <c r="B59" s="101" t="s">
        <v>364</v>
      </c>
      <c r="C59" s="101" t="s">
        <v>365</v>
      </c>
      <c r="D59" s="101" t="s">
        <v>352</v>
      </c>
      <c r="E59" s="101" t="s">
        <v>353</v>
      </c>
      <c r="F59" s="102">
        <v>78204.0</v>
      </c>
      <c r="G59" s="102">
        <v>3973.0</v>
      </c>
      <c r="H59" s="103" t="s">
        <v>195</v>
      </c>
      <c r="I59" s="103" t="s">
        <v>191</v>
      </c>
      <c r="J59" s="103">
        <v>76.0</v>
      </c>
      <c r="K59" s="104" t="s">
        <v>354</v>
      </c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</row>
    <row r="60" ht="15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</row>
    <row r="61" ht="15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</row>
    <row r="62" ht="15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6"/>
      <c r="L62" s="16"/>
      <c r="M62" s="16"/>
      <c r="N62" s="16"/>
      <c r="O62" s="16"/>
      <c r="P62" s="16"/>
      <c r="Q62" s="16"/>
      <c r="R62" s="16"/>
      <c r="S62" s="16"/>
      <c r="T62" s="16"/>
      <c r="U62" s="16"/>
      <c r="V62" s="16"/>
      <c r="W62" s="16"/>
      <c r="X62" s="16"/>
      <c r="Y62" s="16"/>
      <c r="Z62" s="16"/>
    </row>
    <row r="63" ht="15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</row>
    <row r="64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</row>
    <row r="65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6"/>
      <c r="L65" s="16"/>
      <c r="M65" s="16"/>
      <c r="N65" s="16"/>
      <c r="O65" s="16"/>
      <c r="P65" s="16"/>
      <c r="Q65" s="16"/>
      <c r="R65" s="16"/>
      <c r="S65" s="16"/>
      <c r="T65" s="16"/>
      <c r="U65" s="16"/>
      <c r="V65" s="16"/>
      <c r="W65" s="16"/>
      <c r="X65" s="16"/>
      <c r="Y65" s="16"/>
      <c r="Z65" s="16"/>
    </row>
    <row r="6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</row>
    <row r="67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</row>
    <row r="68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69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6"/>
      <c r="L69" s="16"/>
      <c r="M69" s="16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</row>
    <row r="70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6"/>
      <c r="L70" s="16"/>
      <c r="M70" s="16"/>
      <c r="N70" s="16"/>
      <c r="O70" s="16"/>
      <c r="P70" s="16"/>
      <c r="Q70" s="16"/>
      <c r="R70" s="16"/>
      <c r="S70" s="16"/>
      <c r="T70" s="16"/>
      <c r="U70" s="16"/>
      <c r="V70" s="16"/>
      <c r="W70" s="16"/>
      <c r="X70" s="16"/>
      <c r="Y70" s="16"/>
      <c r="Z70" s="16"/>
    </row>
    <row r="71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6"/>
      <c r="L71" s="16"/>
      <c r="M71" s="16"/>
      <c r="N71" s="16"/>
      <c r="O71" s="16"/>
      <c r="P71" s="16"/>
      <c r="Q71" s="16"/>
      <c r="R71" s="16"/>
      <c r="S71" s="16"/>
      <c r="T71" s="16"/>
      <c r="U71" s="16"/>
      <c r="V71" s="16"/>
      <c r="W71" s="16"/>
      <c r="X71" s="16"/>
      <c r="Y71" s="16"/>
      <c r="Z71" s="16"/>
    </row>
    <row r="72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6"/>
      <c r="L72" s="16"/>
      <c r="M72" s="16"/>
      <c r="N72" s="16"/>
      <c r="O72" s="16"/>
      <c r="P72" s="16"/>
      <c r="Q72" s="16"/>
      <c r="R72" s="16"/>
      <c r="S72" s="16"/>
      <c r="T72" s="16"/>
      <c r="U72" s="16"/>
      <c r="V72" s="16"/>
      <c r="W72" s="16"/>
      <c r="X72" s="16"/>
      <c r="Y72" s="16"/>
      <c r="Z72" s="16"/>
    </row>
    <row r="73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6"/>
      <c r="L73" s="16"/>
      <c r="M73" s="16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</row>
    <row r="74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6"/>
      <c r="L74" s="16"/>
      <c r="M74" s="16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</row>
    <row r="75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6"/>
      <c r="L75" s="16"/>
      <c r="M75" s="16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</row>
    <row r="7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6"/>
      <c r="L76" s="16"/>
      <c r="M76" s="16"/>
      <c r="N76" s="16"/>
      <c r="O76" s="16"/>
      <c r="P76" s="16"/>
      <c r="Q76" s="16"/>
      <c r="R76" s="16"/>
      <c r="S76" s="16"/>
      <c r="T76" s="16"/>
      <c r="U76" s="16"/>
      <c r="V76" s="16"/>
      <c r="W76" s="16"/>
      <c r="X76" s="16"/>
      <c r="Y76" s="16"/>
      <c r="Z76" s="16"/>
    </row>
    <row r="77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6"/>
      <c r="L77" s="16"/>
      <c r="M77" s="16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</row>
    <row r="78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6"/>
      <c r="L78" s="16"/>
      <c r="M78" s="16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</row>
    <row r="79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6"/>
      <c r="L79" s="16"/>
      <c r="M79" s="16"/>
      <c r="N79" s="16"/>
      <c r="O79" s="16"/>
      <c r="P79" s="16"/>
      <c r="Q79" s="16"/>
      <c r="R79" s="16"/>
      <c r="S79" s="16"/>
      <c r="T79" s="16"/>
      <c r="U79" s="16"/>
      <c r="V79" s="16"/>
      <c r="W79" s="16"/>
      <c r="X79" s="16"/>
      <c r="Y79" s="16"/>
      <c r="Z79" s="16"/>
    </row>
    <row r="80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6"/>
      <c r="L80" s="16"/>
      <c r="M80" s="16"/>
      <c r="N80" s="16"/>
      <c r="O80" s="16"/>
      <c r="P80" s="16"/>
      <c r="Q80" s="16"/>
      <c r="R80" s="16"/>
      <c r="S80" s="16"/>
      <c r="T80" s="16"/>
      <c r="U80" s="16"/>
      <c r="V80" s="16"/>
      <c r="W80" s="16"/>
      <c r="X80" s="16"/>
      <c r="Y80" s="16"/>
      <c r="Z80" s="16"/>
    </row>
    <row r="81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6"/>
      <c r="L81" s="16"/>
      <c r="M81" s="16"/>
      <c r="N81" s="16"/>
      <c r="O81" s="16"/>
      <c r="P81" s="16"/>
      <c r="Q81" s="16"/>
      <c r="R81" s="16"/>
      <c r="S81" s="16"/>
      <c r="T81" s="16"/>
      <c r="U81" s="16"/>
      <c r="V81" s="16"/>
      <c r="W81" s="16"/>
      <c r="X81" s="16"/>
      <c r="Y81" s="16"/>
      <c r="Z81" s="16"/>
    </row>
    <row r="82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6"/>
      <c r="L82" s="16"/>
      <c r="M82" s="16"/>
      <c r="N82" s="16"/>
      <c r="O82" s="16"/>
      <c r="P82" s="16"/>
      <c r="Q82" s="16"/>
      <c r="R82" s="16"/>
      <c r="S82" s="16"/>
      <c r="T82" s="16"/>
      <c r="U82" s="16"/>
      <c r="V82" s="16"/>
      <c r="W82" s="16"/>
      <c r="X82" s="16"/>
      <c r="Y82" s="16"/>
      <c r="Z82" s="16"/>
    </row>
    <row r="83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6"/>
      <c r="L83" s="16"/>
      <c r="M83" s="16"/>
      <c r="N83" s="16"/>
      <c r="O83" s="16"/>
      <c r="P83" s="16"/>
      <c r="Q83" s="16"/>
      <c r="R83" s="16"/>
      <c r="S83" s="16"/>
      <c r="T83" s="16"/>
      <c r="U83" s="16"/>
      <c r="V83" s="16"/>
      <c r="W83" s="16"/>
      <c r="X83" s="16"/>
      <c r="Y83" s="16"/>
      <c r="Z83" s="16"/>
    </row>
    <row r="84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6"/>
      <c r="L84" s="16"/>
      <c r="M84" s="16"/>
      <c r="N84" s="16"/>
      <c r="O84" s="16"/>
      <c r="P84" s="16"/>
      <c r="Q84" s="16"/>
      <c r="R84" s="16"/>
      <c r="S84" s="16"/>
      <c r="T84" s="16"/>
      <c r="U84" s="16"/>
      <c r="V84" s="16"/>
      <c r="W84" s="16"/>
      <c r="X84" s="16"/>
      <c r="Y84" s="16"/>
      <c r="Z84" s="16"/>
    </row>
    <row r="85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6"/>
      <c r="L85" s="16"/>
      <c r="M85" s="16"/>
      <c r="N85" s="16"/>
      <c r="O85" s="16"/>
      <c r="P85" s="16"/>
      <c r="Q85" s="16"/>
      <c r="R85" s="16"/>
      <c r="S85" s="16"/>
      <c r="T85" s="16"/>
      <c r="U85" s="16"/>
      <c r="V85" s="16"/>
      <c r="W85" s="16"/>
      <c r="X85" s="16"/>
      <c r="Y85" s="16"/>
      <c r="Z85" s="16"/>
    </row>
    <row r="8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6"/>
      <c r="L86" s="16"/>
      <c r="M86" s="16"/>
      <c r="N86" s="16"/>
      <c r="O86" s="16"/>
      <c r="P86" s="16"/>
      <c r="Q86" s="16"/>
      <c r="R86" s="16"/>
      <c r="S86" s="16"/>
      <c r="T86" s="16"/>
      <c r="U86" s="16"/>
      <c r="V86" s="16"/>
      <c r="W86" s="16"/>
      <c r="X86" s="16"/>
      <c r="Y86" s="16"/>
      <c r="Z86" s="16"/>
    </row>
    <row r="87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6"/>
      <c r="L87" s="16"/>
      <c r="M87" s="16"/>
      <c r="N87" s="16"/>
      <c r="O87" s="16"/>
      <c r="P87" s="16"/>
      <c r="Q87" s="16"/>
      <c r="R87" s="16"/>
      <c r="S87" s="16"/>
      <c r="T87" s="16"/>
      <c r="U87" s="16"/>
      <c r="V87" s="16"/>
      <c r="W87" s="16"/>
      <c r="X87" s="16"/>
      <c r="Y87" s="16"/>
      <c r="Z87" s="16"/>
    </row>
    <row r="88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6"/>
      <c r="L88" s="16"/>
      <c r="M88" s="16"/>
      <c r="N88" s="16"/>
      <c r="O88" s="16"/>
      <c r="P88" s="16"/>
      <c r="Q88" s="16"/>
      <c r="R88" s="16"/>
      <c r="S88" s="16"/>
      <c r="T88" s="16"/>
      <c r="U88" s="16"/>
      <c r="V88" s="16"/>
      <c r="W88" s="16"/>
      <c r="X88" s="16"/>
      <c r="Y88" s="16"/>
      <c r="Z88" s="16"/>
    </row>
    <row r="89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6"/>
      <c r="L89" s="16"/>
      <c r="M89" s="16"/>
      <c r="N89" s="16"/>
      <c r="O89" s="16"/>
      <c r="P89" s="16"/>
      <c r="Q89" s="16"/>
      <c r="R89" s="16"/>
      <c r="S89" s="16"/>
      <c r="T89" s="16"/>
      <c r="U89" s="16"/>
      <c r="V89" s="16"/>
      <c r="W89" s="16"/>
      <c r="X89" s="16"/>
      <c r="Y89" s="16"/>
      <c r="Z89" s="16"/>
    </row>
    <row r="90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6"/>
      <c r="L90" s="16"/>
      <c r="M90" s="16"/>
      <c r="N90" s="16"/>
      <c r="O90" s="16"/>
      <c r="P90" s="16"/>
      <c r="Q90" s="16"/>
      <c r="R90" s="16"/>
      <c r="S90" s="16"/>
      <c r="T90" s="16"/>
      <c r="U90" s="16"/>
      <c r="V90" s="16"/>
      <c r="W90" s="16"/>
      <c r="X90" s="16"/>
      <c r="Y90" s="16"/>
      <c r="Z90" s="16"/>
    </row>
    <row r="91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6"/>
      <c r="L91" s="16"/>
      <c r="M91" s="16"/>
      <c r="N91" s="16"/>
      <c r="O91" s="16"/>
      <c r="P91" s="16"/>
      <c r="Q91" s="16"/>
      <c r="R91" s="16"/>
      <c r="S91" s="16"/>
      <c r="T91" s="16"/>
      <c r="U91" s="16"/>
      <c r="V91" s="16"/>
      <c r="W91" s="16"/>
      <c r="X91" s="16"/>
      <c r="Y91" s="16"/>
      <c r="Z91" s="16"/>
    </row>
    <row r="92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6"/>
      <c r="L92" s="16"/>
      <c r="M92" s="16"/>
      <c r="N92" s="16"/>
      <c r="O92" s="16"/>
      <c r="P92" s="16"/>
      <c r="Q92" s="16"/>
      <c r="R92" s="16"/>
      <c r="S92" s="16"/>
      <c r="T92" s="16"/>
      <c r="U92" s="16"/>
      <c r="V92" s="16"/>
      <c r="W92" s="16"/>
      <c r="X92" s="16"/>
      <c r="Y92" s="16"/>
      <c r="Z92" s="16"/>
    </row>
    <row r="93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6"/>
      <c r="L93" s="16"/>
      <c r="M93" s="16"/>
      <c r="N93" s="16"/>
      <c r="O93" s="16"/>
      <c r="P93" s="16"/>
      <c r="Q93" s="16"/>
      <c r="R93" s="16"/>
      <c r="S93" s="16"/>
      <c r="T93" s="16"/>
      <c r="U93" s="16"/>
      <c r="V93" s="16"/>
      <c r="W93" s="16"/>
      <c r="X93" s="16"/>
      <c r="Y93" s="16"/>
      <c r="Z93" s="16"/>
    </row>
    <row r="94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6"/>
      <c r="L94" s="16"/>
      <c r="M94" s="16"/>
      <c r="N94" s="16"/>
      <c r="O94" s="16"/>
      <c r="P94" s="16"/>
      <c r="Q94" s="16"/>
      <c r="R94" s="16"/>
      <c r="S94" s="16"/>
      <c r="T94" s="16"/>
      <c r="U94" s="16"/>
      <c r="V94" s="16"/>
      <c r="W94" s="16"/>
      <c r="X94" s="16"/>
      <c r="Y94" s="16"/>
      <c r="Z94" s="16"/>
    </row>
    <row r="95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6"/>
      <c r="L95" s="16"/>
      <c r="M95" s="16"/>
      <c r="N95" s="16"/>
      <c r="O95" s="16"/>
      <c r="P95" s="16"/>
      <c r="Q95" s="16"/>
      <c r="R95" s="16"/>
      <c r="S95" s="16"/>
      <c r="T95" s="16"/>
      <c r="U95" s="16"/>
      <c r="V95" s="16"/>
      <c r="W95" s="16"/>
      <c r="X95" s="16"/>
      <c r="Y95" s="16"/>
      <c r="Z95" s="16"/>
    </row>
    <row r="9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6"/>
      <c r="L96" s="16"/>
      <c r="M96" s="16"/>
      <c r="N96" s="16"/>
      <c r="O96" s="16"/>
      <c r="P96" s="16"/>
      <c r="Q96" s="16"/>
      <c r="R96" s="16"/>
      <c r="S96" s="16"/>
      <c r="T96" s="16"/>
      <c r="U96" s="16"/>
      <c r="V96" s="16"/>
      <c r="W96" s="16"/>
      <c r="X96" s="16"/>
      <c r="Y96" s="16"/>
      <c r="Z96" s="16"/>
    </row>
    <row r="97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6"/>
      <c r="L97" s="16"/>
      <c r="M97" s="16"/>
      <c r="N97" s="16"/>
      <c r="O97" s="16"/>
      <c r="P97" s="16"/>
      <c r="Q97" s="16"/>
      <c r="R97" s="16"/>
      <c r="S97" s="16"/>
      <c r="T97" s="16"/>
      <c r="U97" s="16"/>
      <c r="V97" s="16"/>
      <c r="W97" s="16"/>
      <c r="X97" s="16"/>
      <c r="Y97" s="16"/>
      <c r="Z97" s="16"/>
    </row>
    <row r="98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6"/>
      <c r="L98" s="16"/>
      <c r="M98" s="16"/>
      <c r="N98" s="16"/>
      <c r="O98" s="16"/>
      <c r="P98" s="16"/>
      <c r="Q98" s="16"/>
      <c r="R98" s="16"/>
      <c r="S98" s="16"/>
      <c r="T98" s="16"/>
      <c r="U98" s="16"/>
      <c r="V98" s="16"/>
      <c r="W98" s="16"/>
      <c r="X98" s="16"/>
      <c r="Y98" s="16"/>
      <c r="Z98" s="16"/>
    </row>
    <row r="99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6"/>
      <c r="L99" s="16"/>
      <c r="M99" s="16"/>
      <c r="N99" s="16"/>
      <c r="O99" s="16"/>
      <c r="P99" s="16"/>
      <c r="Q99" s="16"/>
      <c r="R99" s="16"/>
      <c r="S99" s="16"/>
      <c r="T99" s="16"/>
      <c r="U99" s="16"/>
      <c r="V99" s="16"/>
      <c r="W99" s="16"/>
      <c r="X99" s="16"/>
      <c r="Y99" s="16"/>
      <c r="Z99" s="16"/>
    </row>
    <row r="100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6"/>
      <c r="L100" s="16"/>
      <c r="M100" s="16"/>
      <c r="N100" s="16"/>
      <c r="O100" s="16"/>
      <c r="P100" s="16"/>
      <c r="Q100" s="16"/>
      <c r="R100" s="16"/>
      <c r="S100" s="16"/>
      <c r="T100" s="16"/>
      <c r="U100" s="16"/>
      <c r="V100" s="16"/>
      <c r="W100" s="16"/>
      <c r="X100" s="16"/>
      <c r="Y100" s="16"/>
      <c r="Z100" s="16"/>
    </row>
    <row r="101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6"/>
      <c r="L101" s="16"/>
      <c r="M101" s="16"/>
      <c r="N101" s="16"/>
      <c r="O101" s="16"/>
      <c r="P101" s="16"/>
      <c r="Q101" s="16"/>
      <c r="R101" s="16"/>
      <c r="S101" s="16"/>
      <c r="T101" s="16"/>
      <c r="U101" s="16"/>
      <c r="V101" s="16"/>
      <c r="W101" s="16"/>
      <c r="X101" s="16"/>
      <c r="Y101" s="16"/>
      <c r="Z101" s="16"/>
    </row>
    <row r="102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6"/>
      <c r="L102" s="16"/>
      <c r="M102" s="16"/>
      <c r="N102" s="16"/>
      <c r="O102" s="16"/>
      <c r="P102" s="16"/>
      <c r="Q102" s="16"/>
      <c r="R102" s="16"/>
      <c r="S102" s="16"/>
      <c r="T102" s="16"/>
      <c r="U102" s="16"/>
      <c r="V102" s="16"/>
      <c r="W102" s="16"/>
      <c r="X102" s="16"/>
      <c r="Y102" s="16"/>
      <c r="Z102" s="16"/>
    </row>
    <row r="103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6"/>
      <c r="L103" s="16"/>
      <c r="M103" s="16"/>
      <c r="N103" s="16"/>
      <c r="O103" s="16"/>
      <c r="P103" s="16"/>
      <c r="Q103" s="16"/>
      <c r="R103" s="16"/>
      <c r="S103" s="16"/>
      <c r="T103" s="16"/>
      <c r="U103" s="16"/>
      <c r="V103" s="16"/>
      <c r="W103" s="16"/>
      <c r="X103" s="16"/>
      <c r="Y103" s="16"/>
      <c r="Z103" s="16"/>
    </row>
    <row r="104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6"/>
      <c r="L104" s="16"/>
      <c r="M104" s="16"/>
      <c r="N104" s="16"/>
      <c r="O104" s="16"/>
      <c r="P104" s="16"/>
      <c r="Q104" s="16"/>
      <c r="R104" s="16"/>
      <c r="S104" s="16"/>
      <c r="T104" s="16"/>
      <c r="U104" s="16"/>
      <c r="V104" s="16"/>
      <c r="W104" s="16"/>
      <c r="X104" s="16"/>
      <c r="Y104" s="16"/>
      <c r="Z104" s="16"/>
    </row>
    <row r="105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6"/>
      <c r="L105" s="16"/>
      <c r="M105" s="16"/>
      <c r="N105" s="16"/>
      <c r="O105" s="16"/>
      <c r="P105" s="16"/>
      <c r="Q105" s="16"/>
      <c r="R105" s="16"/>
      <c r="S105" s="16"/>
      <c r="T105" s="16"/>
      <c r="U105" s="16"/>
      <c r="V105" s="16"/>
      <c r="W105" s="16"/>
      <c r="X105" s="16"/>
      <c r="Y105" s="16"/>
      <c r="Z105" s="16"/>
    </row>
    <row r="10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6"/>
      <c r="L106" s="16"/>
      <c r="M106" s="16"/>
      <c r="N106" s="16"/>
      <c r="O106" s="16"/>
      <c r="P106" s="16"/>
      <c r="Q106" s="16"/>
      <c r="R106" s="16"/>
      <c r="S106" s="16"/>
      <c r="T106" s="16"/>
      <c r="U106" s="16"/>
      <c r="V106" s="16"/>
      <c r="W106" s="16"/>
      <c r="X106" s="16"/>
      <c r="Y106" s="16"/>
      <c r="Z106" s="16"/>
    </row>
    <row r="107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6"/>
      <c r="L107" s="16"/>
      <c r="M107" s="16"/>
      <c r="N107" s="16"/>
      <c r="O107" s="16"/>
      <c r="P107" s="16"/>
      <c r="Q107" s="16"/>
      <c r="R107" s="16"/>
      <c r="S107" s="16"/>
      <c r="T107" s="16"/>
      <c r="U107" s="16"/>
      <c r="V107" s="16"/>
      <c r="W107" s="16"/>
      <c r="X107" s="16"/>
      <c r="Y107" s="16"/>
      <c r="Z107" s="16"/>
    </row>
    <row r="108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6"/>
      <c r="L108" s="16"/>
      <c r="M108" s="16"/>
      <c r="N108" s="16"/>
      <c r="O108" s="16"/>
      <c r="P108" s="16"/>
      <c r="Q108" s="16"/>
      <c r="R108" s="16"/>
      <c r="S108" s="16"/>
      <c r="T108" s="16"/>
      <c r="U108" s="16"/>
      <c r="V108" s="16"/>
      <c r="W108" s="16"/>
      <c r="X108" s="16"/>
      <c r="Y108" s="16"/>
      <c r="Z108" s="16"/>
    </row>
    <row r="109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6"/>
      <c r="L109" s="16"/>
      <c r="M109" s="16"/>
      <c r="N109" s="16"/>
      <c r="O109" s="16"/>
      <c r="P109" s="16"/>
      <c r="Q109" s="16"/>
      <c r="R109" s="16"/>
      <c r="S109" s="16"/>
      <c r="T109" s="16"/>
      <c r="U109" s="16"/>
      <c r="V109" s="16"/>
      <c r="W109" s="16"/>
      <c r="X109" s="16"/>
      <c r="Y109" s="16"/>
      <c r="Z109" s="16"/>
    </row>
    <row r="110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6"/>
      <c r="L110" s="16"/>
      <c r="M110" s="16"/>
      <c r="N110" s="16"/>
      <c r="O110" s="16"/>
      <c r="P110" s="16"/>
      <c r="Q110" s="16"/>
      <c r="R110" s="16"/>
      <c r="S110" s="16"/>
      <c r="T110" s="16"/>
      <c r="U110" s="16"/>
      <c r="V110" s="16"/>
      <c r="W110" s="16"/>
      <c r="X110" s="16"/>
      <c r="Y110" s="16"/>
      <c r="Z110" s="16"/>
    </row>
    <row r="111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6"/>
      <c r="L111" s="16"/>
      <c r="M111" s="16"/>
      <c r="N111" s="16"/>
      <c r="O111" s="16"/>
      <c r="P111" s="16"/>
      <c r="Q111" s="16"/>
      <c r="R111" s="16"/>
      <c r="S111" s="16"/>
      <c r="T111" s="16"/>
      <c r="U111" s="16"/>
      <c r="V111" s="16"/>
      <c r="W111" s="16"/>
      <c r="X111" s="16"/>
      <c r="Y111" s="16"/>
      <c r="Z111" s="16"/>
    </row>
    <row r="112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6"/>
      <c r="L112" s="16"/>
      <c r="M112" s="16"/>
      <c r="N112" s="16"/>
      <c r="O112" s="16"/>
      <c r="P112" s="16"/>
      <c r="Q112" s="16"/>
      <c r="R112" s="16"/>
      <c r="S112" s="16"/>
      <c r="T112" s="16"/>
      <c r="U112" s="16"/>
      <c r="V112" s="16"/>
      <c r="W112" s="16"/>
      <c r="X112" s="16"/>
      <c r="Y112" s="16"/>
      <c r="Z112" s="16"/>
    </row>
    <row r="113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6"/>
      <c r="L113" s="16"/>
      <c r="M113" s="16"/>
      <c r="N113" s="16"/>
      <c r="O113" s="16"/>
      <c r="P113" s="16"/>
      <c r="Q113" s="16"/>
      <c r="R113" s="16"/>
      <c r="S113" s="16"/>
      <c r="T113" s="16"/>
      <c r="U113" s="16"/>
      <c r="V113" s="16"/>
      <c r="W113" s="16"/>
      <c r="X113" s="16"/>
      <c r="Y113" s="16"/>
      <c r="Z113" s="16"/>
    </row>
    <row r="114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6"/>
      <c r="L114" s="16"/>
      <c r="M114" s="16"/>
      <c r="N114" s="16"/>
      <c r="O114" s="16"/>
      <c r="P114" s="16"/>
      <c r="Q114" s="16"/>
      <c r="R114" s="16"/>
      <c r="S114" s="16"/>
      <c r="T114" s="16"/>
      <c r="U114" s="16"/>
      <c r="V114" s="16"/>
      <c r="W114" s="16"/>
      <c r="X114" s="16"/>
      <c r="Y114" s="16"/>
      <c r="Z114" s="16"/>
    </row>
    <row r="115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6"/>
      <c r="L115" s="16"/>
      <c r="M115" s="16"/>
      <c r="N115" s="16"/>
      <c r="O115" s="16"/>
      <c r="P115" s="16"/>
      <c r="Q115" s="16"/>
      <c r="R115" s="16"/>
      <c r="S115" s="16"/>
      <c r="T115" s="16"/>
      <c r="U115" s="16"/>
      <c r="V115" s="16"/>
      <c r="W115" s="16"/>
      <c r="X115" s="16"/>
      <c r="Y115" s="16"/>
      <c r="Z115" s="16"/>
    </row>
    <row r="11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6"/>
      <c r="L116" s="16"/>
      <c r="M116" s="16"/>
      <c r="N116" s="16"/>
      <c r="O116" s="16"/>
      <c r="P116" s="16"/>
      <c r="Q116" s="16"/>
      <c r="R116" s="16"/>
      <c r="S116" s="16"/>
      <c r="T116" s="16"/>
      <c r="U116" s="16"/>
      <c r="V116" s="16"/>
      <c r="W116" s="16"/>
      <c r="X116" s="16"/>
      <c r="Y116" s="16"/>
      <c r="Z116" s="16"/>
    </row>
    <row r="117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6"/>
      <c r="L117" s="16"/>
      <c r="M117" s="16"/>
      <c r="N117" s="16"/>
      <c r="O117" s="16"/>
      <c r="P117" s="16"/>
      <c r="Q117" s="16"/>
      <c r="R117" s="16"/>
      <c r="S117" s="16"/>
      <c r="T117" s="16"/>
      <c r="U117" s="16"/>
      <c r="V117" s="16"/>
      <c r="W117" s="16"/>
      <c r="X117" s="16"/>
      <c r="Y117" s="16"/>
      <c r="Z117" s="16"/>
    </row>
    <row r="118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6"/>
      <c r="L118" s="16"/>
      <c r="M118" s="16"/>
      <c r="N118" s="16"/>
      <c r="O118" s="16"/>
      <c r="P118" s="16"/>
      <c r="Q118" s="16"/>
      <c r="R118" s="16"/>
      <c r="S118" s="16"/>
      <c r="T118" s="16"/>
      <c r="U118" s="16"/>
      <c r="V118" s="16"/>
      <c r="W118" s="16"/>
      <c r="X118" s="16"/>
      <c r="Y118" s="16"/>
      <c r="Z118" s="16"/>
    </row>
    <row r="119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6"/>
      <c r="L119" s="16"/>
      <c r="M119" s="16"/>
      <c r="N119" s="16"/>
      <c r="O119" s="16"/>
      <c r="P119" s="16"/>
      <c r="Q119" s="16"/>
      <c r="R119" s="16"/>
      <c r="S119" s="16"/>
      <c r="T119" s="16"/>
      <c r="U119" s="16"/>
      <c r="V119" s="16"/>
      <c r="W119" s="16"/>
      <c r="X119" s="16"/>
      <c r="Y119" s="16"/>
      <c r="Z119" s="16"/>
    </row>
    <row r="120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6"/>
      <c r="L120" s="16"/>
      <c r="M120" s="16"/>
      <c r="N120" s="16"/>
      <c r="O120" s="16"/>
      <c r="P120" s="16"/>
      <c r="Q120" s="16"/>
      <c r="R120" s="16"/>
      <c r="S120" s="16"/>
      <c r="T120" s="16"/>
      <c r="U120" s="16"/>
      <c r="V120" s="16"/>
      <c r="W120" s="16"/>
      <c r="X120" s="16"/>
      <c r="Y120" s="16"/>
      <c r="Z120" s="16"/>
    </row>
    <row r="121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6"/>
      <c r="L121" s="16"/>
      <c r="M121" s="16"/>
      <c r="N121" s="16"/>
      <c r="O121" s="16"/>
      <c r="P121" s="16"/>
      <c r="Q121" s="16"/>
      <c r="R121" s="16"/>
      <c r="S121" s="16"/>
      <c r="T121" s="16"/>
      <c r="U121" s="16"/>
      <c r="V121" s="16"/>
      <c r="W121" s="16"/>
      <c r="X121" s="16"/>
      <c r="Y121" s="16"/>
      <c r="Z121" s="16"/>
    </row>
    <row r="122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6"/>
      <c r="L122" s="16"/>
      <c r="M122" s="16"/>
      <c r="N122" s="16"/>
      <c r="O122" s="16"/>
      <c r="P122" s="16"/>
      <c r="Q122" s="16"/>
      <c r="R122" s="16"/>
      <c r="S122" s="16"/>
      <c r="T122" s="16"/>
      <c r="U122" s="16"/>
      <c r="V122" s="16"/>
      <c r="W122" s="16"/>
      <c r="X122" s="16"/>
      <c r="Y122" s="16"/>
      <c r="Z122" s="16"/>
    </row>
    <row r="123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6"/>
      <c r="L123" s="16"/>
      <c r="M123" s="16"/>
      <c r="N123" s="16"/>
      <c r="O123" s="16"/>
      <c r="P123" s="16"/>
      <c r="Q123" s="16"/>
      <c r="R123" s="16"/>
      <c r="S123" s="16"/>
      <c r="T123" s="16"/>
      <c r="U123" s="16"/>
      <c r="V123" s="16"/>
      <c r="W123" s="16"/>
      <c r="X123" s="16"/>
      <c r="Y123" s="16"/>
      <c r="Z123" s="16"/>
    </row>
    <row r="124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6"/>
      <c r="L124" s="16"/>
      <c r="M124" s="16"/>
      <c r="N124" s="16"/>
      <c r="O124" s="16"/>
      <c r="P124" s="16"/>
      <c r="Q124" s="16"/>
      <c r="R124" s="16"/>
      <c r="S124" s="16"/>
      <c r="T124" s="16"/>
      <c r="U124" s="16"/>
      <c r="V124" s="16"/>
      <c r="W124" s="16"/>
      <c r="X124" s="16"/>
      <c r="Y124" s="16"/>
      <c r="Z124" s="16"/>
    </row>
    <row r="125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6"/>
      <c r="L125" s="16"/>
      <c r="M125" s="16"/>
      <c r="N125" s="16"/>
      <c r="O125" s="16"/>
      <c r="P125" s="16"/>
      <c r="Q125" s="16"/>
      <c r="R125" s="16"/>
      <c r="S125" s="16"/>
      <c r="T125" s="16"/>
      <c r="U125" s="16"/>
      <c r="V125" s="16"/>
      <c r="W125" s="16"/>
      <c r="X125" s="16"/>
      <c r="Y125" s="16"/>
      <c r="Z125" s="16"/>
    </row>
    <row r="1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6"/>
      <c r="L126" s="16"/>
      <c r="M126" s="16"/>
      <c r="N126" s="16"/>
      <c r="O126" s="16"/>
      <c r="P126" s="16"/>
      <c r="Q126" s="16"/>
      <c r="R126" s="16"/>
      <c r="S126" s="16"/>
      <c r="T126" s="16"/>
      <c r="U126" s="16"/>
      <c r="V126" s="16"/>
      <c r="W126" s="16"/>
      <c r="X126" s="16"/>
      <c r="Y126" s="16"/>
      <c r="Z126" s="16"/>
    </row>
    <row r="127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6"/>
      <c r="L127" s="16"/>
      <c r="M127" s="16"/>
      <c r="N127" s="16"/>
      <c r="O127" s="16"/>
      <c r="P127" s="16"/>
      <c r="Q127" s="16"/>
      <c r="R127" s="16"/>
      <c r="S127" s="16"/>
      <c r="T127" s="16"/>
      <c r="U127" s="16"/>
      <c r="V127" s="16"/>
      <c r="W127" s="16"/>
      <c r="X127" s="16"/>
      <c r="Y127" s="16"/>
      <c r="Z127" s="16"/>
    </row>
    <row r="128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6"/>
      <c r="L128" s="16"/>
      <c r="M128" s="16"/>
      <c r="N128" s="16"/>
      <c r="O128" s="16"/>
      <c r="P128" s="16"/>
      <c r="Q128" s="16"/>
      <c r="R128" s="16"/>
      <c r="S128" s="16"/>
      <c r="T128" s="16"/>
      <c r="U128" s="16"/>
      <c r="V128" s="16"/>
      <c r="W128" s="16"/>
      <c r="X128" s="16"/>
      <c r="Y128" s="16"/>
      <c r="Z128" s="16"/>
    </row>
    <row r="129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6"/>
      <c r="L129" s="16"/>
      <c r="M129" s="16"/>
      <c r="N129" s="16"/>
      <c r="O129" s="16"/>
      <c r="P129" s="16"/>
      <c r="Q129" s="16"/>
      <c r="R129" s="16"/>
      <c r="S129" s="16"/>
      <c r="T129" s="16"/>
      <c r="U129" s="16"/>
      <c r="V129" s="16"/>
      <c r="W129" s="16"/>
      <c r="X129" s="16"/>
      <c r="Y129" s="16"/>
      <c r="Z129" s="16"/>
    </row>
    <row r="130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6"/>
      <c r="L130" s="16"/>
      <c r="M130" s="16"/>
      <c r="N130" s="16"/>
      <c r="O130" s="16"/>
      <c r="P130" s="16"/>
      <c r="Q130" s="16"/>
      <c r="R130" s="16"/>
      <c r="S130" s="16"/>
      <c r="T130" s="16"/>
      <c r="U130" s="16"/>
      <c r="V130" s="16"/>
      <c r="W130" s="16"/>
      <c r="X130" s="16"/>
      <c r="Y130" s="16"/>
      <c r="Z130" s="16"/>
    </row>
    <row r="131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6"/>
      <c r="L131" s="16"/>
      <c r="M131" s="16"/>
      <c r="N131" s="16"/>
      <c r="O131" s="16"/>
      <c r="P131" s="16"/>
      <c r="Q131" s="16"/>
      <c r="R131" s="16"/>
      <c r="S131" s="16"/>
      <c r="T131" s="16"/>
      <c r="U131" s="16"/>
      <c r="V131" s="16"/>
      <c r="W131" s="16"/>
      <c r="X131" s="16"/>
      <c r="Y131" s="16"/>
      <c r="Z131" s="16"/>
    </row>
    <row r="132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6"/>
      <c r="L132" s="16"/>
      <c r="M132" s="16"/>
      <c r="N132" s="16"/>
      <c r="O132" s="16"/>
      <c r="P132" s="16"/>
      <c r="Q132" s="16"/>
      <c r="R132" s="16"/>
      <c r="S132" s="16"/>
      <c r="T132" s="16"/>
      <c r="U132" s="16"/>
      <c r="V132" s="16"/>
      <c r="W132" s="16"/>
      <c r="X132" s="16"/>
      <c r="Y132" s="16"/>
      <c r="Z132" s="16"/>
    </row>
    <row r="133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6"/>
      <c r="L133" s="16"/>
      <c r="M133" s="16"/>
      <c r="N133" s="16"/>
      <c r="O133" s="16"/>
      <c r="P133" s="16"/>
      <c r="Q133" s="16"/>
      <c r="R133" s="16"/>
      <c r="S133" s="16"/>
      <c r="T133" s="16"/>
      <c r="U133" s="16"/>
      <c r="V133" s="16"/>
      <c r="W133" s="16"/>
      <c r="X133" s="16"/>
      <c r="Y133" s="16"/>
      <c r="Z133" s="16"/>
    </row>
    <row r="134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6"/>
      <c r="L134" s="16"/>
      <c r="M134" s="16"/>
      <c r="N134" s="16"/>
      <c r="O134" s="16"/>
      <c r="P134" s="16"/>
      <c r="Q134" s="16"/>
      <c r="R134" s="16"/>
      <c r="S134" s="16"/>
      <c r="T134" s="16"/>
      <c r="U134" s="16"/>
      <c r="V134" s="16"/>
      <c r="W134" s="16"/>
      <c r="X134" s="16"/>
      <c r="Y134" s="16"/>
      <c r="Z134" s="16"/>
    </row>
    <row r="135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6"/>
      <c r="L135" s="16"/>
      <c r="M135" s="16"/>
      <c r="N135" s="16"/>
      <c r="O135" s="16"/>
      <c r="P135" s="16"/>
      <c r="Q135" s="16"/>
      <c r="R135" s="16"/>
      <c r="S135" s="16"/>
      <c r="T135" s="16"/>
      <c r="U135" s="16"/>
      <c r="V135" s="16"/>
      <c r="W135" s="16"/>
      <c r="X135" s="16"/>
      <c r="Y135" s="16"/>
      <c r="Z135" s="16"/>
    </row>
    <row r="13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6"/>
      <c r="L136" s="16"/>
      <c r="M136" s="16"/>
      <c r="N136" s="16"/>
      <c r="O136" s="16"/>
      <c r="P136" s="16"/>
      <c r="Q136" s="16"/>
      <c r="R136" s="16"/>
      <c r="S136" s="16"/>
      <c r="T136" s="16"/>
      <c r="U136" s="16"/>
      <c r="V136" s="16"/>
      <c r="W136" s="16"/>
      <c r="X136" s="16"/>
      <c r="Y136" s="16"/>
      <c r="Z136" s="16"/>
    </row>
    <row r="137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6"/>
      <c r="L137" s="16"/>
      <c r="M137" s="16"/>
      <c r="N137" s="16"/>
      <c r="O137" s="16"/>
      <c r="P137" s="16"/>
      <c r="Q137" s="16"/>
      <c r="R137" s="16"/>
      <c r="S137" s="16"/>
      <c r="T137" s="16"/>
      <c r="U137" s="16"/>
      <c r="V137" s="16"/>
      <c r="W137" s="16"/>
      <c r="X137" s="16"/>
      <c r="Y137" s="16"/>
      <c r="Z137" s="16"/>
    </row>
    <row r="138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6"/>
      <c r="L138" s="16"/>
      <c r="M138" s="16"/>
      <c r="N138" s="16"/>
      <c r="O138" s="16"/>
      <c r="P138" s="16"/>
      <c r="Q138" s="16"/>
      <c r="R138" s="16"/>
      <c r="S138" s="16"/>
      <c r="T138" s="16"/>
      <c r="U138" s="16"/>
      <c r="V138" s="16"/>
      <c r="W138" s="16"/>
      <c r="X138" s="16"/>
      <c r="Y138" s="16"/>
      <c r="Z138" s="16"/>
    </row>
    <row r="139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6"/>
      <c r="L139" s="16"/>
      <c r="M139" s="16"/>
      <c r="N139" s="16"/>
      <c r="O139" s="16"/>
      <c r="P139" s="16"/>
      <c r="Q139" s="16"/>
      <c r="R139" s="16"/>
      <c r="S139" s="16"/>
      <c r="T139" s="16"/>
      <c r="U139" s="16"/>
      <c r="V139" s="16"/>
      <c r="W139" s="16"/>
      <c r="X139" s="16"/>
      <c r="Y139" s="16"/>
      <c r="Z139" s="16"/>
    </row>
    <row r="140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6"/>
      <c r="L140" s="16"/>
      <c r="M140" s="16"/>
      <c r="N140" s="16"/>
      <c r="O140" s="16"/>
      <c r="P140" s="16"/>
      <c r="Q140" s="16"/>
      <c r="R140" s="16"/>
      <c r="S140" s="16"/>
      <c r="T140" s="16"/>
      <c r="U140" s="16"/>
      <c r="V140" s="16"/>
      <c r="W140" s="16"/>
      <c r="X140" s="16"/>
      <c r="Y140" s="16"/>
      <c r="Z140" s="16"/>
    </row>
    <row r="141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6"/>
      <c r="L141" s="16"/>
      <c r="M141" s="16"/>
      <c r="N141" s="16"/>
      <c r="O141" s="16"/>
      <c r="P141" s="16"/>
      <c r="Q141" s="16"/>
      <c r="R141" s="16"/>
      <c r="S141" s="16"/>
      <c r="T141" s="16"/>
      <c r="U141" s="16"/>
      <c r="V141" s="16"/>
      <c r="W141" s="16"/>
      <c r="X141" s="16"/>
      <c r="Y141" s="16"/>
      <c r="Z141" s="16"/>
    </row>
    <row r="142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6"/>
      <c r="L142" s="16"/>
      <c r="M142" s="16"/>
      <c r="N142" s="16"/>
      <c r="O142" s="16"/>
      <c r="P142" s="16"/>
      <c r="Q142" s="16"/>
      <c r="R142" s="16"/>
      <c r="S142" s="16"/>
      <c r="T142" s="16"/>
      <c r="U142" s="16"/>
      <c r="V142" s="16"/>
      <c r="W142" s="16"/>
      <c r="X142" s="16"/>
      <c r="Y142" s="16"/>
      <c r="Z142" s="16"/>
    </row>
    <row r="143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6"/>
      <c r="L143" s="16"/>
      <c r="M143" s="16"/>
      <c r="N143" s="16"/>
      <c r="O143" s="16"/>
      <c r="P143" s="16"/>
      <c r="Q143" s="16"/>
      <c r="R143" s="16"/>
      <c r="S143" s="16"/>
      <c r="T143" s="16"/>
      <c r="U143" s="16"/>
      <c r="V143" s="16"/>
      <c r="W143" s="16"/>
      <c r="X143" s="16"/>
      <c r="Y143" s="16"/>
      <c r="Z143" s="16"/>
    </row>
    <row r="144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6"/>
      <c r="L144" s="16"/>
      <c r="M144" s="16"/>
      <c r="N144" s="16"/>
      <c r="O144" s="16"/>
      <c r="P144" s="16"/>
      <c r="Q144" s="16"/>
      <c r="R144" s="16"/>
      <c r="S144" s="16"/>
      <c r="T144" s="16"/>
      <c r="U144" s="16"/>
      <c r="V144" s="16"/>
      <c r="W144" s="16"/>
      <c r="X144" s="16"/>
      <c r="Y144" s="16"/>
      <c r="Z144" s="16"/>
    </row>
    <row r="145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6"/>
      <c r="L145" s="16"/>
      <c r="M145" s="16"/>
      <c r="N145" s="16"/>
      <c r="O145" s="16"/>
      <c r="P145" s="16"/>
      <c r="Q145" s="16"/>
      <c r="R145" s="16"/>
      <c r="S145" s="16"/>
      <c r="T145" s="16"/>
      <c r="U145" s="16"/>
      <c r="V145" s="16"/>
      <c r="W145" s="16"/>
      <c r="X145" s="16"/>
      <c r="Y145" s="16"/>
      <c r="Z145" s="16"/>
    </row>
    <row r="14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6"/>
      <c r="L146" s="16"/>
      <c r="M146" s="16"/>
      <c r="N146" s="16"/>
      <c r="O146" s="16"/>
      <c r="P146" s="16"/>
      <c r="Q146" s="16"/>
      <c r="R146" s="16"/>
      <c r="S146" s="16"/>
      <c r="T146" s="16"/>
      <c r="U146" s="16"/>
      <c r="V146" s="16"/>
      <c r="W146" s="16"/>
      <c r="X146" s="16"/>
      <c r="Y146" s="16"/>
      <c r="Z146" s="16"/>
    </row>
    <row r="147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6"/>
      <c r="L147" s="16"/>
      <c r="M147" s="16"/>
      <c r="N147" s="16"/>
      <c r="O147" s="16"/>
      <c r="P147" s="16"/>
      <c r="Q147" s="16"/>
      <c r="R147" s="16"/>
      <c r="S147" s="16"/>
      <c r="T147" s="16"/>
      <c r="U147" s="16"/>
      <c r="V147" s="16"/>
      <c r="W147" s="16"/>
      <c r="X147" s="16"/>
      <c r="Y147" s="16"/>
      <c r="Z147" s="16"/>
    </row>
    <row r="148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6"/>
      <c r="L148" s="16"/>
      <c r="M148" s="16"/>
      <c r="N148" s="16"/>
      <c r="O148" s="16"/>
      <c r="P148" s="16"/>
      <c r="Q148" s="16"/>
      <c r="R148" s="16"/>
      <c r="S148" s="16"/>
      <c r="T148" s="16"/>
      <c r="U148" s="16"/>
      <c r="V148" s="16"/>
      <c r="W148" s="16"/>
      <c r="X148" s="16"/>
      <c r="Y148" s="16"/>
      <c r="Z148" s="16"/>
    </row>
    <row r="149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6"/>
      <c r="L149" s="16"/>
      <c r="M149" s="16"/>
      <c r="N149" s="16"/>
      <c r="O149" s="16"/>
      <c r="P149" s="16"/>
      <c r="Q149" s="16"/>
      <c r="R149" s="16"/>
      <c r="S149" s="16"/>
      <c r="T149" s="16"/>
      <c r="U149" s="16"/>
      <c r="V149" s="16"/>
      <c r="W149" s="16"/>
      <c r="X149" s="16"/>
      <c r="Y149" s="16"/>
      <c r="Z149" s="16"/>
    </row>
    <row r="150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6"/>
      <c r="L150" s="16"/>
      <c r="M150" s="16"/>
      <c r="N150" s="16"/>
      <c r="O150" s="16"/>
      <c r="P150" s="16"/>
      <c r="Q150" s="16"/>
      <c r="R150" s="16"/>
      <c r="S150" s="16"/>
      <c r="T150" s="16"/>
      <c r="U150" s="16"/>
      <c r="V150" s="16"/>
      <c r="W150" s="16"/>
      <c r="X150" s="16"/>
      <c r="Y150" s="16"/>
      <c r="Z150" s="16"/>
    </row>
    <row r="151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6"/>
      <c r="L151" s="16"/>
      <c r="M151" s="16"/>
      <c r="N151" s="16"/>
      <c r="O151" s="16"/>
      <c r="P151" s="16"/>
      <c r="Q151" s="16"/>
      <c r="R151" s="16"/>
      <c r="S151" s="16"/>
      <c r="T151" s="16"/>
      <c r="U151" s="16"/>
      <c r="V151" s="16"/>
      <c r="W151" s="16"/>
      <c r="X151" s="16"/>
      <c r="Y151" s="16"/>
      <c r="Z151" s="16"/>
    </row>
    <row r="152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6"/>
      <c r="L152" s="16"/>
      <c r="M152" s="16"/>
      <c r="N152" s="16"/>
      <c r="O152" s="16"/>
      <c r="P152" s="16"/>
      <c r="Q152" s="16"/>
      <c r="R152" s="16"/>
      <c r="S152" s="16"/>
      <c r="T152" s="16"/>
      <c r="U152" s="16"/>
      <c r="V152" s="16"/>
      <c r="W152" s="16"/>
      <c r="X152" s="16"/>
      <c r="Y152" s="16"/>
      <c r="Z152" s="16"/>
    </row>
    <row r="153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6"/>
      <c r="L153" s="16"/>
      <c r="M153" s="16"/>
      <c r="N153" s="16"/>
      <c r="O153" s="16"/>
      <c r="P153" s="16"/>
      <c r="Q153" s="16"/>
      <c r="R153" s="16"/>
      <c r="S153" s="16"/>
      <c r="T153" s="16"/>
      <c r="U153" s="16"/>
      <c r="V153" s="16"/>
      <c r="W153" s="16"/>
      <c r="X153" s="16"/>
      <c r="Y153" s="16"/>
      <c r="Z153" s="16"/>
    </row>
    <row r="154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6"/>
      <c r="L154" s="16"/>
      <c r="M154" s="16"/>
      <c r="N154" s="16"/>
      <c r="O154" s="16"/>
      <c r="P154" s="16"/>
      <c r="Q154" s="16"/>
      <c r="R154" s="16"/>
      <c r="S154" s="16"/>
      <c r="T154" s="16"/>
      <c r="U154" s="16"/>
      <c r="V154" s="16"/>
      <c r="W154" s="16"/>
      <c r="X154" s="16"/>
      <c r="Y154" s="16"/>
      <c r="Z154" s="16"/>
    </row>
    <row r="155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6"/>
      <c r="L155" s="16"/>
      <c r="M155" s="16"/>
      <c r="N155" s="16"/>
      <c r="O155" s="16"/>
      <c r="P155" s="16"/>
      <c r="Q155" s="16"/>
      <c r="R155" s="16"/>
      <c r="S155" s="16"/>
      <c r="T155" s="16"/>
      <c r="U155" s="16"/>
      <c r="V155" s="16"/>
      <c r="W155" s="16"/>
      <c r="X155" s="16"/>
      <c r="Y155" s="16"/>
      <c r="Z155" s="16"/>
    </row>
    <row r="15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6"/>
      <c r="L156" s="16"/>
      <c r="M156" s="16"/>
      <c r="N156" s="16"/>
      <c r="O156" s="16"/>
      <c r="P156" s="16"/>
      <c r="Q156" s="16"/>
      <c r="R156" s="16"/>
      <c r="S156" s="16"/>
      <c r="T156" s="16"/>
      <c r="U156" s="16"/>
      <c r="V156" s="16"/>
      <c r="W156" s="16"/>
      <c r="X156" s="16"/>
      <c r="Y156" s="16"/>
      <c r="Z156" s="16"/>
    </row>
    <row r="157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6"/>
      <c r="L157" s="16"/>
      <c r="M157" s="16"/>
      <c r="N157" s="16"/>
      <c r="O157" s="16"/>
      <c r="P157" s="16"/>
      <c r="Q157" s="16"/>
      <c r="R157" s="16"/>
      <c r="S157" s="16"/>
      <c r="T157" s="16"/>
      <c r="U157" s="16"/>
      <c r="V157" s="16"/>
      <c r="W157" s="16"/>
      <c r="X157" s="16"/>
      <c r="Y157" s="16"/>
      <c r="Z157" s="16"/>
    </row>
    <row r="158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6"/>
      <c r="L158" s="16"/>
      <c r="M158" s="16"/>
      <c r="N158" s="16"/>
      <c r="O158" s="16"/>
      <c r="P158" s="16"/>
      <c r="Q158" s="16"/>
      <c r="R158" s="16"/>
      <c r="S158" s="16"/>
      <c r="T158" s="16"/>
      <c r="U158" s="16"/>
      <c r="V158" s="16"/>
      <c r="W158" s="16"/>
      <c r="X158" s="16"/>
      <c r="Y158" s="16"/>
      <c r="Z158" s="16"/>
    </row>
    <row r="159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6"/>
      <c r="L159" s="16"/>
      <c r="M159" s="16"/>
      <c r="N159" s="16"/>
      <c r="O159" s="16"/>
      <c r="P159" s="16"/>
      <c r="Q159" s="16"/>
      <c r="R159" s="16"/>
      <c r="S159" s="16"/>
      <c r="T159" s="16"/>
      <c r="U159" s="16"/>
      <c r="V159" s="16"/>
      <c r="W159" s="16"/>
      <c r="X159" s="16"/>
      <c r="Y159" s="16"/>
      <c r="Z159" s="16"/>
    </row>
    <row r="160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6"/>
      <c r="L160" s="16"/>
      <c r="M160" s="16"/>
      <c r="N160" s="16"/>
      <c r="O160" s="16"/>
      <c r="P160" s="16"/>
      <c r="Q160" s="16"/>
      <c r="R160" s="16"/>
      <c r="S160" s="16"/>
      <c r="T160" s="16"/>
      <c r="U160" s="16"/>
      <c r="V160" s="16"/>
      <c r="W160" s="16"/>
      <c r="X160" s="16"/>
      <c r="Y160" s="16"/>
      <c r="Z160" s="16"/>
    </row>
    <row r="161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6"/>
      <c r="L161" s="16"/>
      <c r="M161" s="16"/>
      <c r="N161" s="16"/>
      <c r="O161" s="16"/>
      <c r="P161" s="16"/>
      <c r="Q161" s="16"/>
      <c r="R161" s="16"/>
      <c r="S161" s="16"/>
      <c r="T161" s="16"/>
      <c r="U161" s="16"/>
      <c r="V161" s="16"/>
      <c r="W161" s="16"/>
      <c r="X161" s="16"/>
      <c r="Y161" s="16"/>
      <c r="Z161" s="16"/>
    </row>
    <row r="162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6"/>
      <c r="L162" s="16"/>
      <c r="M162" s="16"/>
      <c r="N162" s="16"/>
      <c r="O162" s="16"/>
      <c r="P162" s="16"/>
      <c r="Q162" s="16"/>
      <c r="R162" s="16"/>
      <c r="S162" s="16"/>
      <c r="T162" s="16"/>
      <c r="U162" s="16"/>
      <c r="V162" s="16"/>
      <c r="W162" s="16"/>
      <c r="X162" s="16"/>
      <c r="Y162" s="16"/>
      <c r="Z162" s="16"/>
    </row>
    <row r="163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6"/>
      <c r="L163" s="16"/>
      <c r="M163" s="16"/>
      <c r="N163" s="16"/>
      <c r="O163" s="16"/>
      <c r="P163" s="16"/>
      <c r="Q163" s="16"/>
      <c r="R163" s="16"/>
      <c r="S163" s="16"/>
      <c r="T163" s="16"/>
      <c r="U163" s="16"/>
      <c r="V163" s="16"/>
      <c r="W163" s="16"/>
      <c r="X163" s="16"/>
      <c r="Y163" s="16"/>
      <c r="Z163" s="16"/>
    </row>
    <row r="164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6"/>
      <c r="L164" s="16"/>
      <c r="M164" s="16"/>
      <c r="N164" s="16"/>
      <c r="O164" s="16"/>
      <c r="P164" s="16"/>
      <c r="Q164" s="16"/>
      <c r="R164" s="16"/>
      <c r="S164" s="16"/>
      <c r="T164" s="16"/>
      <c r="U164" s="16"/>
      <c r="V164" s="16"/>
      <c r="W164" s="16"/>
      <c r="X164" s="16"/>
      <c r="Y164" s="16"/>
      <c r="Z164" s="16"/>
    </row>
    <row r="165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6"/>
      <c r="L165" s="16"/>
      <c r="M165" s="16"/>
      <c r="N165" s="16"/>
      <c r="O165" s="16"/>
      <c r="P165" s="16"/>
      <c r="Q165" s="16"/>
      <c r="R165" s="16"/>
      <c r="S165" s="16"/>
      <c r="T165" s="16"/>
      <c r="U165" s="16"/>
      <c r="V165" s="16"/>
      <c r="W165" s="16"/>
      <c r="X165" s="16"/>
      <c r="Y165" s="16"/>
      <c r="Z165" s="16"/>
    </row>
    <row r="16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6"/>
      <c r="L166" s="16"/>
      <c r="M166" s="16"/>
      <c r="N166" s="16"/>
      <c r="O166" s="16"/>
      <c r="P166" s="16"/>
      <c r="Q166" s="16"/>
      <c r="R166" s="16"/>
      <c r="S166" s="16"/>
      <c r="T166" s="16"/>
      <c r="U166" s="16"/>
      <c r="V166" s="16"/>
      <c r="W166" s="16"/>
      <c r="X166" s="16"/>
      <c r="Y166" s="16"/>
      <c r="Z166" s="16"/>
    </row>
    <row r="167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6"/>
      <c r="L167" s="16"/>
      <c r="M167" s="16"/>
      <c r="N167" s="16"/>
      <c r="O167" s="16"/>
      <c r="P167" s="16"/>
      <c r="Q167" s="16"/>
      <c r="R167" s="16"/>
      <c r="S167" s="16"/>
      <c r="T167" s="16"/>
      <c r="U167" s="16"/>
      <c r="V167" s="16"/>
      <c r="W167" s="16"/>
      <c r="X167" s="16"/>
      <c r="Y167" s="16"/>
      <c r="Z167" s="16"/>
    </row>
    <row r="168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6"/>
      <c r="L168" s="16"/>
      <c r="M168" s="16"/>
      <c r="N168" s="16"/>
      <c r="O168" s="16"/>
      <c r="P168" s="16"/>
      <c r="Q168" s="16"/>
      <c r="R168" s="16"/>
      <c r="S168" s="16"/>
      <c r="T168" s="16"/>
      <c r="U168" s="16"/>
      <c r="V168" s="16"/>
      <c r="W168" s="16"/>
      <c r="X168" s="16"/>
      <c r="Y168" s="16"/>
      <c r="Z168" s="16"/>
    </row>
    <row r="169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6"/>
      <c r="L169" s="16"/>
      <c r="M169" s="16"/>
      <c r="N169" s="16"/>
      <c r="O169" s="16"/>
      <c r="P169" s="16"/>
      <c r="Q169" s="16"/>
      <c r="R169" s="16"/>
      <c r="S169" s="16"/>
      <c r="T169" s="16"/>
      <c r="U169" s="16"/>
      <c r="V169" s="16"/>
      <c r="W169" s="16"/>
      <c r="X169" s="16"/>
      <c r="Y169" s="16"/>
      <c r="Z169" s="16"/>
    </row>
    <row r="170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6"/>
      <c r="L170" s="16"/>
      <c r="M170" s="16"/>
      <c r="N170" s="16"/>
      <c r="O170" s="16"/>
      <c r="P170" s="16"/>
      <c r="Q170" s="16"/>
      <c r="R170" s="16"/>
      <c r="S170" s="16"/>
      <c r="T170" s="16"/>
      <c r="U170" s="16"/>
      <c r="V170" s="16"/>
      <c r="W170" s="16"/>
      <c r="X170" s="16"/>
      <c r="Y170" s="16"/>
      <c r="Z170" s="16"/>
    </row>
    <row r="171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6"/>
      <c r="L171" s="16"/>
      <c r="M171" s="16"/>
      <c r="N171" s="16"/>
      <c r="O171" s="16"/>
      <c r="P171" s="16"/>
      <c r="Q171" s="16"/>
      <c r="R171" s="16"/>
      <c r="S171" s="16"/>
      <c r="T171" s="16"/>
      <c r="U171" s="16"/>
      <c r="V171" s="16"/>
      <c r="W171" s="16"/>
      <c r="X171" s="16"/>
      <c r="Y171" s="16"/>
      <c r="Z171" s="16"/>
    </row>
    <row r="172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6"/>
      <c r="L172" s="16"/>
      <c r="M172" s="16"/>
      <c r="N172" s="16"/>
      <c r="O172" s="16"/>
      <c r="P172" s="16"/>
      <c r="Q172" s="16"/>
      <c r="R172" s="16"/>
      <c r="S172" s="16"/>
      <c r="T172" s="16"/>
      <c r="U172" s="16"/>
      <c r="V172" s="16"/>
      <c r="W172" s="16"/>
      <c r="X172" s="16"/>
      <c r="Y172" s="16"/>
      <c r="Z172" s="16"/>
    </row>
    <row r="173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6"/>
      <c r="L173" s="16"/>
      <c r="M173" s="16"/>
      <c r="N173" s="16"/>
      <c r="O173" s="16"/>
      <c r="P173" s="16"/>
      <c r="Q173" s="16"/>
      <c r="R173" s="16"/>
      <c r="S173" s="16"/>
      <c r="T173" s="16"/>
      <c r="U173" s="16"/>
      <c r="V173" s="16"/>
      <c r="W173" s="16"/>
      <c r="X173" s="16"/>
      <c r="Y173" s="16"/>
      <c r="Z173" s="16"/>
    </row>
    <row r="174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6"/>
      <c r="L174" s="16"/>
      <c r="M174" s="16"/>
      <c r="N174" s="16"/>
      <c r="O174" s="16"/>
      <c r="P174" s="16"/>
      <c r="Q174" s="16"/>
      <c r="R174" s="16"/>
      <c r="S174" s="16"/>
      <c r="T174" s="16"/>
      <c r="U174" s="16"/>
      <c r="V174" s="16"/>
      <c r="W174" s="16"/>
      <c r="X174" s="16"/>
      <c r="Y174" s="16"/>
      <c r="Z174" s="16"/>
    </row>
    <row r="175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6"/>
      <c r="L175" s="16"/>
      <c r="M175" s="16"/>
      <c r="N175" s="16"/>
      <c r="O175" s="16"/>
      <c r="P175" s="16"/>
      <c r="Q175" s="16"/>
      <c r="R175" s="16"/>
      <c r="S175" s="16"/>
      <c r="T175" s="16"/>
      <c r="U175" s="16"/>
      <c r="V175" s="16"/>
      <c r="W175" s="16"/>
      <c r="X175" s="16"/>
      <c r="Y175" s="16"/>
      <c r="Z175" s="16"/>
    </row>
    <row r="17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6"/>
      <c r="L176" s="16"/>
      <c r="M176" s="16"/>
      <c r="N176" s="16"/>
      <c r="O176" s="16"/>
      <c r="P176" s="16"/>
      <c r="Q176" s="16"/>
      <c r="R176" s="16"/>
      <c r="S176" s="16"/>
      <c r="T176" s="16"/>
      <c r="U176" s="16"/>
      <c r="V176" s="16"/>
      <c r="W176" s="16"/>
      <c r="X176" s="16"/>
      <c r="Y176" s="16"/>
      <c r="Z176" s="16"/>
    </row>
    <row r="177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6"/>
      <c r="L177" s="16"/>
      <c r="M177" s="16"/>
      <c r="N177" s="16"/>
      <c r="O177" s="16"/>
      <c r="P177" s="16"/>
      <c r="Q177" s="16"/>
      <c r="R177" s="16"/>
      <c r="S177" s="16"/>
      <c r="T177" s="16"/>
      <c r="U177" s="16"/>
      <c r="V177" s="16"/>
      <c r="W177" s="16"/>
      <c r="X177" s="16"/>
      <c r="Y177" s="16"/>
      <c r="Z177" s="16"/>
    </row>
    <row r="178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6"/>
      <c r="L178" s="16"/>
      <c r="M178" s="16"/>
      <c r="N178" s="16"/>
      <c r="O178" s="16"/>
      <c r="P178" s="16"/>
      <c r="Q178" s="16"/>
      <c r="R178" s="16"/>
      <c r="S178" s="16"/>
      <c r="T178" s="16"/>
      <c r="U178" s="16"/>
      <c r="V178" s="16"/>
      <c r="W178" s="16"/>
      <c r="X178" s="16"/>
      <c r="Y178" s="16"/>
      <c r="Z178" s="16"/>
    </row>
    <row r="179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6"/>
      <c r="L179" s="16"/>
      <c r="M179" s="16"/>
      <c r="N179" s="16"/>
      <c r="O179" s="16"/>
      <c r="P179" s="16"/>
      <c r="Q179" s="16"/>
      <c r="R179" s="16"/>
      <c r="S179" s="16"/>
      <c r="T179" s="16"/>
      <c r="U179" s="16"/>
      <c r="V179" s="16"/>
      <c r="W179" s="16"/>
      <c r="X179" s="16"/>
      <c r="Y179" s="16"/>
      <c r="Z179" s="16"/>
    </row>
    <row r="180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6"/>
      <c r="L180" s="16"/>
      <c r="M180" s="16"/>
      <c r="N180" s="16"/>
      <c r="O180" s="16"/>
      <c r="P180" s="16"/>
      <c r="Q180" s="16"/>
      <c r="R180" s="16"/>
      <c r="S180" s="16"/>
      <c r="T180" s="16"/>
      <c r="U180" s="16"/>
      <c r="V180" s="16"/>
      <c r="W180" s="16"/>
      <c r="X180" s="16"/>
      <c r="Y180" s="16"/>
      <c r="Z180" s="16"/>
    </row>
    <row r="181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6"/>
      <c r="L181" s="16"/>
      <c r="M181" s="16"/>
      <c r="N181" s="16"/>
      <c r="O181" s="16"/>
      <c r="P181" s="16"/>
      <c r="Q181" s="16"/>
      <c r="R181" s="16"/>
      <c r="S181" s="16"/>
      <c r="T181" s="16"/>
      <c r="U181" s="16"/>
      <c r="V181" s="16"/>
      <c r="W181" s="16"/>
      <c r="X181" s="16"/>
      <c r="Y181" s="16"/>
      <c r="Z181" s="16"/>
    </row>
    <row r="182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6"/>
      <c r="L182" s="16"/>
      <c r="M182" s="16"/>
      <c r="N182" s="16"/>
      <c r="O182" s="16"/>
      <c r="P182" s="16"/>
      <c r="Q182" s="16"/>
      <c r="R182" s="16"/>
      <c r="S182" s="16"/>
      <c r="T182" s="16"/>
      <c r="U182" s="16"/>
      <c r="V182" s="16"/>
      <c r="W182" s="16"/>
      <c r="X182" s="16"/>
      <c r="Y182" s="16"/>
      <c r="Z182" s="16"/>
    </row>
    <row r="183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6"/>
      <c r="L183" s="16"/>
      <c r="M183" s="16"/>
      <c r="N183" s="16"/>
      <c r="O183" s="16"/>
      <c r="P183" s="16"/>
      <c r="Q183" s="16"/>
      <c r="R183" s="16"/>
      <c r="S183" s="16"/>
      <c r="T183" s="16"/>
      <c r="U183" s="16"/>
      <c r="V183" s="16"/>
      <c r="W183" s="16"/>
      <c r="X183" s="16"/>
      <c r="Y183" s="16"/>
      <c r="Z183" s="16"/>
    </row>
    <row r="184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6"/>
      <c r="L184" s="16"/>
      <c r="M184" s="16"/>
      <c r="N184" s="16"/>
      <c r="O184" s="16"/>
      <c r="P184" s="16"/>
      <c r="Q184" s="16"/>
      <c r="R184" s="16"/>
      <c r="S184" s="16"/>
      <c r="T184" s="16"/>
      <c r="U184" s="16"/>
      <c r="V184" s="16"/>
      <c r="W184" s="16"/>
      <c r="X184" s="16"/>
      <c r="Y184" s="16"/>
      <c r="Z184" s="16"/>
    </row>
    <row r="185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6"/>
      <c r="L185" s="16"/>
      <c r="M185" s="16"/>
      <c r="N185" s="16"/>
      <c r="O185" s="16"/>
      <c r="P185" s="16"/>
      <c r="Q185" s="16"/>
      <c r="R185" s="16"/>
      <c r="S185" s="16"/>
      <c r="T185" s="16"/>
      <c r="U185" s="16"/>
      <c r="V185" s="16"/>
      <c r="W185" s="16"/>
      <c r="X185" s="16"/>
      <c r="Y185" s="16"/>
      <c r="Z185" s="16"/>
    </row>
    <row r="18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6"/>
      <c r="L186" s="16"/>
      <c r="M186" s="16"/>
      <c r="N186" s="16"/>
      <c r="O186" s="16"/>
      <c r="P186" s="16"/>
      <c r="Q186" s="16"/>
      <c r="R186" s="16"/>
      <c r="S186" s="16"/>
      <c r="T186" s="16"/>
      <c r="U186" s="16"/>
      <c r="V186" s="16"/>
      <c r="W186" s="16"/>
      <c r="X186" s="16"/>
      <c r="Y186" s="16"/>
      <c r="Z186" s="16"/>
    </row>
    <row r="187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6"/>
      <c r="L187" s="16"/>
      <c r="M187" s="16"/>
      <c r="N187" s="16"/>
      <c r="O187" s="16"/>
      <c r="P187" s="16"/>
      <c r="Q187" s="16"/>
      <c r="R187" s="16"/>
      <c r="S187" s="16"/>
      <c r="T187" s="16"/>
      <c r="U187" s="16"/>
      <c r="V187" s="16"/>
      <c r="W187" s="16"/>
      <c r="X187" s="16"/>
      <c r="Y187" s="16"/>
      <c r="Z187" s="16"/>
    </row>
    <row r="188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6"/>
      <c r="L188" s="16"/>
      <c r="M188" s="16"/>
      <c r="N188" s="16"/>
      <c r="O188" s="16"/>
      <c r="P188" s="16"/>
      <c r="Q188" s="16"/>
      <c r="R188" s="16"/>
      <c r="S188" s="16"/>
      <c r="T188" s="16"/>
      <c r="U188" s="16"/>
      <c r="V188" s="16"/>
      <c r="W188" s="16"/>
      <c r="X188" s="16"/>
      <c r="Y188" s="16"/>
      <c r="Z188" s="16"/>
    </row>
    <row r="189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6"/>
      <c r="L189" s="16"/>
      <c r="M189" s="16"/>
      <c r="N189" s="16"/>
      <c r="O189" s="16"/>
      <c r="P189" s="16"/>
      <c r="Q189" s="16"/>
      <c r="R189" s="16"/>
      <c r="S189" s="16"/>
      <c r="T189" s="16"/>
      <c r="U189" s="16"/>
      <c r="V189" s="16"/>
      <c r="W189" s="16"/>
      <c r="X189" s="16"/>
      <c r="Y189" s="16"/>
      <c r="Z189" s="16"/>
    </row>
    <row r="190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6"/>
      <c r="L190" s="16"/>
      <c r="M190" s="16"/>
      <c r="N190" s="16"/>
      <c r="O190" s="16"/>
      <c r="P190" s="16"/>
      <c r="Q190" s="16"/>
      <c r="R190" s="16"/>
      <c r="S190" s="16"/>
      <c r="T190" s="16"/>
      <c r="U190" s="16"/>
      <c r="V190" s="16"/>
      <c r="W190" s="16"/>
      <c r="X190" s="16"/>
      <c r="Y190" s="16"/>
      <c r="Z190" s="16"/>
    </row>
    <row r="191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6"/>
      <c r="L191" s="16"/>
      <c r="M191" s="16"/>
      <c r="N191" s="16"/>
      <c r="O191" s="16"/>
      <c r="P191" s="16"/>
      <c r="Q191" s="16"/>
      <c r="R191" s="16"/>
      <c r="S191" s="16"/>
      <c r="T191" s="16"/>
      <c r="U191" s="16"/>
      <c r="V191" s="16"/>
      <c r="W191" s="16"/>
      <c r="X191" s="16"/>
      <c r="Y191" s="16"/>
      <c r="Z191" s="16"/>
    </row>
    <row r="192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6"/>
      <c r="L192" s="16"/>
      <c r="M192" s="16"/>
      <c r="N192" s="16"/>
      <c r="O192" s="16"/>
      <c r="P192" s="16"/>
      <c r="Q192" s="16"/>
      <c r="R192" s="16"/>
      <c r="S192" s="16"/>
      <c r="T192" s="16"/>
      <c r="U192" s="16"/>
      <c r="V192" s="16"/>
      <c r="W192" s="16"/>
      <c r="X192" s="16"/>
      <c r="Y192" s="16"/>
      <c r="Z192" s="16"/>
    </row>
    <row r="193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6"/>
      <c r="L193" s="16"/>
      <c r="M193" s="16"/>
      <c r="N193" s="16"/>
      <c r="O193" s="16"/>
      <c r="P193" s="16"/>
      <c r="Q193" s="16"/>
      <c r="R193" s="16"/>
      <c r="S193" s="16"/>
      <c r="T193" s="16"/>
      <c r="U193" s="16"/>
      <c r="V193" s="16"/>
      <c r="W193" s="16"/>
      <c r="X193" s="16"/>
      <c r="Y193" s="16"/>
      <c r="Z193" s="16"/>
    </row>
    <row r="194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6"/>
      <c r="L194" s="16"/>
      <c r="M194" s="16"/>
      <c r="N194" s="16"/>
      <c r="O194" s="16"/>
      <c r="P194" s="16"/>
      <c r="Q194" s="16"/>
      <c r="R194" s="16"/>
      <c r="S194" s="16"/>
      <c r="T194" s="16"/>
      <c r="U194" s="16"/>
      <c r="V194" s="16"/>
      <c r="W194" s="16"/>
      <c r="X194" s="16"/>
      <c r="Y194" s="16"/>
      <c r="Z194" s="16"/>
    </row>
    <row r="195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6"/>
      <c r="L195" s="16"/>
      <c r="M195" s="16"/>
      <c r="N195" s="16"/>
      <c r="O195" s="16"/>
      <c r="P195" s="16"/>
      <c r="Q195" s="16"/>
      <c r="R195" s="16"/>
      <c r="S195" s="16"/>
      <c r="T195" s="16"/>
      <c r="U195" s="16"/>
      <c r="V195" s="16"/>
      <c r="W195" s="16"/>
      <c r="X195" s="16"/>
      <c r="Y195" s="16"/>
      <c r="Z195" s="16"/>
    </row>
    <row r="19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6"/>
      <c r="L196" s="16"/>
      <c r="M196" s="16"/>
      <c r="N196" s="16"/>
      <c r="O196" s="16"/>
      <c r="P196" s="16"/>
      <c r="Q196" s="16"/>
      <c r="R196" s="16"/>
      <c r="S196" s="16"/>
      <c r="T196" s="16"/>
      <c r="U196" s="16"/>
      <c r="V196" s="16"/>
      <c r="W196" s="16"/>
      <c r="X196" s="16"/>
      <c r="Y196" s="16"/>
      <c r="Z196" s="16"/>
    </row>
    <row r="197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6"/>
      <c r="L197" s="16"/>
      <c r="M197" s="16"/>
      <c r="N197" s="16"/>
      <c r="O197" s="16"/>
      <c r="P197" s="16"/>
      <c r="Q197" s="16"/>
      <c r="R197" s="16"/>
      <c r="S197" s="16"/>
      <c r="T197" s="16"/>
      <c r="U197" s="16"/>
      <c r="V197" s="16"/>
      <c r="W197" s="16"/>
      <c r="X197" s="16"/>
      <c r="Y197" s="16"/>
      <c r="Z197" s="16"/>
    </row>
    <row r="198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6"/>
      <c r="L198" s="16"/>
      <c r="M198" s="16"/>
      <c r="N198" s="16"/>
      <c r="O198" s="16"/>
      <c r="P198" s="16"/>
      <c r="Q198" s="16"/>
      <c r="R198" s="16"/>
      <c r="S198" s="16"/>
      <c r="T198" s="16"/>
      <c r="U198" s="16"/>
      <c r="V198" s="16"/>
      <c r="W198" s="16"/>
      <c r="X198" s="16"/>
      <c r="Y198" s="16"/>
      <c r="Z198" s="16"/>
    </row>
    <row r="199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6"/>
      <c r="L199" s="16"/>
      <c r="M199" s="16"/>
      <c r="N199" s="16"/>
      <c r="O199" s="16"/>
      <c r="P199" s="16"/>
      <c r="Q199" s="16"/>
      <c r="R199" s="16"/>
      <c r="S199" s="16"/>
      <c r="T199" s="16"/>
      <c r="U199" s="16"/>
      <c r="V199" s="16"/>
      <c r="W199" s="16"/>
      <c r="X199" s="16"/>
      <c r="Y199" s="16"/>
      <c r="Z199" s="16"/>
    </row>
    <row r="200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6"/>
      <c r="L200" s="16"/>
      <c r="M200" s="16"/>
      <c r="N200" s="16"/>
      <c r="O200" s="16"/>
      <c r="P200" s="16"/>
      <c r="Q200" s="16"/>
      <c r="R200" s="16"/>
      <c r="S200" s="16"/>
      <c r="T200" s="16"/>
      <c r="U200" s="16"/>
      <c r="V200" s="16"/>
      <c r="W200" s="16"/>
      <c r="X200" s="16"/>
      <c r="Y200" s="16"/>
      <c r="Z200" s="16"/>
    </row>
    <row r="201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6"/>
      <c r="L201" s="16"/>
      <c r="M201" s="16"/>
      <c r="N201" s="16"/>
      <c r="O201" s="16"/>
      <c r="P201" s="16"/>
      <c r="Q201" s="16"/>
      <c r="R201" s="16"/>
      <c r="S201" s="16"/>
      <c r="T201" s="16"/>
      <c r="U201" s="16"/>
      <c r="V201" s="16"/>
      <c r="W201" s="16"/>
      <c r="X201" s="16"/>
      <c r="Y201" s="16"/>
      <c r="Z201" s="16"/>
    </row>
    <row r="202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6"/>
      <c r="L202" s="16"/>
      <c r="M202" s="16"/>
      <c r="N202" s="16"/>
      <c r="O202" s="16"/>
      <c r="P202" s="16"/>
      <c r="Q202" s="16"/>
      <c r="R202" s="16"/>
      <c r="S202" s="16"/>
      <c r="T202" s="16"/>
      <c r="U202" s="16"/>
      <c r="V202" s="16"/>
      <c r="W202" s="16"/>
      <c r="X202" s="16"/>
      <c r="Y202" s="16"/>
      <c r="Z202" s="16"/>
    </row>
    <row r="203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6"/>
      <c r="L203" s="16"/>
      <c r="M203" s="16"/>
      <c r="N203" s="16"/>
      <c r="O203" s="16"/>
      <c r="P203" s="16"/>
      <c r="Q203" s="16"/>
      <c r="R203" s="16"/>
      <c r="S203" s="16"/>
      <c r="T203" s="16"/>
      <c r="U203" s="16"/>
      <c r="V203" s="16"/>
      <c r="W203" s="16"/>
      <c r="X203" s="16"/>
      <c r="Y203" s="16"/>
      <c r="Z203" s="16"/>
    </row>
    <row r="204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6"/>
      <c r="L204" s="16"/>
      <c r="M204" s="16"/>
      <c r="N204" s="16"/>
      <c r="O204" s="16"/>
      <c r="P204" s="16"/>
      <c r="Q204" s="16"/>
      <c r="R204" s="16"/>
      <c r="S204" s="16"/>
      <c r="T204" s="16"/>
      <c r="U204" s="16"/>
      <c r="V204" s="16"/>
      <c r="W204" s="16"/>
      <c r="X204" s="16"/>
      <c r="Y204" s="16"/>
      <c r="Z204" s="16"/>
    </row>
    <row r="205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6"/>
      <c r="L205" s="16"/>
      <c r="M205" s="16"/>
      <c r="N205" s="16"/>
      <c r="O205" s="16"/>
      <c r="P205" s="16"/>
      <c r="Q205" s="16"/>
      <c r="R205" s="16"/>
      <c r="S205" s="16"/>
      <c r="T205" s="16"/>
      <c r="U205" s="16"/>
      <c r="V205" s="16"/>
      <c r="W205" s="16"/>
      <c r="X205" s="16"/>
      <c r="Y205" s="16"/>
      <c r="Z205" s="16"/>
    </row>
    <row r="20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6"/>
      <c r="L206" s="16"/>
      <c r="M206" s="16"/>
      <c r="N206" s="16"/>
      <c r="O206" s="16"/>
      <c r="P206" s="16"/>
      <c r="Q206" s="16"/>
      <c r="R206" s="16"/>
      <c r="S206" s="16"/>
      <c r="T206" s="16"/>
      <c r="U206" s="16"/>
      <c r="V206" s="16"/>
      <c r="W206" s="16"/>
      <c r="X206" s="16"/>
      <c r="Y206" s="16"/>
      <c r="Z206" s="16"/>
    </row>
    <row r="207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6"/>
      <c r="L207" s="16"/>
      <c r="M207" s="16"/>
      <c r="N207" s="16"/>
      <c r="O207" s="16"/>
      <c r="P207" s="16"/>
      <c r="Q207" s="16"/>
      <c r="R207" s="16"/>
      <c r="S207" s="16"/>
      <c r="T207" s="16"/>
      <c r="U207" s="16"/>
      <c r="V207" s="16"/>
      <c r="W207" s="16"/>
      <c r="X207" s="16"/>
      <c r="Y207" s="16"/>
      <c r="Z207" s="16"/>
    </row>
    <row r="208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6"/>
      <c r="L208" s="16"/>
      <c r="M208" s="16"/>
      <c r="N208" s="16"/>
      <c r="O208" s="16"/>
      <c r="P208" s="16"/>
      <c r="Q208" s="16"/>
      <c r="R208" s="16"/>
      <c r="S208" s="16"/>
      <c r="T208" s="16"/>
      <c r="U208" s="16"/>
      <c r="V208" s="16"/>
      <c r="W208" s="16"/>
      <c r="X208" s="16"/>
      <c r="Y208" s="16"/>
      <c r="Z208" s="16"/>
    </row>
    <row r="209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6"/>
      <c r="L209" s="16"/>
      <c r="M209" s="16"/>
      <c r="N209" s="16"/>
      <c r="O209" s="16"/>
      <c r="P209" s="16"/>
      <c r="Q209" s="16"/>
      <c r="R209" s="16"/>
      <c r="S209" s="16"/>
      <c r="T209" s="16"/>
      <c r="U209" s="16"/>
      <c r="V209" s="16"/>
      <c r="W209" s="16"/>
      <c r="X209" s="16"/>
      <c r="Y209" s="16"/>
      <c r="Z209" s="16"/>
    </row>
    <row r="210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6"/>
      <c r="L210" s="16"/>
      <c r="M210" s="16"/>
      <c r="N210" s="16"/>
      <c r="O210" s="16"/>
      <c r="P210" s="16"/>
      <c r="Q210" s="16"/>
      <c r="R210" s="16"/>
      <c r="S210" s="16"/>
      <c r="T210" s="16"/>
      <c r="U210" s="16"/>
      <c r="V210" s="16"/>
      <c r="W210" s="16"/>
      <c r="X210" s="16"/>
      <c r="Y210" s="16"/>
      <c r="Z210" s="16"/>
    </row>
    <row r="211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6"/>
      <c r="L211" s="16"/>
      <c r="M211" s="16"/>
      <c r="N211" s="16"/>
      <c r="O211" s="16"/>
      <c r="P211" s="16"/>
      <c r="Q211" s="16"/>
      <c r="R211" s="16"/>
      <c r="S211" s="16"/>
      <c r="T211" s="16"/>
      <c r="U211" s="16"/>
      <c r="V211" s="16"/>
      <c r="W211" s="16"/>
      <c r="X211" s="16"/>
      <c r="Y211" s="16"/>
      <c r="Z211" s="16"/>
    </row>
    <row r="212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6"/>
      <c r="L212" s="16"/>
      <c r="M212" s="16"/>
      <c r="N212" s="16"/>
      <c r="O212" s="16"/>
      <c r="P212" s="16"/>
      <c r="Q212" s="16"/>
      <c r="R212" s="16"/>
      <c r="S212" s="16"/>
      <c r="T212" s="16"/>
      <c r="U212" s="16"/>
      <c r="V212" s="16"/>
      <c r="W212" s="16"/>
      <c r="X212" s="16"/>
      <c r="Y212" s="16"/>
      <c r="Z212" s="16"/>
    </row>
    <row r="213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6"/>
      <c r="L213" s="16"/>
      <c r="M213" s="16"/>
      <c r="N213" s="16"/>
      <c r="O213" s="16"/>
      <c r="P213" s="16"/>
      <c r="Q213" s="16"/>
      <c r="R213" s="16"/>
      <c r="S213" s="16"/>
      <c r="T213" s="16"/>
      <c r="U213" s="16"/>
      <c r="V213" s="16"/>
      <c r="W213" s="16"/>
      <c r="X213" s="16"/>
      <c r="Y213" s="16"/>
      <c r="Z213" s="16"/>
    </row>
    <row r="214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6"/>
      <c r="L214" s="16"/>
      <c r="M214" s="16"/>
      <c r="N214" s="16"/>
      <c r="O214" s="16"/>
      <c r="P214" s="16"/>
      <c r="Q214" s="16"/>
      <c r="R214" s="16"/>
      <c r="S214" s="16"/>
      <c r="T214" s="16"/>
      <c r="U214" s="16"/>
      <c r="V214" s="16"/>
      <c r="W214" s="16"/>
      <c r="X214" s="16"/>
      <c r="Y214" s="16"/>
      <c r="Z214" s="16"/>
    </row>
    <row r="215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6"/>
      <c r="L215" s="16"/>
      <c r="M215" s="16"/>
      <c r="N215" s="16"/>
      <c r="O215" s="16"/>
      <c r="P215" s="16"/>
      <c r="Q215" s="16"/>
      <c r="R215" s="16"/>
      <c r="S215" s="16"/>
      <c r="T215" s="16"/>
      <c r="U215" s="16"/>
      <c r="V215" s="16"/>
      <c r="W215" s="16"/>
      <c r="X215" s="16"/>
      <c r="Y215" s="16"/>
      <c r="Z215" s="16"/>
    </row>
    <row r="21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6"/>
      <c r="L216" s="16"/>
      <c r="M216" s="16"/>
      <c r="N216" s="16"/>
      <c r="O216" s="16"/>
      <c r="P216" s="16"/>
      <c r="Q216" s="16"/>
      <c r="R216" s="16"/>
      <c r="S216" s="16"/>
      <c r="T216" s="16"/>
      <c r="U216" s="16"/>
      <c r="V216" s="16"/>
      <c r="W216" s="16"/>
      <c r="X216" s="16"/>
      <c r="Y216" s="16"/>
      <c r="Z216" s="16"/>
    </row>
    <row r="217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6"/>
      <c r="L217" s="16"/>
      <c r="M217" s="16"/>
      <c r="N217" s="16"/>
      <c r="O217" s="16"/>
      <c r="P217" s="16"/>
      <c r="Q217" s="16"/>
      <c r="R217" s="16"/>
      <c r="S217" s="16"/>
      <c r="T217" s="16"/>
      <c r="U217" s="16"/>
      <c r="V217" s="16"/>
      <c r="W217" s="16"/>
      <c r="X217" s="16"/>
      <c r="Y217" s="16"/>
      <c r="Z217" s="16"/>
    </row>
    <row r="218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6"/>
      <c r="L218" s="16"/>
      <c r="M218" s="16"/>
      <c r="N218" s="16"/>
      <c r="O218" s="16"/>
      <c r="P218" s="16"/>
      <c r="Q218" s="16"/>
      <c r="R218" s="16"/>
      <c r="S218" s="16"/>
      <c r="T218" s="16"/>
      <c r="U218" s="16"/>
      <c r="V218" s="16"/>
      <c r="W218" s="16"/>
      <c r="X218" s="16"/>
      <c r="Y218" s="16"/>
      <c r="Z218" s="16"/>
    </row>
    <row r="219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6"/>
      <c r="L219" s="16"/>
      <c r="M219" s="16"/>
      <c r="N219" s="16"/>
      <c r="O219" s="16"/>
      <c r="P219" s="16"/>
      <c r="Q219" s="16"/>
      <c r="R219" s="16"/>
      <c r="S219" s="16"/>
      <c r="T219" s="16"/>
      <c r="U219" s="16"/>
      <c r="V219" s="16"/>
      <c r="W219" s="16"/>
      <c r="X219" s="16"/>
      <c r="Y219" s="16"/>
      <c r="Z219" s="16"/>
    </row>
    <row r="220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6"/>
      <c r="L220" s="16"/>
      <c r="M220" s="16"/>
      <c r="N220" s="16"/>
      <c r="O220" s="16"/>
      <c r="P220" s="16"/>
      <c r="Q220" s="16"/>
      <c r="R220" s="16"/>
      <c r="S220" s="16"/>
      <c r="T220" s="16"/>
      <c r="U220" s="16"/>
      <c r="V220" s="16"/>
      <c r="W220" s="16"/>
      <c r="X220" s="16"/>
      <c r="Y220" s="16"/>
      <c r="Z220" s="16"/>
    </row>
    <row r="221" ht="15.75" customHeight="1">
      <c r="A221" s="105"/>
      <c r="B221" s="105"/>
      <c r="C221" s="105"/>
      <c r="D221" s="105"/>
      <c r="E221" s="105"/>
      <c r="F221" s="105"/>
      <c r="G221" s="105"/>
      <c r="H221" s="105"/>
      <c r="I221" s="105"/>
      <c r="J221" s="105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 ht="15.75" customHeight="1">
      <c r="A222" s="105"/>
      <c r="B222" s="105"/>
      <c r="C222" s="105"/>
      <c r="D222" s="105"/>
      <c r="E222" s="105"/>
      <c r="F222" s="105"/>
      <c r="G222" s="105"/>
      <c r="H222" s="105"/>
      <c r="I222" s="105"/>
      <c r="J222" s="105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 ht="15.75" customHeight="1">
      <c r="A223" s="105"/>
      <c r="B223" s="105"/>
      <c r="C223" s="105"/>
      <c r="D223" s="105"/>
      <c r="E223" s="105"/>
      <c r="F223" s="105"/>
      <c r="G223" s="105"/>
      <c r="H223" s="105"/>
      <c r="I223" s="105"/>
      <c r="J223" s="105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 ht="15.75" customHeight="1">
      <c r="A224" s="105"/>
      <c r="B224" s="105"/>
      <c r="C224" s="105"/>
      <c r="D224" s="105"/>
      <c r="E224" s="105"/>
      <c r="F224" s="105"/>
      <c r="G224" s="105"/>
      <c r="H224" s="105"/>
      <c r="I224" s="105"/>
      <c r="J224" s="105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 ht="15.75" customHeight="1">
      <c r="A225" s="105"/>
      <c r="B225" s="105"/>
      <c r="C225" s="105"/>
      <c r="D225" s="105"/>
      <c r="E225" s="105"/>
      <c r="F225" s="105"/>
      <c r="G225" s="105"/>
      <c r="H225" s="105"/>
      <c r="I225" s="105"/>
      <c r="J225" s="105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 ht="15.75" customHeight="1">
      <c r="A226" s="105"/>
      <c r="B226" s="105"/>
      <c r="C226" s="105"/>
      <c r="D226" s="105"/>
      <c r="E226" s="105"/>
      <c r="F226" s="105"/>
      <c r="G226" s="105"/>
      <c r="H226" s="105"/>
      <c r="I226" s="105"/>
      <c r="J226" s="105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 ht="15.75" customHeight="1">
      <c r="A227" s="105"/>
      <c r="B227" s="105"/>
      <c r="C227" s="105"/>
      <c r="D227" s="105"/>
      <c r="E227" s="105"/>
      <c r="F227" s="105"/>
      <c r="G227" s="105"/>
      <c r="H227" s="105"/>
      <c r="I227" s="105"/>
      <c r="J227" s="105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 ht="15.75" customHeight="1">
      <c r="A228" s="105"/>
      <c r="B228" s="105"/>
      <c r="C228" s="105"/>
      <c r="D228" s="105"/>
      <c r="E228" s="105"/>
      <c r="F228" s="105"/>
      <c r="G228" s="105"/>
      <c r="H228" s="105"/>
      <c r="I228" s="105"/>
      <c r="J228" s="105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 ht="15.75" customHeight="1">
      <c r="A229" s="105"/>
      <c r="B229" s="105"/>
      <c r="C229" s="105"/>
      <c r="D229" s="105"/>
      <c r="E229" s="105"/>
      <c r="F229" s="105"/>
      <c r="G229" s="105"/>
      <c r="H229" s="105"/>
      <c r="I229" s="105"/>
      <c r="J229" s="105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 ht="15.75" customHeight="1">
      <c r="A230" s="105"/>
      <c r="B230" s="105"/>
      <c r="C230" s="105"/>
      <c r="D230" s="105"/>
      <c r="E230" s="105"/>
      <c r="F230" s="105"/>
      <c r="G230" s="105"/>
      <c r="H230" s="105"/>
      <c r="I230" s="105"/>
      <c r="J230" s="105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 ht="15.75" customHeight="1">
      <c r="A231" s="105"/>
      <c r="B231" s="105"/>
      <c r="C231" s="105"/>
      <c r="D231" s="105"/>
      <c r="E231" s="105"/>
      <c r="F231" s="105"/>
      <c r="G231" s="105"/>
      <c r="H231" s="105"/>
      <c r="I231" s="105"/>
      <c r="J231" s="105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 ht="15.75" customHeight="1">
      <c r="A232" s="105"/>
      <c r="B232" s="105"/>
      <c r="C232" s="105"/>
      <c r="D232" s="105"/>
      <c r="E232" s="105"/>
      <c r="F232" s="105"/>
      <c r="G232" s="105"/>
      <c r="H232" s="105"/>
      <c r="I232" s="105"/>
      <c r="J232" s="105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 ht="15.75" customHeight="1">
      <c r="A233" s="105"/>
      <c r="B233" s="105"/>
      <c r="C233" s="105"/>
      <c r="D233" s="105"/>
      <c r="E233" s="105"/>
      <c r="F233" s="105"/>
      <c r="G233" s="105"/>
      <c r="H233" s="105"/>
      <c r="I233" s="105"/>
      <c r="J233" s="105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 ht="15.75" customHeight="1">
      <c r="A234" s="105"/>
      <c r="B234" s="105"/>
      <c r="C234" s="105"/>
      <c r="D234" s="105"/>
      <c r="E234" s="105"/>
      <c r="F234" s="105"/>
      <c r="G234" s="105"/>
      <c r="H234" s="105"/>
      <c r="I234" s="105"/>
      <c r="J234" s="105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 ht="15.75" customHeight="1">
      <c r="A235" s="105"/>
      <c r="B235" s="105"/>
      <c r="C235" s="105"/>
      <c r="D235" s="105"/>
      <c r="E235" s="105"/>
      <c r="F235" s="105"/>
      <c r="G235" s="105"/>
      <c r="H235" s="105"/>
      <c r="I235" s="105"/>
      <c r="J235" s="105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 ht="15.75" customHeight="1">
      <c r="A236" s="105"/>
      <c r="B236" s="105"/>
      <c r="C236" s="105"/>
      <c r="D236" s="105"/>
      <c r="E236" s="105"/>
      <c r="F236" s="105"/>
      <c r="G236" s="105"/>
      <c r="H236" s="105"/>
      <c r="I236" s="105"/>
      <c r="J236" s="105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 ht="15.75" customHeight="1">
      <c r="A237" s="105"/>
      <c r="B237" s="105"/>
      <c r="C237" s="105"/>
      <c r="D237" s="105"/>
      <c r="E237" s="105"/>
      <c r="F237" s="105"/>
      <c r="G237" s="105"/>
      <c r="H237" s="105"/>
      <c r="I237" s="105"/>
      <c r="J237" s="105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 ht="15.75" customHeight="1">
      <c r="A238" s="105"/>
      <c r="B238" s="105"/>
      <c r="C238" s="105"/>
      <c r="D238" s="105"/>
      <c r="E238" s="105"/>
      <c r="F238" s="105"/>
      <c r="G238" s="105"/>
      <c r="H238" s="105"/>
      <c r="I238" s="105"/>
      <c r="J238" s="105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 ht="15.75" customHeight="1">
      <c r="A239" s="105"/>
      <c r="B239" s="105"/>
      <c r="C239" s="105"/>
      <c r="D239" s="105"/>
      <c r="E239" s="105"/>
      <c r="F239" s="105"/>
      <c r="G239" s="105"/>
      <c r="H239" s="105"/>
      <c r="I239" s="105"/>
      <c r="J239" s="105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 ht="15.75" customHeight="1">
      <c r="A240" s="105"/>
      <c r="B240" s="105"/>
      <c r="C240" s="105"/>
      <c r="D240" s="105"/>
      <c r="E240" s="105"/>
      <c r="F240" s="105"/>
      <c r="G240" s="105"/>
      <c r="H240" s="105"/>
      <c r="I240" s="105"/>
      <c r="J240" s="105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 ht="15.75" customHeight="1">
      <c r="A241" s="105"/>
      <c r="B241" s="105"/>
      <c r="C241" s="105"/>
      <c r="D241" s="105"/>
      <c r="E241" s="105"/>
      <c r="F241" s="105"/>
      <c r="G241" s="105"/>
      <c r="H241" s="105"/>
      <c r="I241" s="105"/>
      <c r="J241" s="105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 ht="15.75" customHeight="1">
      <c r="A242" s="105"/>
      <c r="B242" s="105"/>
      <c r="C242" s="105"/>
      <c r="D242" s="105"/>
      <c r="E242" s="105"/>
      <c r="F242" s="105"/>
      <c r="G242" s="105"/>
      <c r="H242" s="105"/>
      <c r="I242" s="105"/>
      <c r="J242" s="105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 ht="15.75" customHeight="1">
      <c r="A243" s="105"/>
      <c r="B243" s="105"/>
      <c r="C243" s="105"/>
      <c r="D243" s="105"/>
      <c r="E243" s="105"/>
      <c r="F243" s="105"/>
      <c r="G243" s="105"/>
      <c r="H243" s="105"/>
      <c r="I243" s="105"/>
      <c r="J243" s="105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 ht="15.75" customHeight="1">
      <c r="A244" s="105"/>
      <c r="B244" s="105"/>
      <c r="C244" s="105"/>
      <c r="D244" s="105"/>
      <c r="E244" s="105"/>
      <c r="F244" s="105"/>
      <c r="G244" s="105"/>
      <c r="H244" s="105"/>
      <c r="I244" s="105"/>
      <c r="J244" s="105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 ht="15.75" customHeight="1">
      <c r="A245" s="105"/>
      <c r="B245" s="105"/>
      <c r="C245" s="105"/>
      <c r="D245" s="105"/>
      <c r="E245" s="105"/>
      <c r="F245" s="105"/>
      <c r="G245" s="105"/>
      <c r="H245" s="105"/>
      <c r="I245" s="105"/>
      <c r="J245" s="105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 ht="15.75" customHeight="1">
      <c r="A246" s="105"/>
      <c r="B246" s="105"/>
      <c r="C246" s="105"/>
      <c r="D246" s="105"/>
      <c r="E246" s="105"/>
      <c r="F246" s="105"/>
      <c r="G246" s="105"/>
      <c r="H246" s="105"/>
      <c r="I246" s="105"/>
      <c r="J246" s="105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 ht="15.75" customHeight="1">
      <c r="A247" s="105"/>
      <c r="B247" s="105"/>
      <c r="C247" s="105"/>
      <c r="D247" s="105"/>
      <c r="E247" s="105"/>
      <c r="F247" s="105"/>
      <c r="G247" s="105"/>
      <c r="H247" s="105"/>
      <c r="I247" s="105"/>
      <c r="J247" s="105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 ht="15.75" customHeight="1">
      <c r="A248" s="105"/>
      <c r="B248" s="105"/>
      <c r="C248" s="105"/>
      <c r="D248" s="105"/>
      <c r="E248" s="105"/>
      <c r="F248" s="105"/>
      <c r="G248" s="105"/>
      <c r="H248" s="105"/>
      <c r="I248" s="105"/>
      <c r="J248" s="105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 ht="15.75" customHeight="1">
      <c r="A249" s="105"/>
      <c r="B249" s="105"/>
      <c r="C249" s="105"/>
      <c r="D249" s="105"/>
      <c r="E249" s="105"/>
      <c r="F249" s="105"/>
      <c r="G249" s="105"/>
      <c r="H249" s="105"/>
      <c r="I249" s="105"/>
      <c r="J249" s="105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 ht="15.75" customHeight="1">
      <c r="A250" s="105"/>
      <c r="B250" s="105"/>
      <c r="C250" s="105"/>
      <c r="D250" s="105"/>
      <c r="E250" s="105"/>
      <c r="F250" s="105"/>
      <c r="G250" s="105"/>
      <c r="H250" s="105"/>
      <c r="I250" s="105"/>
      <c r="J250" s="105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 ht="15.75" customHeight="1">
      <c r="A251" s="105"/>
      <c r="B251" s="105"/>
      <c r="C251" s="105"/>
      <c r="D251" s="105"/>
      <c r="E251" s="105"/>
      <c r="F251" s="105"/>
      <c r="G251" s="105"/>
      <c r="H251" s="105"/>
      <c r="I251" s="105"/>
      <c r="J251" s="105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 ht="15.75" customHeight="1">
      <c r="A252" s="105"/>
      <c r="B252" s="105"/>
      <c r="C252" s="105"/>
      <c r="D252" s="105"/>
      <c r="E252" s="105"/>
      <c r="F252" s="105"/>
      <c r="G252" s="105"/>
      <c r="H252" s="105"/>
      <c r="I252" s="105"/>
      <c r="J252" s="105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 ht="15.75" customHeight="1">
      <c r="A253" s="105"/>
      <c r="B253" s="105"/>
      <c r="C253" s="105"/>
      <c r="D253" s="105"/>
      <c r="E253" s="105"/>
      <c r="F253" s="105"/>
      <c r="G253" s="105"/>
      <c r="H253" s="105"/>
      <c r="I253" s="105"/>
      <c r="J253" s="105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 ht="15.75" customHeight="1">
      <c r="A254" s="105"/>
      <c r="B254" s="105"/>
      <c r="C254" s="105"/>
      <c r="D254" s="105"/>
      <c r="E254" s="105"/>
      <c r="F254" s="105"/>
      <c r="G254" s="105"/>
      <c r="H254" s="105"/>
      <c r="I254" s="105"/>
      <c r="J254" s="105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 ht="15.75" customHeight="1">
      <c r="A255" s="105"/>
      <c r="B255" s="105"/>
      <c r="C255" s="105"/>
      <c r="D255" s="105"/>
      <c r="E255" s="105"/>
      <c r="F255" s="105"/>
      <c r="G255" s="105"/>
      <c r="H255" s="105"/>
      <c r="I255" s="105"/>
      <c r="J255" s="105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 ht="15.75" customHeight="1">
      <c r="A256" s="105"/>
      <c r="B256" s="105"/>
      <c r="C256" s="105"/>
      <c r="D256" s="105"/>
      <c r="E256" s="105"/>
      <c r="F256" s="105"/>
      <c r="G256" s="105"/>
      <c r="H256" s="105"/>
      <c r="I256" s="105"/>
      <c r="J256" s="105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 ht="15.75" customHeight="1">
      <c r="A257" s="105"/>
      <c r="B257" s="105"/>
      <c r="C257" s="105"/>
      <c r="D257" s="105"/>
      <c r="E257" s="105"/>
      <c r="F257" s="105"/>
      <c r="G257" s="105"/>
      <c r="H257" s="105"/>
      <c r="I257" s="105"/>
      <c r="J257" s="105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 ht="15.75" customHeight="1">
      <c r="A258" s="105"/>
      <c r="B258" s="105"/>
      <c r="C258" s="105"/>
      <c r="D258" s="105"/>
      <c r="E258" s="105"/>
      <c r="F258" s="105"/>
      <c r="G258" s="105"/>
      <c r="H258" s="105"/>
      <c r="I258" s="105"/>
      <c r="J258" s="105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 ht="15.75" customHeight="1">
      <c r="A259" s="105"/>
      <c r="B259" s="105"/>
      <c r="C259" s="105"/>
      <c r="D259" s="105"/>
      <c r="E259" s="105"/>
      <c r="F259" s="105"/>
      <c r="G259" s="105"/>
      <c r="H259" s="105"/>
      <c r="I259" s="105"/>
      <c r="J259" s="105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E50F6544-B6B5-4B49-B5AC-581A7192BAE5}" filter="1" showAutoFilter="1">
      <autoFilter ref="$A$1:$J$259"/>
    </customSheetView>
    <customSheetView guid="{EFDE4367-4E8F-4800-83FC-CE6ED2BE1E33}" filter="1" showAutoFilter="1">
      <autoFilter ref="$A$1:$Z$59"/>
    </customSheetView>
    <customSheetView guid="{30A002E0-AEB3-4C31-BED6-1ED66E0E12DB}" filter="1" showAutoFilter="1">
      <autoFilter ref="$A$1:$Y$259"/>
    </customSheetView>
    <customSheetView guid="{783578F7-78EA-4860-A1C3-2DEBF1DE1028}" filter="1" showAutoFilter="1">
      <autoFilter ref="$A$1:$Y$259"/>
    </customSheetView>
    <customSheetView guid="{427AC907-9D49-418A-90CE-CD823901D59D}" filter="1" showAutoFilter="1">
      <autoFilter ref="$A$1:$Z$59">
        <filterColumn colId="3">
          <filters>
            <filter val="New York"/>
          </filters>
        </filterColumn>
        <filterColumn colId="7">
          <filters>
            <filter val="M"/>
          </filters>
        </filterColumn>
        <filterColumn colId="8">
          <filters>
            <filter val="Married"/>
            <filter val="Divorced"/>
          </filters>
        </filterColumn>
      </autoFilter>
    </customSheetView>
    <customSheetView guid="{170F5120-9C9C-4224-B345-0F2B3F23C35D}" filter="1" showAutoFilter="1">
      <autoFilter ref="$A$1:$Z$59">
        <filterColumn colId="3">
          <filters>
            <filter val="New York"/>
          </filters>
        </filterColumn>
        <filterColumn colId="7">
          <filters>
            <filter val="M"/>
          </filters>
        </filterColumn>
        <filterColumn colId="8">
          <filters>
            <filter val="Married"/>
            <filter val="Divorced"/>
          </filters>
        </filterColumn>
      </autoFilter>
    </customSheetView>
    <customSheetView guid="{E53FDF96-D63A-4B5D-9EB9-C10E2B5E9C8F}" filter="1" showAutoFilter="1">
      <autoFilter ref="$A$1:$Y$259">
        <filterColumn colId="4">
          <filters blank="1">
            <filter val="AK"/>
          </filters>
        </filterColumn>
      </autoFilter>
    </customSheetView>
    <customSheetView guid="{8B748508-632F-40C2-90D7-C8FE7028B44C}" filter="1" showAutoFilter="1">
      <autoFilter ref="$A$1:$Y$259">
        <filterColumn colId="7">
          <filters blank="1">
            <filter val="F"/>
          </filters>
        </filterColumn>
        <filterColumn colId="4">
          <filters blank="1">
            <filter val="TX"/>
            <filter val="CA"/>
            <filter val="NL"/>
          </filters>
        </filterColumn>
      </autoFilter>
    </customSheetView>
  </customSheetViews>
  <hyperlinks>
    <hyperlink r:id="rId1" ref="K2"/>
    <hyperlink r:id="rId2" ref="K3"/>
    <hyperlink r:id="rId3" ref="K4"/>
    <hyperlink r:id="rId4" ref="K5"/>
    <hyperlink r:id="rId5" ref="K6"/>
    <hyperlink r:id="rId6" ref="K7"/>
    <hyperlink r:id="rId7" ref="K8"/>
    <hyperlink r:id="rId8" ref="K9"/>
    <hyperlink r:id="rId9" ref="K10"/>
    <hyperlink r:id="rId10" ref="K11"/>
    <hyperlink r:id="rId11" ref="K12"/>
    <hyperlink r:id="rId12" ref="K13"/>
    <hyperlink r:id="rId13" ref="K14"/>
    <hyperlink r:id="rId14" ref="K15"/>
    <hyperlink r:id="rId15" ref="K16"/>
    <hyperlink r:id="rId16" ref="K17"/>
    <hyperlink r:id="rId17" ref="K18"/>
    <hyperlink r:id="rId18" ref="K19"/>
    <hyperlink r:id="rId19" ref="K20"/>
    <hyperlink r:id="rId20" ref="K21"/>
    <hyperlink r:id="rId21" ref="K22"/>
    <hyperlink r:id="rId22" ref="K23"/>
    <hyperlink r:id="rId23" ref="K24"/>
    <hyperlink r:id="rId24" ref="K25"/>
    <hyperlink r:id="rId25" ref="K26"/>
    <hyperlink r:id="rId26" ref="K27"/>
    <hyperlink r:id="rId27" ref="K28"/>
    <hyperlink r:id="rId28" ref="K29"/>
    <hyperlink r:id="rId29" ref="K31"/>
    <hyperlink r:id="rId30" ref="K32"/>
    <hyperlink r:id="rId31" ref="K33"/>
    <hyperlink r:id="rId32" ref="K34"/>
    <hyperlink r:id="rId33" ref="K35"/>
    <hyperlink r:id="rId34" ref="K36"/>
    <hyperlink r:id="rId35" ref="K37"/>
    <hyperlink r:id="rId36" ref="K38"/>
    <hyperlink r:id="rId37" ref="K39"/>
    <hyperlink r:id="rId38" ref="K40"/>
    <hyperlink r:id="rId39" ref="K41"/>
    <hyperlink r:id="rId40" ref="K42"/>
    <hyperlink r:id="rId41" ref="K43"/>
    <hyperlink r:id="rId42" ref="K44"/>
    <hyperlink r:id="rId43" ref="K45"/>
    <hyperlink r:id="rId44" ref="K46"/>
    <hyperlink r:id="rId45" ref="K47"/>
    <hyperlink r:id="rId46" ref="K48"/>
    <hyperlink r:id="rId47" ref="K49"/>
    <hyperlink r:id="rId48" ref="K50"/>
    <hyperlink r:id="rId49" ref="K51"/>
    <hyperlink r:id="rId50" ref="K52"/>
    <hyperlink r:id="rId51" ref="K53"/>
    <hyperlink r:id="rId52" ref="K54"/>
    <hyperlink r:id="rId53" ref="K55"/>
    <hyperlink r:id="rId54" ref="K56"/>
    <hyperlink r:id="rId55" ref="K57"/>
    <hyperlink r:id="rId56" ref="K58"/>
    <hyperlink r:id="rId57" ref="K59"/>
  </hyperlinks>
  <drawing r:id="rId58"/>
  <tableParts count="1">
    <tablePart r:id="rId60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8.25"/>
    <col customWidth="1" min="2" max="4" width="12.63"/>
    <col customWidth="1" min="5" max="5" width="16.0"/>
    <col customWidth="1" min="6" max="6" width="9.88"/>
    <col customWidth="1" min="7" max="7" width="24.13"/>
  </cols>
  <sheetData>
    <row r="1" ht="34.5" customHeight="1">
      <c r="A1" s="106" t="s">
        <v>168</v>
      </c>
      <c r="B1" s="107" t="s">
        <v>366</v>
      </c>
      <c r="C1" s="107" t="s">
        <v>1</v>
      </c>
      <c r="D1" s="107" t="s">
        <v>174</v>
      </c>
      <c r="E1" s="107" t="s">
        <v>367</v>
      </c>
      <c r="F1" s="107" t="s">
        <v>2</v>
      </c>
      <c r="G1" s="107" t="s">
        <v>368</v>
      </c>
      <c r="H1" s="108" t="s">
        <v>369</v>
      </c>
      <c r="I1" s="109"/>
      <c r="J1" s="109"/>
      <c r="K1" s="109"/>
      <c r="L1" s="109"/>
      <c r="M1" s="109"/>
      <c r="N1" s="109"/>
      <c r="O1" s="109"/>
      <c r="P1" s="109"/>
      <c r="Q1" s="109"/>
      <c r="R1" s="109"/>
      <c r="S1" s="109"/>
      <c r="T1" s="109"/>
      <c r="U1" s="109"/>
      <c r="V1" s="109"/>
      <c r="W1" s="109"/>
      <c r="X1" s="109"/>
      <c r="Y1" s="109"/>
      <c r="Z1" s="109"/>
    </row>
    <row r="2" ht="15.75" customHeight="1">
      <c r="A2" s="110">
        <v>2021.0</v>
      </c>
      <c r="B2" s="111" t="s">
        <v>370</v>
      </c>
      <c r="C2" s="112" t="s">
        <v>15</v>
      </c>
      <c r="D2" s="112" t="s">
        <v>371</v>
      </c>
      <c r="E2" s="112" t="s">
        <v>372</v>
      </c>
      <c r="F2" s="112">
        <v>2000.0</v>
      </c>
      <c r="G2" s="112">
        <v>160.0</v>
      </c>
      <c r="H2" s="112">
        <f t="shared" ref="H2:H71" si="1">F2-G2</f>
        <v>1840</v>
      </c>
      <c r="I2" s="109"/>
      <c r="J2" s="109"/>
      <c r="K2" s="109"/>
      <c r="L2" s="109"/>
      <c r="M2" s="109"/>
      <c r="N2" s="109"/>
      <c r="O2" s="109"/>
      <c r="P2" s="109"/>
      <c r="Q2" s="109"/>
      <c r="R2" s="109"/>
      <c r="S2" s="109"/>
      <c r="T2" s="109"/>
      <c r="U2" s="109"/>
      <c r="V2" s="109"/>
      <c r="W2" s="109"/>
      <c r="X2" s="109"/>
      <c r="Y2" s="109"/>
      <c r="Z2" s="109"/>
    </row>
    <row r="3" ht="15.75" customHeight="1">
      <c r="A3" s="113">
        <v>2022.0</v>
      </c>
      <c r="B3" s="114" t="s">
        <v>370</v>
      </c>
      <c r="C3" s="115" t="s">
        <v>15</v>
      </c>
      <c r="D3" s="115" t="s">
        <v>371</v>
      </c>
      <c r="E3" s="115" t="s">
        <v>372</v>
      </c>
      <c r="F3" s="115">
        <v>2900.0</v>
      </c>
      <c r="G3" s="115">
        <v>250.0</v>
      </c>
      <c r="H3" s="115">
        <f t="shared" si="1"/>
        <v>2650</v>
      </c>
      <c r="I3" s="109"/>
      <c r="J3" s="109"/>
      <c r="K3" s="109"/>
      <c r="L3" s="109"/>
      <c r="M3" s="109"/>
      <c r="N3" s="109"/>
      <c r="O3" s="109"/>
      <c r="P3" s="109"/>
      <c r="Q3" s="109"/>
      <c r="R3" s="109"/>
      <c r="S3" s="109"/>
      <c r="T3" s="109"/>
      <c r="U3" s="109"/>
      <c r="V3" s="109"/>
      <c r="W3" s="109"/>
      <c r="X3" s="109"/>
      <c r="Y3" s="109"/>
      <c r="Z3" s="109"/>
    </row>
    <row r="4" ht="15.75" customHeight="1">
      <c r="A4" s="113">
        <v>2022.0</v>
      </c>
      <c r="B4" s="114" t="s">
        <v>370</v>
      </c>
      <c r="C4" s="115" t="s">
        <v>15</v>
      </c>
      <c r="D4" s="115" t="s">
        <v>371</v>
      </c>
      <c r="E4" s="115" t="s">
        <v>372</v>
      </c>
      <c r="F4" s="115">
        <v>2900.0</v>
      </c>
      <c r="G4" s="115">
        <v>250.0</v>
      </c>
      <c r="H4" s="115">
        <f t="shared" si="1"/>
        <v>2650</v>
      </c>
      <c r="I4" s="109"/>
      <c r="J4" s="109"/>
      <c r="K4" s="109"/>
      <c r="L4" s="109"/>
      <c r="M4" s="109"/>
      <c r="N4" s="109"/>
      <c r="O4" s="109"/>
      <c r="P4" s="109"/>
      <c r="Q4" s="109"/>
      <c r="R4" s="109"/>
      <c r="S4" s="109"/>
      <c r="T4" s="109"/>
      <c r="U4" s="109"/>
      <c r="V4" s="109"/>
      <c r="W4" s="109"/>
      <c r="X4" s="109"/>
      <c r="Y4" s="109"/>
      <c r="Z4" s="109"/>
    </row>
    <row r="5" ht="15.75" customHeight="1">
      <c r="A5" s="113">
        <v>2021.0</v>
      </c>
      <c r="B5" s="114" t="s">
        <v>370</v>
      </c>
      <c r="C5" s="115" t="s">
        <v>15</v>
      </c>
      <c r="D5" s="115" t="s">
        <v>371</v>
      </c>
      <c r="E5" s="115" t="s">
        <v>372</v>
      </c>
      <c r="F5" s="115">
        <v>2000.0</v>
      </c>
      <c r="G5" s="115">
        <v>160.0</v>
      </c>
      <c r="H5" s="115">
        <f t="shared" si="1"/>
        <v>1840</v>
      </c>
      <c r="I5" s="109"/>
      <c r="J5" s="109"/>
      <c r="K5" s="109"/>
      <c r="L5" s="109"/>
      <c r="M5" s="109"/>
      <c r="N5" s="109"/>
      <c r="O5" s="109"/>
      <c r="P5" s="109"/>
      <c r="Q5" s="109"/>
      <c r="R5" s="109"/>
      <c r="S5" s="109"/>
      <c r="T5" s="109"/>
      <c r="U5" s="109"/>
      <c r="V5" s="109"/>
      <c r="W5" s="109"/>
      <c r="X5" s="109"/>
      <c r="Y5" s="109"/>
      <c r="Z5" s="109"/>
    </row>
    <row r="6" ht="15.75" customHeight="1">
      <c r="A6" s="113">
        <v>2022.0</v>
      </c>
      <c r="B6" s="114" t="s">
        <v>373</v>
      </c>
      <c r="C6" s="115" t="s">
        <v>15</v>
      </c>
      <c r="D6" s="115" t="s">
        <v>371</v>
      </c>
      <c r="E6" s="115" t="s">
        <v>374</v>
      </c>
      <c r="F6" s="115">
        <v>800.0</v>
      </c>
      <c r="G6" s="115">
        <v>40.0</v>
      </c>
      <c r="H6" s="115">
        <f t="shared" si="1"/>
        <v>760</v>
      </c>
      <c r="I6" s="109"/>
      <c r="J6" s="109"/>
      <c r="K6" s="109"/>
      <c r="L6" s="109"/>
      <c r="M6" s="109"/>
      <c r="N6" s="109"/>
      <c r="O6" s="109"/>
      <c r="P6" s="109"/>
      <c r="Q6" s="109"/>
      <c r="R6" s="109"/>
      <c r="S6" s="109"/>
      <c r="T6" s="109"/>
      <c r="U6" s="109"/>
      <c r="V6" s="109"/>
      <c r="W6" s="109"/>
      <c r="X6" s="109"/>
      <c r="Y6" s="109"/>
      <c r="Z6" s="109"/>
    </row>
    <row r="7" ht="15.75" customHeight="1">
      <c r="A7" s="113">
        <v>2022.0</v>
      </c>
      <c r="B7" s="114" t="s">
        <v>373</v>
      </c>
      <c r="C7" s="115" t="s">
        <v>15</v>
      </c>
      <c r="D7" s="115" t="s">
        <v>371</v>
      </c>
      <c r="E7" s="115" t="s">
        <v>374</v>
      </c>
      <c r="F7" s="115">
        <v>800.0</v>
      </c>
      <c r="G7" s="115">
        <v>40.0</v>
      </c>
      <c r="H7" s="115">
        <f t="shared" si="1"/>
        <v>760</v>
      </c>
      <c r="I7" s="109"/>
      <c r="J7" s="109"/>
      <c r="K7" s="109"/>
      <c r="L7" s="109"/>
      <c r="M7" s="109"/>
      <c r="N7" s="109"/>
      <c r="O7" s="109"/>
      <c r="P7" s="109"/>
      <c r="Q7" s="109"/>
      <c r="R7" s="109"/>
      <c r="S7" s="109"/>
      <c r="T7" s="109"/>
      <c r="U7" s="109"/>
      <c r="V7" s="109"/>
      <c r="W7" s="109"/>
      <c r="X7" s="109"/>
      <c r="Y7" s="109"/>
      <c r="Z7" s="109"/>
    </row>
    <row r="8" ht="15.75" customHeight="1">
      <c r="A8" s="113">
        <v>2022.0</v>
      </c>
      <c r="B8" s="114" t="s">
        <v>375</v>
      </c>
      <c r="C8" s="115" t="s">
        <v>15</v>
      </c>
      <c r="D8" s="115" t="s">
        <v>376</v>
      </c>
      <c r="E8" s="115" t="s">
        <v>377</v>
      </c>
      <c r="F8" s="115">
        <v>2300.0</v>
      </c>
      <c r="G8" s="115">
        <v>190.0</v>
      </c>
      <c r="H8" s="115">
        <f t="shared" si="1"/>
        <v>2110</v>
      </c>
      <c r="I8" s="109"/>
      <c r="J8" s="109"/>
      <c r="K8" s="109"/>
      <c r="L8" s="109"/>
      <c r="M8" s="109"/>
      <c r="N8" s="109"/>
      <c r="O8" s="109"/>
      <c r="P8" s="109"/>
      <c r="Q8" s="109"/>
      <c r="R8" s="109"/>
      <c r="S8" s="109"/>
      <c r="T8" s="109"/>
      <c r="U8" s="109"/>
      <c r="V8" s="109"/>
      <c r="W8" s="109"/>
      <c r="X8" s="109"/>
      <c r="Y8" s="109"/>
      <c r="Z8" s="109"/>
    </row>
    <row r="9" ht="15.75" customHeight="1">
      <c r="A9" s="113">
        <v>2022.0</v>
      </c>
      <c r="B9" s="114" t="s">
        <v>375</v>
      </c>
      <c r="C9" s="115" t="s">
        <v>15</v>
      </c>
      <c r="D9" s="115" t="s">
        <v>376</v>
      </c>
      <c r="E9" s="115" t="s">
        <v>377</v>
      </c>
      <c r="F9" s="115">
        <v>2300.0</v>
      </c>
      <c r="G9" s="115">
        <v>190.0</v>
      </c>
      <c r="H9" s="115">
        <f t="shared" si="1"/>
        <v>2110</v>
      </c>
      <c r="I9" s="109"/>
      <c r="J9" s="109"/>
      <c r="K9" s="109"/>
      <c r="L9" s="109"/>
      <c r="M9" s="109"/>
      <c r="N9" s="109"/>
      <c r="O9" s="109"/>
      <c r="P9" s="109"/>
      <c r="Q9" s="109"/>
      <c r="R9" s="109"/>
      <c r="S9" s="109"/>
      <c r="T9" s="109"/>
      <c r="U9" s="109"/>
      <c r="V9" s="109"/>
      <c r="W9" s="109"/>
      <c r="X9" s="109"/>
      <c r="Y9" s="109"/>
      <c r="Z9" s="109"/>
    </row>
    <row r="10" ht="15.75" customHeight="1">
      <c r="A10" s="113">
        <v>2022.0</v>
      </c>
      <c r="B10" s="114" t="s">
        <v>375</v>
      </c>
      <c r="C10" s="115" t="s">
        <v>15</v>
      </c>
      <c r="D10" s="115" t="s">
        <v>376</v>
      </c>
      <c r="E10" s="115" t="s">
        <v>377</v>
      </c>
      <c r="F10" s="115">
        <v>2300.0</v>
      </c>
      <c r="G10" s="115">
        <v>190.0</v>
      </c>
      <c r="H10" s="115">
        <f t="shared" si="1"/>
        <v>2110</v>
      </c>
      <c r="I10" s="109"/>
      <c r="J10" s="109"/>
      <c r="K10" s="109"/>
      <c r="L10" s="109"/>
      <c r="M10" s="109"/>
      <c r="N10" s="109"/>
      <c r="O10" s="109"/>
      <c r="P10" s="109"/>
      <c r="Q10" s="109"/>
      <c r="R10" s="109"/>
      <c r="S10" s="109"/>
      <c r="T10" s="109"/>
      <c r="U10" s="109"/>
      <c r="V10" s="109"/>
      <c r="W10" s="109"/>
      <c r="X10" s="109"/>
      <c r="Y10" s="109"/>
      <c r="Z10" s="109"/>
    </row>
    <row r="11" ht="15.75" customHeight="1">
      <c r="A11" s="113">
        <v>2020.0</v>
      </c>
      <c r="B11" s="114" t="s">
        <v>378</v>
      </c>
      <c r="C11" s="115" t="s">
        <v>15</v>
      </c>
      <c r="D11" s="115" t="s">
        <v>376</v>
      </c>
      <c r="E11" s="115" t="s">
        <v>374</v>
      </c>
      <c r="F11" s="115">
        <v>2400.0</v>
      </c>
      <c r="G11" s="115">
        <v>200.0</v>
      </c>
      <c r="H11" s="115">
        <f t="shared" si="1"/>
        <v>2200</v>
      </c>
      <c r="I11" s="109"/>
      <c r="J11" s="109"/>
      <c r="K11" s="109"/>
      <c r="L11" s="109"/>
      <c r="M11" s="109"/>
      <c r="N11" s="109"/>
      <c r="O11" s="109"/>
      <c r="P11" s="109"/>
      <c r="Q11" s="109"/>
      <c r="R11" s="109"/>
      <c r="S11" s="109"/>
      <c r="T11" s="109"/>
      <c r="U11" s="109"/>
      <c r="V11" s="109"/>
      <c r="W11" s="109"/>
      <c r="X11" s="109"/>
      <c r="Y11" s="109"/>
      <c r="Z11" s="109"/>
    </row>
    <row r="12" ht="15.75" customHeight="1">
      <c r="A12" s="113">
        <v>2020.0</v>
      </c>
      <c r="B12" s="114" t="s">
        <v>378</v>
      </c>
      <c r="C12" s="115" t="s">
        <v>15</v>
      </c>
      <c r="D12" s="115" t="s">
        <v>376</v>
      </c>
      <c r="E12" s="115" t="s">
        <v>374</v>
      </c>
      <c r="F12" s="115">
        <v>2400.0</v>
      </c>
      <c r="G12" s="115">
        <v>200.0</v>
      </c>
      <c r="H12" s="115">
        <f t="shared" si="1"/>
        <v>2200</v>
      </c>
      <c r="I12" s="109"/>
      <c r="J12" s="109"/>
      <c r="K12" s="109"/>
      <c r="L12" s="109"/>
      <c r="M12" s="109"/>
      <c r="N12" s="109"/>
      <c r="O12" s="109"/>
      <c r="P12" s="109"/>
      <c r="Q12" s="109"/>
      <c r="R12" s="109"/>
      <c r="S12" s="109"/>
      <c r="T12" s="109"/>
      <c r="U12" s="109"/>
      <c r="V12" s="109"/>
      <c r="W12" s="109"/>
      <c r="X12" s="109"/>
      <c r="Y12" s="109"/>
      <c r="Z12" s="109"/>
    </row>
    <row r="13" ht="15.75" customHeight="1">
      <c r="A13" s="113">
        <v>2020.0</v>
      </c>
      <c r="B13" s="114" t="s">
        <v>378</v>
      </c>
      <c r="C13" s="115" t="s">
        <v>15</v>
      </c>
      <c r="D13" s="115" t="s">
        <v>376</v>
      </c>
      <c r="E13" s="115" t="s">
        <v>374</v>
      </c>
      <c r="F13" s="115">
        <v>2400.0</v>
      </c>
      <c r="G13" s="115">
        <v>200.0</v>
      </c>
      <c r="H13" s="115">
        <f t="shared" si="1"/>
        <v>2200</v>
      </c>
      <c r="I13" s="109"/>
      <c r="J13" s="109"/>
      <c r="K13" s="109"/>
      <c r="L13" s="109"/>
      <c r="M13" s="109"/>
      <c r="N13" s="109"/>
      <c r="O13" s="109"/>
      <c r="P13" s="109"/>
      <c r="Q13" s="109"/>
      <c r="R13" s="109"/>
      <c r="S13" s="109"/>
      <c r="T13" s="109"/>
      <c r="U13" s="109"/>
      <c r="V13" s="109"/>
      <c r="W13" s="109"/>
      <c r="X13" s="109"/>
      <c r="Y13" s="109"/>
      <c r="Z13" s="109"/>
    </row>
    <row r="14" ht="15.75" customHeight="1">
      <c r="A14" s="113">
        <v>2021.0</v>
      </c>
      <c r="B14" s="114" t="s">
        <v>379</v>
      </c>
      <c r="C14" s="115" t="s">
        <v>15</v>
      </c>
      <c r="D14" s="115" t="s">
        <v>371</v>
      </c>
      <c r="E14" s="115" t="s">
        <v>372</v>
      </c>
      <c r="F14" s="115">
        <v>1000.0</v>
      </c>
      <c r="G14" s="115">
        <v>60.0</v>
      </c>
      <c r="H14" s="115">
        <f t="shared" si="1"/>
        <v>940</v>
      </c>
      <c r="I14" s="109"/>
      <c r="J14" s="109"/>
      <c r="K14" s="109"/>
      <c r="L14" s="109"/>
      <c r="M14" s="109"/>
      <c r="N14" s="109"/>
      <c r="O14" s="109"/>
      <c r="P14" s="109"/>
      <c r="Q14" s="109"/>
      <c r="R14" s="109"/>
      <c r="S14" s="109"/>
      <c r="T14" s="109"/>
      <c r="U14" s="109"/>
      <c r="V14" s="109"/>
      <c r="W14" s="109"/>
      <c r="X14" s="109"/>
      <c r="Y14" s="109"/>
      <c r="Z14" s="109"/>
    </row>
    <row r="15" ht="15.75" customHeight="1">
      <c r="A15" s="113">
        <v>2021.0</v>
      </c>
      <c r="B15" s="114" t="s">
        <v>379</v>
      </c>
      <c r="C15" s="115" t="s">
        <v>15</v>
      </c>
      <c r="D15" s="115" t="s">
        <v>371</v>
      </c>
      <c r="E15" s="115" t="s">
        <v>372</v>
      </c>
      <c r="F15" s="115">
        <v>1000.0</v>
      </c>
      <c r="G15" s="115">
        <v>60.0</v>
      </c>
      <c r="H15" s="115">
        <f t="shared" si="1"/>
        <v>940</v>
      </c>
      <c r="I15" s="109"/>
      <c r="J15" s="109"/>
      <c r="K15" s="109"/>
      <c r="L15" s="109"/>
      <c r="M15" s="109"/>
      <c r="N15" s="109"/>
      <c r="O15" s="109"/>
      <c r="P15" s="109"/>
      <c r="Q15" s="109"/>
      <c r="R15" s="109"/>
      <c r="S15" s="109"/>
      <c r="T15" s="109"/>
      <c r="U15" s="109"/>
      <c r="V15" s="109"/>
      <c r="W15" s="109"/>
      <c r="X15" s="109"/>
      <c r="Y15" s="109"/>
      <c r="Z15" s="109"/>
    </row>
    <row r="16" ht="15.75" customHeight="1">
      <c r="A16" s="113">
        <v>2021.0</v>
      </c>
      <c r="B16" s="114" t="s">
        <v>379</v>
      </c>
      <c r="C16" s="115" t="s">
        <v>15</v>
      </c>
      <c r="D16" s="115" t="s">
        <v>371</v>
      </c>
      <c r="E16" s="115" t="s">
        <v>372</v>
      </c>
      <c r="F16" s="115">
        <v>1000.0</v>
      </c>
      <c r="G16" s="115">
        <v>60.0</v>
      </c>
      <c r="H16" s="115">
        <f t="shared" si="1"/>
        <v>940</v>
      </c>
      <c r="I16" s="109"/>
      <c r="J16" s="109"/>
      <c r="K16" s="109"/>
      <c r="L16" s="109"/>
      <c r="M16" s="109"/>
      <c r="N16" s="109"/>
      <c r="O16" s="109"/>
      <c r="P16" s="109"/>
      <c r="Q16" s="109"/>
      <c r="R16" s="109"/>
      <c r="S16" s="109"/>
      <c r="T16" s="109"/>
      <c r="U16" s="109"/>
      <c r="V16" s="109"/>
      <c r="W16" s="109"/>
      <c r="X16" s="109"/>
      <c r="Y16" s="109"/>
      <c r="Z16" s="109"/>
    </row>
    <row r="17" ht="15.75" customHeight="1">
      <c r="A17" s="113">
        <v>2021.0</v>
      </c>
      <c r="B17" s="114" t="s">
        <v>379</v>
      </c>
      <c r="C17" s="115" t="s">
        <v>15</v>
      </c>
      <c r="D17" s="115" t="s">
        <v>371</v>
      </c>
      <c r="E17" s="115" t="s">
        <v>372</v>
      </c>
      <c r="F17" s="115">
        <v>1000.0</v>
      </c>
      <c r="G17" s="115">
        <v>60.0</v>
      </c>
      <c r="H17" s="115">
        <f t="shared" si="1"/>
        <v>940</v>
      </c>
      <c r="I17" s="109"/>
      <c r="J17" s="109"/>
      <c r="K17" s="109"/>
      <c r="L17" s="109"/>
      <c r="M17" s="109"/>
      <c r="N17" s="109"/>
      <c r="O17" s="109"/>
      <c r="P17" s="109"/>
      <c r="Q17" s="109"/>
      <c r="R17" s="109"/>
      <c r="S17" s="109"/>
      <c r="T17" s="109"/>
      <c r="U17" s="109"/>
      <c r="V17" s="109"/>
      <c r="W17" s="109"/>
      <c r="X17" s="109"/>
      <c r="Y17" s="109"/>
      <c r="Z17" s="109"/>
    </row>
    <row r="18" ht="15.75" customHeight="1">
      <c r="A18" s="113">
        <v>2018.0</v>
      </c>
      <c r="B18" s="114" t="s">
        <v>380</v>
      </c>
      <c r="C18" s="115" t="s">
        <v>15</v>
      </c>
      <c r="D18" s="115" t="s">
        <v>376</v>
      </c>
      <c r="E18" s="115" t="s">
        <v>162</v>
      </c>
      <c r="F18" s="115">
        <v>1500.0</v>
      </c>
      <c r="G18" s="115">
        <v>110.0</v>
      </c>
      <c r="H18" s="115">
        <f t="shared" si="1"/>
        <v>1390</v>
      </c>
      <c r="I18" s="109"/>
      <c r="J18" s="109"/>
      <c r="K18" s="109"/>
      <c r="L18" s="109"/>
      <c r="M18" s="109"/>
      <c r="N18" s="109"/>
      <c r="O18" s="109"/>
      <c r="P18" s="109"/>
      <c r="Q18" s="109"/>
      <c r="R18" s="109"/>
      <c r="S18" s="109"/>
      <c r="T18" s="109"/>
      <c r="U18" s="109"/>
      <c r="V18" s="109"/>
      <c r="W18" s="109"/>
      <c r="X18" s="109"/>
      <c r="Y18" s="109"/>
      <c r="Z18" s="109"/>
    </row>
    <row r="19" ht="15.75" customHeight="1">
      <c r="A19" s="113">
        <v>2018.0</v>
      </c>
      <c r="B19" s="114" t="s">
        <v>380</v>
      </c>
      <c r="C19" s="115" t="s">
        <v>15</v>
      </c>
      <c r="D19" s="115" t="s">
        <v>376</v>
      </c>
      <c r="E19" s="115" t="s">
        <v>162</v>
      </c>
      <c r="F19" s="115">
        <v>1500.0</v>
      </c>
      <c r="G19" s="115">
        <v>110.0</v>
      </c>
      <c r="H19" s="115">
        <f t="shared" si="1"/>
        <v>1390</v>
      </c>
      <c r="I19" s="109"/>
      <c r="J19" s="109"/>
      <c r="K19" s="109"/>
      <c r="L19" s="109"/>
      <c r="M19" s="109"/>
      <c r="N19" s="109"/>
      <c r="O19" s="109"/>
      <c r="P19" s="109"/>
      <c r="Q19" s="109"/>
      <c r="R19" s="109"/>
      <c r="S19" s="109"/>
      <c r="T19" s="109"/>
      <c r="U19" s="109"/>
      <c r="V19" s="109"/>
      <c r="W19" s="109"/>
      <c r="X19" s="109"/>
      <c r="Y19" s="109"/>
      <c r="Z19" s="109"/>
    </row>
    <row r="20" ht="15.75" customHeight="1">
      <c r="A20" s="113">
        <v>2018.0</v>
      </c>
      <c r="B20" s="114" t="s">
        <v>380</v>
      </c>
      <c r="C20" s="115" t="s">
        <v>15</v>
      </c>
      <c r="D20" s="115" t="s">
        <v>376</v>
      </c>
      <c r="E20" s="115" t="s">
        <v>162</v>
      </c>
      <c r="F20" s="115">
        <v>1500.0</v>
      </c>
      <c r="G20" s="115">
        <v>110.0</v>
      </c>
      <c r="H20" s="115">
        <f t="shared" si="1"/>
        <v>1390</v>
      </c>
      <c r="I20" s="109"/>
      <c r="J20" s="109"/>
      <c r="K20" s="109"/>
      <c r="L20" s="109"/>
      <c r="M20" s="109"/>
      <c r="N20" s="109"/>
      <c r="O20" s="109"/>
      <c r="P20" s="109"/>
      <c r="Q20" s="109"/>
      <c r="R20" s="109"/>
      <c r="S20" s="109"/>
      <c r="T20" s="109"/>
      <c r="U20" s="109"/>
      <c r="V20" s="109"/>
      <c r="W20" s="109"/>
      <c r="X20" s="109"/>
      <c r="Y20" s="109"/>
      <c r="Z20" s="109"/>
    </row>
    <row r="21" ht="15.75" customHeight="1">
      <c r="A21" s="113">
        <v>2018.0</v>
      </c>
      <c r="B21" s="114" t="s">
        <v>380</v>
      </c>
      <c r="C21" s="115" t="s">
        <v>15</v>
      </c>
      <c r="D21" s="115" t="s">
        <v>376</v>
      </c>
      <c r="E21" s="115" t="s">
        <v>162</v>
      </c>
      <c r="F21" s="115">
        <v>1500.0</v>
      </c>
      <c r="G21" s="115">
        <v>110.0</v>
      </c>
      <c r="H21" s="115">
        <f t="shared" si="1"/>
        <v>1390</v>
      </c>
      <c r="I21" s="109"/>
      <c r="J21" s="109"/>
      <c r="K21" s="109"/>
      <c r="L21" s="109"/>
      <c r="M21" s="109"/>
      <c r="N21" s="109"/>
      <c r="O21" s="109"/>
      <c r="P21" s="109"/>
      <c r="Q21" s="109"/>
      <c r="R21" s="109"/>
      <c r="S21" s="109"/>
      <c r="T21" s="109"/>
      <c r="U21" s="109"/>
      <c r="V21" s="109"/>
      <c r="W21" s="109"/>
      <c r="X21" s="109"/>
      <c r="Y21" s="109"/>
      <c r="Z21" s="109"/>
    </row>
    <row r="22" ht="15.75" customHeight="1">
      <c r="A22" s="113">
        <v>2021.0</v>
      </c>
      <c r="B22" s="114" t="s">
        <v>381</v>
      </c>
      <c r="C22" s="115" t="s">
        <v>382</v>
      </c>
      <c r="D22" s="115" t="s">
        <v>383</v>
      </c>
      <c r="E22" s="115" t="s">
        <v>384</v>
      </c>
      <c r="F22" s="115">
        <v>1700.0</v>
      </c>
      <c r="G22" s="115">
        <v>130.0</v>
      </c>
      <c r="H22" s="115">
        <f t="shared" si="1"/>
        <v>1570</v>
      </c>
      <c r="I22" s="109"/>
      <c r="J22" s="109"/>
      <c r="K22" s="109"/>
      <c r="L22" s="109"/>
      <c r="M22" s="109"/>
      <c r="N22" s="109"/>
      <c r="O22" s="109"/>
      <c r="P22" s="109"/>
      <c r="Q22" s="109"/>
      <c r="R22" s="109"/>
      <c r="S22" s="109"/>
      <c r="T22" s="109"/>
      <c r="U22" s="109"/>
      <c r="V22" s="109"/>
      <c r="W22" s="109"/>
      <c r="X22" s="109"/>
      <c r="Y22" s="109"/>
      <c r="Z22" s="109"/>
    </row>
    <row r="23" ht="15.75" customHeight="1">
      <c r="A23" s="113">
        <v>2017.0</v>
      </c>
      <c r="B23" s="114" t="s">
        <v>381</v>
      </c>
      <c r="C23" s="115" t="s">
        <v>382</v>
      </c>
      <c r="D23" s="115" t="s">
        <v>383</v>
      </c>
      <c r="E23" s="115" t="s">
        <v>384</v>
      </c>
      <c r="F23" s="115">
        <v>2600.0</v>
      </c>
      <c r="G23" s="115">
        <v>220.0</v>
      </c>
      <c r="H23" s="115">
        <f t="shared" si="1"/>
        <v>2380</v>
      </c>
      <c r="I23" s="109"/>
      <c r="J23" s="109"/>
      <c r="K23" s="109"/>
      <c r="L23" s="109"/>
      <c r="M23" s="109"/>
      <c r="N23" s="109"/>
      <c r="O23" s="109"/>
      <c r="P23" s="109"/>
      <c r="Q23" s="109"/>
      <c r="R23" s="109"/>
      <c r="S23" s="109"/>
      <c r="T23" s="109"/>
      <c r="U23" s="109"/>
      <c r="V23" s="109"/>
      <c r="W23" s="109"/>
      <c r="X23" s="109"/>
      <c r="Y23" s="109"/>
      <c r="Z23" s="109"/>
    </row>
    <row r="24" ht="15.75" customHeight="1">
      <c r="A24" s="113">
        <v>2021.0</v>
      </c>
      <c r="B24" s="114" t="s">
        <v>381</v>
      </c>
      <c r="C24" s="115" t="s">
        <v>382</v>
      </c>
      <c r="D24" s="115" t="s">
        <v>383</v>
      </c>
      <c r="E24" s="115" t="s">
        <v>384</v>
      </c>
      <c r="F24" s="115">
        <v>1700.0</v>
      </c>
      <c r="G24" s="115">
        <v>130.0</v>
      </c>
      <c r="H24" s="115">
        <f t="shared" si="1"/>
        <v>1570</v>
      </c>
      <c r="I24" s="109"/>
      <c r="J24" s="109"/>
      <c r="K24" s="109"/>
      <c r="L24" s="109"/>
      <c r="M24" s="109"/>
      <c r="N24" s="109"/>
      <c r="O24" s="109"/>
      <c r="P24" s="109"/>
      <c r="Q24" s="109"/>
      <c r="R24" s="109"/>
      <c r="S24" s="109"/>
      <c r="T24" s="109"/>
      <c r="U24" s="109"/>
      <c r="V24" s="109"/>
      <c r="W24" s="109"/>
      <c r="X24" s="109"/>
      <c r="Y24" s="109"/>
      <c r="Z24" s="109"/>
    </row>
    <row r="25" ht="15.75" customHeight="1">
      <c r="A25" s="113">
        <v>2017.0</v>
      </c>
      <c r="B25" s="114" t="s">
        <v>381</v>
      </c>
      <c r="C25" s="115" t="s">
        <v>382</v>
      </c>
      <c r="D25" s="115" t="s">
        <v>383</v>
      </c>
      <c r="E25" s="115" t="s">
        <v>384</v>
      </c>
      <c r="F25" s="115">
        <v>2600.0</v>
      </c>
      <c r="G25" s="115">
        <v>220.0</v>
      </c>
      <c r="H25" s="115">
        <f t="shared" si="1"/>
        <v>2380</v>
      </c>
      <c r="I25" s="109"/>
      <c r="J25" s="109"/>
      <c r="K25" s="109"/>
      <c r="L25" s="109"/>
      <c r="M25" s="109"/>
      <c r="N25" s="109"/>
      <c r="O25" s="109"/>
      <c r="P25" s="109"/>
      <c r="Q25" s="109"/>
      <c r="R25" s="109"/>
      <c r="S25" s="109"/>
      <c r="T25" s="109"/>
      <c r="U25" s="109"/>
      <c r="V25" s="109"/>
      <c r="W25" s="109"/>
      <c r="X25" s="109"/>
      <c r="Y25" s="109"/>
      <c r="Z25" s="109"/>
    </row>
    <row r="26" ht="15.75" customHeight="1">
      <c r="A26" s="113">
        <v>2021.0</v>
      </c>
      <c r="B26" s="114" t="s">
        <v>381</v>
      </c>
      <c r="C26" s="115" t="s">
        <v>382</v>
      </c>
      <c r="D26" s="115" t="s">
        <v>383</v>
      </c>
      <c r="E26" s="115" t="s">
        <v>384</v>
      </c>
      <c r="F26" s="115">
        <v>1700.0</v>
      </c>
      <c r="G26" s="115">
        <v>130.0</v>
      </c>
      <c r="H26" s="115">
        <f t="shared" si="1"/>
        <v>1570</v>
      </c>
      <c r="I26" s="109"/>
      <c r="J26" s="109"/>
      <c r="K26" s="109"/>
      <c r="L26" s="109"/>
      <c r="M26" s="109"/>
      <c r="N26" s="109"/>
      <c r="O26" s="109"/>
      <c r="P26" s="109"/>
      <c r="Q26" s="109"/>
      <c r="R26" s="109"/>
      <c r="S26" s="109"/>
      <c r="T26" s="109"/>
      <c r="U26" s="109"/>
      <c r="V26" s="109"/>
      <c r="W26" s="109"/>
      <c r="X26" s="109"/>
      <c r="Y26" s="109"/>
      <c r="Z26" s="109"/>
    </row>
    <row r="27" ht="15.75" customHeight="1">
      <c r="A27" s="113">
        <v>2022.0</v>
      </c>
      <c r="B27" s="114" t="s">
        <v>385</v>
      </c>
      <c r="C27" s="115" t="s">
        <v>382</v>
      </c>
      <c r="D27" s="115" t="s">
        <v>383</v>
      </c>
      <c r="E27" s="115" t="s">
        <v>160</v>
      </c>
      <c r="F27" s="115">
        <v>1300.0</v>
      </c>
      <c r="G27" s="115">
        <v>90.0</v>
      </c>
      <c r="H27" s="115">
        <f t="shared" si="1"/>
        <v>1210</v>
      </c>
      <c r="I27" s="109"/>
      <c r="J27" s="109"/>
      <c r="K27" s="109"/>
      <c r="L27" s="109"/>
      <c r="M27" s="109"/>
      <c r="N27" s="109"/>
      <c r="O27" s="109"/>
      <c r="P27" s="109"/>
      <c r="Q27" s="109"/>
      <c r="R27" s="109"/>
      <c r="S27" s="109"/>
      <c r="T27" s="109"/>
      <c r="U27" s="109"/>
      <c r="V27" s="109"/>
      <c r="W27" s="109"/>
      <c r="X27" s="109"/>
      <c r="Y27" s="109"/>
      <c r="Z27" s="109"/>
    </row>
    <row r="28" ht="15.75" customHeight="1">
      <c r="A28" s="113">
        <v>2022.0</v>
      </c>
      <c r="B28" s="114" t="s">
        <v>385</v>
      </c>
      <c r="C28" s="115" t="s">
        <v>382</v>
      </c>
      <c r="D28" s="115" t="s">
        <v>383</v>
      </c>
      <c r="E28" s="115" t="s">
        <v>160</v>
      </c>
      <c r="F28" s="115">
        <v>1300.0</v>
      </c>
      <c r="G28" s="115">
        <v>90.0</v>
      </c>
      <c r="H28" s="115">
        <f t="shared" si="1"/>
        <v>1210</v>
      </c>
      <c r="I28" s="109"/>
      <c r="J28" s="109"/>
      <c r="K28" s="109"/>
      <c r="L28" s="109"/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</row>
    <row r="29" ht="15.75" customHeight="1">
      <c r="A29" s="113">
        <v>2022.0</v>
      </c>
      <c r="B29" s="114" t="s">
        <v>385</v>
      </c>
      <c r="C29" s="115" t="s">
        <v>382</v>
      </c>
      <c r="D29" s="115" t="s">
        <v>383</v>
      </c>
      <c r="E29" s="115" t="s">
        <v>160</v>
      </c>
      <c r="F29" s="115">
        <v>1300.0</v>
      </c>
      <c r="G29" s="115">
        <v>90.0</v>
      </c>
      <c r="H29" s="115">
        <f t="shared" si="1"/>
        <v>1210</v>
      </c>
      <c r="I29" s="109"/>
      <c r="J29" s="109"/>
      <c r="K29" s="109"/>
      <c r="L29" s="109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</row>
    <row r="30" ht="15.75" customHeight="1">
      <c r="A30" s="113">
        <v>2022.0</v>
      </c>
      <c r="B30" s="114" t="s">
        <v>385</v>
      </c>
      <c r="C30" s="115" t="s">
        <v>382</v>
      </c>
      <c r="D30" s="115" t="s">
        <v>383</v>
      </c>
      <c r="E30" s="115" t="s">
        <v>160</v>
      </c>
      <c r="F30" s="115">
        <v>1300.0</v>
      </c>
      <c r="G30" s="115">
        <v>90.0</v>
      </c>
      <c r="H30" s="115">
        <f t="shared" si="1"/>
        <v>1210</v>
      </c>
      <c r="I30" s="109"/>
      <c r="J30" s="109"/>
      <c r="K30" s="109"/>
      <c r="L30" s="109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</row>
    <row r="31" ht="15.75" customHeight="1">
      <c r="A31" s="113">
        <v>2020.0</v>
      </c>
      <c r="B31" s="114" t="s">
        <v>386</v>
      </c>
      <c r="C31" s="115" t="s">
        <v>387</v>
      </c>
      <c r="D31" s="115" t="s">
        <v>226</v>
      </c>
      <c r="E31" s="115" t="s">
        <v>377</v>
      </c>
      <c r="F31" s="115">
        <v>1400.0</v>
      </c>
      <c r="G31" s="115">
        <v>100.0</v>
      </c>
      <c r="H31" s="115">
        <f t="shared" si="1"/>
        <v>1300</v>
      </c>
      <c r="I31" s="109"/>
      <c r="J31" s="109"/>
      <c r="K31" s="109"/>
      <c r="L31" s="109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</row>
    <row r="32" ht="15.75" customHeight="1">
      <c r="A32" s="113">
        <v>2020.0</v>
      </c>
      <c r="B32" s="114" t="s">
        <v>386</v>
      </c>
      <c r="C32" s="115" t="s">
        <v>387</v>
      </c>
      <c r="D32" s="115" t="s">
        <v>226</v>
      </c>
      <c r="E32" s="115" t="s">
        <v>377</v>
      </c>
      <c r="F32" s="115">
        <v>1400.0</v>
      </c>
      <c r="G32" s="115">
        <v>100.0</v>
      </c>
      <c r="H32" s="115">
        <f t="shared" si="1"/>
        <v>1300</v>
      </c>
      <c r="I32" s="109"/>
      <c r="J32" s="109"/>
      <c r="K32" s="109"/>
      <c r="L32" s="109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</row>
    <row r="33" ht="15.75" customHeight="1">
      <c r="A33" s="113">
        <v>2020.0</v>
      </c>
      <c r="B33" s="114" t="s">
        <v>386</v>
      </c>
      <c r="C33" s="115" t="s">
        <v>387</v>
      </c>
      <c r="D33" s="115" t="s">
        <v>226</v>
      </c>
      <c r="E33" s="115" t="s">
        <v>377</v>
      </c>
      <c r="F33" s="115">
        <v>1400.0</v>
      </c>
      <c r="G33" s="115">
        <v>100.0</v>
      </c>
      <c r="H33" s="115">
        <f t="shared" si="1"/>
        <v>1300</v>
      </c>
      <c r="I33" s="109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</row>
    <row r="34" ht="15.75" customHeight="1">
      <c r="A34" s="113">
        <v>2020.0</v>
      </c>
      <c r="B34" s="114" t="s">
        <v>386</v>
      </c>
      <c r="C34" s="115" t="s">
        <v>387</v>
      </c>
      <c r="D34" s="115" t="s">
        <v>226</v>
      </c>
      <c r="E34" s="115" t="s">
        <v>377</v>
      </c>
      <c r="F34" s="115">
        <v>1400.0</v>
      </c>
      <c r="G34" s="115">
        <v>100.0</v>
      </c>
      <c r="H34" s="115">
        <f t="shared" si="1"/>
        <v>1300</v>
      </c>
      <c r="I34" s="109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</row>
    <row r="35" ht="15.75" customHeight="1">
      <c r="A35" s="113">
        <v>2019.0</v>
      </c>
      <c r="B35" s="114" t="s">
        <v>388</v>
      </c>
      <c r="C35" s="115" t="s">
        <v>387</v>
      </c>
      <c r="D35" s="115" t="s">
        <v>226</v>
      </c>
      <c r="E35" s="115" t="s">
        <v>162</v>
      </c>
      <c r="F35" s="115">
        <v>1100.0</v>
      </c>
      <c r="G35" s="115">
        <v>70.0</v>
      </c>
      <c r="H35" s="115">
        <f t="shared" si="1"/>
        <v>1030</v>
      </c>
      <c r="I35" s="109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</row>
    <row r="36" ht="15.75" customHeight="1">
      <c r="A36" s="113">
        <v>2019.0</v>
      </c>
      <c r="B36" s="114" t="s">
        <v>388</v>
      </c>
      <c r="C36" s="115" t="s">
        <v>387</v>
      </c>
      <c r="D36" s="115" t="s">
        <v>226</v>
      </c>
      <c r="E36" s="115" t="s">
        <v>162</v>
      </c>
      <c r="F36" s="115">
        <v>1100.0</v>
      </c>
      <c r="G36" s="115">
        <v>70.0</v>
      </c>
      <c r="H36" s="115">
        <f t="shared" si="1"/>
        <v>1030</v>
      </c>
      <c r="I36" s="109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</row>
    <row r="37" ht="15.75" customHeight="1">
      <c r="A37" s="113">
        <v>2019.0</v>
      </c>
      <c r="B37" s="114" t="s">
        <v>388</v>
      </c>
      <c r="C37" s="115" t="s">
        <v>387</v>
      </c>
      <c r="D37" s="115" t="s">
        <v>226</v>
      </c>
      <c r="E37" s="115" t="s">
        <v>162</v>
      </c>
      <c r="F37" s="115">
        <v>1100.0</v>
      </c>
      <c r="G37" s="115">
        <v>70.0</v>
      </c>
      <c r="H37" s="115">
        <f t="shared" si="1"/>
        <v>1030</v>
      </c>
      <c r="I37" s="109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</row>
    <row r="38" ht="15.75" customHeight="1">
      <c r="A38" s="113">
        <v>2019.0</v>
      </c>
      <c r="B38" s="114" t="s">
        <v>388</v>
      </c>
      <c r="C38" s="115" t="s">
        <v>387</v>
      </c>
      <c r="D38" s="115" t="s">
        <v>226</v>
      </c>
      <c r="E38" s="115" t="s">
        <v>162</v>
      </c>
      <c r="F38" s="115">
        <v>1100.0</v>
      </c>
      <c r="G38" s="115">
        <v>70.0</v>
      </c>
      <c r="H38" s="115">
        <f t="shared" si="1"/>
        <v>1030</v>
      </c>
      <c r="I38" s="109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</row>
    <row r="39" ht="15.75" customHeight="1">
      <c r="A39" s="113">
        <v>2022.0</v>
      </c>
      <c r="B39" s="114" t="s">
        <v>389</v>
      </c>
      <c r="C39" s="115" t="s">
        <v>387</v>
      </c>
      <c r="D39" s="115" t="s">
        <v>390</v>
      </c>
      <c r="E39" s="115" t="s">
        <v>384</v>
      </c>
      <c r="F39" s="115">
        <v>1800.0</v>
      </c>
      <c r="G39" s="115">
        <v>140.0</v>
      </c>
      <c r="H39" s="115">
        <f t="shared" si="1"/>
        <v>1660</v>
      </c>
      <c r="I39" s="109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</row>
    <row r="40" ht="15.75" customHeight="1">
      <c r="A40" s="113">
        <v>2021.0</v>
      </c>
      <c r="B40" s="114" t="s">
        <v>389</v>
      </c>
      <c r="C40" s="115" t="s">
        <v>387</v>
      </c>
      <c r="D40" s="115" t="s">
        <v>390</v>
      </c>
      <c r="E40" s="115" t="s">
        <v>384</v>
      </c>
      <c r="F40" s="115">
        <v>2700.0</v>
      </c>
      <c r="G40" s="115">
        <v>230.0</v>
      </c>
      <c r="H40" s="115">
        <f t="shared" si="1"/>
        <v>2470</v>
      </c>
      <c r="I40" s="109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</row>
    <row r="41" ht="15.75" customHeight="1">
      <c r="A41" s="113">
        <v>2022.0</v>
      </c>
      <c r="B41" s="114" t="s">
        <v>389</v>
      </c>
      <c r="C41" s="115" t="s">
        <v>387</v>
      </c>
      <c r="D41" s="115" t="s">
        <v>390</v>
      </c>
      <c r="E41" s="115" t="s">
        <v>384</v>
      </c>
      <c r="F41" s="115">
        <v>1800.0</v>
      </c>
      <c r="G41" s="115">
        <v>140.0</v>
      </c>
      <c r="H41" s="115">
        <f t="shared" si="1"/>
        <v>1660</v>
      </c>
      <c r="I41" s="109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</row>
    <row r="42" ht="15.75" customHeight="1">
      <c r="A42" s="113">
        <v>2021.0</v>
      </c>
      <c r="B42" s="114" t="s">
        <v>389</v>
      </c>
      <c r="C42" s="115" t="s">
        <v>387</v>
      </c>
      <c r="D42" s="115" t="s">
        <v>390</v>
      </c>
      <c r="E42" s="115" t="s">
        <v>384</v>
      </c>
      <c r="F42" s="115">
        <v>2700.0</v>
      </c>
      <c r="G42" s="115">
        <v>230.0</v>
      </c>
      <c r="H42" s="115">
        <f t="shared" si="1"/>
        <v>2470</v>
      </c>
      <c r="I42" s="109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</row>
    <row r="43" ht="15.75" customHeight="1">
      <c r="A43" s="113">
        <v>2022.0</v>
      </c>
      <c r="B43" s="114" t="s">
        <v>389</v>
      </c>
      <c r="C43" s="115" t="s">
        <v>387</v>
      </c>
      <c r="D43" s="115" t="s">
        <v>390</v>
      </c>
      <c r="E43" s="115" t="s">
        <v>384</v>
      </c>
      <c r="F43" s="115">
        <v>1800.0</v>
      </c>
      <c r="G43" s="115">
        <v>140.0</v>
      </c>
      <c r="H43" s="115">
        <f t="shared" si="1"/>
        <v>1660</v>
      </c>
      <c r="I43" s="109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</row>
    <row r="44" ht="15.75" customHeight="1">
      <c r="A44" s="113">
        <v>2017.0</v>
      </c>
      <c r="B44" s="114" t="s">
        <v>391</v>
      </c>
      <c r="C44" s="115" t="s">
        <v>387</v>
      </c>
      <c r="D44" s="115" t="s">
        <v>390</v>
      </c>
      <c r="E44" s="115" t="s">
        <v>377</v>
      </c>
      <c r="F44" s="115">
        <v>1600.0</v>
      </c>
      <c r="G44" s="115">
        <v>120.0</v>
      </c>
      <c r="H44" s="115">
        <f t="shared" si="1"/>
        <v>1480</v>
      </c>
      <c r="I44" s="109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</row>
    <row r="45" ht="15.75" customHeight="1">
      <c r="A45" s="113">
        <v>2018.0</v>
      </c>
      <c r="B45" s="114" t="s">
        <v>391</v>
      </c>
      <c r="C45" s="115" t="s">
        <v>387</v>
      </c>
      <c r="D45" s="115" t="s">
        <v>390</v>
      </c>
      <c r="E45" s="115" t="s">
        <v>377</v>
      </c>
      <c r="F45" s="115">
        <v>2500.0</v>
      </c>
      <c r="G45" s="115">
        <v>210.0</v>
      </c>
      <c r="H45" s="115">
        <f t="shared" si="1"/>
        <v>2290</v>
      </c>
      <c r="I45" s="109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</row>
    <row r="46" ht="15.75" customHeight="1">
      <c r="A46" s="113">
        <v>2017.0</v>
      </c>
      <c r="B46" s="114" t="s">
        <v>391</v>
      </c>
      <c r="C46" s="115" t="s">
        <v>387</v>
      </c>
      <c r="D46" s="115" t="s">
        <v>390</v>
      </c>
      <c r="E46" s="115" t="s">
        <v>377</v>
      </c>
      <c r="F46" s="115">
        <v>1600.0</v>
      </c>
      <c r="G46" s="115">
        <v>120.0</v>
      </c>
      <c r="H46" s="115">
        <f t="shared" si="1"/>
        <v>1480</v>
      </c>
      <c r="I46" s="109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</row>
    <row r="47" ht="15.75" customHeight="1">
      <c r="A47" s="113">
        <v>2018.0</v>
      </c>
      <c r="B47" s="114" t="s">
        <v>391</v>
      </c>
      <c r="C47" s="115" t="s">
        <v>387</v>
      </c>
      <c r="D47" s="115" t="s">
        <v>390</v>
      </c>
      <c r="E47" s="115" t="s">
        <v>377</v>
      </c>
      <c r="F47" s="115">
        <v>2500.0</v>
      </c>
      <c r="G47" s="115">
        <v>210.0</v>
      </c>
      <c r="H47" s="115">
        <f t="shared" si="1"/>
        <v>2290</v>
      </c>
      <c r="I47" s="109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</row>
    <row r="48" ht="15.75" customHeight="1">
      <c r="A48" s="113">
        <v>2017.0</v>
      </c>
      <c r="B48" s="114" t="s">
        <v>391</v>
      </c>
      <c r="C48" s="115" t="s">
        <v>387</v>
      </c>
      <c r="D48" s="115" t="s">
        <v>390</v>
      </c>
      <c r="E48" s="115" t="s">
        <v>377</v>
      </c>
      <c r="F48" s="115">
        <v>1600.0</v>
      </c>
      <c r="G48" s="115">
        <v>120.0</v>
      </c>
      <c r="H48" s="115">
        <f t="shared" si="1"/>
        <v>1480</v>
      </c>
      <c r="I48" s="109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</row>
    <row r="49" ht="15.75" customHeight="1">
      <c r="A49" s="113">
        <v>2017.0</v>
      </c>
      <c r="B49" s="114" t="s">
        <v>391</v>
      </c>
      <c r="C49" s="115" t="s">
        <v>387</v>
      </c>
      <c r="D49" s="115" t="s">
        <v>390</v>
      </c>
      <c r="E49" s="115" t="s">
        <v>377</v>
      </c>
      <c r="F49" s="115">
        <v>1600.0</v>
      </c>
      <c r="G49" s="115">
        <v>120.0</v>
      </c>
      <c r="H49" s="115">
        <f t="shared" si="1"/>
        <v>1480</v>
      </c>
      <c r="I49" s="109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</row>
    <row r="50" ht="15.75" customHeight="1">
      <c r="A50" s="113">
        <v>2022.0</v>
      </c>
      <c r="B50" s="114" t="s">
        <v>392</v>
      </c>
      <c r="C50" s="115" t="s">
        <v>387</v>
      </c>
      <c r="D50" s="115" t="s">
        <v>226</v>
      </c>
      <c r="E50" s="115" t="s">
        <v>162</v>
      </c>
      <c r="F50" s="115">
        <v>2100.0</v>
      </c>
      <c r="G50" s="115">
        <v>170.0</v>
      </c>
      <c r="H50" s="115">
        <f t="shared" si="1"/>
        <v>1930</v>
      </c>
      <c r="I50" s="109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</row>
    <row r="51" ht="15.75" customHeight="1">
      <c r="A51" s="113">
        <v>2022.0</v>
      </c>
      <c r="B51" s="114" t="s">
        <v>392</v>
      </c>
      <c r="C51" s="115" t="s">
        <v>387</v>
      </c>
      <c r="D51" s="115" t="s">
        <v>226</v>
      </c>
      <c r="E51" s="115" t="s">
        <v>162</v>
      </c>
      <c r="F51" s="115">
        <v>2100.0</v>
      </c>
      <c r="G51" s="115">
        <v>170.0</v>
      </c>
      <c r="H51" s="115">
        <f t="shared" si="1"/>
        <v>1930</v>
      </c>
      <c r="I51" s="109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</row>
    <row r="52" ht="15.75" customHeight="1">
      <c r="A52" s="113">
        <v>2022.0</v>
      </c>
      <c r="B52" s="114" t="s">
        <v>392</v>
      </c>
      <c r="C52" s="115" t="s">
        <v>387</v>
      </c>
      <c r="D52" s="115" t="s">
        <v>226</v>
      </c>
      <c r="E52" s="115" t="s">
        <v>162</v>
      </c>
      <c r="F52" s="115">
        <v>2100.0</v>
      </c>
      <c r="G52" s="115">
        <v>170.0</v>
      </c>
      <c r="H52" s="115">
        <f t="shared" si="1"/>
        <v>1930</v>
      </c>
      <c r="I52" s="109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</row>
    <row r="53" ht="15.75" customHeight="1">
      <c r="A53" s="113">
        <v>2021.0</v>
      </c>
      <c r="B53" s="114" t="s">
        <v>393</v>
      </c>
      <c r="C53" s="115" t="s">
        <v>387</v>
      </c>
      <c r="D53" s="115" t="s">
        <v>394</v>
      </c>
      <c r="E53" s="115" t="s">
        <v>160</v>
      </c>
      <c r="F53" s="115">
        <v>500.0</v>
      </c>
      <c r="G53" s="115">
        <v>10.0</v>
      </c>
      <c r="H53" s="115">
        <f t="shared" si="1"/>
        <v>490</v>
      </c>
      <c r="I53" s="109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</row>
    <row r="54" ht="15.75" customHeight="1">
      <c r="A54" s="113">
        <v>2020.0</v>
      </c>
      <c r="B54" s="114" t="s">
        <v>395</v>
      </c>
      <c r="C54" s="115" t="s">
        <v>387</v>
      </c>
      <c r="D54" s="115" t="s">
        <v>226</v>
      </c>
      <c r="E54" s="115" t="s">
        <v>160</v>
      </c>
      <c r="F54" s="115">
        <v>1200.0</v>
      </c>
      <c r="G54" s="115">
        <v>80.0</v>
      </c>
      <c r="H54" s="115">
        <f t="shared" si="1"/>
        <v>1120</v>
      </c>
      <c r="I54" s="109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</row>
    <row r="55" ht="15.75" customHeight="1">
      <c r="A55" s="113">
        <v>2020.0</v>
      </c>
      <c r="B55" s="114" t="s">
        <v>395</v>
      </c>
      <c r="C55" s="115" t="s">
        <v>387</v>
      </c>
      <c r="D55" s="115" t="s">
        <v>226</v>
      </c>
      <c r="E55" s="115" t="s">
        <v>160</v>
      </c>
      <c r="F55" s="115">
        <v>1200.0</v>
      </c>
      <c r="G55" s="115">
        <v>80.0</v>
      </c>
      <c r="H55" s="115">
        <f t="shared" si="1"/>
        <v>1120</v>
      </c>
      <c r="I55" s="109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</row>
    <row r="56" ht="15.75" customHeight="1">
      <c r="A56" s="113">
        <v>2020.0</v>
      </c>
      <c r="B56" s="114" t="s">
        <v>395</v>
      </c>
      <c r="C56" s="115" t="s">
        <v>387</v>
      </c>
      <c r="D56" s="115" t="s">
        <v>226</v>
      </c>
      <c r="E56" s="115" t="s">
        <v>160</v>
      </c>
      <c r="F56" s="115">
        <v>1200.0</v>
      </c>
      <c r="G56" s="115">
        <v>80.0</v>
      </c>
      <c r="H56" s="115">
        <f t="shared" si="1"/>
        <v>1120</v>
      </c>
      <c r="I56" s="109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</row>
    <row r="57" ht="15.75" customHeight="1">
      <c r="A57" s="113">
        <v>2020.0</v>
      </c>
      <c r="B57" s="114" t="s">
        <v>395</v>
      </c>
      <c r="C57" s="115" t="s">
        <v>387</v>
      </c>
      <c r="D57" s="115" t="s">
        <v>226</v>
      </c>
      <c r="E57" s="115" t="s">
        <v>160</v>
      </c>
      <c r="F57" s="115">
        <v>1200.0</v>
      </c>
      <c r="G57" s="115">
        <v>80.0</v>
      </c>
      <c r="H57" s="115">
        <f t="shared" si="1"/>
        <v>1120</v>
      </c>
      <c r="I57" s="109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</row>
    <row r="58" ht="15.75" customHeight="1">
      <c r="A58" s="113">
        <v>2022.0</v>
      </c>
      <c r="B58" s="114" t="s">
        <v>396</v>
      </c>
      <c r="C58" s="115" t="s">
        <v>387</v>
      </c>
      <c r="D58" s="115" t="s">
        <v>226</v>
      </c>
      <c r="E58" s="115" t="s">
        <v>160</v>
      </c>
      <c r="F58" s="115">
        <v>2200.0</v>
      </c>
      <c r="G58" s="115">
        <v>180.0</v>
      </c>
      <c r="H58" s="115">
        <f t="shared" si="1"/>
        <v>2020</v>
      </c>
      <c r="I58" s="109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</row>
    <row r="59" ht="15.75" customHeight="1">
      <c r="A59" s="113">
        <v>2016.0</v>
      </c>
      <c r="B59" s="114" t="s">
        <v>396</v>
      </c>
      <c r="C59" s="115" t="s">
        <v>387</v>
      </c>
      <c r="D59" s="115" t="s">
        <v>226</v>
      </c>
      <c r="E59" s="115" t="s">
        <v>160</v>
      </c>
      <c r="F59" s="115">
        <v>3000.0</v>
      </c>
      <c r="G59" s="115">
        <v>260.0</v>
      </c>
      <c r="H59" s="115">
        <f t="shared" si="1"/>
        <v>2740</v>
      </c>
      <c r="I59" s="109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</row>
    <row r="60" ht="15.75" customHeight="1">
      <c r="A60" s="113">
        <v>2022.0</v>
      </c>
      <c r="B60" s="114" t="s">
        <v>396</v>
      </c>
      <c r="C60" s="115" t="s">
        <v>387</v>
      </c>
      <c r="D60" s="115" t="s">
        <v>226</v>
      </c>
      <c r="E60" s="115" t="s">
        <v>160</v>
      </c>
      <c r="F60" s="115">
        <v>2200.0</v>
      </c>
      <c r="G60" s="115">
        <v>180.0</v>
      </c>
      <c r="H60" s="115">
        <f t="shared" si="1"/>
        <v>2020</v>
      </c>
      <c r="I60" s="109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</row>
    <row r="61" ht="15.75" customHeight="1">
      <c r="A61" s="113">
        <v>2016.0</v>
      </c>
      <c r="B61" s="114" t="s">
        <v>396</v>
      </c>
      <c r="C61" s="115" t="s">
        <v>387</v>
      </c>
      <c r="D61" s="115" t="s">
        <v>226</v>
      </c>
      <c r="E61" s="115" t="s">
        <v>160</v>
      </c>
      <c r="F61" s="115">
        <v>3000.0</v>
      </c>
      <c r="G61" s="115">
        <v>260.0</v>
      </c>
      <c r="H61" s="115">
        <f t="shared" si="1"/>
        <v>2740</v>
      </c>
      <c r="I61" s="109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</row>
    <row r="62" ht="15.75" customHeight="1">
      <c r="A62" s="113">
        <v>2022.0</v>
      </c>
      <c r="B62" s="114" t="s">
        <v>396</v>
      </c>
      <c r="C62" s="115" t="s">
        <v>387</v>
      </c>
      <c r="D62" s="115" t="s">
        <v>226</v>
      </c>
      <c r="E62" s="115" t="s">
        <v>160</v>
      </c>
      <c r="F62" s="115">
        <v>2200.0</v>
      </c>
      <c r="G62" s="115">
        <v>180.0</v>
      </c>
      <c r="H62" s="115">
        <f t="shared" si="1"/>
        <v>2020</v>
      </c>
      <c r="I62" s="109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</row>
    <row r="63" ht="15.75" customHeight="1">
      <c r="A63" s="113">
        <v>2021.0</v>
      </c>
      <c r="B63" s="114" t="s">
        <v>397</v>
      </c>
      <c r="C63" s="115" t="s">
        <v>387</v>
      </c>
      <c r="D63" s="115" t="s">
        <v>394</v>
      </c>
      <c r="E63" s="115" t="s">
        <v>160</v>
      </c>
      <c r="F63" s="115">
        <v>600.0</v>
      </c>
      <c r="G63" s="115">
        <v>20.0</v>
      </c>
      <c r="H63" s="115">
        <f t="shared" si="1"/>
        <v>580</v>
      </c>
      <c r="I63" s="109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</row>
    <row r="64" ht="15.75" customHeight="1">
      <c r="A64" s="113">
        <v>2022.0</v>
      </c>
      <c r="B64" s="114" t="s">
        <v>398</v>
      </c>
      <c r="C64" s="115" t="s">
        <v>387</v>
      </c>
      <c r="D64" s="115" t="s">
        <v>394</v>
      </c>
      <c r="E64" s="115" t="s">
        <v>160</v>
      </c>
      <c r="F64" s="115">
        <v>700.0</v>
      </c>
      <c r="G64" s="115">
        <v>30.0</v>
      </c>
      <c r="H64" s="115">
        <f t="shared" si="1"/>
        <v>670</v>
      </c>
      <c r="I64" s="109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</row>
    <row r="65" ht="15.75" customHeight="1">
      <c r="A65" s="113">
        <v>2022.0</v>
      </c>
      <c r="B65" s="114" t="s">
        <v>399</v>
      </c>
      <c r="C65" s="115" t="s">
        <v>387</v>
      </c>
      <c r="D65" s="115" t="s">
        <v>390</v>
      </c>
      <c r="E65" s="115" t="s">
        <v>374</v>
      </c>
      <c r="F65" s="115">
        <v>1900.0</v>
      </c>
      <c r="G65" s="115">
        <v>150.0</v>
      </c>
      <c r="H65" s="115">
        <f t="shared" si="1"/>
        <v>1750</v>
      </c>
      <c r="I65" s="109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</row>
    <row r="66" ht="15.75" customHeight="1">
      <c r="A66" s="113">
        <v>2022.0</v>
      </c>
      <c r="B66" s="114" t="s">
        <v>399</v>
      </c>
      <c r="C66" s="115" t="s">
        <v>387</v>
      </c>
      <c r="D66" s="115" t="s">
        <v>390</v>
      </c>
      <c r="E66" s="115" t="s">
        <v>374</v>
      </c>
      <c r="F66" s="115">
        <v>2800.0</v>
      </c>
      <c r="G66" s="115">
        <v>240.0</v>
      </c>
      <c r="H66" s="115">
        <f t="shared" si="1"/>
        <v>2560</v>
      </c>
      <c r="I66" s="109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</row>
    <row r="67" ht="15.75" customHeight="1">
      <c r="A67" s="113">
        <v>2022.0</v>
      </c>
      <c r="B67" s="114" t="s">
        <v>399</v>
      </c>
      <c r="C67" s="115" t="s">
        <v>387</v>
      </c>
      <c r="D67" s="115" t="s">
        <v>390</v>
      </c>
      <c r="E67" s="115" t="s">
        <v>374</v>
      </c>
      <c r="F67" s="115">
        <v>1900.0</v>
      </c>
      <c r="G67" s="115">
        <v>150.0</v>
      </c>
      <c r="H67" s="115">
        <f t="shared" si="1"/>
        <v>1750</v>
      </c>
      <c r="I67" s="109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</row>
    <row r="68" ht="15.75" customHeight="1">
      <c r="A68" s="113">
        <v>2022.0</v>
      </c>
      <c r="B68" s="114" t="s">
        <v>399</v>
      </c>
      <c r="C68" s="115" t="s">
        <v>387</v>
      </c>
      <c r="D68" s="115" t="s">
        <v>390</v>
      </c>
      <c r="E68" s="115" t="s">
        <v>374</v>
      </c>
      <c r="F68" s="115">
        <v>2800.0</v>
      </c>
      <c r="G68" s="115">
        <v>240.0</v>
      </c>
      <c r="H68" s="115">
        <f t="shared" si="1"/>
        <v>2560</v>
      </c>
      <c r="I68" s="109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</row>
    <row r="69" ht="15.75" customHeight="1">
      <c r="A69" s="113">
        <v>2022.0</v>
      </c>
      <c r="B69" s="114" t="s">
        <v>399</v>
      </c>
      <c r="C69" s="115" t="s">
        <v>387</v>
      </c>
      <c r="D69" s="115" t="s">
        <v>390</v>
      </c>
      <c r="E69" s="115" t="s">
        <v>374</v>
      </c>
      <c r="F69" s="115">
        <v>1900.0</v>
      </c>
      <c r="G69" s="115">
        <v>150.0</v>
      </c>
      <c r="H69" s="115">
        <f t="shared" si="1"/>
        <v>1750</v>
      </c>
      <c r="I69" s="109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</row>
    <row r="70" ht="15.75" customHeight="1">
      <c r="A70" s="113">
        <v>2020.0</v>
      </c>
      <c r="B70" s="114" t="s">
        <v>400</v>
      </c>
      <c r="C70" s="115" t="s">
        <v>387</v>
      </c>
      <c r="D70" s="115" t="s">
        <v>401</v>
      </c>
      <c r="E70" s="115" t="s">
        <v>162</v>
      </c>
      <c r="F70" s="115">
        <v>900.0</v>
      </c>
      <c r="G70" s="115">
        <v>50.0</v>
      </c>
      <c r="H70" s="115">
        <f t="shared" si="1"/>
        <v>850</v>
      </c>
      <c r="I70" s="109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</row>
    <row r="71" ht="15.75" customHeight="1">
      <c r="A71" s="113">
        <v>2020.0</v>
      </c>
      <c r="B71" s="114" t="s">
        <v>400</v>
      </c>
      <c r="C71" s="115" t="s">
        <v>387</v>
      </c>
      <c r="D71" s="115" t="s">
        <v>401</v>
      </c>
      <c r="E71" s="115" t="s">
        <v>162</v>
      </c>
      <c r="F71" s="115">
        <v>900.0</v>
      </c>
      <c r="G71" s="115">
        <v>50.0</v>
      </c>
      <c r="H71" s="115">
        <f t="shared" si="1"/>
        <v>850</v>
      </c>
      <c r="I71" s="109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</row>
    <row r="72" ht="15.75" customHeight="1">
      <c r="A72" s="116"/>
      <c r="B72" s="116"/>
      <c r="C72" s="116"/>
      <c r="D72" s="116"/>
      <c r="E72" s="116"/>
      <c r="F72" s="116"/>
      <c r="G72" s="116"/>
      <c r="H72" s="109"/>
      <c r="I72" s="109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</row>
    <row r="73" ht="15.75" customHeight="1">
      <c r="A73" s="116"/>
      <c r="B73" s="116"/>
      <c r="C73" s="116"/>
      <c r="D73" s="116"/>
      <c r="E73" s="116"/>
      <c r="F73" s="116"/>
      <c r="G73" s="116"/>
      <c r="H73" s="109"/>
      <c r="I73" s="109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</row>
    <row r="74" ht="15.75" customHeight="1">
      <c r="A74" s="116"/>
      <c r="B74" s="116"/>
      <c r="C74" s="116"/>
      <c r="D74" s="116"/>
      <c r="E74" s="116"/>
      <c r="F74" s="116"/>
      <c r="G74" s="116"/>
      <c r="H74" s="109"/>
      <c r="I74" s="109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</row>
    <row r="75" ht="15.75" customHeight="1">
      <c r="A75" s="116"/>
      <c r="B75" s="116"/>
      <c r="C75" s="116"/>
      <c r="D75" s="116"/>
      <c r="E75" s="116"/>
      <c r="F75" s="116"/>
      <c r="G75" s="116"/>
      <c r="H75" s="109"/>
      <c r="I75" s="109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</row>
    <row r="76" ht="15.75" customHeight="1">
      <c r="A76" s="116"/>
      <c r="B76" s="116"/>
      <c r="C76" s="116"/>
      <c r="D76" s="116"/>
      <c r="E76" s="116"/>
      <c r="F76" s="116"/>
      <c r="G76" s="116"/>
      <c r="H76" s="109"/>
      <c r="I76" s="109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</row>
    <row r="77" ht="15.75" customHeight="1">
      <c r="A77" s="116"/>
      <c r="B77" s="116"/>
      <c r="C77" s="116"/>
      <c r="D77" s="116"/>
      <c r="E77" s="116"/>
      <c r="F77" s="116"/>
      <c r="G77" s="116"/>
      <c r="H77" s="109"/>
      <c r="I77" s="109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</row>
    <row r="78" ht="15.75" customHeight="1">
      <c r="A78" s="116"/>
      <c r="B78" s="116"/>
      <c r="C78" s="116"/>
      <c r="D78" s="116"/>
      <c r="E78" s="116"/>
      <c r="F78" s="116"/>
      <c r="G78" s="116"/>
      <c r="H78" s="109"/>
      <c r="I78" s="109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</row>
    <row r="79" ht="15.75" customHeight="1">
      <c r="A79" s="116"/>
      <c r="B79" s="116"/>
      <c r="C79" s="116"/>
      <c r="D79" s="116"/>
      <c r="E79" s="116"/>
      <c r="F79" s="116"/>
      <c r="G79" s="116"/>
      <c r="H79" s="109"/>
      <c r="I79" s="109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</row>
    <row r="80" ht="15.75" customHeight="1">
      <c r="A80" s="116"/>
      <c r="B80" s="116"/>
      <c r="C80" s="116"/>
      <c r="D80" s="116"/>
      <c r="E80" s="116"/>
      <c r="F80" s="116"/>
      <c r="G80" s="116"/>
      <c r="H80" s="109"/>
      <c r="I80" s="109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</row>
    <row r="81" ht="15.75" customHeight="1">
      <c r="A81" s="116"/>
      <c r="B81" s="116"/>
      <c r="C81" s="116"/>
      <c r="D81" s="116"/>
      <c r="E81" s="116"/>
      <c r="F81" s="116"/>
      <c r="G81" s="116"/>
      <c r="H81" s="109"/>
      <c r="I81" s="109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</row>
    <row r="82" ht="15.75" customHeight="1">
      <c r="A82" s="116"/>
      <c r="B82" s="116"/>
      <c r="C82" s="116"/>
      <c r="D82" s="116"/>
      <c r="E82" s="116"/>
      <c r="F82" s="116"/>
      <c r="G82" s="116"/>
      <c r="H82" s="109"/>
      <c r="I82" s="109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</row>
    <row r="83" ht="15.75" customHeight="1">
      <c r="A83" s="116"/>
      <c r="B83" s="116"/>
      <c r="C83" s="116"/>
      <c r="D83" s="116"/>
      <c r="E83" s="116"/>
      <c r="F83" s="116"/>
      <c r="G83" s="116"/>
      <c r="H83" s="109"/>
      <c r="I83" s="109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</row>
    <row r="84" ht="15.75" customHeight="1">
      <c r="A84" s="116"/>
      <c r="B84" s="116"/>
      <c r="C84" s="116"/>
      <c r="D84" s="116"/>
      <c r="E84" s="116"/>
      <c r="F84" s="116"/>
      <c r="G84" s="116"/>
      <c r="H84" s="109"/>
      <c r="I84" s="109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</row>
    <row r="85" ht="15.75" customHeight="1">
      <c r="A85" s="116"/>
      <c r="B85" s="116"/>
      <c r="C85" s="116"/>
      <c r="D85" s="116"/>
      <c r="E85" s="116"/>
      <c r="F85" s="116"/>
      <c r="G85" s="116"/>
      <c r="H85" s="109"/>
      <c r="I85" s="109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</row>
    <row r="86" ht="15.75" customHeight="1">
      <c r="A86" s="116"/>
      <c r="B86" s="116"/>
      <c r="C86" s="116"/>
      <c r="D86" s="116"/>
      <c r="E86" s="116"/>
      <c r="F86" s="116"/>
      <c r="G86" s="116"/>
      <c r="H86" s="109"/>
      <c r="I86" s="109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</row>
    <row r="87" ht="15.75" customHeight="1">
      <c r="A87" s="116"/>
      <c r="B87" s="116"/>
      <c r="C87" s="116"/>
      <c r="D87" s="116"/>
      <c r="E87" s="116"/>
      <c r="F87" s="116"/>
      <c r="G87" s="116"/>
      <c r="H87" s="109"/>
      <c r="I87" s="109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</row>
    <row r="88" ht="15.75" customHeight="1">
      <c r="A88" s="116"/>
      <c r="B88" s="116"/>
      <c r="C88" s="116"/>
      <c r="D88" s="116"/>
      <c r="E88" s="116"/>
      <c r="F88" s="116"/>
      <c r="G88" s="116"/>
      <c r="H88" s="109"/>
      <c r="I88" s="109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</row>
    <row r="89" ht="15.75" customHeight="1">
      <c r="A89" s="116"/>
      <c r="B89" s="116"/>
      <c r="C89" s="116"/>
      <c r="D89" s="116"/>
      <c r="E89" s="116"/>
      <c r="F89" s="116"/>
      <c r="G89" s="116"/>
      <c r="H89" s="109"/>
      <c r="I89" s="109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</row>
    <row r="90" ht="15.75" customHeight="1">
      <c r="A90" s="116"/>
      <c r="B90" s="116"/>
      <c r="C90" s="116"/>
      <c r="D90" s="116"/>
      <c r="E90" s="116"/>
      <c r="F90" s="116"/>
      <c r="G90" s="116"/>
      <c r="H90" s="109"/>
      <c r="I90" s="109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</row>
    <row r="91" ht="15.75" customHeight="1">
      <c r="A91" s="116"/>
      <c r="B91" s="116"/>
      <c r="C91" s="116"/>
      <c r="D91" s="116"/>
      <c r="E91" s="116"/>
      <c r="F91" s="116"/>
      <c r="G91" s="116"/>
      <c r="H91" s="109"/>
      <c r="I91" s="109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</row>
    <row r="92" ht="15.75" customHeight="1">
      <c r="A92" s="116"/>
      <c r="B92" s="116"/>
      <c r="C92" s="116"/>
      <c r="D92" s="116"/>
      <c r="E92" s="116"/>
      <c r="F92" s="116"/>
      <c r="G92" s="116"/>
      <c r="H92" s="109"/>
      <c r="I92" s="109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</row>
    <row r="93" ht="15.75" customHeight="1">
      <c r="A93" s="116"/>
      <c r="B93" s="116"/>
      <c r="C93" s="116"/>
      <c r="D93" s="116"/>
      <c r="E93" s="116"/>
      <c r="F93" s="116"/>
      <c r="G93" s="116"/>
      <c r="H93" s="109"/>
      <c r="I93" s="109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</row>
    <row r="94" ht="15.75" customHeight="1">
      <c r="A94" s="116"/>
      <c r="B94" s="116"/>
      <c r="C94" s="116"/>
      <c r="D94" s="116"/>
      <c r="E94" s="116"/>
      <c r="F94" s="116"/>
      <c r="G94" s="116"/>
      <c r="H94" s="109"/>
      <c r="I94" s="109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</row>
    <row r="95" ht="15.75" customHeight="1">
      <c r="A95" s="116"/>
      <c r="B95" s="116"/>
      <c r="C95" s="116"/>
      <c r="D95" s="116"/>
      <c r="E95" s="116"/>
      <c r="F95" s="116"/>
      <c r="G95" s="116"/>
      <c r="H95" s="109"/>
      <c r="I95" s="109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</row>
    <row r="96" ht="15.75" customHeight="1">
      <c r="A96" s="116"/>
      <c r="B96" s="116"/>
      <c r="C96" s="116"/>
      <c r="D96" s="116"/>
      <c r="E96" s="116"/>
      <c r="F96" s="116"/>
      <c r="G96" s="116"/>
      <c r="H96" s="109"/>
      <c r="I96" s="109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</row>
    <row r="97" ht="15.75" customHeight="1">
      <c r="A97" s="116"/>
      <c r="B97" s="116"/>
      <c r="C97" s="116"/>
      <c r="D97" s="116"/>
      <c r="E97" s="116"/>
      <c r="F97" s="116"/>
      <c r="G97" s="116"/>
      <c r="H97" s="109"/>
      <c r="I97" s="109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</row>
    <row r="98" ht="15.75" customHeight="1">
      <c r="A98" s="116"/>
      <c r="B98" s="116"/>
      <c r="C98" s="116"/>
      <c r="D98" s="116"/>
      <c r="E98" s="116"/>
      <c r="F98" s="116"/>
      <c r="G98" s="116"/>
      <c r="H98" s="109"/>
      <c r="I98" s="109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</row>
    <row r="99" ht="15.75" customHeight="1">
      <c r="A99" s="116"/>
      <c r="B99" s="116"/>
      <c r="C99" s="116"/>
      <c r="D99" s="116"/>
      <c r="E99" s="116"/>
      <c r="F99" s="116"/>
      <c r="G99" s="116"/>
      <c r="H99" s="109"/>
      <c r="I99" s="109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</row>
    <row r="100" ht="15.75" customHeight="1">
      <c r="A100" s="116"/>
      <c r="B100" s="116"/>
      <c r="C100" s="116"/>
      <c r="D100" s="116"/>
      <c r="E100" s="116"/>
      <c r="F100" s="116"/>
      <c r="G100" s="116"/>
      <c r="H100" s="109"/>
      <c r="I100" s="109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</row>
    <row r="101" ht="15.75" customHeight="1">
      <c r="A101" s="116"/>
      <c r="B101" s="116"/>
      <c r="C101" s="116"/>
      <c r="D101" s="116"/>
      <c r="E101" s="116"/>
      <c r="F101" s="116"/>
      <c r="G101" s="116"/>
      <c r="H101" s="109"/>
      <c r="I101" s="109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</row>
    <row r="102" ht="15.75" customHeight="1">
      <c r="A102" s="116"/>
      <c r="B102" s="116"/>
      <c r="C102" s="116"/>
      <c r="D102" s="116"/>
      <c r="E102" s="116"/>
      <c r="F102" s="116"/>
      <c r="G102" s="116"/>
      <c r="H102" s="109"/>
      <c r="I102" s="109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</row>
    <row r="103" ht="15.75" customHeight="1">
      <c r="A103" s="116"/>
      <c r="B103" s="116"/>
      <c r="C103" s="116"/>
      <c r="D103" s="116"/>
      <c r="E103" s="116"/>
      <c r="F103" s="116"/>
      <c r="G103" s="116"/>
      <c r="H103" s="109"/>
      <c r="I103" s="109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</row>
    <row r="104" ht="15.75" customHeight="1">
      <c r="A104" s="116"/>
      <c r="B104" s="116"/>
      <c r="C104" s="116"/>
      <c r="D104" s="116"/>
      <c r="E104" s="116"/>
      <c r="F104" s="116"/>
      <c r="G104" s="116"/>
      <c r="H104" s="109"/>
      <c r="I104" s="109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</row>
    <row r="105" ht="15.75" customHeight="1">
      <c r="A105" s="116"/>
      <c r="B105" s="116"/>
      <c r="C105" s="116"/>
      <c r="D105" s="116"/>
      <c r="E105" s="116"/>
      <c r="F105" s="116"/>
      <c r="G105" s="116"/>
      <c r="H105" s="109"/>
      <c r="I105" s="109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</row>
    <row r="106" ht="15.75" customHeight="1">
      <c r="A106" s="116"/>
      <c r="B106" s="116"/>
      <c r="C106" s="116"/>
      <c r="D106" s="116"/>
      <c r="E106" s="116"/>
      <c r="F106" s="116"/>
      <c r="G106" s="116"/>
      <c r="H106" s="109"/>
      <c r="I106" s="109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</row>
    <row r="107" ht="15.75" customHeight="1">
      <c r="A107" s="116"/>
      <c r="B107" s="116"/>
      <c r="C107" s="116"/>
      <c r="D107" s="116"/>
      <c r="E107" s="116"/>
      <c r="F107" s="116"/>
      <c r="G107" s="116"/>
      <c r="H107" s="109"/>
      <c r="I107" s="109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</row>
    <row r="108" ht="15.75" customHeight="1">
      <c r="A108" s="116"/>
      <c r="B108" s="116"/>
      <c r="C108" s="116"/>
      <c r="D108" s="116"/>
      <c r="E108" s="116"/>
      <c r="F108" s="116"/>
      <c r="G108" s="116"/>
      <c r="H108" s="109"/>
      <c r="I108" s="109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</row>
    <row r="109" ht="15.75" customHeight="1">
      <c r="A109" s="116"/>
      <c r="B109" s="116"/>
      <c r="C109" s="116"/>
      <c r="D109" s="116"/>
      <c r="E109" s="116"/>
      <c r="F109" s="116"/>
      <c r="G109" s="116"/>
      <c r="H109" s="109"/>
      <c r="I109" s="109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</row>
    <row r="110" ht="15.75" customHeight="1">
      <c r="A110" s="116"/>
      <c r="B110" s="116"/>
      <c r="C110" s="116"/>
      <c r="D110" s="116"/>
      <c r="E110" s="116"/>
      <c r="F110" s="116"/>
      <c r="G110" s="116"/>
      <c r="H110" s="109"/>
      <c r="I110" s="109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</row>
    <row r="111" ht="15.75" customHeight="1">
      <c r="A111" s="116"/>
      <c r="B111" s="116"/>
      <c r="C111" s="116"/>
      <c r="D111" s="116"/>
      <c r="E111" s="116"/>
      <c r="F111" s="116"/>
      <c r="G111" s="116"/>
      <c r="H111" s="109"/>
      <c r="I111" s="109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</row>
    <row r="112" ht="15.75" customHeight="1">
      <c r="A112" s="116"/>
      <c r="B112" s="116"/>
      <c r="C112" s="116"/>
      <c r="D112" s="116"/>
      <c r="E112" s="116"/>
      <c r="F112" s="116"/>
      <c r="G112" s="116"/>
      <c r="H112" s="109"/>
      <c r="I112" s="109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</row>
    <row r="113" ht="15.75" customHeight="1">
      <c r="A113" s="116"/>
      <c r="B113" s="116"/>
      <c r="C113" s="116"/>
      <c r="D113" s="116"/>
      <c r="E113" s="116"/>
      <c r="F113" s="116"/>
      <c r="G113" s="116"/>
      <c r="H113" s="109"/>
      <c r="I113" s="109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</row>
    <row r="114" ht="15.75" customHeight="1">
      <c r="A114" s="116"/>
      <c r="B114" s="116"/>
      <c r="C114" s="116"/>
      <c r="D114" s="116"/>
      <c r="E114" s="116"/>
      <c r="F114" s="116"/>
      <c r="G114" s="116"/>
      <c r="H114" s="109"/>
      <c r="I114" s="109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</row>
    <row r="115" ht="15.75" customHeight="1">
      <c r="A115" s="116"/>
      <c r="B115" s="116"/>
      <c r="C115" s="116"/>
      <c r="D115" s="116"/>
      <c r="E115" s="116"/>
      <c r="F115" s="116"/>
      <c r="G115" s="116"/>
      <c r="H115" s="109"/>
      <c r="I115" s="109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</row>
    <row r="116" ht="15.75" customHeight="1">
      <c r="A116" s="116"/>
      <c r="B116" s="116"/>
      <c r="C116" s="116"/>
      <c r="D116" s="116"/>
      <c r="E116" s="116"/>
      <c r="F116" s="116"/>
      <c r="G116" s="116"/>
      <c r="H116" s="109"/>
      <c r="I116" s="109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</row>
    <row r="117" ht="15.75" customHeight="1">
      <c r="A117" s="116"/>
      <c r="B117" s="116"/>
      <c r="C117" s="116"/>
      <c r="D117" s="116"/>
      <c r="E117" s="116"/>
      <c r="F117" s="116"/>
      <c r="G117" s="116"/>
      <c r="H117" s="109"/>
      <c r="I117" s="109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</row>
    <row r="118" ht="15.75" customHeight="1">
      <c r="A118" s="116"/>
      <c r="B118" s="116"/>
      <c r="C118" s="116"/>
      <c r="D118" s="116"/>
      <c r="E118" s="116"/>
      <c r="F118" s="116"/>
      <c r="G118" s="116"/>
      <c r="H118" s="109"/>
      <c r="I118" s="109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</row>
    <row r="119" ht="15.75" customHeight="1">
      <c r="A119" s="116"/>
      <c r="B119" s="116"/>
      <c r="C119" s="116"/>
      <c r="D119" s="116"/>
      <c r="E119" s="116"/>
      <c r="F119" s="116"/>
      <c r="G119" s="116"/>
      <c r="H119" s="109"/>
      <c r="I119" s="109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</row>
    <row r="120" ht="15.75" customHeight="1">
      <c r="A120" s="116"/>
      <c r="B120" s="116"/>
      <c r="C120" s="116"/>
      <c r="D120" s="116"/>
      <c r="E120" s="116"/>
      <c r="F120" s="116"/>
      <c r="G120" s="116"/>
      <c r="H120" s="109"/>
      <c r="I120" s="109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</row>
    <row r="121" ht="15.75" customHeight="1">
      <c r="A121" s="116"/>
      <c r="B121" s="116"/>
      <c r="C121" s="116"/>
      <c r="D121" s="116"/>
      <c r="E121" s="116"/>
      <c r="F121" s="116"/>
      <c r="G121" s="116"/>
      <c r="H121" s="109"/>
      <c r="I121" s="109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</row>
    <row r="122" ht="15.75" customHeight="1">
      <c r="A122" s="116"/>
      <c r="B122" s="116"/>
      <c r="C122" s="116"/>
      <c r="D122" s="116"/>
      <c r="E122" s="116"/>
      <c r="F122" s="116"/>
      <c r="G122" s="116"/>
      <c r="H122" s="109"/>
      <c r="I122" s="109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</row>
    <row r="123" ht="15.75" customHeight="1">
      <c r="A123" s="116"/>
      <c r="B123" s="116"/>
      <c r="C123" s="116"/>
      <c r="D123" s="116"/>
      <c r="E123" s="116"/>
      <c r="F123" s="116"/>
      <c r="G123" s="116"/>
      <c r="H123" s="109"/>
      <c r="I123" s="109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</row>
    <row r="124" ht="15.75" customHeight="1">
      <c r="A124" s="116"/>
      <c r="B124" s="116"/>
      <c r="C124" s="116"/>
      <c r="D124" s="116"/>
      <c r="E124" s="116"/>
      <c r="F124" s="116"/>
      <c r="G124" s="116"/>
      <c r="H124" s="109"/>
      <c r="I124" s="109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</row>
    <row r="125" ht="15.75" customHeight="1">
      <c r="A125" s="116"/>
      <c r="B125" s="116"/>
      <c r="C125" s="116"/>
      <c r="D125" s="116"/>
      <c r="E125" s="116"/>
      <c r="F125" s="116"/>
      <c r="G125" s="116"/>
      <c r="H125" s="109"/>
      <c r="I125" s="109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</row>
    <row r="126" ht="15.75" customHeight="1">
      <c r="A126" s="116"/>
      <c r="B126" s="116"/>
      <c r="C126" s="116"/>
      <c r="D126" s="116"/>
      <c r="E126" s="116"/>
      <c r="F126" s="116"/>
      <c r="G126" s="116"/>
      <c r="H126" s="109"/>
      <c r="I126" s="109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</row>
    <row r="127" ht="15.75" customHeight="1">
      <c r="A127" s="116"/>
      <c r="B127" s="116"/>
      <c r="C127" s="116"/>
      <c r="D127" s="116"/>
      <c r="E127" s="116"/>
      <c r="F127" s="116"/>
      <c r="G127" s="116"/>
      <c r="H127" s="109"/>
      <c r="I127" s="109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</row>
    <row r="128" ht="15.75" customHeight="1">
      <c r="A128" s="116"/>
      <c r="B128" s="116"/>
      <c r="C128" s="116"/>
      <c r="D128" s="116"/>
      <c r="E128" s="116"/>
      <c r="F128" s="116"/>
      <c r="G128" s="116"/>
      <c r="H128" s="109"/>
      <c r="I128" s="109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</row>
    <row r="129" ht="15.75" customHeight="1">
      <c r="A129" s="116"/>
      <c r="B129" s="116"/>
      <c r="C129" s="116"/>
      <c r="D129" s="116"/>
      <c r="E129" s="116"/>
      <c r="F129" s="116"/>
      <c r="G129" s="116"/>
      <c r="H129" s="109"/>
      <c r="I129" s="109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</row>
    <row r="130" ht="15.75" customHeight="1">
      <c r="A130" s="116"/>
      <c r="B130" s="116"/>
      <c r="C130" s="116"/>
      <c r="D130" s="116"/>
      <c r="E130" s="116"/>
      <c r="F130" s="116"/>
      <c r="G130" s="116"/>
      <c r="H130" s="109"/>
      <c r="I130" s="109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</row>
    <row r="131" ht="15.75" customHeight="1">
      <c r="A131" s="116"/>
      <c r="B131" s="116"/>
      <c r="C131" s="116"/>
      <c r="D131" s="116"/>
      <c r="E131" s="116"/>
      <c r="F131" s="116"/>
      <c r="G131" s="116"/>
      <c r="H131" s="109"/>
      <c r="I131" s="109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</row>
    <row r="132" ht="15.75" customHeight="1">
      <c r="A132" s="116"/>
      <c r="B132" s="116"/>
      <c r="C132" s="116"/>
      <c r="D132" s="116"/>
      <c r="E132" s="116"/>
      <c r="F132" s="116"/>
      <c r="G132" s="116"/>
      <c r="H132" s="109"/>
      <c r="I132" s="109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</row>
    <row r="133" ht="15.75" customHeight="1">
      <c r="A133" s="116"/>
      <c r="B133" s="116"/>
      <c r="C133" s="116"/>
      <c r="D133" s="116"/>
      <c r="E133" s="116"/>
      <c r="F133" s="116"/>
      <c r="G133" s="116"/>
      <c r="H133" s="109"/>
      <c r="I133" s="109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</row>
    <row r="134" ht="15.75" customHeight="1">
      <c r="A134" s="116"/>
      <c r="B134" s="116"/>
      <c r="C134" s="116"/>
      <c r="D134" s="116"/>
      <c r="E134" s="116"/>
      <c r="F134" s="116"/>
      <c r="G134" s="116"/>
      <c r="H134" s="109"/>
      <c r="I134" s="109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</row>
    <row r="135" ht="15.75" customHeight="1">
      <c r="A135" s="116"/>
      <c r="B135" s="116"/>
      <c r="C135" s="116"/>
      <c r="D135" s="116"/>
      <c r="E135" s="116"/>
      <c r="F135" s="116"/>
      <c r="G135" s="116"/>
      <c r="H135" s="109"/>
      <c r="I135" s="109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</row>
    <row r="136" ht="15.75" customHeight="1">
      <c r="A136" s="116"/>
      <c r="B136" s="116"/>
      <c r="C136" s="116"/>
      <c r="D136" s="116"/>
      <c r="E136" s="116"/>
      <c r="F136" s="116"/>
      <c r="G136" s="116"/>
      <c r="H136" s="109"/>
      <c r="I136" s="109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</row>
    <row r="137" ht="15.75" customHeight="1">
      <c r="A137" s="116"/>
      <c r="B137" s="116"/>
      <c r="C137" s="116"/>
      <c r="D137" s="116"/>
      <c r="E137" s="116"/>
      <c r="F137" s="116"/>
      <c r="G137" s="116"/>
      <c r="H137" s="109"/>
      <c r="I137" s="109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</row>
    <row r="138" ht="15.75" customHeight="1">
      <c r="A138" s="116"/>
      <c r="B138" s="116"/>
      <c r="C138" s="116"/>
      <c r="D138" s="116"/>
      <c r="E138" s="116"/>
      <c r="F138" s="116"/>
      <c r="G138" s="116"/>
      <c r="H138" s="109"/>
      <c r="I138" s="109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</row>
    <row r="139" ht="15.75" customHeight="1">
      <c r="A139" s="116"/>
      <c r="B139" s="116"/>
      <c r="C139" s="116"/>
      <c r="D139" s="116"/>
      <c r="E139" s="116"/>
      <c r="F139" s="116"/>
      <c r="G139" s="116"/>
      <c r="H139" s="109"/>
      <c r="I139" s="109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</row>
    <row r="140" ht="15.75" customHeight="1">
      <c r="A140" s="116"/>
      <c r="B140" s="116"/>
      <c r="C140" s="116"/>
      <c r="D140" s="116"/>
      <c r="E140" s="116"/>
      <c r="F140" s="116"/>
      <c r="G140" s="116"/>
      <c r="H140" s="109"/>
      <c r="I140" s="109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</row>
    <row r="141" ht="15.75" customHeight="1">
      <c r="A141" s="116"/>
      <c r="B141" s="116"/>
      <c r="C141" s="116"/>
      <c r="D141" s="116"/>
      <c r="E141" s="116"/>
      <c r="F141" s="116"/>
      <c r="G141" s="116"/>
      <c r="H141" s="109"/>
      <c r="I141" s="109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</row>
    <row r="142" ht="15.75" customHeight="1">
      <c r="A142" s="116"/>
      <c r="B142" s="116"/>
      <c r="C142" s="116"/>
      <c r="D142" s="116"/>
      <c r="E142" s="116"/>
      <c r="F142" s="116"/>
      <c r="G142" s="116"/>
      <c r="H142" s="109"/>
      <c r="I142" s="109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</row>
    <row r="143" ht="15.75" customHeight="1">
      <c r="A143" s="116"/>
      <c r="B143" s="116"/>
      <c r="C143" s="116"/>
      <c r="D143" s="116"/>
      <c r="E143" s="116"/>
      <c r="F143" s="116"/>
      <c r="G143" s="116"/>
      <c r="H143" s="109"/>
      <c r="I143" s="109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</row>
    <row r="144" ht="15.75" customHeight="1">
      <c r="A144" s="116"/>
      <c r="B144" s="116"/>
      <c r="C144" s="116"/>
      <c r="D144" s="116"/>
      <c r="E144" s="116"/>
      <c r="F144" s="116"/>
      <c r="G144" s="116"/>
      <c r="H144" s="109"/>
      <c r="I144" s="109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</row>
    <row r="145" ht="15.75" customHeight="1">
      <c r="A145" s="116"/>
      <c r="B145" s="116"/>
      <c r="C145" s="116"/>
      <c r="D145" s="116"/>
      <c r="E145" s="116"/>
      <c r="F145" s="116"/>
      <c r="G145" s="116"/>
      <c r="H145" s="109"/>
      <c r="I145" s="109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</row>
    <row r="146" ht="15.75" customHeight="1">
      <c r="A146" s="116"/>
      <c r="B146" s="116"/>
      <c r="C146" s="116"/>
      <c r="D146" s="116"/>
      <c r="E146" s="116"/>
      <c r="F146" s="116"/>
      <c r="G146" s="116"/>
      <c r="H146" s="109"/>
      <c r="I146" s="109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</row>
    <row r="147" ht="15.75" customHeight="1">
      <c r="A147" s="116"/>
      <c r="B147" s="116"/>
      <c r="C147" s="116"/>
      <c r="D147" s="116"/>
      <c r="E147" s="116"/>
      <c r="F147" s="116"/>
      <c r="G147" s="116"/>
      <c r="H147" s="109"/>
      <c r="I147" s="109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</row>
    <row r="148" ht="15.75" customHeight="1">
      <c r="A148" s="116"/>
      <c r="B148" s="116"/>
      <c r="C148" s="116"/>
      <c r="D148" s="116"/>
      <c r="E148" s="116"/>
      <c r="F148" s="116"/>
      <c r="G148" s="116"/>
      <c r="H148" s="109"/>
      <c r="I148" s="109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</row>
    <row r="149" ht="15.75" customHeight="1">
      <c r="A149" s="116"/>
      <c r="B149" s="116"/>
      <c r="C149" s="116"/>
      <c r="D149" s="116"/>
      <c r="E149" s="116"/>
      <c r="F149" s="116"/>
      <c r="G149" s="116"/>
      <c r="H149" s="109"/>
      <c r="I149" s="109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</row>
    <row r="150" ht="15.75" customHeight="1">
      <c r="A150" s="116"/>
      <c r="B150" s="116"/>
      <c r="C150" s="116"/>
      <c r="D150" s="116"/>
      <c r="E150" s="116"/>
      <c r="F150" s="116"/>
      <c r="G150" s="116"/>
      <c r="H150" s="109"/>
      <c r="I150" s="109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</row>
    <row r="151" ht="15.75" customHeight="1">
      <c r="A151" s="116"/>
      <c r="B151" s="116"/>
      <c r="C151" s="116"/>
      <c r="D151" s="116"/>
      <c r="E151" s="116"/>
      <c r="F151" s="116"/>
      <c r="G151" s="116"/>
      <c r="H151" s="109"/>
      <c r="I151" s="109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</row>
    <row r="152" ht="15.75" customHeight="1">
      <c r="A152" s="116"/>
      <c r="B152" s="116"/>
      <c r="C152" s="116"/>
      <c r="D152" s="116"/>
      <c r="E152" s="116"/>
      <c r="F152" s="116"/>
      <c r="G152" s="116"/>
      <c r="H152" s="109"/>
      <c r="I152" s="109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</row>
    <row r="153" ht="15.75" customHeight="1">
      <c r="A153" s="116"/>
      <c r="B153" s="116"/>
      <c r="C153" s="116"/>
      <c r="D153" s="116"/>
      <c r="E153" s="116"/>
      <c r="F153" s="116"/>
      <c r="G153" s="116"/>
      <c r="H153" s="109"/>
      <c r="I153" s="109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</row>
    <row r="154" ht="15.75" customHeight="1">
      <c r="A154" s="116"/>
      <c r="B154" s="116"/>
      <c r="C154" s="116"/>
      <c r="D154" s="116"/>
      <c r="E154" s="116"/>
      <c r="F154" s="116"/>
      <c r="G154" s="116"/>
      <c r="H154" s="109"/>
      <c r="I154" s="109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</row>
    <row r="155" ht="15.75" customHeight="1">
      <c r="A155" s="116"/>
      <c r="B155" s="116"/>
      <c r="C155" s="116"/>
      <c r="D155" s="116"/>
      <c r="E155" s="116"/>
      <c r="F155" s="116"/>
      <c r="G155" s="116"/>
      <c r="H155" s="109"/>
      <c r="I155" s="109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</row>
    <row r="156" ht="15.75" customHeight="1">
      <c r="A156" s="116"/>
      <c r="B156" s="116"/>
      <c r="C156" s="116"/>
      <c r="D156" s="116"/>
      <c r="E156" s="116"/>
      <c r="F156" s="116"/>
      <c r="G156" s="116"/>
      <c r="H156" s="109"/>
      <c r="I156" s="109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</row>
    <row r="157" ht="15.75" customHeight="1">
      <c r="A157" s="116"/>
      <c r="B157" s="116"/>
      <c r="C157" s="116"/>
      <c r="D157" s="116"/>
      <c r="E157" s="116"/>
      <c r="F157" s="116"/>
      <c r="G157" s="116"/>
      <c r="H157" s="109"/>
      <c r="I157" s="109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</row>
    <row r="158" ht="15.75" customHeight="1">
      <c r="A158" s="116"/>
      <c r="B158" s="116"/>
      <c r="C158" s="116"/>
      <c r="D158" s="116"/>
      <c r="E158" s="116"/>
      <c r="F158" s="116"/>
      <c r="G158" s="116"/>
      <c r="H158" s="109"/>
      <c r="I158" s="109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</row>
    <row r="159" ht="15.75" customHeight="1">
      <c r="A159" s="116"/>
      <c r="B159" s="116"/>
      <c r="C159" s="116"/>
      <c r="D159" s="116"/>
      <c r="E159" s="116"/>
      <c r="F159" s="116"/>
      <c r="G159" s="116"/>
      <c r="H159" s="109"/>
      <c r="I159" s="109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</row>
    <row r="160" ht="15.75" customHeight="1">
      <c r="A160" s="116"/>
      <c r="B160" s="116"/>
      <c r="C160" s="116"/>
      <c r="D160" s="116"/>
      <c r="E160" s="116"/>
      <c r="F160" s="116"/>
      <c r="G160" s="116"/>
      <c r="H160" s="109"/>
      <c r="I160" s="109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</row>
    <row r="161" ht="15.75" customHeight="1">
      <c r="A161" s="116"/>
      <c r="B161" s="116"/>
      <c r="C161" s="116"/>
      <c r="D161" s="116"/>
      <c r="E161" s="116"/>
      <c r="F161" s="116"/>
      <c r="G161" s="116"/>
      <c r="H161" s="109"/>
      <c r="I161" s="109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</row>
    <row r="162" ht="15.75" customHeight="1">
      <c r="A162" s="116"/>
      <c r="B162" s="116"/>
      <c r="C162" s="116"/>
      <c r="D162" s="116"/>
      <c r="E162" s="116"/>
      <c r="F162" s="116"/>
      <c r="G162" s="116"/>
      <c r="H162" s="109"/>
      <c r="I162" s="109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</row>
    <row r="163" ht="15.75" customHeight="1">
      <c r="A163" s="116"/>
      <c r="B163" s="116"/>
      <c r="C163" s="116"/>
      <c r="D163" s="116"/>
      <c r="E163" s="116"/>
      <c r="F163" s="116"/>
      <c r="G163" s="116"/>
      <c r="H163" s="109"/>
      <c r="I163" s="109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</row>
    <row r="164" ht="15.75" customHeight="1">
      <c r="A164" s="116"/>
      <c r="B164" s="116"/>
      <c r="C164" s="116"/>
      <c r="D164" s="116"/>
      <c r="E164" s="116"/>
      <c r="F164" s="116"/>
      <c r="G164" s="116"/>
      <c r="H164" s="109"/>
      <c r="I164" s="109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</row>
    <row r="165" ht="15.75" customHeight="1">
      <c r="A165" s="116"/>
      <c r="B165" s="116"/>
      <c r="C165" s="116"/>
      <c r="D165" s="116"/>
      <c r="E165" s="116"/>
      <c r="F165" s="116"/>
      <c r="G165" s="116"/>
      <c r="H165" s="109"/>
      <c r="I165" s="109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</row>
    <row r="166" ht="15.75" customHeight="1">
      <c r="A166" s="116"/>
      <c r="B166" s="116"/>
      <c r="C166" s="116"/>
      <c r="D166" s="116"/>
      <c r="E166" s="116"/>
      <c r="F166" s="116"/>
      <c r="G166" s="116"/>
      <c r="H166" s="109"/>
      <c r="I166" s="109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</row>
    <row r="167" ht="15.75" customHeight="1">
      <c r="A167" s="116"/>
      <c r="B167" s="116"/>
      <c r="C167" s="116"/>
      <c r="D167" s="116"/>
      <c r="E167" s="116"/>
      <c r="F167" s="116"/>
      <c r="G167" s="116"/>
      <c r="H167" s="109"/>
      <c r="I167" s="109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</row>
    <row r="168" ht="15.75" customHeight="1">
      <c r="A168" s="116"/>
      <c r="B168" s="116"/>
      <c r="C168" s="116"/>
      <c r="D168" s="116"/>
      <c r="E168" s="116"/>
      <c r="F168" s="116"/>
      <c r="G168" s="116"/>
      <c r="H168" s="109"/>
      <c r="I168" s="109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</row>
    <row r="169" ht="15.75" customHeight="1">
      <c r="A169" s="116"/>
      <c r="B169" s="116"/>
      <c r="C169" s="116"/>
      <c r="D169" s="116"/>
      <c r="E169" s="116"/>
      <c r="F169" s="116"/>
      <c r="G169" s="116"/>
      <c r="H169" s="109"/>
      <c r="I169" s="109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</row>
    <row r="170" ht="15.75" customHeight="1">
      <c r="A170" s="116"/>
      <c r="B170" s="116"/>
      <c r="C170" s="116"/>
      <c r="D170" s="116"/>
      <c r="E170" s="116"/>
      <c r="F170" s="116"/>
      <c r="G170" s="116"/>
      <c r="H170" s="109"/>
      <c r="I170" s="109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</row>
    <row r="171" ht="15.75" customHeight="1">
      <c r="A171" s="116"/>
      <c r="B171" s="116"/>
      <c r="C171" s="116"/>
      <c r="D171" s="116"/>
      <c r="E171" s="116"/>
      <c r="F171" s="116"/>
      <c r="G171" s="116"/>
      <c r="H171" s="109"/>
      <c r="I171" s="109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</row>
    <row r="172" ht="15.75" customHeight="1">
      <c r="A172" s="116"/>
      <c r="B172" s="116"/>
      <c r="C172" s="116"/>
      <c r="D172" s="116"/>
      <c r="E172" s="116"/>
      <c r="F172" s="116"/>
      <c r="G172" s="116"/>
      <c r="H172" s="109"/>
      <c r="I172" s="109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</row>
    <row r="173" ht="15.75" customHeight="1">
      <c r="A173" s="116"/>
      <c r="B173" s="116"/>
      <c r="C173" s="116"/>
      <c r="D173" s="116"/>
      <c r="E173" s="116"/>
      <c r="F173" s="116"/>
      <c r="G173" s="116"/>
      <c r="H173" s="109"/>
      <c r="I173" s="109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</row>
    <row r="174" ht="15.75" customHeight="1">
      <c r="A174" s="116"/>
      <c r="B174" s="116"/>
      <c r="C174" s="116"/>
      <c r="D174" s="116"/>
      <c r="E174" s="116"/>
      <c r="F174" s="116"/>
      <c r="G174" s="116"/>
      <c r="H174" s="109"/>
      <c r="I174" s="109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</row>
    <row r="175" ht="15.75" customHeight="1">
      <c r="A175" s="116"/>
      <c r="B175" s="116"/>
      <c r="C175" s="116"/>
      <c r="D175" s="116"/>
      <c r="E175" s="116"/>
      <c r="F175" s="116"/>
      <c r="G175" s="116"/>
      <c r="H175" s="109"/>
      <c r="I175" s="109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</row>
    <row r="176" ht="15.75" customHeight="1">
      <c r="A176" s="116"/>
      <c r="B176" s="116"/>
      <c r="C176" s="116"/>
      <c r="D176" s="116"/>
      <c r="E176" s="116"/>
      <c r="F176" s="116"/>
      <c r="G176" s="116"/>
      <c r="H176" s="109"/>
      <c r="I176" s="109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</row>
    <row r="177" ht="15.75" customHeight="1">
      <c r="A177" s="116"/>
      <c r="B177" s="116"/>
      <c r="C177" s="116"/>
      <c r="D177" s="116"/>
      <c r="E177" s="116"/>
      <c r="F177" s="116"/>
      <c r="G177" s="116"/>
      <c r="H177" s="109"/>
      <c r="I177" s="109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</row>
    <row r="178" ht="15.75" customHeight="1">
      <c r="A178" s="116"/>
      <c r="B178" s="116"/>
      <c r="C178" s="116"/>
      <c r="D178" s="116"/>
      <c r="E178" s="116"/>
      <c r="F178" s="116"/>
      <c r="G178" s="116"/>
      <c r="H178" s="109"/>
      <c r="I178" s="109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</row>
    <row r="179" ht="15.75" customHeight="1">
      <c r="A179" s="116"/>
      <c r="B179" s="116"/>
      <c r="C179" s="116"/>
      <c r="D179" s="116"/>
      <c r="E179" s="116"/>
      <c r="F179" s="116"/>
      <c r="G179" s="116"/>
      <c r="H179" s="109"/>
      <c r="I179" s="109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</row>
    <row r="180" ht="15.75" customHeight="1">
      <c r="A180" s="116"/>
      <c r="B180" s="116"/>
      <c r="C180" s="116"/>
      <c r="D180" s="116"/>
      <c r="E180" s="116"/>
      <c r="F180" s="116"/>
      <c r="G180" s="116"/>
      <c r="H180" s="109"/>
      <c r="I180" s="109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</row>
    <row r="181" ht="15.75" customHeight="1">
      <c r="A181" s="116"/>
      <c r="B181" s="116"/>
      <c r="C181" s="116"/>
      <c r="D181" s="116"/>
      <c r="E181" s="116"/>
      <c r="F181" s="116"/>
      <c r="G181" s="116"/>
      <c r="H181" s="109"/>
      <c r="I181" s="109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</row>
    <row r="182" ht="15.75" customHeight="1">
      <c r="A182" s="116"/>
      <c r="B182" s="116"/>
      <c r="C182" s="116"/>
      <c r="D182" s="116"/>
      <c r="E182" s="116"/>
      <c r="F182" s="116"/>
      <c r="G182" s="116"/>
      <c r="H182" s="109"/>
      <c r="I182" s="109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</row>
    <row r="183" ht="15.75" customHeight="1">
      <c r="A183" s="116"/>
      <c r="B183" s="116"/>
      <c r="C183" s="116"/>
      <c r="D183" s="116"/>
      <c r="E183" s="116"/>
      <c r="F183" s="116"/>
      <c r="G183" s="116"/>
      <c r="H183" s="109"/>
      <c r="I183" s="109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</row>
    <row r="184" ht="15.75" customHeight="1">
      <c r="A184" s="116"/>
      <c r="B184" s="116"/>
      <c r="C184" s="116"/>
      <c r="D184" s="116"/>
      <c r="E184" s="116"/>
      <c r="F184" s="116"/>
      <c r="G184" s="116"/>
      <c r="H184" s="109"/>
      <c r="I184" s="109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</row>
    <row r="185" ht="15.75" customHeight="1">
      <c r="A185" s="116"/>
      <c r="B185" s="116"/>
      <c r="C185" s="116"/>
      <c r="D185" s="116"/>
      <c r="E185" s="116"/>
      <c r="F185" s="116"/>
      <c r="G185" s="116"/>
      <c r="H185" s="109"/>
      <c r="I185" s="109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</row>
    <row r="186" ht="15.75" customHeight="1">
      <c r="A186" s="116"/>
      <c r="B186" s="116"/>
      <c r="C186" s="116"/>
      <c r="D186" s="116"/>
      <c r="E186" s="116"/>
      <c r="F186" s="116"/>
      <c r="G186" s="116"/>
      <c r="H186" s="109"/>
      <c r="I186" s="109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</row>
    <row r="187" ht="15.75" customHeight="1">
      <c r="A187" s="116"/>
      <c r="B187" s="116"/>
      <c r="C187" s="116"/>
      <c r="D187" s="116"/>
      <c r="E187" s="116"/>
      <c r="F187" s="116"/>
      <c r="G187" s="116"/>
      <c r="H187" s="109"/>
      <c r="I187" s="109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</row>
    <row r="188" ht="15.75" customHeight="1">
      <c r="A188" s="116"/>
      <c r="B188" s="116"/>
      <c r="C188" s="116"/>
      <c r="D188" s="116"/>
      <c r="E188" s="116"/>
      <c r="F188" s="116"/>
      <c r="G188" s="116"/>
      <c r="H188" s="109"/>
      <c r="I188" s="109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</row>
    <row r="189" ht="15.75" customHeight="1">
      <c r="A189" s="116"/>
      <c r="B189" s="116"/>
      <c r="C189" s="116"/>
      <c r="D189" s="116"/>
      <c r="E189" s="116"/>
      <c r="F189" s="116"/>
      <c r="G189" s="116"/>
      <c r="H189" s="109"/>
      <c r="I189" s="109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</row>
    <row r="190" ht="15.75" customHeight="1">
      <c r="A190" s="116"/>
      <c r="B190" s="116"/>
      <c r="C190" s="116"/>
      <c r="D190" s="116"/>
      <c r="E190" s="116"/>
      <c r="F190" s="116"/>
      <c r="G190" s="116"/>
      <c r="H190" s="109"/>
      <c r="I190" s="109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</row>
    <row r="191" ht="15.75" customHeight="1">
      <c r="A191" s="116"/>
      <c r="B191" s="116"/>
      <c r="C191" s="116"/>
      <c r="D191" s="116"/>
      <c r="E191" s="116"/>
      <c r="F191" s="116"/>
      <c r="G191" s="116"/>
      <c r="H191" s="109"/>
      <c r="I191" s="109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</row>
    <row r="192" ht="15.75" customHeight="1">
      <c r="A192" s="116"/>
      <c r="B192" s="116"/>
      <c r="C192" s="116"/>
      <c r="D192" s="116"/>
      <c r="E192" s="116"/>
      <c r="F192" s="116"/>
      <c r="G192" s="116"/>
      <c r="H192" s="109"/>
      <c r="I192" s="109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</row>
    <row r="193" ht="15.75" customHeight="1">
      <c r="A193" s="116"/>
      <c r="B193" s="116"/>
      <c r="C193" s="116"/>
      <c r="D193" s="116"/>
      <c r="E193" s="116"/>
      <c r="F193" s="116"/>
      <c r="G193" s="116"/>
      <c r="H193" s="109"/>
      <c r="I193" s="109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</row>
    <row r="194" ht="15.75" customHeight="1">
      <c r="A194" s="116"/>
      <c r="B194" s="116"/>
      <c r="C194" s="116"/>
      <c r="D194" s="116"/>
      <c r="E194" s="116"/>
      <c r="F194" s="116"/>
      <c r="G194" s="116"/>
      <c r="H194" s="109"/>
      <c r="I194" s="109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</row>
    <row r="195" ht="15.75" customHeight="1">
      <c r="A195" s="116"/>
      <c r="B195" s="116"/>
      <c r="C195" s="116"/>
      <c r="D195" s="116"/>
      <c r="E195" s="116"/>
      <c r="F195" s="116"/>
      <c r="G195" s="116"/>
      <c r="H195" s="109"/>
      <c r="I195" s="109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</row>
    <row r="196" ht="15.75" customHeight="1">
      <c r="A196" s="116"/>
      <c r="B196" s="116"/>
      <c r="C196" s="116"/>
      <c r="D196" s="116"/>
      <c r="E196" s="116"/>
      <c r="F196" s="116"/>
      <c r="G196" s="116"/>
      <c r="H196" s="109"/>
      <c r="I196" s="109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</row>
    <row r="197" ht="15.75" customHeight="1">
      <c r="A197" s="116"/>
      <c r="B197" s="116"/>
      <c r="C197" s="116"/>
      <c r="D197" s="116"/>
      <c r="E197" s="116"/>
      <c r="F197" s="116"/>
      <c r="G197" s="116"/>
      <c r="H197" s="109"/>
      <c r="I197" s="109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</row>
    <row r="198" ht="15.75" customHeight="1">
      <c r="A198" s="116"/>
      <c r="B198" s="116"/>
      <c r="C198" s="116"/>
      <c r="D198" s="116"/>
      <c r="E198" s="116"/>
      <c r="F198" s="116"/>
      <c r="G198" s="116"/>
      <c r="H198" s="109"/>
      <c r="I198" s="109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</row>
    <row r="199" ht="15.75" customHeight="1">
      <c r="A199" s="116"/>
      <c r="B199" s="116"/>
      <c r="C199" s="116"/>
      <c r="D199" s="116"/>
      <c r="E199" s="116"/>
      <c r="F199" s="116"/>
      <c r="G199" s="116"/>
      <c r="H199" s="109"/>
      <c r="I199" s="109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</row>
    <row r="200" ht="15.75" customHeight="1">
      <c r="A200" s="116"/>
      <c r="B200" s="116"/>
      <c r="C200" s="116"/>
      <c r="D200" s="116"/>
      <c r="E200" s="116"/>
      <c r="F200" s="116"/>
      <c r="G200" s="116"/>
      <c r="H200" s="109"/>
      <c r="I200" s="109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</row>
    <row r="201" ht="15.75" customHeight="1">
      <c r="A201" s="116"/>
      <c r="B201" s="116"/>
      <c r="C201" s="116"/>
      <c r="D201" s="116"/>
      <c r="E201" s="116"/>
      <c r="F201" s="116"/>
      <c r="G201" s="116"/>
      <c r="H201" s="109"/>
      <c r="I201" s="109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</row>
    <row r="202" ht="15.75" customHeight="1">
      <c r="A202" s="116"/>
      <c r="B202" s="116"/>
      <c r="C202" s="116"/>
      <c r="D202" s="116"/>
      <c r="E202" s="116"/>
      <c r="F202" s="116"/>
      <c r="G202" s="116"/>
      <c r="H202" s="109"/>
      <c r="I202" s="109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</row>
    <row r="203" ht="15.75" customHeight="1">
      <c r="A203" s="116"/>
      <c r="B203" s="116"/>
      <c r="C203" s="116"/>
      <c r="D203" s="116"/>
      <c r="E203" s="116"/>
      <c r="F203" s="116"/>
      <c r="G203" s="116"/>
      <c r="H203" s="109"/>
      <c r="I203" s="109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</row>
    <row r="204" ht="15.75" customHeight="1">
      <c r="A204" s="116"/>
      <c r="B204" s="116"/>
      <c r="C204" s="116"/>
      <c r="D204" s="116"/>
      <c r="E204" s="116"/>
      <c r="F204" s="116"/>
      <c r="G204" s="116"/>
      <c r="H204" s="109"/>
      <c r="I204" s="109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</row>
    <row r="205" ht="15.75" customHeight="1">
      <c r="A205" s="116"/>
      <c r="B205" s="116"/>
      <c r="C205" s="116"/>
      <c r="D205" s="116"/>
      <c r="E205" s="116"/>
      <c r="F205" s="116"/>
      <c r="G205" s="116"/>
      <c r="H205" s="109"/>
      <c r="I205" s="109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</row>
    <row r="206" ht="15.75" customHeight="1">
      <c r="A206" s="116"/>
      <c r="B206" s="116"/>
      <c r="C206" s="116"/>
      <c r="D206" s="116"/>
      <c r="E206" s="116"/>
      <c r="F206" s="116"/>
      <c r="G206" s="116"/>
      <c r="H206" s="109"/>
      <c r="I206" s="109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</row>
    <row r="207" ht="15.75" customHeight="1">
      <c r="A207" s="116"/>
      <c r="B207" s="116"/>
      <c r="C207" s="116"/>
      <c r="D207" s="116"/>
      <c r="E207" s="116"/>
      <c r="F207" s="116"/>
      <c r="G207" s="116"/>
      <c r="H207" s="109"/>
      <c r="I207" s="109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</row>
    <row r="208" ht="15.75" customHeight="1">
      <c r="A208" s="116"/>
      <c r="B208" s="116"/>
      <c r="C208" s="116"/>
      <c r="D208" s="116"/>
      <c r="E208" s="116"/>
      <c r="F208" s="116"/>
      <c r="G208" s="116"/>
      <c r="H208" s="109"/>
      <c r="I208" s="109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</row>
    <row r="209" ht="15.75" customHeight="1">
      <c r="A209" s="116"/>
      <c r="B209" s="116"/>
      <c r="C209" s="116"/>
      <c r="D209" s="116"/>
      <c r="E209" s="116"/>
      <c r="F209" s="116"/>
      <c r="G209" s="116"/>
      <c r="H209" s="109"/>
      <c r="I209" s="109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</row>
    <row r="210" ht="15.75" customHeight="1">
      <c r="A210" s="116"/>
      <c r="B210" s="116"/>
      <c r="C210" s="116"/>
      <c r="D210" s="116"/>
      <c r="E210" s="116"/>
      <c r="F210" s="116"/>
      <c r="G210" s="116"/>
      <c r="H210" s="109"/>
      <c r="I210" s="109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</row>
    <row r="211" ht="15.75" customHeight="1">
      <c r="A211" s="116"/>
      <c r="B211" s="116"/>
      <c r="C211" s="116"/>
      <c r="D211" s="116"/>
      <c r="E211" s="116"/>
      <c r="F211" s="116"/>
      <c r="G211" s="116"/>
      <c r="H211" s="109"/>
      <c r="I211" s="109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</row>
    <row r="212" ht="15.75" customHeight="1">
      <c r="A212" s="116"/>
      <c r="B212" s="116"/>
      <c r="C212" s="116"/>
      <c r="D212" s="116"/>
      <c r="E212" s="116"/>
      <c r="F212" s="116"/>
      <c r="G212" s="116"/>
      <c r="H212" s="109"/>
      <c r="I212" s="109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</row>
    <row r="213" ht="15.75" customHeight="1">
      <c r="A213" s="116"/>
      <c r="B213" s="116"/>
      <c r="C213" s="116"/>
      <c r="D213" s="116"/>
      <c r="E213" s="116"/>
      <c r="F213" s="116"/>
      <c r="G213" s="116"/>
      <c r="H213" s="109"/>
      <c r="I213" s="109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</row>
    <row r="214" ht="15.75" customHeight="1">
      <c r="A214" s="116"/>
      <c r="B214" s="116"/>
      <c r="C214" s="116"/>
      <c r="D214" s="116"/>
      <c r="E214" s="116"/>
      <c r="F214" s="116"/>
      <c r="G214" s="116"/>
      <c r="H214" s="109"/>
      <c r="I214" s="109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</row>
    <row r="215" ht="15.75" customHeight="1">
      <c r="A215" s="116"/>
      <c r="B215" s="116"/>
      <c r="C215" s="116"/>
      <c r="D215" s="116"/>
      <c r="E215" s="116"/>
      <c r="F215" s="116"/>
      <c r="G215" s="116"/>
      <c r="H215" s="109"/>
      <c r="I215" s="109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</row>
    <row r="216" ht="15.75" customHeight="1">
      <c r="A216" s="116"/>
      <c r="B216" s="116"/>
      <c r="C216" s="116"/>
      <c r="D216" s="116"/>
      <c r="E216" s="116"/>
      <c r="F216" s="116"/>
      <c r="G216" s="116"/>
      <c r="H216" s="109"/>
      <c r="I216" s="109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</row>
    <row r="217" ht="15.75" customHeight="1">
      <c r="A217" s="116"/>
      <c r="B217" s="116"/>
      <c r="C217" s="116"/>
      <c r="D217" s="116"/>
      <c r="E217" s="116"/>
      <c r="F217" s="116"/>
      <c r="G217" s="116"/>
      <c r="H217" s="109"/>
      <c r="I217" s="109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</row>
    <row r="218" ht="15.75" customHeight="1">
      <c r="A218" s="116"/>
      <c r="B218" s="116"/>
      <c r="C218" s="116"/>
      <c r="D218" s="116"/>
      <c r="E218" s="116"/>
      <c r="F218" s="116"/>
      <c r="G218" s="116"/>
      <c r="H218" s="109"/>
      <c r="I218" s="109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</row>
    <row r="219" ht="15.75" customHeight="1">
      <c r="A219" s="116"/>
      <c r="B219" s="116"/>
      <c r="C219" s="116"/>
      <c r="D219" s="116"/>
      <c r="E219" s="116"/>
      <c r="F219" s="116"/>
      <c r="G219" s="116"/>
      <c r="H219" s="109"/>
      <c r="I219" s="109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</row>
    <row r="220" ht="15.75" customHeight="1">
      <c r="A220" s="116"/>
      <c r="B220" s="116"/>
      <c r="C220" s="116"/>
      <c r="D220" s="116"/>
      <c r="E220" s="116"/>
      <c r="F220" s="116"/>
      <c r="G220" s="116"/>
      <c r="H220" s="109"/>
      <c r="I220" s="109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</row>
    <row r="221" ht="15.75" customHeight="1">
      <c r="A221" s="116"/>
      <c r="B221" s="116"/>
      <c r="C221" s="116"/>
      <c r="D221" s="116"/>
      <c r="E221" s="116"/>
      <c r="F221" s="116"/>
      <c r="G221" s="116"/>
      <c r="H221" s="109"/>
      <c r="I221" s="109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</row>
    <row r="222" ht="15.75" customHeight="1">
      <c r="A222" s="116"/>
      <c r="B222" s="116"/>
      <c r="C222" s="116"/>
      <c r="D222" s="116"/>
      <c r="E222" s="116"/>
      <c r="F222" s="116"/>
      <c r="G222" s="116"/>
      <c r="H222" s="109"/>
      <c r="I222" s="109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</row>
    <row r="223" ht="15.75" customHeight="1">
      <c r="A223" s="116"/>
      <c r="B223" s="116"/>
      <c r="C223" s="116"/>
      <c r="D223" s="116"/>
      <c r="E223" s="116"/>
      <c r="F223" s="116"/>
      <c r="G223" s="116"/>
      <c r="H223" s="109"/>
      <c r="I223" s="109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</row>
    <row r="224" ht="15.75" customHeight="1">
      <c r="A224" s="116"/>
      <c r="B224" s="116"/>
      <c r="C224" s="116"/>
      <c r="D224" s="116"/>
      <c r="E224" s="116"/>
      <c r="F224" s="116"/>
      <c r="G224" s="116"/>
      <c r="H224" s="109"/>
      <c r="I224" s="109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</row>
    <row r="225" ht="15.75" customHeight="1">
      <c r="A225" s="116"/>
      <c r="B225" s="116"/>
      <c r="C225" s="116"/>
      <c r="D225" s="116"/>
      <c r="E225" s="116"/>
      <c r="F225" s="116"/>
      <c r="G225" s="116"/>
      <c r="H225" s="109"/>
      <c r="I225" s="109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</row>
    <row r="226" ht="15.75" customHeight="1">
      <c r="A226" s="116"/>
      <c r="B226" s="116"/>
      <c r="C226" s="116"/>
      <c r="D226" s="116"/>
      <c r="E226" s="116"/>
      <c r="F226" s="116"/>
      <c r="G226" s="116"/>
      <c r="H226" s="109"/>
      <c r="I226" s="109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</row>
    <row r="227" ht="15.75" customHeight="1">
      <c r="A227" s="116"/>
      <c r="B227" s="116"/>
      <c r="C227" s="116"/>
      <c r="D227" s="116"/>
      <c r="E227" s="116"/>
      <c r="F227" s="116"/>
      <c r="G227" s="116"/>
      <c r="H227" s="109"/>
      <c r="I227" s="109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</row>
    <row r="228" ht="15.75" customHeight="1">
      <c r="A228" s="109"/>
      <c r="B228" s="109"/>
      <c r="C228" s="109"/>
      <c r="D228" s="109"/>
      <c r="E228" s="109"/>
      <c r="F228" s="109"/>
      <c r="G228" s="109"/>
      <c r="H228" s="109"/>
      <c r="I228" s="109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</row>
    <row r="229" ht="15.75" customHeight="1">
      <c r="A229" s="109"/>
      <c r="B229" s="109"/>
      <c r="C229" s="109"/>
      <c r="D229" s="109"/>
      <c r="E229" s="109"/>
      <c r="F229" s="109"/>
      <c r="G229" s="109"/>
      <c r="H229" s="109"/>
      <c r="I229" s="109"/>
      <c r="J229" s="109"/>
      <c r="K229" s="109"/>
      <c r="L229" s="109"/>
      <c r="M229" s="109"/>
      <c r="N229" s="109"/>
      <c r="O229" s="109"/>
      <c r="P229" s="109"/>
      <c r="Q229" s="109"/>
      <c r="R229" s="109"/>
      <c r="S229" s="109"/>
      <c r="T229" s="109"/>
      <c r="U229" s="109"/>
      <c r="V229" s="109"/>
      <c r="W229" s="109"/>
      <c r="X229" s="109"/>
      <c r="Y229" s="109"/>
      <c r="Z229" s="109"/>
    </row>
    <row r="230" ht="15.75" customHeight="1">
      <c r="A230" s="109"/>
      <c r="B230" s="109"/>
      <c r="C230" s="109"/>
      <c r="D230" s="109"/>
      <c r="E230" s="109"/>
      <c r="F230" s="109"/>
      <c r="G230" s="109"/>
      <c r="H230" s="109"/>
      <c r="I230" s="109"/>
      <c r="J230" s="109"/>
      <c r="K230" s="109"/>
      <c r="L230" s="109"/>
      <c r="M230" s="109"/>
      <c r="N230" s="109"/>
      <c r="O230" s="109"/>
      <c r="P230" s="109"/>
      <c r="Q230" s="109"/>
      <c r="R230" s="109"/>
      <c r="S230" s="109"/>
      <c r="T230" s="109"/>
      <c r="U230" s="109"/>
      <c r="V230" s="109"/>
      <c r="W230" s="109"/>
      <c r="X230" s="109"/>
      <c r="Y230" s="109"/>
      <c r="Z230" s="109"/>
    </row>
    <row r="231" ht="15.75" customHeight="1">
      <c r="A231" s="109"/>
      <c r="B231" s="109"/>
      <c r="C231" s="109"/>
      <c r="D231" s="109"/>
      <c r="E231" s="109"/>
      <c r="F231" s="109"/>
      <c r="G231" s="109"/>
      <c r="H231" s="109"/>
      <c r="I231" s="109"/>
      <c r="J231" s="109"/>
      <c r="K231" s="109"/>
      <c r="L231" s="109"/>
      <c r="M231" s="109"/>
      <c r="N231" s="109"/>
      <c r="O231" s="109"/>
      <c r="P231" s="109"/>
      <c r="Q231" s="109"/>
      <c r="R231" s="109"/>
      <c r="S231" s="109"/>
      <c r="T231" s="109"/>
      <c r="U231" s="109"/>
      <c r="V231" s="109"/>
      <c r="W231" s="109"/>
      <c r="X231" s="109"/>
      <c r="Y231" s="109"/>
      <c r="Z231" s="109"/>
    </row>
    <row r="232" ht="15.75" customHeight="1">
      <c r="A232" s="109"/>
      <c r="B232" s="109"/>
      <c r="C232" s="109"/>
      <c r="D232" s="109"/>
      <c r="E232" s="109"/>
      <c r="F232" s="109"/>
      <c r="G232" s="109"/>
      <c r="H232" s="109"/>
      <c r="I232" s="109"/>
      <c r="J232" s="109"/>
      <c r="K232" s="109"/>
      <c r="L232" s="109"/>
      <c r="M232" s="109"/>
      <c r="N232" s="109"/>
      <c r="O232" s="109"/>
      <c r="P232" s="109"/>
      <c r="Q232" s="109"/>
      <c r="R232" s="109"/>
      <c r="S232" s="109"/>
      <c r="T232" s="109"/>
      <c r="U232" s="109"/>
      <c r="V232" s="109"/>
      <c r="W232" s="109"/>
      <c r="X232" s="109"/>
      <c r="Y232" s="109"/>
      <c r="Z232" s="109"/>
    </row>
    <row r="233" ht="15.75" customHeight="1">
      <c r="A233" s="109"/>
      <c r="B233" s="109"/>
      <c r="C233" s="109"/>
      <c r="D233" s="109"/>
      <c r="E233" s="109"/>
      <c r="F233" s="109"/>
      <c r="G233" s="109"/>
      <c r="H233" s="109"/>
      <c r="I233" s="109"/>
      <c r="J233" s="109"/>
      <c r="K233" s="109"/>
      <c r="L233" s="109"/>
      <c r="M233" s="109"/>
      <c r="N233" s="109"/>
      <c r="O233" s="109"/>
      <c r="P233" s="109"/>
      <c r="Q233" s="109"/>
      <c r="R233" s="109"/>
      <c r="S233" s="109"/>
      <c r="T233" s="109"/>
      <c r="U233" s="109"/>
      <c r="V233" s="109"/>
      <c r="W233" s="109"/>
      <c r="X233" s="109"/>
      <c r="Y233" s="109"/>
      <c r="Z233" s="109"/>
    </row>
    <row r="234" ht="15.75" customHeight="1">
      <c r="A234" s="109"/>
      <c r="B234" s="109"/>
      <c r="C234" s="109"/>
      <c r="D234" s="109"/>
      <c r="E234" s="109"/>
      <c r="F234" s="109"/>
      <c r="G234" s="109"/>
      <c r="H234" s="109"/>
      <c r="I234" s="109"/>
      <c r="J234" s="109"/>
      <c r="K234" s="109"/>
      <c r="L234" s="109"/>
      <c r="M234" s="109"/>
      <c r="N234" s="109"/>
      <c r="O234" s="109"/>
      <c r="P234" s="109"/>
      <c r="Q234" s="109"/>
      <c r="R234" s="109"/>
      <c r="S234" s="109"/>
      <c r="T234" s="109"/>
      <c r="U234" s="109"/>
      <c r="V234" s="109"/>
      <c r="W234" s="109"/>
      <c r="X234" s="109"/>
      <c r="Y234" s="109"/>
      <c r="Z234" s="109"/>
    </row>
    <row r="235" ht="15.75" customHeight="1">
      <c r="A235" s="109"/>
      <c r="B235" s="109"/>
      <c r="C235" s="109"/>
      <c r="D235" s="109"/>
      <c r="E235" s="109"/>
      <c r="F235" s="109"/>
      <c r="G235" s="109"/>
      <c r="H235" s="109"/>
      <c r="I235" s="109"/>
      <c r="J235" s="109"/>
      <c r="K235" s="109"/>
      <c r="L235" s="109"/>
      <c r="M235" s="109"/>
      <c r="N235" s="109"/>
      <c r="O235" s="109"/>
      <c r="P235" s="109"/>
      <c r="Q235" s="109"/>
      <c r="R235" s="109"/>
      <c r="S235" s="109"/>
      <c r="T235" s="109"/>
      <c r="U235" s="109"/>
      <c r="V235" s="109"/>
      <c r="W235" s="109"/>
      <c r="X235" s="109"/>
      <c r="Y235" s="109"/>
      <c r="Z235" s="109"/>
    </row>
    <row r="236" ht="15.75" customHeight="1">
      <c r="A236" s="109"/>
      <c r="B236" s="109"/>
      <c r="C236" s="109"/>
      <c r="D236" s="109"/>
      <c r="E236" s="109"/>
      <c r="F236" s="109"/>
      <c r="G236" s="109"/>
      <c r="H236" s="109"/>
      <c r="I236" s="109"/>
      <c r="J236" s="109"/>
      <c r="K236" s="109"/>
      <c r="L236" s="109"/>
      <c r="M236" s="109"/>
      <c r="N236" s="109"/>
      <c r="O236" s="109"/>
      <c r="P236" s="109"/>
      <c r="Q236" s="109"/>
      <c r="R236" s="109"/>
      <c r="S236" s="109"/>
      <c r="T236" s="109"/>
      <c r="U236" s="109"/>
      <c r="V236" s="109"/>
      <c r="W236" s="109"/>
      <c r="X236" s="109"/>
      <c r="Y236" s="109"/>
      <c r="Z236" s="109"/>
    </row>
    <row r="237" ht="15.75" customHeight="1">
      <c r="A237" s="109"/>
      <c r="B237" s="109"/>
      <c r="C237" s="109"/>
      <c r="D237" s="109"/>
      <c r="E237" s="109"/>
      <c r="F237" s="109"/>
      <c r="G237" s="109"/>
      <c r="H237" s="109"/>
      <c r="I237" s="109"/>
      <c r="J237" s="109"/>
      <c r="K237" s="109"/>
      <c r="L237" s="109"/>
      <c r="M237" s="109"/>
      <c r="N237" s="109"/>
      <c r="O237" s="109"/>
      <c r="P237" s="109"/>
      <c r="Q237" s="109"/>
      <c r="R237" s="109"/>
      <c r="S237" s="109"/>
      <c r="T237" s="109"/>
      <c r="U237" s="109"/>
      <c r="V237" s="109"/>
      <c r="W237" s="109"/>
      <c r="X237" s="109"/>
      <c r="Y237" s="109"/>
      <c r="Z237" s="109"/>
    </row>
    <row r="238" ht="15.75" customHeight="1">
      <c r="A238" s="109"/>
      <c r="B238" s="109"/>
      <c r="C238" s="109"/>
      <c r="D238" s="109"/>
      <c r="E238" s="109"/>
      <c r="F238" s="109"/>
      <c r="G238" s="109"/>
      <c r="H238" s="109"/>
      <c r="I238" s="109"/>
      <c r="J238" s="109"/>
      <c r="K238" s="109"/>
      <c r="L238" s="109"/>
      <c r="M238" s="109"/>
      <c r="N238" s="109"/>
      <c r="O238" s="109"/>
      <c r="P238" s="109"/>
      <c r="Q238" s="109"/>
      <c r="R238" s="109"/>
      <c r="S238" s="109"/>
      <c r="T238" s="109"/>
      <c r="U238" s="109"/>
      <c r="V238" s="109"/>
      <c r="W238" s="109"/>
      <c r="X238" s="109"/>
      <c r="Y238" s="109"/>
      <c r="Z238" s="109"/>
    </row>
    <row r="239" ht="15.75" customHeight="1">
      <c r="A239" s="109"/>
      <c r="B239" s="109"/>
      <c r="C239" s="109"/>
      <c r="D239" s="109"/>
      <c r="E239" s="109"/>
      <c r="F239" s="109"/>
      <c r="G239" s="109"/>
      <c r="H239" s="109"/>
      <c r="I239" s="109"/>
      <c r="J239" s="109"/>
      <c r="K239" s="109"/>
      <c r="L239" s="109"/>
      <c r="M239" s="109"/>
      <c r="N239" s="109"/>
      <c r="O239" s="109"/>
      <c r="P239" s="109"/>
      <c r="Q239" s="109"/>
      <c r="R239" s="109"/>
      <c r="S239" s="109"/>
      <c r="T239" s="109"/>
      <c r="U239" s="109"/>
      <c r="V239" s="109"/>
      <c r="W239" s="109"/>
      <c r="X239" s="109"/>
      <c r="Y239" s="109"/>
      <c r="Z239" s="109"/>
    </row>
    <row r="240" ht="15.75" customHeight="1">
      <c r="A240" s="109"/>
      <c r="B240" s="109"/>
      <c r="C240" s="109"/>
      <c r="D240" s="109"/>
      <c r="E240" s="109"/>
      <c r="F240" s="109"/>
      <c r="G240" s="109"/>
      <c r="H240" s="109"/>
      <c r="I240" s="109"/>
      <c r="J240" s="109"/>
      <c r="K240" s="109"/>
      <c r="L240" s="109"/>
      <c r="M240" s="109"/>
      <c r="N240" s="109"/>
      <c r="O240" s="109"/>
      <c r="P240" s="109"/>
      <c r="Q240" s="109"/>
      <c r="R240" s="109"/>
      <c r="S240" s="109"/>
      <c r="T240" s="109"/>
      <c r="U240" s="109"/>
      <c r="V240" s="109"/>
      <c r="W240" s="109"/>
      <c r="X240" s="109"/>
      <c r="Y240" s="109"/>
      <c r="Z240" s="109"/>
    </row>
    <row r="241" ht="15.75" customHeight="1">
      <c r="A241" s="109"/>
      <c r="B241" s="109"/>
      <c r="C241" s="109"/>
      <c r="D241" s="109"/>
      <c r="E241" s="109"/>
      <c r="F241" s="109"/>
      <c r="G241" s="109"/>
      <c r="H241" s="109"/>
      <c r="I241" s="109"/>
      <c r="J241" s="109"/>
      <c r="K241" s="109"/>
      <c r="L241" s="109"/>
      <c r="M241" s="109"/>
      <c r="N241" s="109"/>
      <c r="O241" s="109"/>
      <c r="P241" s="109"/>
      <c r="Q241" s="109"/>
      <c r="R241" s="109"/>
      <c r="S241" s="109"/>
      <c r="T241" s="109"/>
      <c r="U241" s="109"/>
      <c r="V241" s="109"/>
      <c r="W241" s="109"/>
      <c r="X241" s="109"/>
      <c r="Y241" s="109"/>
      <c r="Z241" s="109"/>
    </row>
    <row r="242" ht="15.75" customHeight="1">
      <c r="A242" s="109"/>
      <c r="B242" s="109"/>
      <c r="C242" s="109"/>
      <c r="D242" s="109"/>
      <c r="E242" s="109"/>
      <c r="F242" s="109"/>
      <c r="G242" s="109"/>
      <c r="H242" s="109"/>
      <c r="I242" s="109"/>
      <c r="J242" s="109"/>
      <c r="K242" s="109"/>
      <c r="L242" s="109"/>
      <c r="M242" s="109"/>
      <c r="N242" s="109"/>
      <c r="O242" s="109"/>
      <c r="P242" s="109"/>
      <c r="Q242" s="109"/>
      <c r="R242" s="109"/>
      <c r="S242" s="109"/>
      <c r="T242" s="109"/>
      <c r="U242" s="109"/>
      <c r="V242" s="109"/>
      <c r="W242" s="109"/>
      <c r="X242" s="109"/>
      <c r="Y242" s="109"/>
      <c r="Z242" s="109"/>
    </row>
    <row r="243" ht="15.75" customHeight="1">
      <c r="A243" s="109"/>
      <c r="B243" s="109"/>
      <c r="C243" s="109"/>
      <c r="D243" s="109"/>
      <c r="E243" s="109"/>
      <c r="F243" s="109"/>
      <c r="G243" s="109"/>
      <c r="H243" s="109"/>
      <c r="I243" s="109"/>
      <c r="J243" s="109"/>
      <c r="K243" s="109"/>
      <c r="L243" s="109"/>
      <c r="M243" s="109"/>
      <c r="N243" s="109"/>
      <c r="O243" s="109"/>
      <c r="P243" s="109"/>
      <c r="Q243" s="109"/>
      <c r="R243" s="109"/>
      <c r="S243" s="109"/>
      <c r="T243" s="109"/>
      <c r="U243" s="109"/>
      <c r="V243" s="109"/>
      <c r="W243" s="109"/>
      <c r="X243" s="109"/>
      <c r="Y243" s="109"/>
      <c r="Z243" s="109"/>
    </row>
    <row r="244" ht="15.75" customHeight="1">
      <c r="A244" s="109"/>
      <c r="B244" s="109"/>
      <c r="C244" s="109"/>
      <c r="D244" s="109"/>
      <c r="E244" s="109"/>
      <c r="F244" s="109"/>
      <c r="G244" s="109"/>
      <c r="H244" s="109"/>
      <c r="I244" s="109"/>
      <c r="J244" s="109"/>
      <c r="K244" s="109"/>
      <c r="L244" s="109"/>
      <c r="M244" s="109"/>
      <c r="N244" s="109"/>
      <c r="O244" s="109"/>
      <c r="P244" s="109"/>
      <c r="Q244" s="109"/>
      <c r="R244" s="109"/>
      <c r="S244" s="109"/>
      <c r="T244" s="109"/>
      <c r="U244" s="109"/>
      <c r="V244" s="109"/>
      <c r="W244" s="109"/>
      <c r="X244" s="109"/>
      <c r="Y244" s="109"/>
      <c r="Z244" s="109"/>
    </row>
    <row r="245" ht="15.75" customHeight="1">
      <c r="A245" s="109"/>
      <c r="B245" s="109"/>
      <c r="C245" s="109"/>
      <c r="D245" s="109"/>
      <c r="E245" s="109"/>
      <c r="F245" s="109"/>
      <c r="G245" s="109"/>
      <c r="H245" s="109"/>
      <c r="I245" s="109"/>
      <c r="J245" s="109"/>
      <c r="K245" s="109"/>
      <c r="L245" s="109"/>
      <c r="M245" s="109"/>
      <c r="N245" s="109"/>
      <c r="O245" s="109"/>
      <c r="P245" s="109"/>
      <c r="Q245" s="109"/>
      <c r="R245" s="109"/>
      <c r="S245" s="109"/>
      <c r="T245" s="109"/>
      <c r="U245" s="109"/>
      <c r="V245" s="109"/>
      <c r="W245" s="109"/>
      <c r="X245" s="109"/>
      <c r="Y245" s="109"/>
      <c r="Z245" s="109"/>
    </row>
    <row r="246" ht="15.75" customHeight="1">
      <c r="A246" s="109"/>
      <c r="B246" s="109"/>
      <c r="C246" s="109"/>
      <c r="D246" s="109"/>
      <c r="E246" s="109"/>
      <c r="F246" s="109"/>
      <c r="G246" s="109"/>
      <c r="H246" s="109"/>
      <c r="I246" s="109"/>
      <c r="J246" s="109"/>
      <c r="K246" s="109"/>
      <c r="L246" s="109"/>
      <c r="M246" s="109"/>
      <c r="N246" s="109"/>
      <c r="O246" s="109"/>
      <c r="P246" s="109"/>
      <c r="Q246" s="109"/>
      <c r="R246" s="109"/>
      <c r="S246" s="109"/>
      <c r="T246" s="109"/>
      <c r="U246" s="109"/>
      <c r="V246" s="109"/>
      <c r="W246" s="109"/>
      <c r="X246" s="109"/>
      <c r="Y246" s="109"/>
      <c r="Z246" s="109"/>
    </row>
    <row r="247" ht="15.75" customHeight="1">
      <c r="A247" s="109"/>
      <c r="B247" s="109"/>
      <c r="C247" s="109"/>
      <c r="D247" s="109"/>
      <c r="E247" s="109"/>
      <c r="F247" s="109"/>
      <c r="G247" s="109"/>
      <c r="H247" s="109"/>
      <c r="I247" s="109"/>
      <c r="J247" s="109"/>
      <c r="K247" s="109"/>
      <c r="L247" s="109"/>
      <c r="M247" s="109"/>
      <c r="N247" s="109"/>
      <c r="O247" s="109"/>
      <c r="P247" s="109"/>
      <c r="Q247" s="109"/>
      <c r="R247" s="109"/>
      <c r="S247" s="109"/>
      <c r="T247" s="109"/>
      <c r="U247" s="109"/>
      <c r="V247" s="109"/>
      <c r="W247" s="109"/>
      <c r="X247" s="109"/>
      <c r="Y247" s="109"/>
      <c r="Z247" s="109"/>
    </row>
    <row r="248" ht="15.75" customHeight="1">
      <c r="A248" s="109"/>
      <c r="B248" s="109"/>
      <c r="C248" s="109"/>
      <c r="D248" s="109"/>
      <c r="E248" s="109"/>
      <c r="F248" s="109"/>
      <c r="G248" s="109"/>
      <c r="H248" s="109"/>
      <c r="I248" s="109"/>
      <c r="J248" s="109"/>
      <c r="K248" s="109"/>
      <c r="L248" s="109"/>
      <c r="M248" s="109"/>
      <c r="N248" s="109"/>
      <c r="O248" s="109"/>
      <c r="P248" s="109"/>
      <c r="Q248" s="109"/>
      <c r="R248" s="109"/>
      <c r="S248" s="109"/>
      <c r="T248" s="109"/>
      <c r="U248" s="109"/>
      <c r="V248" s="109"/>
      <c r="W248" s="109"/>
      <c r="X248" s="109"/>
      <c r="Y248" s="109"/>
      <c r="Z248" s="109"/>
    </row>
    <row r="249" ht="15.75" customHeight="1">
      <c r="A249" s="109"/>
      <c r="B249" s="109"/>
      <c r="C249" s="109"/>
      <c r="D249" s="109"/>
      <c r="E249" s="109"/>
      <c r="F249" s="109"/>
      <c r="G249" s="109"/>
      <c r="H249" s="109"/>
      <c r="I249" s="109"/>
      <c r="J249" s="109"/>
      <c r="K249" s="109"/>
      <c r="L249" s="109"/>
      <c r="M249" s="109"/>
      <c r="N249" s="109"/>
      <c r="O249" s="109"/>
      <c r="P249" s="109"/>
      <c r="Q249" s="109"/>
      <c r="R249" s="109"/>
      <c r="S249" s="109"/>
      <c r="T249" s="109"/>
      <c r="U249" s="109"/>
      <c r="V249" s="109"/>
      <c r="W249" s="109"/>
      <c r="X249" s="109"/>
      <c r="Y249" s="109"/>
      <c r="Z249" s="109"/>
    </row>
    <row r="250" ht="15.75" customHeight="1">
      <c r="A250" s="109"/>
      <c r="B250" s="109"/>
      <c r="C250" s="109"/>
      <c r="D250" s="109"/>
      <c r="E250" s="109"/>
      <c r="F250" s="109"/>
      <c r="G250" s="109"/>
      <c r="H250" s="109"/>
      <c r="I250" s="109"/>
      <c r="J250" s="109"/>
      <c r="K250" s="109"/>
      <c r="L250" s="109"/>
      <c r="M250" s="109"/>
      <c r="N250" s="109"/>
      <c r="O250" s="109"/>
      <c r="P250" s="109"/>
      <c r="Q250" s="109"/>
      <c r="R250" s="109"/>
      <c r="S250" s="109"/>
      <c r="T250" s="109"/>
      <c r="U250" s="109"/>
      <c r="V250" s="109"/>
      <c r="W250" s="109"/>
      <c r="X250" s="109"/>
      <c r="Y250" s="109"/>
      <c r="Z250" s="109"/>
    </row>
    <row r="251" ht="15.75" customHeight="1">
      <c r="A251" s="109"/>
      <c r="B251" s="109"/>
      <c r="C251" s="109"/>
      <c r="D251" s="109"/>
      <c r="E251" s="109"/>
      <c r="F251" s="109"/>
      <c r="G251" s="109"/>
      <c r="H251" s="109"/>
      <c r="I251" s="109"/>
      <c r="J251" s="109"/>
      <c r="K251" s="109"/>
      <c r="L251" s="109"/>
      <c r="M251" s="109"/>
      <c r="N251" s="109"/>
      <c r="O251" s="109"/>
      <c r="P251" s="109"/>
      <c r="Q251" s="109"/>
      <c r="R251" s="109"/>
      <c r="S251" s="109"/>
      <c r="T251" s="109"/>
      <c r="U251" s="109"/>
      <c r="V251" s="109"/>
      <c r="W251" s="109"/>
      <c r="X251" s="109"/>
      <c r="Y251" s="109"/>
      <c r="Z251" s="109"/>
    </row>
    <row r="252" ht="15.75" customHeight="1">
      <c r="A252" s="109"/>
      <c r="B252" s="109"/>
      <c r="C252" s="109"/>
      <c r="D252" s="109"/>
      <c r="E252" s="109"/>
      <c r="F252" s="109"/>
      <c r="G252" s="109"/>
      <c r="H252" s="109"/>
      <c r="I252" s="109"/>
      <c r="J252" s="109"/>
      <c r="K252" s="109"/>
      <c r="L252" s="109"/>
      <c r="M252" s="109"/>
      <c r="N252" s="109"/>
      <c r="O252" s="109"/>
      <c r="P252" s="109"/>
      <c r="Q252" s="109"/>
      <c r="R252" s="109"/>
      <c r="S252" s="109"/>
      <c r="T252" s="109"/>
      <c r="U252" s="109"/>
      <c r="V252" s="109"/>
      <c r="W252" s="109"/>
      <c r="X252" s="109"/>
      <c r="Y252" s="109"/>
      <c r="Z252" s="109"/>
    </row>
    <row r="253" ht="15.75" customHeight="1">
      <c r="A253" s="109"/>
      <c r="B253" s="109"/>
      <c r="C253" s="109"/>
      <c r="D253" s="109"/>
      <c r="E253" s="109"/>
      <c r="F253" s="109"/>
      <c r="G253" s="109"/>
      <c r="H253" s="109"/>
      <c r="I253" s="109"/>
      <c r="J253" s="109"/>
      <c r="K253" s="109"/>
      <c r="L253" s="109"/>
      <c r="M253" s="109"/>
      <c r="N253" s="109"/>
      <c r="O253" s="109"/>
      <c r="P253" s="109"/>
      <c r="Q253" s="109"/>
      <c r="R253" s="109"/>
      <c r="S253" s="109"/>
      <c r="T253" s="109"/>
      <c r="U253" s="109"/>
      <c r="V253" s="109"/>
      <c r="W253" s="109"/>
      <c r="X253" s="109"/>
      <c r="Y253" s="109"/>
      <c r="Z253" s="109"/>
    </row>
    <row r="254" ht="15.75" customHeight="1">
      <c r="A254" s="109"/>
      <c r="B254" s="109"/>
      <c r="C254" s="109"/>
      <c r="D254" s="109"/>
      <c r="E254" s="109"/>
      <c r="F254" s="109"/>
      <c r="G254" s="109"/>
      <c r="H254" s="109"/>
      <c r="I254" s="109"/>
      <c r="J254" s="109"/>
      <c r="K254" s="109"/>
      <c r="L254" s="109"/>
      <c r="M254" s="109"/>
      <c r="N254" s="109"/>
      <c r="O254" s="109"/>
      <c r="P254" s="109"/>
      <c r="Q254" s="109"/>
      <c r="R254" s="109"/>
      <c r="S254" s="109"/>
      <c r="T254" s="109"/>
      <c r="U254" s="109"/>
      <c r="V254" s="109"/>
      <c r="W254" s="109"/>
      <c r="X254" s="109"/>
      <c r="Y254" s="109"/>
      <c r="Z254" s="109"/>
    </row>
    <row r="255" ht="15.75" customHeight="1">
      <c r="A255" s="109"/>
      <c r="B255" s="109"/>
      <c r="C255" s="109"/>
      <c r="D255" s="109"/>
      <c r="E255" s="109"/>
      <c r="F255" s="109"/>
      <c r="G255" s="109"/>
      <c r="H255" s="109"/>
      <c r="I255" s="109"/>
      <c r="J255" s="109"/>
      <c r="K255" s="109"/>
      <c r="L255" s="109"/>
      <c r="M255" s="109"/>
      <c r="N255" s="109"/>
      <c r="O255" s="109"/>
      <c r="P255" s="109"/>
      <c r="Q255" s="109"/>
      <c r="R255" s="109"/>
      <c r="S255" s="109"/>
      <c r="T255" s="109"/>
      <c r="U255" s="109"/>
      <c r="V255" s="109"/>
      <c r="W255" s="109"/>
      <c r="X255" s="109"/>
      <c r="Y255" s="109"/>
      <c r="Z255" s="109"/>
    </row>
    <row r="256" ht="15.75" customHeight="1">
      <c r="A256" s="109"/>
      <c r="B256" s="109"/>
      <c r="C256" s="109"/>
      <c r="D256" s="109"/>
      <c r="E256" s="109"/>
      <c r="F256" s="109"/>
      <c r="G256" s="109"/>
      <c r="H256" s="109"/>
      <c r="I256" s="109"/>
      <c r="J256" s="109"/>
      <c r="K256" s="109"/>
      <c r="L256" s="109"/>
      <c r="M256" s="109"/>
      <c r="N256" s="109"/>
      <c r="O256" s="109"/>
      <c r="P256" s="109"/>
      <c r="Q256" s="109"/>
      <c r="R256" s="109"/>
      <c r="S256" s="109"/>
      <c r="T256" s="109"/>
      <c r="U256" s="109"/>
      <c r="V256" s="109"/>
      <c r="W256" s="109"/>
      <c r="X256" s="109"/>
      <c r="Y256" s="109"/>
      <c r="Z256" s="109"/>
    </row>
    <row r="257" ht="15.75" customHeight="1">
      <c r="A257" s="109"/>
      <c r="B257" s="109"/>
      <c r="C257" s="109"/>
      <c r="D257" s="109"/>
      <c r="E257" s="109"/>
      <c r="F257" s="109"/>
      <c r="G257" s="109"/>
      <c r="H257" s="109"/>
      <c r="I257" s="109"/>
      <c r="J257" s="109"/>
      <c r="K257" s="109"/>
      <c r="L257" s="109"/>
      <c r="M257" s="109"/>
      <c r="N257" s="109"/>
      <c r="O257" s="109"/>
      <c r="P257" s="109"/>
      <c r="Q257" s="109"/>
      <c r="R257" s="109"/>
      <c r="S257" s="109"/>
      <c r="T257" s="109"/>
      <c r="U257" s="109"/>
      <c r="V257" s="109"/>
      <c r="W257" s="109"/>
      <c r="X257" s="109"/>
      <c r="Y257" s="109"/>
      <c r="Z257" s="109"/>
    </row>
    <row r="258" ht="15.75" customHeight="1">
      <c r="A258" s="109"/>
      <c r="B258" s="109"/>
      <c r="C258" s="109"/>
      <c r="D258" s="109"/>
      <c r="E258" s="109"/>
      <c r="F258" s="109"/>
      <c r="G258" s="109"/>
      <c r="H258" s="109"/>
      <c r="I258" s="109"/>
      <c r="J258" s="109"/>
      <c r="K258" s="109"/>
      <c r="L258" s="109"/>
      <c r="M258" s="109"/>
      <c r="N258" s="109"/>
      <c r="O258" s="109"/>
      <c r="P258" s="109"/>
      <c r="Q258" s="109"/>
      <c r="R258" s="109"/>
      <c r="S258" s="109"/>
      <c r="T258" s="109"/>
      <c r="U258" s="109"/>
      <c r="V258" s="109"/>
      <c r="W258" s="109"/>
      <c r="X258" s="109"/>
      <c r="Y258" s="109"/>
      <c r="Z258" s="109"/>
    </row>
    <row r="259" ht="15.75" customHeight="1">
      <c r="A259" s="109"/>
      <c r="B259" s="109"/>
      <c r="C259" s="109"/>
      <c r="D259" s="109"/>
      <c r="E259" s="109"/>
      <c r="F259" s="109"/>
      <c r="G259" s="109"/>
      <c r="H259" s="109"/>
      <c r="I259" s="109"/>
      <c r="J259" s="109"/>
      <c r="K259" s="109"/>
      <c r="L259" s="109"/>
      <c r="M259" s="109"/>
      <c r="N259" s="109"/>
      <c r="O259" s="109"/>
      <c r="P259" s="109"/>
      <c r="Q259" s="109"/>
      <c r="R259" s="109"/>
      <c r="S259" s="109"/>
      <c r="T259" s="109"/>
      <c r="U259" s="109"/>
      <c r="V259" s="109"/>
      <c r="W259" s="109"/>
      <c r="X259" s="109"/>
      <c r="Y259" s="109"/>
      <c r="Z259" s="109"/>
    </row>
    <row r="260" ht="15.75" customHeight="1">
      <c r="A260" s="109"/>
      <c r="B260" s="109"/>
      <c r="C260" s="109"/>
      <c r="D260" s="109"/>
      <c r="E260" s="109"/>
      <c r="F260" s="109"/>
      <c r="G260" s="109"/>
      <c r="H260" s="109"/>
      <c r="I260" s="109"/>
      <c r="J260" s="109"/>
      <c r="K260" s="109"/>
      <c r="L260" s="109"/>
      <c r="M260" s="109"/>
      <c r="N260" s="109"/>
      <c r="O260" s="109"/>
      <c r="P260" s="109"/>
      <c r="Q260" s="109"/>
      <c r="R260" s="109"/>
      <c r="S260" s="109"/>
      <c r="T260" s="109"/>
      <c r="U260" s="109"/>
      <c r="V260" s="109"/>
      <c r="W260" s="109"/>
      <c r="X260" s="109"/>
      <c r="Y260" s="109"/>
      <c r="Z260" s="109"/>
    </row>
    <row r="261" ht="15.75" customHeight="1">
      <c r="A261" s="109"/>
      <c r="B261" s="109"/>
      <c r="C261" s="109"/>
      <c r="D261" s="109"/>
      <c r="E261" s="109"/>
      <c r="F261" s="109"/>
      <c r="G261" s="109"/>
      <c r="H261" s="109"/>
      <c r="I261" s="109"/>
      <c r="J261" s="109"/>
      <c r="K261" s="109"/>
      <c r="L261" s="109"/>
      <c r="M261" s="109"/>
      <c r="N261" s="109"/>
      <c r="O261" s="109"/>
      <c r="P261" s="109"/>
      <c r="Q261" s="109"/>
      <c r="R261" s="109"/>
      <c r="S261" s="109"/>
      <c r="T261" s="109"/>
      <c r="U261" s="109"/>
      <c r="V261" s="109"/>
      <c r="W261" s="109"/>
      <c r="X261" s="109"/>
      <c r="Y261" s="109"/>
      <c r="Z261" s="109"/>
    </row>
    <row r="262" ht="15.75" customHeight="1">
      <c r="A262" s="109"/>
      <c r="B262" s="109"/>
      <c r="C262" s="109"/>
      <c r="D262" s="109"/>
      <c r="E262" s="109"/>
      <c r="F262" s="109"/>
      <c r="G262" s="109"/>
      <c r="H262" s="109"/>
      <c r="I262" s="109"/>
      <c r="J262" s="109"/>
      <c r="K262" s="109"/>
      <c r="L262" s="109"/>
      <c r="M262" s="109"/>
      <c r="N262" s="109"/>
      <c r="O262" s="109"/>
      <c r="P262" s="109"/>
      <c r="Q262" s="109"/>
      <c r="R262" s="109"/>
      <c r="S262" s="109"/>
      <c r="T262" s="109"/>
      <c r="U262" s="109"/>
      <c r="V262" s="109"/>
      <c r="W262" s="109"/>
      <c r="X262" s="109"/>
      <c r="Y262" s="109"/>
      <c r="Z262" s="109"/>
    </row>
    <row r="263" ht="15.75" customHeight="1">
      <c r="A263" s="109"/>
      <c r="B263" s="109"/>
      <c r="C263" s="109"/>
      <c r="D263" s="109"/>
      <c r="E263" s="109"/>
      <c r="F263" s="109"/>
      <c r="G263" s="109"/>
      <c r="H263" s="109"/>
      <c r="I263" s="109"/>
      <c r="J263" s="109"/>
      <c r="K263" s="109"/>
      <c r="L263" s="109"/>
      <c r="M263" s="109"/>
      <c r="N263" s="109"/>
      <c r="O263" s="109"/>
      <c r="P263" s="109"/>
      <c r="Q263" s="109"/>
      <c r="R263" s="109"/>
      <c r="S263" s="109"/>
      <c r="T263" s="109"/>
      <c r="U263" s="109"/>
      <c r="V263" s="109"/>
      <c r="W263" s="109"/>
      <c r="X263" s="109"/>
      <c r="Y263" s="109"/>
      <c r="Z263" s="109"/>
    </row>
    <row r="264" ht="15.75" customHeight="1">
      <c r="A264" s="109"/>
      <c r="B264" s="109"/>
      <c r="C264" s="109"/>
      <c r="D264" s="109"/>
      <c r="E264" s="109"/>
      <c r="F264" s="109"/>
      <c r="G264" s="109"/>
      <c r="H264" s="109"/>
      <c r="I264" s="109"/>
      <c r="J264" s="109"/>
      <c r="K264" s="109"/>
      <c r="L264" s="109"/>
      <c r="M264" s="109"/>
      <c r="N264" s="109"/>
      <c r="O264" s="109"/>
      <c r="P264" s="109"/>
      <c r="Q264" s="109"/>
      <c r="R264" s="109"/>
      <c r="S264" s="109"/>
      <c r="T264" s="109"/>
      <c r="U264" s="109"/>
      <c r="V264" s="109"/>
      <c r="W264" s="109"/>
      <c r="X264" s="109"/>
      <c r="Y264" s="109"/>
      <c r="Z264" s="109"/>
    </row>
    <row r="265" ht="15.75" customHeight="1">
      <c r="A265" s="109"/>
      <c r="B265" s="109"/>
      <c r="C265" s="109"/>
      <c r="D265" s="109"/>
      <c r="E265" s="109"/>
      <c r="F265" s="109"/>
      <c r="G265" s="109"/>
      <c r="H265" s="109"/>
      <c r="I265" s="109"/>
      <c r="J265" s="109"/>
      <c r="K265" s="109"/>
      <c r="L265" s="109"/>
      <c r="M265" s="109"/>
      <c r="N265" s="109"/>
      <c r="O265" s="109"/>
      <c r="P265" s="109"/>
      <c r="Q265" s="109"/>
      <c r="R265" s="109"/>
      <c r="S265" s="109"/>
      <c r="T265" s="109"/>
      <c r="U265" s="109"/>
      <c r="V265" s="109"/>
      <c r="W265" s="109"/>
      <c r="X265" s="109"/>
      <c r="Y265" s="109"/>
      <c r="Z265" s="109"/>
    </row>
    <row r="266" ht="15.75" customHeight="1">
      <c r="A266" s="109"/>
      <c r="B266" s="109"/>
      <c r="C266" s="109"/>
      <c r="D266" s="109"/>
      <c r="E266" s="109"/>
      <c r="F266" s="109"/>
      <c r="G266" s="109"/>
      <c r="H266" s="109"/>
      <c r="I266" s="109"/>
      <c r="J266" s="109"/>
      <c r="K266" s="109"/>
      <c r="L266" s="109"/>
      <c r="M266" s="109"/>
      <c r="N266" s="109"/>
      <c r="O266" s="109"/>
      <c r="P266" s="109"/>
      <c r="Q266" s="109"/>
      <c r="R266" s="109"/>
      <c r="S266" s="109"/>
      <c r="T266" s="109"/>
      <c r="U266" s="109"/>
      <c r="V266" s="109"/>
      <c r="W266" s="109"/>
      <c r="X266" s="109"/>
      <c r="Y266" s="109"/>
      <c r="Z266" s="109"/>
    </row>
    <row r="267" ht="15.75" customHeight="1">
      <c r="A267" s="109"/>
      <c r="B267" s="109"/>
      <c r="C267" s="109"/>
      <c r="D267" s="109"/>
      <c r="E267" s="109"/>
      <c r="F267" s="109"/>
      <c r="G267" s="109"/>
      <c r="H267" s="109"/>
      <c r="I267" s="109"/>
      <c r="J267" s="109"/>
      <c r="K267" s="109"/>
      <c r="L267" s="109"/>
      <c r="M267" s="109"/>
      <c r="N267" s="109"/>
      <c r="O267" s="109"/>
      <c r="P267" s="109"/>
      <c r="Q267" s="109"/>
      <c r="R267" s="109"/>
      <c r="S267" s="109"/>
      <c r="T267" s="109"/>
      <c r="U267" s="109"/>
      <c r="V267" s="109"/>
      <c r="W267" s="109"/>
      <c r="X267" s="109"/>
      <c r="Y267" s="109"/>
      <c r="Z267" s="109"/>
    </row>
    <row r="268" ht="15.75" customHeight="1">
      <c r="A268" s="109"/>
      <c r="B268" s="109"/>
      <c r="C268" s="109"/>
      <c r="D268" s="109"/>
      <c r="E268" s="109"/>
      <c r="F268" s="109"/>
      <c r="G268" s="109"/>
      <c r="H268" s="109"/>
      <c r="I268" s="109"/>
      <c r="J268" s="109"/>
      <c r="K268" s="109"/>
      <c r="L268" s="109"/>
      <c r="M268" s="109"/>
      <c r="N268" s="109"/>
      <c r="O268" s="109"/>
      <c r="P268" s="109"/>
      <c r="Q268" s="109"/>
      <c r="R268" s="109"/>
      <c r="S268" s="109"/>
      <c r="T268" s="109"/>
      <c r="U268" s="109"/>
      <c r="V268" s="109"/>
      <c r="W268" s="109"/>
      <c r="X268" s="109"/>
      <c r="Y268" s="109"/>
      <c r="Z268" s="109"/>
    </row>
    <row r="269" ht="15.75" customHeight="1">
      <c r="A269" s="109"/>
      <c r="B269" s="109"/>
      <c r="C269" s="109"/>
      <c r="D269" s="109"/>
      <c r="E269" s="109"/>
      <c r="F269" s="109"/>
      <c r="G269" s="109"/>
      <c r="H269" s="109"/>
      <c r="I269" s="109"/>
      <c r="J269" s="109"/>
      <c r="K269" s="109"/>
      <c r="L269" s="109"/>
      <c r="M269" s="109"/>
      <c r="N269" s="109"/>
      <c r="O269" s="109"/>
      <c r="P269" s="109"/>
      <c r="Q269" s="109"/>
      <c r="R269" s="109"/>
      <c r="S269" s="109"/>
      <c r="T269" s="109"/>
      <c r="U269" s="109"/>
      <c r="V269" s="109"/>
      <c r="W269" s="109"/>
      <c r="X269" s="109"/>
      <c r="Y269" s="109"/>
      <c r="Z269" s="109"/>
    </row>
    <row r="270" ht="15.75" customHeight="1">
      <c r="A270" s="109"/>
      <c r="B270" s="109"/>
      <c r="C270" s="109"/>
      <c r="D270" s="109"/>
      <c r="E270" s="109"/>
      <c r="F270" s="109"/>
      <c r="G270" s="109"/>
      <c r="H270" s="109"/>
      <c r="I270" s="109"/>
      <c r="J270" s="109"/>
      <c r="K270" s="109"/>
      <c r="L270" s="109"/>
      <c r="M270" s="109"/>
      <c r="N270" s="109"/>
      <c r="O270" s="109"/>
      <c r="P270" s="109"/>
      <c r="Q270" s="109"/>
      <c r="R270" s="109"/>
      <c r="S270" s="109"/>
      <c r="T270" s="109"/>
      <c r="U270" s="109"/>
      <c r="V270" s="109"/>
      <c r="W270" s="109"/>
      <c r="X270" s="109"/>
      <c r="Y270" s="109"/>
      <c r="Z270" s="109"/>
    </row>
    <row r="271" ht="15.75" customHeight="1">
      <c r="A271" s="109"/>
      <c r="B271" s="109"/>
      <c r="C271" s="109"/>
      <c r="D271" s="109"/>
      <c r="E271" s="109"/>
      <c r="F271" s="109"/>
      <c r="G271" s="109"/>
      <c r="H271" s="109"/>
      <c r="I271" s="109"/>
      <c r="J271" s="109"/>
      <c r="K271" s="109"/>
      <c r="L271" s="109"/>
      <c r="M271" s="109"/>
      <c r="N271" s="109"/>
      <c r="O271" s="109"/>
      <c r="P271" s="109"/>
      <c r="Q271" s="109"/>
      <c r="R271" s="109"/>
      <c r="S271" s="109"/>
      <c r="T271" s="109"/>
      <c r="U271" s="109"/>
      <c r="V271" s="109"/>
      <c r="W271" s="109"/>
      <c r="X271" s="109"/>
      <c r="Y271" s="109"/>
      <c r="Z271" s="109"/>
    </row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ustomSheetViews>
    <customSheetView guid="{3DDCC119-E411-4978-951D-57FD97DC6F64}" filter="1" showAutoFilter="1">
      <autoFilter ref="$A$1:$Z$271">
        <filterColumn colId="2">
          <filters>
            <filter val="CANADA"/>
          </filters>
        </filterColumn>
        <filterColumn colId="4">
          <filters blank="1">
            <filter val="CALVIN KLEIN"/>
            <filter val="TOMMY HILFIGER"/>
            <filter val="ADIDAS"/>
          </filters>
        </filterColumn>
      </autoFilter>
    </customSheetView>
  </customSheetView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6.0"/>
    <col customWidth="1" min="2" max="2" width="8.5"/>
    <col customWidth="1" min="3" max="3" width="11.13"/>
    <col customWidth="1" min="4" max="4" width="12.63"/>
    <col customWidth="1" min="5" max="5" width="7.5"/>
    <col customWidth="1" min="6" max="6" width="12.63"/>
  </cols>
  <sheetData>
    <row r="1" ht="30.0" customHeight="1">
      <c r="A1" s="117" t="s">
        <v>402</v>
      </c>
      <c r="B1" s="118" t="s">
        <v>168</v>
      </c>
      <c r="C1" s="118" t="s">
        <v>366</v>
      </c>
      <c r="D1" s="118" t="s">
        <v>403</v>
      </c>
      <c r="E1" s="118" t="s">
        <v>174</v>
      </c>
      <c r="F1" s="118" t="s">
        <v>367</v>
      </c>
      <c r="G1" s="118" t="s">
        <v>367</v>
      </c>
      <c r="H1" s="119" t="s">
        <v>2</v>
      </c>
      <c r="I1" s="119" t="s">
        <v>404</v>
      </c>
      <c r="J1" s="118" t="s">
        <v>405</v>
      </c>
      <c r="K1" s="118" t="s">
        <v>406</v>
      </c>
      <c r="L1" s="118" t="s">
        <v>407</v>
      </c>
      <c r="M1" s="118" t="s">
        <v>408</v>
      </c>
      <c r="N1" s="118" t="s">
        <v>119</v>
      </c>
      <c r="O1" s="118" t="s">
        <v>409</v>
      </c>
      <c r="P1" s="118" t="s">
        <v>410</v>
      </c>
      <c r="Q1" s="118" t="s">
        <v>411</v>
      </c>
      <c r="R1" s="109"/>
      <c r="S1" s="109"/>
      <c r="T1" s="109"/>
      <c r="U1" s="109"/>
      <c r="V1" s="109"/>
      <c r="W1" s="109"/>
      <c r="X1" s="109"/>
      <c r="Y1" s="109"/>
      <c r="Z1" s="109"/>
      <c r="AA1" s="109"/>
      <c r="AB1" s="109"/>
    </row>
    <row r="2" ht="30.0" customHeight="1">
      <c r="A2" s="120">
        <f t="array" ref="A2:A27">SEQUENCE(26)</f>
        <v>1</v>
      </c>
      <c r="B2" s="121">
        <v>2021.0</v>
      </c>
      <c r="C2" s="121" t="s">
        <v>393</v>
      </c>
      <c r="D2" s="122" t="s">
        <v>150</v>
      </c>
      <c r="E2" s="122" t="s">
        <v>394</v>
      </c>
      <c r="F2" s="122" t="s">
        <v>160</v>
      </c>
      <c r="G2" s="123" t="str">
        <f t="shared" ref="G2:G27" si="1">UPPER(F2)</f>
        <v>ADIDAS</v>
      </c>
      <c r="H2" s="124">
        <v>37.44</v>
      </c>
      <c r="I2" s="124">
        <v>23.44</v>
      </c>
      <c r="J2" s="125" t="str">
        <f t="shared" ref="J2:J27" si="2">join(" ", C2:D2)</f>
        <v>Liam Stone</v>
      </c>
      <c r="K2" s="125" t="str">
        <f t="shared" ref="K2:K27" si="3">IF(H2&lt;=200, "SILVER", "GOLD")</f>
        <v>SILVER</v>
      </c>
      <c r="L2" s="126">
        <f t="shared" ref="L2:L27" si="4">H2-I2</f>
        <v>14</v>
      </c>
      <c r="M2" s="127" t="str">
        <f t="shared" ref="M2:M27" si="5">IFS(L2&lt;20, "LITTLE", L2&lt;99, "Good Job", L2&gt;=100, "Great Job")</f>
        <v>LITTLE</v>
      </c>
      <c r="N2" s="125" t="str">
        <f>IFERROR(__xludf.DUMMYFUNCTION("UNIQUE(G2:G27)"),"ADIDAS")</f>
        <v>ADIDAS</v>
      </c>
      <c r="O2" s="125">
        <f t="shared" ref="O2:O7" si="6">COUNTIF($G$2:$G$27, N2)</f>
        <v>7</v>
      </c>
      <c r="P2" s="125">
        <f t="shared" ref="P2:P7" si="7">SUMIF($G$2:$G$27, N2, $H$2:$H$27)</f>
        <v>1357.43</v>
      </c>
      <c r="Q2" s="128">
        <f t="shared" ref="Q2:Q7" si="8">AVERAGEIF($G$2:$G$27,N2,$H$2:$H$27)</f>
        <v>193.9185714</v>
      </c>
      <c r="R2" s="109"/>
      <c r="S2" s="109"/>
      <c r="T2" s="109"/>
      <c r="U2" s="109"/>
      <c r="V2" s="109"/>
      <c r="W2" s="109"/>
      <c r="X2" s="109"/>
      <c r="Y2" s="109"/>
      <c r="Z2" s="109"/>
      <c r="AA2" s="109"/>
      <c r="AB2" s="109"/>
    </row>
    <row r="3" ht="30.0" customHeight="1">
      <c r="A3" s="120">
        <v>2.0</v>
      </c>
      <c r="B3" s="121">
        <v>2021.0</v>
      </c>
      <c r="C3" s="121" t="s">
        <v>397</v>
      </c>
      <c r="D3" s="122" t="s">
        <v>412</v>
      </c>
      <c r="E3" s="122" t="s">
        <v>394</v>
      </c>
      <c r="F3" s="122" t="s">
        <v>160</v>
      </c>
      <c r="G3" s="122" t="str">
        <f t="shared" si="1"/>
        <v>ADIDAS</v>
      </c>
      <c r="H3" s="129">
        <v>368.2</v>
      </c>
      <c r="I3" s="130">
        <v>298.22</v>
      </c>
      <c r="J3" s="131" t="str">
        <f t="shared" si="2"/>
        <v>Noah Butter</v>
      </c>
      <c r="K3" s="131" t="str">
        <f t="shared" si="3"/>
        <v>GOLD</v>
      </c>
      <c r="L3" s="124">
        <f t="shared" si="4"/>
        <v>69.98</v>
      </c>
      <c r="M3" s="125" t="str">
        <f t="shared" si="5"/>
        <v>Good Job</v>
      </c>
      <c r="N3" s="131" t="str">
        <f>IFERROR(__xludf.DUMMYFUNCTION("""COMPUTED_VALUE"""),"RALPH LAUREN")</f>
        <v>RALPH LAUREN</v>
      </c>
      <c r="O3" s="125">
        <f t="shared" si="6"/>
        <v>4</v>
      </c>
      <c r="P3" s="125">
        <f t="shared" si="7"/>
        <v>2086.24</v>
      </c>
      <c r="Q3" s="128">
        <f t="shared" si="8"/>
        <v>521.56</v>
      </c>
      <c r="R3" s="109"/>
      <c r="S3" s="109"/>
      <c r="T3" s="109"/>
      <c r="U3" s="109"/>
      <c r="V3" s="109"/>
      <c r="W3" s="109"/>
      <c r="X3" s="109"/>
      <c r="Y3" s="109"/>
      <c r="Z3" s="109"/>
      <c r="AA3" s="109"/>
      <c r="AB3" s="109"/>
    </row>
    <row r="4" ht="30.0" customHeight="1">
      <c r="A4" s="120">
        <v>3.0</v>
      </c>
      <c r="B4" s="121">
        <v>2022.0</v>
      </c>
      <c r="C4" s="121" t="s">
        <v>398</v>
      </c>
      <c r="D4" s="122" t="s">
        <v>397</v>
      </c>
      <c r="E4" s="122" t="s">
        <v>394</v>
      </c>
      <c r="F4" s="122" t="s">
        <v>160</v>
      </c>
      <c r="G4" s="122" t="str">
        <f t="shared" si="1"/>
        <v>ADIDAS</v>
      </c>
      <c r="H4" s="124">
        <v>166.98</v>
      </c>
      <c r="I4" s="130">
        <v>70.31</v>
      </c>
      <c r="J4" s="131" t="str">
        <f t="shared" si="2"/>
        <v>Oliver Noah</v>
      </c>
      <c r="K4" s="131" t="str">
        <f t="shared" si="3"/>
        <v>SILVER</v>
      </c>
      <c r="L4" s="132">
        <f t="shared" si="4"/>
        <v>96.67</v>
      </c>
      <c r="M4" s="125" t="str">
        <f t="shared" si="5"/>
        <v>Good Job</v>
      </c>
      <c r="N4" s="122" t="str">
        <f>IFERROR(__xludf.DUMMYFUNCTION("""COMPUTED_VALUE"""),"NEW BALANCE")</f>
        <v>NEW BALANCE</v>
      </c>
      <c r="O4" s="125">
        <f t="shared" si="6"/>
        <v>4</v>
      </c>
      <c r="P4" s="125">
        <f t="shared" si="7"/>
        <v>1037.68</v>
      </c>
      <c r="Q4" s="128">
        <f t="shared" si="8"/>
        <v>259.42</v>
      </c>
      <c r="R4" s="109"/>
      <c r="S4" s="109"/>
      <c r="T4" s="109"/>
      <c r="U4" s="109"/>
      <c r="V4" s="109"/>
      <c r="W4" s="109"/>
      <c r="X4" s="109"/>
      <c r="Y4" s="109"/>
      <c r="Z4" s="109"/>
      <c r="AA4" s="109"/>
      <c r="AB4" s="109"/>
    </row>
    <row r="5" ht="30.0" customHeight="1">
      <c r="A5" s="120">
        <v>4.0</v>
      </c>
      <c r="B5" s="121">
        <v>2022.0</v>
      </c>
      <c r="C5" s="121" t="s">
        <v>373</v>
      </c>
      <c r="D5" s="122" t="s">
        <v>413</v>
      </c>
      <c r="E5" s="122" t="s">
        <v>371</v>
      </c>
      <c r="F5" s="122" t="s">
        <v>374</v>
      </c>
      <c r="G5" s="122" t="str">
        <f t="shared" si="1"/>
        <v>RALPH LAUREN</v>
      </c>
      <c r="H5" s="129">
        <v>304.68</v>
      </c>
      <c r="I5" s="130">
        <v>202.14</v>
      </c>
      <c r="J5" s="131" t="str">
        <f t="shared" si="2"/>
        <v>Elijah Watter</v>
      </c>
      <c r="K5" s="131" t="str">
        <f t="shared" si="3"/>
        <v>GOLD</v>
      </c>
      <c r="L5" s="132">
        <f t="shared" si="4"/>
        <v>102.54</v>
      </c>
      <c r="M5" s="133" t="str">
        <f t="shared" si="5"/>
        <v>Great Job</v>
      </c>
      <c r="N5" s="122" t="str">
        <f>IFERROR(__xludf.DUMMYFUNCTION("""COMPUTED_VALUE"""),"CALVIN KLEIN")</f>
        <v>CALVIN KLEIN</v>
      </c>
      <c r="O5" s="125">
        <f t="shared" si="6"/>
        <v>3</v>
      </c>
      <c r="P5" s="125">
        <f t="shared" si="7"/>
        <v>1058.56</v>
      </c>
      <c r="Q5" s="128">
        <f t="shared" si="8"/>
        <v>352.8533333</v>
      </c>
      <c r="R5" s="109"/>
      <c r="S5" s="109"/>
      <c r="T5" s="109"/>
      <c r="U5" s="109"/>
      <c r="V5" s="109"/>
      <c r="W5" s="109"/>
      <c r="X5" s="109"/>
      <c r="Y5" s="109"/>
      <c r="Z5" s="109"/>
      <c r="AA5" s="109"/>
      <c r="AB5" s="109"/>
    </row>
    <row r="6" ht="30.0" customHeight="1">
      <c r="A6" s="120">
        <v>5.0</v>
      </c>
      <c r="B6" s="121">
        <v>2020.0</v>
      </c>
      <c r="C6" s="121" t="s">
        <v>400</v>
      </c>
      <c r="D6" s="122" t="s">
        <v>414</v>
      </c>
      <c r="E6" s="122" t="s">
        <v>401</v>
      </c>
      <c r="F6" s="122" t="s">
        <v>415</v>
      </c>
      <c r="G6" s="122" t="str">
        <f t="shared" si="1"/>
        <v>NEW BALANCE</v>
      </c>
      <c r="H6" s="124">
        <v>146.54</v>
      </c>
      <c r="I6" s="130">
        <v>72.7</v>
      </c>
      <c r="J6" s="131" t="str">
        <f t="shared" si="2"/>
        <v>William Plantes</v>
      </c>
      <c r="K6" s="131" t="str">
        <f t="shared" si="3"/>
        <v>SILVER</v>
      </c>
      <c r="L6" s="124">
        <f t="shared" si="4"/>
        <v>73.84</v>
      </c>
      <c r="M6" s="125" t="str">
        <f t="shared" si="5"/>
        <v>Good Job</v>
      </c>
      <c r="N6" s="122" t="str">
        <f>IFERROR(__xludf.DUMMYFUNCTION("""COMPUTED_VALUE"""),"JESSICA SIMPSON")</f>
        <v>JESSICA SIMPSON</v>
      </c>
      <c r="O6" s="125">
        <f t="shared" si="6"/>
        <v>4</v>
      </c>
      <c r="P6" s="125">
        <f t="shared" si="7"/>
        <v>943.02</v>
      </c>
      <c r="Q6" s="128">
        <f t="shared" si="8"/>
        <v>235.755</v>
      </c>
      <c r="R6" s="109"/>
      <c r="S6" s="109"/>
      <c r="T6" s="109"/>
      <c r="U6" s="109"/>
      <c r="V6" s="109"/>
      <c r="W6" s="109"/>
      <c r="X6" s="109"/>
      <c r="Y6" s="109"/>
      <c r="Z6" s="109"/>
      <c r="AA6" s="109"/>
      <c r="AB6" s="109"/>
    </row>
    <row r="7" ht="30.0" customHeight="1">
      <c r="A7" s="120">
        <v>6.0</v>
      </c>
      <c r="B7" s="121">
        <v>2021.0</v>
      </c>
      <c r="C7" s="121" t="s">
        <v>379</v>
      </c>
      <c r="D7" s="122" t="s">
        <v>416</v>
      </c>
      <c r="E7" s="122" t="s">
        <v>371</v>
      </c>
      <c r="F7" s="122" t="s">
        <v>372</v>
      </c>
      <c r="G7" s="122" t="str">
        <f t="shared" si="1"/>
        <v>CALVIN KLEIN</v>
      </c>
      <c r="H7" s="129">
        <v>738.44</v>
      </c>
      <c r="I7" s="130">
        <v>307.15</v>
      </c>
      <c r="J7" s="131" t="str">
        <f t="shared" si="2"/>
        <v>James Gogg</v>
      </c>
      <c r="K7" s="131" t="str">
        <f t="shared" si="3"/>
        <v>GOLD</v>
      </c>
      <c r="L7" s="132">
        <f t="shared" si="4"/>
        <v>431.29</v>
      </c>
      <c r="M7" s="133" t="str">
        <f t="shared" si="5"/>
        <v>Great Job</v>
      </c>
      <c r="N7" s="122" t="str">
        <f>IFERROR(__xludf.DUMMYFUNCTION("""COMPUTED_VALUE"""),"TOMMY HILFIGER")</f>
        <v>TOMMY HILFIGER</v>
      </c>
      <c r="O7" s="125">
        <f t="shared" si="6"/>
        <v>4</v>
      </c>
      <c r="P7" s="125">
        <f t="shared" si="7"/>
        <v>956.32</v>
      </c>
      <c r="Q7" s="128">
        <f t="shared" si="8"/>
        <v>239.08</v>
      </c>
      <c r="R7" s="109"/>
      <c r="S7" s="109"/>
      <c r="T7" s="109"/>
      <c r="U7" s="109"/>
      <c r="V7" s="109"/>
      <c r="W7" s="109"/>
      <c r="X7" s="109"/>
      <c r="Y7" s="109"/>
      <c r="Z7" s="109"/>
      <c r="AA7" s="109"/>
      <c r="AB7" s="109"/>
    </row>
    <row r="8" ht="30.0" customHeight="1">
      <c r="A8" s="120">
        <v>7.0</v>
      </c>
      <c r="B8" s="121">
        <v>2019.0</v>
      </c>
      <c r="C8" s="121" t="s">
        <v>388</v>
      </c>
      <c r="D8" s="122" t="s">
        <v>417</v>
      </c>
      <c r="E8" s="122" t="s">
        <v>226</v>
      </c>
      <c r="F8" s="122" t="s">
        <v>162</v>
      </c>
      <c r="G8" s="122" t="str">
        <f t="shared" si="1"/>
        <v>NEW BALANCE</v>
      </c>
      <c r="H8" s="124">
        <v>160.06</v>
      </c>
      <c r="I8" s="124">
        <v>46.74</v>
      </c>
      <c r="J8" s="131" t="str">
        <f t="shared" si="2"/>
        <v>Benjamin Barry</v>
      </c>
      <c r="K8" s="131" t="str">
        <f t="shared" si="3"/>
        <v>SILVER</v>
      </c>
      <c r="L8" s="132">
        <f t="shared" si="4"/>
        <v>113.32</v>
      </c>
      <c r="M8" s="133" t="str">
        <f t="shared" si="5"/>
        <v>Great Job</v>
      </c>
      <c r="N8" s="122"/>
      <c r="O8" s="122"/>
      <c r="P8" s="122"/>
      <c r="Q8" s="122"/>
      <c r="R8" s="109"/>
      <c r="S8" s="109"/>
      <c r="T8" s="109"/>
      <c r="U8" s="109"/>
      <c r="V8" s="109"/>
      <c r="W8" s="109"/>
      <c r="X8" s="109"/>
      <c r="Y8" s="109"/>
      <c r="Z8" s="109"/>
      <c r="AA8" s="109"/>
      <c r="AB8" s="109"/>
    </row>
    <row r="9" ht="30.0" customHeight="1">
      <c r="A9" s="120">
        <v>8.0</v>
      </c>
      <c r="B9" s="121">
        <v>2020.0</v>
      </c>
      <c r="C9" s="121" t="s">
        <v>395</v>
      </c>
      <c r="D9" s="122" t="s">
        <v>418</v>
      </c>
      <c r="E9" s="122" t="s">
        <v>226</v>
      </c>
      <c r="F9" s="122" t="s">
        <v>160</v>
      </c>
      <c r="G9" s="122" t="str">
        <f t="shared" si="1"/>
        <v>ADIDAS</v>
      </c>
      <c r="H9" s="124">
        <v>82.05</v>
      </c>
      <c r="I9" s="130">
        <v>74.31</v>
      </c>
      <c r="J9" s="131" t="str">
        <f t="shared" si="2"/>
        <v>Lucas Duster</v>
      </c>
      <c r="K9" s="131" t="str">
        <f t="shared" si="3"/>
        <v>SILVER</v>
      </c>
      <c r="L9" s="124">
        <f t="shared" si="4"/>
        <v>7.74</v>
      </c>
      <c r="M9" s="127" t="str">
        <f t="shared" si="5"/>
        <v>LITTLE</v>
      </c>
      <c r="N9" s="122"/>
      <c r="O9" s="122"/>
      <c r="P9" s="122"/>
      <c r="Q9" s="122"/>
      <c r="R9" s="109"/>
      <c r="S9" s="109"/>
      <c r="T9" s="109"/>
      <c r="U9" s="109"/>
      <c r="V9" s="109"/>
      <c r="W9" s="109"/>
      <c r="X9" s="109"/>
      <c r="Y9" s="109"/>
      <c r="Z9" s="109"/>
      <c r="AA9" s="109"/>
      <c r="AB9" s="109"/>
    </row>
    <row r="10" ht="30.0" customHeight="1">
      <c r="A10" s="120">
        <v>9.0</v>
      </c>
      <c r="B10" s="121">
        <v>2022.0</v>
      </c>
      <c r="C10" s="121" t="s">
        <v>385</v>
      </c>
      <c r="D10" s="122" t="s">
        <v>419</v>
      </c>
      <c r="E10" s="122" t="s">
        <v>383</v>
      </c>
      <c r="F10" s="122" t="s">
        <v>160</v>
      </c>
      <c r="G10" s="122" t="str">
        <f t="shared" si="1"/>
        <v>ADIDAS</v>
      </c>
      <c r="H10" s="124">
        <v>99.32</v>
      </c>
      <c r="I10" s="124">
        <v>46.87</v>
      </c>
      <c r="J10" s="131" t="str">
        <f t="shared" si="2"/>
        <v>Henry Traix</v>
      </c>
      <c r="K10" s="131" t="str">
        <f t="shared" si="3"/>
        <v>SILVER</v>
      </c>
      <c r="L10" s="124">
        <f t="shared" si="4"/>
        <v>52.45</v>
      </c>
      <c r="M10" s="125" t="str">
        <f t="shared" si="5"/>
        <v>Good Job</v>
      </c>
      <c r="N10" s="122"/>
      <c r="O10" s="122"/>
      <c r="P10" s="122"/>
      <c r="Q10" s="122"/>
      <c r="R10" s="109"/>
      <c r="S10" s="109"/>
      <c r="T10" s="109"/>
      <c r="U10" s="109"/>
      <c r="V10" s="109"/>
      <c r="W10" s="109"/>
      <c r="X10" s="109"/>
      <c r="Y10" s="109"/>
      <c r="Z10" s="109"/>
      <c r="AA10" s="109"/>
      <c r="AB10" s="109"/>
    </row>
    <row r="11" ht="30.0" customHeight="1">
      <c r="A11" s="120">
        <v>10.0</v>
      </c>
      <c r="B11" s="121">
        <v>2020.0</v>
      </c>
      <c r="C11" s="121" t="s">
        <v>386</v>
      </c>
      <c r="D11" s="122" t="s">
        <v>420</v>
      </c>
      <c r="E11" s="122" t="s">
        <v>226</v>
      </c>
      <c r="F11" s="122" t="s">
        <v>377</v>
      </c>
      <c r="G11" s="122" t="str">
        <f t="shared" si="1"/>
        <v>JESSICA SIMPSON</v>
      </c>
      <c r="H11" s="129">
        <v>529.36</v>
      </c>
      <c r="I11" s="130">
        <v>140.55</v>
      </c>
      <c r="J11" s="131" t="str">
        <f t="shared" si="2"/>
        <v>Alexander Heeds</v>
      </c>
      <c r="K11" s="131" t="str">
        <f t="shared" si="3"/>
        <v>GOLD</v>
      </c>
      <c r="L11" s="132">
        <f t="shared" si="4"/>
        <v>388.81</v>
      </c>
      <c r="M11" s="133" t="str">
        <f t="shared" si="5"/>
        <v>Great Job</v>
      </c>
      <c r="N11" s="122"/>
      <c r="O11" s="122"/>
      <c r="P11" s="122"/>
      <c r="Q11" s="122"/>
      <c r="R11" s="109"/>
      <c r="S11" s="109"/>
      <c r="T11" s="109"/>
      <c r="U11" s="109"/>
      <c r="V11" s="109"/>
      <c r="W11" s="109"/>
      <c r="X11" s="109"/>
      <c r="Y11" s="109"/>
      <c r="Z11" s="109"/>
      <c r="AA11" s="109"/>
      <c r="AB11" s="109"/>
    </row>
    <row r="12" ht="30.0" customHeight="1">
      <c r="A12" s="120">
        <v>11.0</v>
      </c>
      <c r="B12" s="121">
        <v>2018.0</v>
      </c>
      <c r="C12" s="121" t="s">
        <v>380</v>
      </c>
      <c r="D12" s="122" t="s">
        <v>421</v>
      </c>
      <c r="E12" s="122" t="s">
        <v>376</v>
      </c>
      <c r="F12" s="122" t="s">
        <v>162</v>
      </c>
      <c r="G12" s="122" t="str">
        <f t="shared" si="1"/>
        <v>NEW BALANCE</v>
      </c>
      <c r="H12" s="124">
        <v>201.72</v>
      </c>
      <c r="I12" s="130">
        <v>174.5</v>
      </c>
      <c r="J12" s="131" t="str">
        <f t="shared" si="2"/>
        <v>Olivia Neary</v>
      </c>
      <c r="K12" s="131" t="str">
        <f t="shared" si="3"/>
        <v>GOLD</v>
      </c>
      <c r="L12" s="124">
        <f t="shared" si="4"/>
        <v>27.22</v>
      </c>
      <c r="M12" s="125" t="str">
        <f t="shared" si="5"/>
        <v>Good Job</v>
      </c>
      <c r="N12" s="122"/>
      <c r="O12" s="122"/>
      <c r="P12" s="122"/>
      <c r="Q12" s="122"/>
      <c r="R12" s="109"/>
      <c r="S12" s="109"/>
      <c r="T12" s="109"/>
      <c r="U12" s="109"/>
      <c r="V12" s="109"/>
      <c r="W12" s="109"/>
      <c r="X12" s="109"/>
      <c r="Y12" s="109"/>
      <c r="Z12" s="109"/>
      <c r="AA12" s="109"/>
      <c r="AB12" s="109"/>
    </row>
    <row r="13" ht="30.0" customHeight="1">
      <c r="A13" s="120">
        <v>12.0</v>
      </c>
      <c r="B13" s="121">
        <v>2017.0</v>
      </c>
      <c r="C13" s="121" t="s">
        <v>391</v>
      </c>
      <c r="D13" s="122" t="s">
        <v>422</v>
      </c>
      <c r="E13" s="122" t="s">
        <v>390</v>
      </c>
      <c r="F13" s="122" t="s">
        <v>423</v>
      </c>
      <c r="G13" s="122" t="str">
        <f t="shared" si="1"/>
        <v>JESSICA SIMPSON</v>
      </c>
      <c r="H13" s="124">
        <v>123.34</v>
      </c>
      <c r="I13" s="124">
        <v>35.14</v>
      </c>
      <c r="J13" s="131" t="str">
        <f t="shared" si="2"/>
        <v>Emma Liban</v>
      </c>
      <c r="K13" s="131" t="str">
        <f t="shared" si="3"/>
        <v>SILVER</v>
      </c>
      <c r="L13" s="132">
        <f t="shared" si="4"/>
        <v>88.2</v>
      </c>
      <c r="M13" s="125" t="str">
        <f t="shared" si="5"/>
        <v>Good Job</v>
      </c>
      <c r="N13" s="122"/>
      <c r="O13" s="122"/>
      <c r="P13" s="122"/>
      <c r="Q13" s="122"/>
      <c r="R13" s="109"/>
      <c r="S13" s="109"/>
      <c r="T13" s="109"/>
      <c r="U13" s="109"/>
      <c r="V13" s="109"/>
      <c r="W13" s="109"/>
      <c r="X13" s="109"/>
      <c r="Y13" s="109"/>
      <c r="Z13" s="109"/>
      <c r="AA13" s="109"/>
      <c r="AB13" s="109"/>
    </row>
    <row r="14" ht="30.0" customHeight="1">
      <c r="A14" s="120">
        <v>13.0</v>
      </c>
      <c r="B14" s="121">
        <v>2021.0</v>
      </c>
      <c r="C14" s="121" t="s">
        <v>381</v>
      </c>
      <c r="D14" s="122" t="s">
        <v>265</v>
      </c>
      <c r="E14" s="122" t="s">
        <v>383</v>
      </c>
      <c r="F14" s="122" t="s">
        <v>384</v>
      </c>
      <c r="G14" s="122" t="str">
        <f t="shared" si="1"/>
        <v>TOMMY HILFIGER</v>
      </c>
      <c r="H14" s="129">
        <v>331.62</v>
      </c>
      <c r="I14" s="130">
        <v>176.58</v>
      </c>
      <c r="J14" s="131" t="str">
        <f t="shared" si="2"/>
        <v>Ava Ocean</v>
      </c>
      <c r="K14" s="131" t="str">
        <f t="shared" si="3"/>
        <v>GOLD</v>
      </c>
      <c r="L14" s="132">
        <f t="shared" si="4"/>
        <v>155.04</v>
      </c>
      <c r="M14" s="133" t="str">
        <f t="shared" si="5"/>
        <v>Great Job</v>
      </c>
      <c r="N14" s="122"/>
      <c r="O14" s="122"/>
      <c r="P14" s="122"/>
      <c r="Q14" s="122"/>
      <c r="R14" s="109"/>
      <c r="S14" s="109"/>
      <c r="T14" s="109"/>
      <c r="U14" s="109"/>
      <c r="V14" s="109"/>
      <c r="W14" s="109"/>
      <c r="X14" s="109"/>
      <c r="Y14" s="109"/>
      <c r="Z14" s="109"/>
      <c r="AA14" s="109"/>
      <c r="AB14" s="109"/>
    </row>
    <row r="15" ht="30.0" customHeight="1">
      <c r="A15" s="120">
        <v>14.0</v>
      </c>
      <c r="B15" s="121">
        <v>2022.0</v>
      </c>
      <c r="C15" s="121" t="s">
        <v>389</v>
      </c>
      <c r="D15" s="122" t="s">
        <v>424</v>
      </c>
      <c r="E15" s="122" t="s">
        <v>390</v>
      </c>
      <c r="F15" s="122" t="s">
        <v>384</v>
      </c>
      <c r="G15" s="122" t="str">
        <f t="shared" si="1"/>
        <v>TOMMY HILFIGER</v>
      </c>
      <c r="H15" s="124">
        <v>146.54</v>
      </c>
      <c r="I15" s="130">
        <v>72.7</v>
      </c>
      <c r="J15" s="131" t="str">
        <f t="shared" si="2"/>
        <v>Charlotte Radyy</v>
      </c>
      <c r="K15" s="131" t="str">
        <f t="shared" si="3"/>
        <v>SILVER</v>
      </c>
      <c r="L15" s="124">
        <f t="shared" si="4"/>
        <v>73.84</v>
      </c>
      <c r="M15" s="125" t="str">
        <f t="shared" si="5"/>
        <v>Good Job</v>
      </c>
      <c r="N15" s="122"/>
      <c r="O15" s="122"/>
      <c r="P15" s="122"/>
      <c r="Q15" s="122"/>
      <c r="R15" s="109"/>
      <c r="S15" s="109"/>
      <c r="T15" s="109"/>
      <c r="U15" s="109"/>
      <c r="V15" s="109"/>
      <c r="W15" s="109"/>
      <c r="X15" s="109"/>
      <c r="Y15" s="109"/>
      <c r="Z15" s="109"/>
      <c r="AA15" s="109"/>
      <c r="AB15" s="109"/>
    </row>
    <row r="16" ht="30.0" customHeight="1">
      <c r="A16" s="120">
        <v>15.0</v>
      </c>
      <c r="B16" s="121">
        <v>2022.0</v>
      </c>
      <c r="C16" s="121" t="s">
        <v>399</v>
      </c>
      <c r="D16" s="122" t="s">
        <v>425</v>
      </c>
      <c r="E16" s="122" t="s">
        <v>390</v>
      </c>
      <c r="F16" s="122" t="s">
        <v>374</v>
      </c>
      <c r="G16" s="122" t="str">
        <f t="shared" si="1"/>
        <v>RALPH LAUREN</v>
      </c>
      <c r="H16" s="129">
        <v>738.44</v>
      </c>
      <c r="I16" s="130">
        <v>307.15</v>
      </c>
      <c r="J16" s="131" t="str">
        <f t="shared" si="2"/>
        <v>Sophia Clacky</v>
      </c>
      <c r="K16" s="131" t="str">
        <f t="shared" si="3"/>
        <v>GOLD</v>
      </c>
      <c r="L16" s="132">
        <f t="shared" si="4"/>
        <v>431.29</v>
      </c>
      <c r="M16" s="133" t="str">
        <f t="shared" si="5"/>
        <v>Great Job</v>
      </c>
      <c r="N16" s="122"/>
      <c r="O16" s="122"/>
      <c r="P16" s="122"/>
      <c r="Q16" s="122"/>
      <c r="R16" s="109"/>
      <c r="S16" s="109"/>
      <c r="T16" s="109"/>
      <c r="U16" s="109"/>
      <c r="V16" s="109"/>
      <c r="W16" s="109"/>
      <c r="X16" s="109"/>
      <c r="Y16" s="109"/>
      <c r="Z16" s="109"/>
      <c r="AA16" s="109"/>
      <c r="AB16" s="109"/>
    </row>
    <row r="17" ht="30.0" customHeight="1">
      <c r="A17" s="120">
        <v>16.0</v>
      </c>
      <c r="B17" s="121">
        <v>2021.0</v>
      </c>
      <c r="C17" s="121" t="s">
        <v>370</v>
      </c>
      <c r="D17" s="122" t="s">
        <v>426</v>
      </c>
      <c r="E17" s="122" t="s">
        <v>371</v>
      </c>
      <c r="F17" s="122" t="s">
        <v>372</v>
      </c>
      <c r="G17" s="122" t="str">
        <f t="shared" si="1"/>
        <v>CALVIN KLEIN</v>
      </c>
      <c r="H17" s="124">
        <v>160.06</v>
      </c>
      <c r="I17" s="124">
        <v>46.74</v>
      </c>
      <c r="J17" s="131" t="str">
        <f t="shared" si="2"/>
        <v>Amelia Trust</v>
      </c>
      <c r="K17" s="131" t="str">
        <f t="shared" si="3"/>
        <v>SILVER</v>
      </c>
      <c r="L17" s="132">
        <f t="shared" si="4"/>
        <v>113.32</v>
      </c>
      <c r="M17" s="133" t="str">
        <f t="shared" si="5"/>
        <v>Great Job</v>
      </c>
      <c r="N17" s="122"/>
      <c r="O17" s="122"/>
      <c r="P17" s="122"/>
      <c r="Q17" s="122"/>
      <c r="R17" s="109"/>
      <c r="S17" s="109"/>
      <c r="T17" s="109"/>
      <c r="U17" s="109"/>
      <c r="V17" s="109"/>
      <c r="W17" s="109"/>
      <c r="X17" s="109"/>
      <c r="Y17" s="109"/>
      <c r="Z17" s="109"/>
      <c r="AA17" s="109"/>
      <c r="AB17" s="109"/>
    </row>
    <row r="18" ht="30.0" customHeight="1">
      <c r="A18" s="120">
        <v>17.0</v>
      </c>
      <c r="B18" s="121">
        <v>2022.0</v>
      </c>
      <c r="C18" s="121" t="s">
        <v>392</v>
      </c>
      <c r="D18" s="122" t="s">
        <v>427</v>
      </c>
      <c r="E18" s="122" t="s">
        <v>226</v>
      </c>
      <c r="F18" s="122" t="s">
        <v>162</v>
      </c>
      <c r="G18" s="122" t="str">
        <f t="shared" si="1"/>
        <v>NEW BALANCE</v>
      </c>
      <c r="H18" s="129">
        <v>529.36</v>
      </c>
      <c r="I18" s="130">
        <v>140.55</v>
      </c>
      <c r="J18" s="131" t="str">
        <f t="shared" si="2"/>
        <v>Isabella Benits</v>
      </c>
      <c r="K18" s="131" t="str">
        <f t="shared" si="3"/>
        <v>GOLD</v>
      </c>
      <c r="L18" s="132">
        <f t="shared" si="4"/>
        <v>388.81</v>
      </c>
      <c r="M18" s="133" t="str">
        <f t="shared" si="5"/>
        <v>Great Job</v>
      </c>
      <c r="N18" s="122"/>
      <c r="O18" s="122"/>
      <c r="P18" s="122"/>
      <c r="Q18" s="122"/>
      <c r="R18" s="109"/>
      <c r="S18" s="109"/>
      <c r="T18" s="109"/>
      <c r="U18" s="109"/>
      <c r="V18" s="109"/>
      <c r="W18" s="109"/>
      <c r="X18" s="109"/>
      <c r="Y18" s="109"/>
      <c r="Z18" s="109"/>
      <c r="AA18" s="109"/>
      <c r="AB18" s="109"/>
    </row>
    <row r="19" ht="30.0" customHeight="1">
      <c r="A19" s="120">
        <v>18.0</v>
      </c>
      <c r="B19" s="121">
        <v>2022.0</v>
      </c>
      <c r="C19" s="121" t="s">
        <v>396</v>
      </c>
      <c r="D19" s="122" t="s">
        <v>428</v>
      </c>
      <c r="E19" s="122" t="s">
        <v>226</v>
      </c>
      <c r="F19" s="122" t="s">
        <v>160</v>
      </c>
      <c r="G19" s="122" t="str">
        <f t="shared" si="1"/>
        <v>ADIDAS</v>
      </c>
      <c r="H19" s="124">
        <v>201.72</v>
      </c>
      <c r="I19" s="130">
        <v>174.5</v>
      </c>
      <c r="J19" s="131" t="str">
        <f t="shared" si="2"/>
        <v>Mia Boats</v>
      </c>
      <c r="K19" s="131" t="str">
        <f t="shared" si="3"/>
        <v>GOLD</v>
      </c>
      <c r="L19" s="124">
        <f t="shared" si="4"/>
        <v>27.22</v>
      </c>
      <c r="M19" s="125" t="str">
        <f t="shared" si="5"/>
        <v>Good Job</v>
      </c>
      <c r="N19" s="122"/>
      <c r="O19" s="122"/>
      <c r="P19" s="122"/>
      <c r="Q19" s="122"/>
      <c r="R19" s="109"/>
      <c r="S19" s="109"/>
      <c r="T19" s="109"/>
      <c r="U19" s="109"/>
      <c r="V19" s="109"/>
      <c r="W19" s="109"/>
      <c r="X19" s="109"/>
      <c r="Y19" s="109"/>
      <c r="Z19" s="109"/>
      <c r="AA19" s="109"/>
      <c r="AB19" s="109"/>
    </row>
    <row r="20" ht="30.0" customHeight="1">
      <c r="A20" s="120">
        <v>19.0</v>
      </c>
      <c r="B20" s="121">
        <v>2022.0</v>
      </c>
      <c r="C20" s="121" t="s">
        <v>375</v>
      </c>
      <c r="D20" s="122" t="s">
        <v>429</v>
      </c>
      <c r="E20" s="122" t="s">
        <v>376</v>
      </c>
      <c r="F20" s="122" t="s">
        <v>377</v>
      </c>
      <c r="G20" s="122" t="str">
        <f t="shared" si="1"/>
        <v>JESSICA SIMPSON</v>
      </c>
      <c r="H20" s="124">
        <v>166.98</v>
      </c>
      <c r="I20" s="130">
        <v>70.31</v>
      </c>
      <c r="J20" s="131" t="str">
        <f t="shared" si="2"/>
        <v>Evelyn Lamyl</v>
      </c>
      <c r="K20" s="131" t="str">
        <f t="shared" si="3"/>
        <v>SILVER</v>
      </c>
      <c r="L20" s="132">
        <f t="shared" si="4"/>
        <v>96.67</v>
      </c>
      <c r="M20" s="125" t="str">
        <f t="shared" si="5"/>
        <v>Good Job</v>
      </c>
      <c r="N20" s="122"/>
      <c r="O20" s="122"/>
      <c r="P20" s="122"/>
      <c r="Q20" s="122"/>
      <c r="R20" s="109"/>
      <c r="S20" s="109"/>
      <c r="T20" s="109"/>
      <c r="U20" s="109"/>
      <c r="V20" s="109"/>
      <c r="W20" s="109"/>
      <c r="X20" s="109"/>
      <c r="Y20" s="109"/>
      <c r="Z20" s="109"/>
      <c r="AA20" s="109"/>
      <c r="AB20" s="109"/>
    </row>
    <row r="21" ht="30.0" customHeight="1">
      <c r="A21" s="120">
        <v>20.0</v>
      </c>
      <c r="B21" s="121">
        <v>2020.0</v>
      </c>
      <c r="C21" s="121" t="s">
        <v>378</v>
      </c>
      <c r="D21" s="122" t="s">
        <v>430</v>
      </c>
      <c r="E21" s="122" t="s">
        <v>376</v>
      </c>
      <c r="F21" s="122" t="s">
        <v>374</v>
      </c>
      <c r="G21" s="122" t="str">
        <f t="shared" si="1"/>
        <v>RALPH LAUREN</v>
      </c>
      <c r="H21" s="129">
        <v>304.68</v>
      </c>
      <c r="I21" s="130">
        <v>202.14</v>
      </c>
      <c r="J21" s="131" t="str">
        <f t="shared" si="2"/>
        <v>Harper Metty</v>
      </c>
      <c r="K21" s="131" t="str">
        <f t="shared" si="3"/>
        <v>GOLD</v>
      </c>
      <c r="L21" s="132">
        <f t="shared" si="4"/>
        <v>102.54</v>
      </c>
      <c r="M21" s="133" t="str">
        <f t="shared" si="5"/>
        <v>Great Job</v>
      </c>
      <c r="N21" s="122"/>
      <c r="O21" s="122"/>
      <c r="P21" s="122"/>
      <c r="Q21" s="122"/>
      <c r="R21" s="109"/>
      <c r="S21" s="109"/>
      <c r="T21" s="109"/>
      <c r="U21" s="109"/>
      <c r="V21" s="109"/>
      <c r="W21" s="109"/>
      <c r="X21" s="109"/>
      <c r="Y21" s="109"/>
      <c r="Z21" s="109"/>
      <c r="AA21" s="109"/>
      <c r="AB21" s="109"/>
    </row>
    <row r="22" ht="30.0" customHeight="1">
      <c r="A22" s="120">
        <v>21.0</v>
      </c>
      <c r="B22" s="121">
        <v>2018.0</v>
      </c>
      <c r="C22" s="121" t="s">
        <v>391</v>
      </c>
      <c r="D22" s="122" t="s">
        <v>431</v>
      </c>
      <c r="E22" s="122" t="s">
        <v>390</v>
      </c>
      <c r="F22" s="122" t="s">
        <v>432</v>
      </c>
      <c r="G22" s="122" t="str">
        <f t="shared" si="1"/>
        <v>JESSICA SIMPSON</v>
      </c>
      <c r="H22" s="124">
        <v>123.34</v>
      </c>
      <c r="I22" s="124">
        <v>35.14</v>
      </c>
      <c r="J22" s="131" t="str">
        <f t="shared" si="2"/>
        <v>Emma Tickl</v>
      </c>
      <c r="K22" s="131" t="str">
        <f t="shared" si="3"/>
        <v>SILVER</v>
      </c>
      <c r="L22" s="132">
        <f t="shared" si="4"/>
        <v>88.2</v>
      </c>
      <c r="M22" s="125" t="str">
        <f t="shared" si="5"/>
        <v>Good Job</v>
      </c>
      <c r="N22" s="122"/>
      <c r="O22" s="122"/>
      <c r="P22" s="122"/>
      <c r="Q22" s="122"/>
      <c r="R22" s="109"/>
      <c r="S22" s="109"/>
      <c r="T22" s="109"/>
      <c r="U22" s="109"/>
      <c r="V22" s="109"/>
      <c r="W22" s="109"/>
      <c r="X22" s="109"/>
      <c r="Y22" s="109"/>
      <c r="Z22" s="109"/>
      <c r="AA22" s="109"/>
      <c r="AB22" s="109"/>
    </row>
    <row r="23" ht="30.0" customHeight="1">
      <c r="A23" s="120">
        <v>22.0</v>
      </c>
      <c r="B23" s="121">
        <v>2017.0</v>
      </c>
      <c r="C23" s="121" t="s">
        <v>381</v>
      </c>
      <c r="D23" s="122" t="s">
        <v>433</v>
      </c>
      <c r="E23" s="122" t="s">
        <v>383</v>
      </c>
      <c r="F23" s="122" t="s">
        <v>384</v>
      </c>
      <c r="G23" s="122" t="str">
        <f t="shared" si="1"/>
        <v>TOMMY HILFIGER</v>
      </c>
      <c r="H23" s="129">
        <v>331.62</v>
      </c>
      <c r="I23" s="130">
        <v>176.58</v>
      </c>
      <c r="J23" s="131" t="str">
        <f t="shared" si="2"/>
        <v>Ava Cloud</v>
      </c>
      <c r="K23" s="131" t="str">
        <f t="shared" si="3"/>
        <v>GOLD</v>
      </c>
      <c r="L23" s="132">
        <f t="shared" si="4"/>
        <v>155.04</v>
      </c>
      <c r="M23" s="133" t="str">
        <f t="shared" si="5"/>
        <v>Great Job</v>
      </c>
      <c r="N23" s="122"/>
      <c r="O23" s="122"/>
      <c r="P23" s="122"/>
      <c r="Q23" s="122"/>
      <c r="R23" s="109"/>
      <c r="S23" s="109"/>
      <c r="T23" s="109"/>
      <c r="U23" s="109"/>
      <c r="V23" s="109"/>
      <c r="W23" s="109"/>
      <c r="X23" s="109"/>
      <c r="Y23" s="109"/>
      <c r="Z23" s="109"/>
      <c r="AA23" s="109"/>
      <c r="AB23" s="109"/>
    </row>
    <row r="24" ht="30.0" customHeight="1">
      <c r="A24" s="120">
        <v>23.0</v>
      </c>
      <c r="B24" s="121">
        <v>2021.0</v>
      </c>
      <c r="C24" s="121" t="s">
        <v>389</v>
      </c>
      <c r="D24" s="122" t="s">
        <v>434</v>
      </c>
      <c r="E24" s="122" t="s">
        <v>390</v>
      </c>
      <c r="F24" s="122" t="s">
        <v>384</v>
      </c>
      <c r="G24" s="122" t="str">
        <f t="shared" si="1"/>
        <v>TOMMY HILFIGER</v>
      </c>
      <c r="H24" s="124">
        <v>146.54</v>
      </c>
      <c r="I24" s="130">
        <v>72.7</v>
      </c>
      <c r="J24" s="131" t="str">
        <f t="shared" si="2"/>
        <v>Charlotte Sky </v>
      </c>
      <c r="K24" s="131" t="str">
        <f t="shared" si="3"/>
        <v>SILVER</v>
      </c>
      <c r="L24" s="124">
        <f t="shared" si="4"/>
        <v>73.84</v>
      </c>
      <c r="M24" s="125" t="str">
        <f t="shared" si="5"/>
        <v>Good Job</v>
      </c>
      <c r="N24" s="122"/>
      <c r="O24" s="122"/>
      <c r="P24" s="122"/>
      <c r="Q24" s="122"/>
      <c r="R24" s="109"/>
      <c r="S24" s="109"/>
      <c r="T24" s="109"/>
      <c r="U24" s="109"/>
      <c r="V24" s="109"/>
      <c r="W24" s="109"/>
      <c r="X24" s="109"/>
      <c r="Y24" s="109"/>
      <c r="Z24" s="109"/>
      <c r="AA24" s="109"/>
      <c r="AB24" s="109"/>
    </row>
    <row r="25" ht="30.0" customHeight="1">
      <c r="A25" s="120">
        <v>24.0</v>
      </c>
      <c r="B25" s="121">
        <v>2022.0</v>
      </c>
      <c r="C25" s="121" t="s">
        <v>399</v>
      </c>
      <c r="D25" s="122" t="s">
        <v>435</v>
      </c>
      <c r="E25" s="122" t="s">
        <v>390</v>
      </c>
      <c r="F25" s="122" t="s">
        <v>374</v>
      </c>
      <c r="G25" s="122" t="str">
        <f t="shared" si="1"/>
        <v>RALPH LAUREN</v>
      </c>
      <c r="H25" s="129">
        <v>738.44</v>
      </c>
      <c r="I25" s="130">
        <v>307.15</v>
      </c>
      <c r="J25" s="131" t="str">
        <f t="shared" si="2"/>
        <v>Sophia Earty</v>
      </c>
      <c r="K25" s="131" t="str">
        <f t="shared" si="3"/>
        <v>GOLD</v>
      </c>
      <c r="L25" s="132">
        <f t="shared" si="4"/>
        <v>431.29</v>
      </c>
      <c r="M25" s="133" t="str">
        <f t="shared" si="5"/>
        <v>Great Job</v>
      </c>
      <c r="N25" s="122"/>
      <c r="O25" s="122"/>
      <c r="P25" s="122"/>
      <c r="Q25" s="122"/>
      <c r="R25" s="109"/>
      <c r="S25" s="109"/>
      <c r="T25" s="109"/>
      <c r="U25" s="109"/>
      <c r="V25" s="109"/>
      <c r="W25" s="109"/>
      <c r="X25" s="109"/>
      <c r="Y25" s="109"/>
      <c r="Z25" s="109"/>
      <c r="AA25" s="109"/>
      <c r="AB25" s="109"/>
    </row>
    <row r="26" ht="30.0" customHeight="1">
      <c r="A26" s="120">
        <v>25.0</v>
      </c>
      <c r="B26" s="121">
        <v>2022.0</v>
      </c>
      <c r="C26" s="121" t="s">
        <v>370</v>
      </c>
      <c r="D26" s="122" t="s">
        <v>436</v>
      </c>
      <c r="E26" s="122" t="s">
        <v>371</v>
      </c>
      <c r="F26" s="122" t="s">
        <v>372</v>
      </c>
      <c r="G26" s="122" t="str">
        <f t="shared" si="1"/>
        <v>CALVIN KLEIN</v>
      </c>
      <c r="H26" s="124">
        <v>160.06</v>
      </c>
      <c r="I26" s="124">
        <v>46.74</v>
      </c>
      <c r="J26" s="131" t="str">
        <f t="shared" si="2"/>
        <v>Amelia Snieziy</v>
      </c>
      <c r="K26" s="131" t="str">
        <f t="shared" si="3"/>
        <v>SILVER</v>
      </c>
      <c r="L26" s="132">
        <f t="shared" si="4"/>
        <v>113.32</v>
      </c>
      <c r="M26" s="133" t="str">
        <f t="shared" si="5"/>
        <v>Great Job</v>
      </c>
      <c r="N26" s="122"/>
      <c r="O26" s="122"/>
      <c r="P26" s="122"/>
      <c r="Q26" s="122"/>
      <c r="R26" s="109"/>
      <c r="S26" s="109"/>
      <c r="T26" s="109"/>
      <c r="U26" s="109"/>
      <c r="V26" s="109"/>
      <c r="W26" s="109"/>
      <c r="X26" s="109"/>
      <c r="Y26" s="109"/>
      <c r="Z26" s="109"/>
      <c r="AA26" s="109"/>
      <c r="AB26" s="109"/>
    </row>
    <row r="27" ht="30.0" customHeight="1">
      <c r="A27" s="120">
        <v>26.0</v>
      </c>
      <c r="B27" s="121">
        <v>2016.0</v>
      </c>
      <c r="C27" s="121" t="s">
        <v>396</v>
      </c>
      <c r="D27" s="122" t="s">
        <v>437</v>
      </c>
      <c r="E27" s="122" t="s">
        <v>226</v>
      </c>
      <c r="F27" s="122" t="s">
        <v>160</v>
      </c>
      <c r="G27" s="122" t="str">
        <f t="shared" si="1"/>
        <v>ADIDAS</v>
      </c>
      <c r="H27" s="129">
        <v>401.72</v>
      </c>
      <c r="I27" s="130">
        <v>374.5</v>
      </c>
      <c r="J27" s="131" t="str">
        <f t="shared" si="2"/>
        <v>Mia Sharp</v>
      </c>
      <c r="K27" s="131" t="str">
        <f t="shared" si="3"/>
        <v>GOLD</v>
      </c>
      <c r="L27" s="124">
        <f t="shared" si="4"/>
        <v>27.22</v>
      </c>
      <c r="M27" s="125" t="str">
        <f t="shared" si="5"/>
        <v>Good Job</v>
      </c>
      <c r="N27" s="122"/>
      <c r="O27" s="122"/>
      <c r="P27" s="122"/>
      <c r="Q27" s="122"/>
      <c r="R27" s="109"/>
      <c r="S27" s="109"/>
      <c r="T27" s="109"/>
      <c r="U27" s="109"/>
      <c r="V27" s="109"/>
      <c r="W27" s="109"/>
      <c r="X27" s="109"/>
      <c r="Y27" s="109"/>
      <c r="Z27" s="109"/>
      <c r="AA27" s="109"/>
      <c r="AB27" s="109"/>
    </row>
    <row r="28" ht="30.0" customHeight="1">
      <c r="A28" s="109"/>
      <c r="B28" s="109"/>
      <c r="C28" s="109"/>
      <c r="D28" s="109"/>
      <c r="E28" s="109"/>
      <c r="F28" s="109"/>
      <c r="G28" s="109"/>
      <c r="H28" s="134">
        <f t="shared" ref="H28:I28" si="9">SUM(H2:H27)</f>
        <v>7439.25</v>
      </c>
      <c r="I28" s="134">
        <f t="shared" si="9"/>
        <v>3695.55</v>
      </c>
      <c r="J28" s="109"/>
      <c r="K28" s="109"/>
      <c r="L28" s="135">
        <f>SUM(L2:L27)</f>
        <v>3743.7</v>
      </c>
      <c r="M28" s="109"/>
      <c r="N28" s="109"/>
      <c r="O28" s="109"/>
      <c r="P28" s="109"/>
      <c r="Q28" s="109"/>
      <c r="R28" s="109"/>
      <c r="S28" s="109"/>
      <c r="T28" s="109"/>
      <c r="U28" s="109"/>
      <c r="V28" s="109"/>
      <c r="W28" s="109"/>
      <c r="X28" s="109"/>
      <c r="Y28" s="109"/>
      <c r="Z28" s="109"/>
      <c r="AA28" s="109"/>
      <c r="AB28" s="109"/>
    </row>
    <row r="29" ht="15.75" customHeight="1">
      <c r="A29" s="109"/>
      <c r="B29" s="109"/>
      <c r="C29" s="109"/>
      <c r="D29" s="109"/>
      <c r="E29" s="109"/>
      <c r="F29" s="109"/>
      <c r="G29" s="109"/>
      <c r="H29" s="136"/>
      <c r="I29" s="136"/>
      <c r="J29" s="109"/>
      <c r="K29" s="109"/>
      <c r="L29" s="137"/>
      <c r="M29" s="109"/>
      <c r="N29" s="109"/>
      <c r="O29" s="109"/>
      <c r="P29" s="109"/>
      <c r="Q29" s="109"/>
      <c r="R29" s="109"/>
      <c r="S29" s="109"/>
      <c r="T29" s="109"/>
      <c r="U29" s="109"/>
      <c r="V29" s="109"/>
      <c r="W29" s="109"/>
      <c r="X29" s="109"/>
      <c r="Y29" s="109"/>
      <c r="Z29" s="109"/>
      <c r="AA29" s="109"/>
      <c r="AB29" s="109"/>
    </row>
    <row r="30" ht="15.75" customHeight="1">
      <c r="A30" s="109"/>
      <c r="B30" s="109"/>
      <c r="C30" s="109"/>
      <c r="D30" s="109"/>
      <c r="E30" s="109"/>
      <c r="F30" s="109"/>
      <c r="G30" s="109"/>
      <c r="H30" s="136"/>
      <c r="I30" s="136"/>
      <c r="J30" s="109"/>
      <c r="K30" s="109"/>
      <c r="L30" s="137"/>
      <c r="M30" s="109"/>
      <c r="N30" s="109"/>
      <c r="O30" s="109"/>
      <c r="P30" s="109"/>
      <c r="Q30" s="109"/>
      <c r="R30" s="109"/>
      <c r="S30" s="109"/>
      <c r="T30" s="109"/>
      <c r="U30" s="109"/>
      <c r="V30" s="109"/>
      <c r="W30" s="109"/>
      <c r="X30" s="109"/>
      <c r="Y30" s="109"/>
      <c r="Z30" s="109"/>
      <c r="AA30" s="109"/>
      <c r="AB30" s="109"/>
    </row>
    <row r="31" ht="15.75" customHeight="1">
      <c r="A31" s="109"/>
      <c r="B31" s="109"/>
      <c r="C31" s="109"/>
      <c r="D31" s="109"/>
      <c r="E31" s="109"/>
      <c r="F31" s="109"/>
      <c r="G31" s="109"/>
      <c r="H31" s="136"/>
      <c r="I31" s="136"/>
      <c r="J31" s="109"/>
      <c r="K31" s="109"/>
      <c r="L31" s="137"/>
      <c r="M31" s="109"/>
      <c r="N31" s="109"/>
      <c r="O31" s="109"/>
      <c r="P31" s="109"/>
      <c r="Q31" s="109"/>
      <c r="R31" s="109"/>
      <c r="S31" s="109"/>
      <c r="T31" s="109"/>
      <c r="U31" s="109"/>
      <c r="V31" s="109"/>
      <c r="W31" s="109"/>
      <c r="X31" s="109"/>
      <c r="Y31" s="109"/>
      <c r="Z31" s="109"/>
      <c r="AA31" s="109"/>
      <c r="AB31" s="109"/>
    </row>
    <row r="32" ht="15.75" customHeight="1">
      <c r="A32" s="109"/>
      <c r="B32" s="109"/>
      <c r="C32" s="109"/>
      <c r="D32" s="109"/>
      <c r="E32" s="109"/>
      <c r="F32" s="109"/>
      <c r="G32" s="109"/>
      <c r="H32" s="136"/>
      <c r="I32" s="136"/>
      <c r="J32" s="109"/>
      <c r="K32" s="109"/>
      <c r="L32" s="137"/>
      <c r="M32" s="109"/>
      <c r="N32" s="109"/>
      <c r="O32" s="109"/>
      <c r="P32" s="109"/>
      <c r="Q32" s="109"/>
      <c r="R32" s="109"/>
      <c r="S32" s="109"/>
      <c r="T32" s="109"/>
      <c r="U32" s="109"/>
      <c r="V32" s="109"/>
      <c r="W32" s="109"/>
      <c r="X32" s="109"/>
      <c r="Y32" s="109"/>
      <c r="Z32" s="109"/>
      <c r="AA32" s="109"/>
      <c r="AB32" s="109"/>
    </row>
    <row r="33" ht="15.75" customHeight="1">
      <c r="A33" s="109"/>
      <c r="B33" s="109"/>
      <c r="C33" s="109"/>
      <c r="D33" s="109"/>
      <c r="E33" s="109"/>
      <c r="F33" s="109"/>
      <c r="G33" s="109"/>
      <c r="H33" s="136"/>
      <c r="I33" s="136"/>
      <c r="J33" s="109"/>
      <c r="K33" s="109"/>
      <c r="L33" s="109"/>
      <c r="M33" s="109"/>
      <c r="N33" s="109"/>
      <c r="O33" s="109"/>
      <c r="P33" s="109"/>
      <c r="Q33" s="109"/>
      <c r="R33" s="109"/>
      <c r="S33" s="109"/>
      <c r="T33" s="109"/>
      <c r="U33" s="109"/>
      <c r="V33" s="109"/>
      <c r="W33" s="109"/>
      <c r="X33" s="109"/>
      <c r="Y33" s="109"/>
      <c r="Z33" s="109"/>
      <c r="AA33" s="109"/>
      <c r="AB33" s="109"/>
    </row>
    <row r="34" ht="15.75" customHeight="1">
      <c r="A34" s="109"/>
      <c r="B34" s="109"/>
      <c r="C34" s="109"/>
      <c r="D34" s="109"/>
      <c r="E34" s="109"/>
      <c r="F34" s="109"/>
      <c r="G34" s="109"/>
      <c r="H34" s="136"/>
      <c r="I34" s="136"/>
      <c r="J34" s="109"/>
      <c r="K34" s="109"/>
      <c r="L34" s="109"/>
      <c r="M34" s="109"/>
      <c r="N34" s="109"/>
      <c r="O34" s="109"/>
      <c r="P34" s="109"/>
      <c r="Q34" s="109"/>
      <c r="R34" s="109"/>
      <c r="S34" s="109"/>
      <c r="T34" s="109"/>
      <c r="U34" s="109"/>
      <c r="V34" s="109"/>
      <c r="W34" s="109"/>
      <c r="X34" s="109"/>
      <c r="Y34" s="109"/>
      <c r="Z34" s="109"/>
      <c r="AA34" s="109"/>
      <c r="AB34" s="109"/>
    </row>
    <row r="35" ht="15.75" customHeight="1">
      <c r="A35" s="109"/>
      <c r="B35" s="109"/>
      <c r="C35" s="109"/>
      <c r="D35" s="109"/>
      <c r="E35" s="109"/>
      <c r="F35" s="109"/>
      <c r="G35" s="109"/>
      <c r="H35" s="136"/>
      <c r="I35" s="136"/>
      <c r="J35" s="109"/>
      <c r="K35" s="109"/>
      <c r="L35" s="109"/>
      <c r="M35" s="109"/>
      <c r="N35" s="109"/>
      <c r="O35" s="109"/>
      <c r="P35" s="109"/>
      <c r="Q35" s="109"/>
      <c r="R35" s="109"/>
      <c r="S35" s="109"/>
      <c r="T35" s="109"/>
      <c r="U35" s="109"/>
      <c r="V35" s="109"/>
      <c r="W35" s="109"/>
      <c r="X35" s="109"/>
      <c r="Y35" s="109"/>
      <c r="Z35" s="109"/>
      <c r="AA35" s="109"/>
      <c r="AB35" s="109"/>
    </row>
    <row r="36" ht="15.75" customHeight="1">
      <c r="A36" s="109"/>
      <c r="B36" s="109"/>
      <c r="C36" s="109"/>
      <c r="D36" s="109"/>
      <c r="E36" s="109"/>
      <c r="F36" s="109"/>
      <c r="G36" s="109"/>
      <c r="H36" s="136"/>
      <c r="I36" s="136"/>
      <c r="J36" s="109"/>
      <c r="K36" s="109"/>
      <c r="L36" s="109"/>
      <c r="M36" s="109"/>
      <c r="N36" s="109"/>
      <c r="O36" s="109"/>
      <c r="P36" s="109"/>
      <c r="Q36" s="109"/>
      <c r="R36" s="109"/>
      <c r="S36" s="109"/>
      <c r="T36" s="109"/>
      <c r="U36" s="109"/>
      <c r="V36" s="109"/>
      <c r="W36" s="109"/>
      <c r="X36" s="109"/>
      <c r="Y36" s="109"/>
      <c r="Z36" s="109"/>
      <c r="AA36" s="109"/>
      <c r="AB36" s="109"/>
    </row>
    <row r="37" ht="15.75" customHeight="1">
      <c r="A37" s="109"/>
      <c r="B37" s="109"/>
      <c r="C37" s="109"/>
      <c r="D37" s="109"/>
      <c r="E37" s="109"/>
      <c r="F37" s="109"/>
      <c r="G37" s="109"/>
      <c r="H37" s="136"/>
      <c r="I37" s="136"/>
      <c r="J37" s="109"/>
      <c r="K37" s="109"/>
      <c r="L37" s="109"/>
      <c r="M37" s="109"/>
      <c r="N37" s="109"/>
      <c r="O37" s="109"/>
      <c r="P37" s="109"/>
      <c r="Q37" s="109"/>
      <c r="R37" s="109"/>
      <c r="S37" s="109"/>
      <c r="T37" s="109"/>
      <c r="U37" s="109"/>
      <c r="V37" s="109"/>
      <c r="W37" s="109"/>
      <c r="X37" s="109"/>
      <c r="Y37" s="109"/>
      <c r="Z37" s="109"/>
      <c r="AA37" s="109"/>
      <c r="AB37" s="109"/>
    </row>
    <row r="38" ht="15.75" customHeight="1">
      <c r="A38" s="109"/>
      <c r="B38" s="109"/>
      <c r="C38" s="109"/>
      <c r="D38" s="109"/>
      <c r="E38" s="109"/>
      <c r="F38" s="109"/>
      <c r="G38" s="109"/>
      <c r="H38" s="136"/>
      <c r="I38" s="136"/>
      <c r="J38" s="109"/>
      <c r="K38" s="109"/>
      <c r="L38" s="109"/>
      <c r="M38" s="109"/>
      <c r="N38" s="109"/>
      <c r="O38" s="109"/>
      <c r="P38" s="109"/>
      <c r="Q38" s="109"/>
      <c r="R38" s="109"/>
      <c r="S38" s="109"/>
      <c r="T38" s="109"/>
      <c r="U38" s="109"/>
      <c r="V38" s="109"/>
      <c r="W38" s="109"/>
      <c r="X38" s="109"/>
      <c r="Y38" s="109"/>
      <c r="Z38" s="109"/>
      <c r="AA38" s="109"/>
      <c r="AB38" s="109"/>
    </row>
    <row r="39" ht="15.75" customHeight="1">
      <c r="A39" s="109"/>
      <c r="B39" s="109"/>
      <c r="C39" s="109"/>
      <c r="D39" s="109"/>
      <c r="E39" s="109"/>
      <c r="F39" s="109"/>
      <c r="G39" s="109"/>
      <c r="H39" s="136"/>
      <c r="I39" s="136"/>
      <c r="J39" s="109"/>
      <c r="K39" s="109"/>
      <c r="L39" s="109"/>
      <c r="M39" s="109"/>
      <c r="N39" s="109"/>
      <c r="O39" s="109"/>
      <c r="P39" s="109"/>
      <c r="Q39" s="109"/>
      <c r="R39" s="109"/>
      <c r="S39" s="109"/>
      <c r="T39" s="109"/>
      <c r="U39" s="109"/>
      <c r="V39" s="109"/>
      <c r="W39" s="109"/>
      <c r="X39" s="109"/>
      <c r="Y39" s="109"/>
      <c r="Z39" s="109"/>
      <c r="AA39" s="109"/>
      <c r="AB39" s="109"/>
    </row>
    <row r="40" ht="15.75" customHeight="1">
      <c r="A40" s="109"/>
      <c r="B40" s="109"/>
      <c r="C40" s="109"/>
      <c r="D40" s="109"/>
      <c r="E40" s="109"/>
      <c r="F40" s="109"/>
      <c r="G40" s="109"/>
      <c r="H40" s="136"/>
      <c r="I40" s="136"/>
      <c r="J40" s="109"/>
      <c r="K40" s="109"/>
      <c r="L40" s="109"/>
      <c r="M40" s="109"/>
      <c r="N40" s="109"/>
      <c r="O40" s="109"/>
      <c r="P40" s="109"/>
      <c r="Q40" s="109"/>
      <c r="R40" s="109"/>
      <c r="S40" s="109"/>
      <c r="T40" s="109"/>
      <c r="U40" s="109"/>
      <c r="V40" s="109"/>
      <c r="W40" s="109"/>
      <c r="X40" s="109"/>
      <c r="Y40" s="109"/>
      <c r="Z40" s="109"/>
      <c r="AA40" s="109"/>
      <c r="AB40" s="109"/>
    </row>
    <row r="41" ht="15.75" customHeight="1">
      <c r="A41" s="109"/>
      <c r="B41" s="109"/>
      <c r="C41" s="109"/>
      <c r="D41" s="109"/>
      <c r="E41" s="109"/>
      <c r="F41" s="109"/>
      <c r="G41" s="109"/>
      <c r="H41" s="136"/>
      <c r="I41" s="136"/>
      <c r="J41" s="109"/>
      <c r="K41" s="109"/>
      <c r="L41" s="109"/>
      <c r="M41" s="109"/>
      <c r="N41" s="109"/>
      <c r="O41" s="109"/>
      <c r="P41" s="109"/>
      <c r="Q41" s="109"/>
      <c r="R41" s="109"/>
      <c r="S41" s="109"/>
      <c r="T41" s="109"/>
      <c r="U41" s="109"/>
      <c r="V41" s="109"/>
      <c r="W41" s="109"/>
      <c r="X41" s="109"/>
      <c r="Y41" s="109"/>
      <c r="Z41" s="109"/>
      <c r="AA41" s="109"/>
      <c r="AB41" s="109"/>
    </row>
    <row r="42" ht="15.75" customHeight="1">
      <c r="A42" s="109"/>
      <c r="B42" s="109"/>
      <c r="C42" s="109"/>
      <c r="D42" s="109"/>
      <c r="E42" s="109"/>
      <c r="F42" s="109"/>
      <c r="G42" s="109"/>
      <c r="H42" s="136"/>
      <c r="I42" s="136"/>
      <c r="J42" s="109"/>
      <c r="K42" s="109"/>
      <c r="L42" s="109"/>
      <c r="M42" s="109"/>
      <c r="N42" s="109"/>
      <c r="O42" s="109"/>
      <c r="P42" s="109"/>
      <c r="Q42" s="109"/>
      <c r="R42" s="109"/>
      <c r="S42" s="109"/>
      <c r="T42" s="109"/>
      <c r="U42" s="109"/>
      <c r="V42" s="109"/>
      <c r="W42" s="109"/>
      <c r="X42" s="109"/>
      <c r="Y42" s="109"/>
      <c r="Z42" s="109"/>
      <c r="AA42" s="109"/>
      <c r="AB42" s="109"/>
    </row>
    <row r="43" ht="15.75" customHeight="1">
      <c r="A43" s="109"/>
      <c r="B43" s="109"/>
      <c r="C43" s="109"/>
      <c r="D43" s="109"/>
      <c r="E43" s="109"/>
      <c r="F43" s="109"/>
      <c r="G43" s="109"/>
      <c r="H43" s="136"/>
      <c r="I43" s="136"/>
      <c r="J43" s="109"/>
      <c r="K43" s="109"/>
      <c r="L43" s="109"/>
      <c r="M43" s="109"/>
      <c r="N43" s="109"/>
      <c r="O43" s="109"/>
      <c r="P43" s="109"/>
      <c r="Q43" s="109"/>
      <c r="R43" s="109"/>
      <c r="S43" s="109"/>
      <c r="T43" s="109"/>
      <c r="U43" s="109"/>
      <c r="V43" s="109"/>
      <c r="W43" s="109"/>
      <c r="X43" s="109"/>
      <c r="Y43" s="109"/>
      <c r="Z43" s="109"/>
      <c r="AA43" s="109"/>
      <c r="AB43" s="109"/>
    </row>
    <row r="44" ht="15.75" customHeight="1">
      <c r="A44" s="109"/>
      <c r="B44" s="109"/>
      <c r="C44" s="109"/>
      <c r="D44" s="109"/>
      <c r="E44" s="109"/>
      <c r="F44" s="109"/>
      <c r="G44" s="109"/>
      <c r="H44" s="136"/>
      <c r="I44" s="136"/>
      <c r="J44" s="109"/>
      <c r="K44" s="109"/>
      <c r="L44" s="109"/>
      <c r="M44" s="109"/>
      <c r="N44" s="109"/>
      <c r="O44" s="109"/>
      <c r="P44" s="109"/>
      <c r="Q44" s="109"/>
      <c r="R44" s="109"/>
      <c r="S44" s="109"/>
      <c r="T44" s="109"/>
      <c r="U44" s="109"/>
      <c r="V44" s="109"/>
      <c r="W44" s="109"/>
      <c r="X44" s="109"/>
      <c r="Y44" s="109"/>
      <c r="Z44" s="109"/>
      <c r="AA44" s="109"/>
      <c r="AB44" s="109"/>
    </row>
    <row r="45" ht="15.75" customHeight="1">
      <c r="A45" s="109"/>
      <c r="B45" s="109"/>
      <c r="C45" s="109"/>
      <c r="D45" s="109"/>
      <c r="E45" s="109"/>
      <c r="F45" s="109"/>
      <c r="G45" s="109"/>
      <c r="H45" s="136"/>
      <c r="I45" s="136"/>
      <c r="J45" s="109"/>
      <c r="K45" s="109"/>
      <c r="L45" s="109"/>
      <c r="M45" s="109"/>
      <c r="N45" s="109"/>
      <c r="O45" s="109"/>
      <c r="P45" s="109"/>
      <c r="Q45" s="109"/>
      <c r="R45" s="109"/>
      <c r="S45" s="109"/>
      <c r="T45" s="109"/>
      <c r="U45" s="109"/>
      <c r="V45" s="109"/>
      <c r="W45" s="109"/>
      <c r="X45" s="109"/>
      <c r="Y45" s="109"/>
      <c r="Z45" s="109"/>
      <c r="AA45" s="109"/>
      <c r="AB45" s="109"/>
    </row>
    <row r="46" ht="15.75" customHeight="1">
      <c r="A46" s="109"/>
      <c r="B46" s="109"/>
      <c r="C46" s="109"/>
      <c r="D46" s="109"/>
      <c r="E46" s="109"/>
      <c r="F46" s="109"/>
      <c r="G46" s="109"/>
      <c r="H46" s="136"/>
      <c r="I46" s="136"/>
      <c r="J46" s="109"/>
      <c r="K46" s="109"/>
      <c r="L46" s="109"/>
      <c r="M46" s="109"/>
      <c r="N46" s="109"/>
      <c r="O46" s="109"/>
      <c r="P46" s="109"/>
      <c r="Q46" s="109"/>
      <c r="R46" s="109"/>
      <c r="S46" s="109"/>
      <c r="T46" s="109"/>
      <c r="U46" s="109"/>
      <c r="V46" s="109"/>
      <c r="W46" s="109"/>
      <c r="X46" s="109"/>
      <c r="Y46" s="109"/>
      <c r="Z46" s="109"/>
      <c r="AA46" s="109"/>
      <c r="AB46" s="109"/>
    </row>
    <row r="47" ht="15.75" customHeight="1">
      <c r="A47" s="109"/>
      <c r="B47" s="109"/>
      <c r="C47" s="109"/>
      <c r="D47" s="109"/>
      <c r="E47" s="109"/>
      <c r="F47" s="109"/>
      <c r="G47" s="109"/>
      <c r="H47" s="136"/>
      <c r="I47" s="136"/>
      <c r="J47" s="109"/>
      <c r="K47" s="109"/>
      <c r="L47" s="109"/>
      <c r="M47" s="109"/>
      <c r="N47" s="109"/>
      <c r="O47" s="109"/>
      <c r="P47" s="109"/>
      <c r="Q47" s="109"/>
      <c r="R47" s="109"/>
      <c r="S47" s="109"/>
      <c r="T47" s="109"/>
      <c r="U47" s="109"/>
      <c r="V47" s="109"/>
      <c r="W47" s="109"/>
      <c r="X47" s="109"/>
      <c r="Y47" s="109"/>
      <c r="Z47" s="109"/>
      <c r="AA47" s="109"/>
      <c r="AB47" s="109"/>
    </row>
    <row r="48" ht="15.75" customHeight="1">
      <c r="A48" s="109"/>
      <c r="B48" s="109"/>
      <c r="C48" s="109"/>
      <c r="D48" s="109"/>
      <c r="E48" s="109"/>
      <c r="F48" s="109"/>
      <c r="G48" s="109"/>
      <c r="H48" s="136"/>
      <c r="I48" s="136"/>
      <c r="J48" s="109"/>
      <c r="K48" s="109"/>
      <c r="L48" s="109"/>
      <c r="M48" s="109"/>
      <c r="N48" s="109"/>
      <c r="O48" s="109"/>
      <c r="P48" s="109"/>
      <c r="Q48" s="109"/>
      <c r="R48" s="109"/>
      <c r="S48" s="109"/>
      <c r="T48" s="109"/>
      <c r="U48" s="109"/>
      <c r="V48" s="109"/>
      <c r="W48" s="109"/>
      <c r="X48" s="109"/>
      <c r="Y48" s="109"/>
      <c r="Z48" s="109"/>
      <c r="AA48" s="109"/>
      <c r="AB48" s="109"/>
    </row>
    <row r="49" ht="15.75" customHeight="1">
      <c r="A49" s="109"/>
      <c r="B49" s="109"/>
      <c r="C49" s="109"/>
      <c r="D49" s="109"/>
      <c r="E49" s="109"/>
      <c r="F49" s="109"/>
      <c r="G49" s="109"/>
      <c r="H49" s="136"/>
      <c r="I49" s="136"/>
      <c r="J49" s="109"/>
      <c r="K49" s="109"/>
      <c r="L49" s="109"/>
      <c r="M49" s="109"/>
      <c r="N49" s="109"/>
      <c r="O49" s="109"/>
      <c r="P49" s="109"/>
      <c r="Q49" s="109"/>
      <c r="R49" s="109"/>
      <c r="S49" s="109"/>
      <c r="T49" s="109"/>
      <c r="U49" s="109"/>
      <c r="V49" s="109"/>
      <c r="W49" s="109"/>
      <c r="X49" s="109"/>
      <c r="Y49" s="109"/>
      <c r="Z49" s="109"/>
      <c r="AA49" s="109"/>
      <c r="AB49" s="109"/>
    </row>
    <row r="50" ht="15.75" customHeight="1">
      <c r="A50" s="109"/>
      <c r="B50" s="109"/>
      <c r="C50" s="109"/>
      <c r="D50" s="109"/>
      <c r="E50" s="109"/>
      <c r="F50" s="109"/>
      <c r="G50" s="109"/>
      <c r="H50" s="136"/>
      <c r="I50" s="136"/>
      <c r="J50" s="109"/>
      <c r="K50" s="109"/>
      <c r="L50" s="109"/>
      <c r="M50" s="109"/>
      <c r="N50" s="109"/>
      <c r="O50" s="109"/>
      <c r="P50" s="109"/>
      <c r="Q50" s="109"/>
      <c r="R50" s="109"/>
      <c r="S50" s="109"/>
      <c r="T50" s="109"/>
      <c r="U50" s="109"/>
      <c r="V50" s="109"/>
      <c r="W50" s="109"/>
      <c r="X50" s="109"/>
      <c r="Y50" s="109"/>
      <c r="Z50" s="109"/>
      <c r="AA50" s="109"/>
      <c r="AB50" s="109"/>
    </row>
    <row r="51" ht="15.75" customHeight="1">
      <c r="A51" s="109"/>
      <c r="B51" s="109"/>
      <c r="C51" s="109"/>
      <c r="D51" s="109"/>
      <c r="E51" s="109"/>
      <c r="F51" s="109"/>
      <c r="G51" s="109"/>
      <c r="H51" s="136"/>
      <c r="I51" s="136"/>
      <c r="J51" s="109"/>
      <c r="K51" s="109"/>
      <c r="L51" s="109"/>
      <c r="M51" s="109"/>
      <c r="N51" s="109"/>
      <c r="O51" s="109"/>
      <c r="P51" s="109"/>
      <c r="Q51" s="109"/>
      <c r="R51" s="109"/>
      <c r="S51" s="109"/>
      <c r="T51" s="109"/>
      <c r="U51" s="109"/>
      <c r="V51" s="109"/>
      <c r="W51" s="109"/>
      <c r="X51" s="109"/>
      <c r="Y51" s="109"/>
      <c r="Z51" s="109"/>
      <c r="AA51" s="109"/>
      <c r="AB51" s="109"/>
    </row>
    <row r="52" ht="15.75" customHeight="1">
      <c r="A52" s="109"/>
      <c r="B52" s="109"/>
      <c r="C52" s="109"/>
      <c r="D52" s="109"/>
      <c r="E52" s="109"/>
      <c r="F52" s="109"/>
      <c r="G52" s="109"/>
      <c r="H52" s="136"/>
      <c r="I52" s="136"/>
      <c r="J52" s="109"/>
      <c r="K52" s="109"/>
      <c r="L52" s="109"/>
      <c r="M52" s="109"/>
      <c r="N52" s="109"/>
      <c r="O52" s="109"/>
      <c r="P52" s="109"/>
      <c r="Q52" s="109"/>
      <c r="R52" s="109"/>
      <c r="S52" s="109"/>
      <c r="T52" s="109"/>
      <c r="U52" s="109"/>
      <c r="V52" s="109"/>
      <c r="W52" s="109"/>
      <c r="X52" s="109"/>
      <c r="Y52" s="109"/>
      <c r="Z52" s="109"/>
      <c r="AA52" s="109"/>
      <c r="AB52" s="109"/>
    </row>
    <row r="53" ht="15.75" customHeight="1">
      <c r="A53" s="109"/>
      <c r="B53" s="109"/>
      <c r="C53" s="109"/>
      <c r="D53" s="109"/>
      <c r="E53" s="109"/>
      <c r="F53" s="109"/>
      <c r="G53" s="109"/>
      <c r="H53" s="136"/>
      <c r="I53" s="136"/>
      <c r="J53" s="109"/>
      <c r="K53" s="109"/>
      <c r="L53" s="109"/>
      <c r="M53" s="109"/>
      <c r="N53" s="109"/>
      <c r="O53" s="109"/>
      <c r="P53" s="109"/>
      <c r="Q53" s="109"/>
      <c r="R53" s="109"/>
      <c r="S53" s="109"/>
      <c r="T53" s="109"/>
      <c r="U53" s="109"/>
      <c r="V53" s="109"/>
      <c r="W53" s="109"/>
      <c r="X53" s="109"/>
      <c r="Y53" s="109"/>
      <c r="Z53" s="109"/>
      <c r="AA53" s="109"/>
      <c r="AB53" s="109"/>
    </row>
    <row r="54" ht="15.75" customHeight="1">
      <c r="A54" s="109"/>
      <c r="B54" s="109"/>
      <c r="C54" s="109"/>
      <c r="D54" s="109"/>
      <c r="E54" s="109"/>
      <c r="F54" s="109"/>
      <c r="G54" s="109"/>
      <c r="H54" s="136"/>
      <c r="I54" s="136"/>
      <c r="J54" s="109"/>
      <c r="K54" s="109"/>
      <c r="L54" s="109"/>
      <c r="M54" s="109"/>
      <c r="N54" s="109"/>
      <c r="O54" s="109"/>
      <c r="P54" s="109"/>
      <c r="Q54" s="109"/>
      <c r="R54" s="109"/>
      <c r="S54" s="109"/>
      <c r="T54" s="109"/>
      <c r="U54" s="109"/>
      <c r="V54" s="109"/>
      <c r="W54" s="109"/>
      <c r="X54" s="109"/>
      <c r="Y54" s="109"/>
      <c r="Z54" s="109"/>
      <c r="AA54" s="109"/>
      <c r="AB54" s="109"/>
    </row>
    <row r="55" ht="15.75" customHeight="1">
      <c r="A55" s="109"/>
      <c r="B55" s="109"/>
      <c r="C55" s="109"/>
      <c r="D55" s="109"/>
      <c r="E55" s="109"/>
      <c r="F55" s="109"/>
      <c r="G55" s="109"/>
      <c r="H55" s="136"/>
      <c r="I55" s="136"/>
      <c r="J55" s="109"/>
      <c r="K55" s="109"/>
      <c r="L55" s="109"/>
      <c r="M55" s="109"/>
      <c r="N55" s="109"/>
      <c r="O55" s="109"/>
      <c r="P55" s="109"/>
      <c r="Q55" s="109"/>
      <c r="R55" s="109"/>
      <c r="S55" s="109"/>
      <c r="T55" s="109"/>
      <c r="U55" s="109"/>
      <c r="V55" s="109"/>
      <c r="W55" s="109"/>
      <c r="X55" s="109"/>
      <c r="Y55" s="109"/>
      <c r="Z55" s="109"/>
      <c r="AA55" s="109"/>
      <c r="AB55" s="109"/>
    </row>
    <row r="56" ht="15.75" customHeight="1">
      <c r="A56" s="109"/>
      <c r="B56" s="109"/>
      <c r="C56" s="109"/>
      <c r="D56" s="109"/>
      <c r="E56" s="109"/>
      <c r="F56" s="109"/>
      <c r="G56" s="109"/>
      <c r="H56" s="136"/>
      <c r="I56" s="136"/>
      <c r="J56" s="109"/>
      <c r="K56" s="109"/>
      <c r="L56" s="109"/>
      <c r="M56" s="109"/>
      <c r="N56" s="109"/>
      <c r="O56" s="109"/>
      <c r="P56" s="109"/>
      <c r="Q56" s="109"/>
      <c r="R56" s="109"/>
      <c r="S56" s="109"/>
      <c r="T56" s="109"/>
      <c r="U56" s="109"/>
      <c r="V56" s="109"/>
      <c r="W56" s="109"/>
      <c r="X56" s="109"/>
      <c r="Y56" s="109"/>
      <c r="Z56" s="109"/>
      <c r="AA56" s="109"/>
      <c r="AB56" s="109"/>
    </row>
    <row r="57" ht="15.75" customHeight="1">
      <c r="A57" s="109"/>
      <c r="B57" s="109"/>
      <c r="C57" s="109"/>
      <c r="D57" s="109"/>
      <c r="E57" s="109"/>
      <c r="F57" s="109"/>
      <c r="G57" s="109"/>
      <c r="H57" s="136"/>
      <c r="I57" s="136"/>
      <c r="J57" s="109"/>
      <c r="K57" s="109"/>
      <c r="L57" s="109"/>
      <c r="M57" s="109"/>
      <c r="N57" s="109"/>
      <c r="O57" s="109"/>
      <c r="P57" s="109"/>
      <c r="Q57" s="109"/>
      <c r="R57" s="109"/>
      <c r="S57" s="109"/>
      <c r="T57" s="109"/>
      <c r="U57" s="109"/>
      <c r="V57" s="109"/>
      <c r="W57" s="109"/>
      <c r="X57" s="109"/>
      <c r="Y57" s="109"/>
      <c r="Z57" s="109"/>
      <c r="AA57" s="109"/>
      <c r="AB57" s="109"/>
    </row>
    <row r="58" ht="15.75" customHeight="1">
      <c r="A58" s="109"/>
      <c r="B58" s="109"/>
      <c r="C58" s="109"/>
      <c r="D58" s="109"/>
      <c r="E58" s="109"/>
      <c r="F58" s="109"/>
      <c r="G58" s="109"/>
      <c r="H58" s="136"/>
      <c r="I58" s="136"/>
      <c r="J58" s="109"/>
      <c r="K58" s="109"/>
      <c r="L58" s="109"/>
      <c r="M58" s="109"/>
      <c r="N58" s="109"/>
      <c r="O58" s="109"/>
      <c r="P58" s="109"/>
      <c r="Q58" s="109"/>
      <c r="R58" s="109"/>
      <c r="S58" s="109"/>
      <c r="T58" s="109"/>
      <c r="U58" s="109"/>
      <c r="V58" s="109"/>
      <c r="W58" s="109"/>
      <c r="X58" s="109"/>
      <c r="Y58" s="109"/>
      <c r="Z58" s="109"/>
      <c r="AA58" s="109"/>
      <c r="AB58" s="109"/>
    </row>
    <row r="59" ht="15.75" customHeight="1">
      <c r="A59" s="109"/>
      <c r="B59" s="109"/>
      <c r="C59" s="109"/>
      <c r="D59" s="109"/>
      <c r="E59" s="109"/>
      <c r="F59" s="109"/>
      <c r="G59" s="109"/>
      <c r="H59" s="136"/>
      <c r="I59" s="136"/>
      <c r="J59" s="109"/>
      <c r="K59" s="109"/>
      <c r="L59" s="109"/>
      <c r="M59" s="109"/>
      <c r="N59" s="109"/>
      <c r="O59" s="109"/>
      <c r="P59" s="109"/>
      <c r="Q59" s="109"/>
      <c r="R59" s="109"/>
      <c r="S59" s="109"/>
      <c r="T59" s="109"/>
      <c r="U59" s="109"/>
      <c r="V59" s="109"/>
      <c r="W59" s="109"/>
      <c r="X59" s="109"/>
      <c r="Y59" s="109"/>
      <c r="Z59" s="109"/>
      <c r="AA59" s="109"/>
      <c r="AB59" s="109"/>
    </row>
    <row r="60" ht="15.75" customHeight="1">
      <c r="A60" s="109"/>
      <c r="B60" s="109"/>
      <c r="C60" s="109"/>
      <c r="D60" s="109"/>
      <c r="E60" s="109"/>
      <c r="F60" s="109"/>
      <c r="G60" s="109"/>
      <c r="H60" s="136"/>
      <c r="I60" s="136"/>
      <c r="J60" s="109"/>
      <c r="K60" s="109"/>
      <c r="L60" s="109"/>
      <c r="M60" s="109"/>
      <c r="N60" s="109"/>
      <c r="O60" s="109"/>
      <c r="P60" s="109"/>
      <c r="Q60" s="109"/>
      <c r="R60" s="109"/>
      <c r="S60" s="109"/>
      <c r="T60" s="109"/>
      <c r="U60" s="109"/>
      <c r="V60" s="109"/>
      <c r="W60" s="109"/>
      <c r="X60" s="109"/>
      <c r="Y60" s="109"/>
      <c r="Z60" s="109"/>
      <c r="AA60" s="109"/>
      <c r="AB60" s="109"/>
    </row>
    <row r="61" ht="15.75" customHeight="1">
      <c r="A61" s="109"/>
      <c r="B61" s="109"/>
      <c r="C61" s="109"/>
      <c r="D61" s="109"/>
      <c r="E61" s="109"/>
      <c r="F61" s="109"/>
      <c r="G61" s="109"/>
      <c r="H61" s="136"/>
      <c r="I61" s="136"/>
      <c r="J61" s="109"/>
      <c r="K61" s="109"/>
      <c r="L61" s="109"/>
      <c r="M61" s="109"/>
      <c r="N61" s="109"/>
      <c r="O61" s="109"/>
      <c r="P61" s="109"/>
      <c r="Q61" s="109"/>
      <c r="R61" s="109"/>
      <c r="S61" s="109"/>
      <c r="T61" s="109"/>
      <c r="U61" s="109"/>
      <c r="V61" s="109"/>
      <c r="W61" s="109"/>
      <c r="X61" s="109"/>
      <c r="Y61" s="109"/>
      <c r="Z61" s="109"/>
      <c r="AA61" s="109"/>
      <c r="AB61" s="109"/>
    </row>
    <row r="62" ht="15.75" customHeight="1">
      <c r="A62" s="109"/>
      <c r="B62" s="109"/>
      <c r="C62" s="109"/>
      <c r="D62" s="109"/>
      <c r="E62" s="109"/>
      <c r="F62" s="109"/>
      <c r="G62" s="109"/>
      <c r="H62" s="136"/>
      <c r="I62" s="136"/>
      <c r="J62" s="109"/>
      <c r="K62" s="109"/>
      <c r="L62" s="109"/>
      <c r="M62" s="109"/>
      <c r="N62" s="109"/>
      <c r="O62" s="109"/>
      <c r="P62" s="109"/>
      <c r="Q62" s="109"/>
      <c r="R62" s="109"/>
      <c r="S62" s="109"/>
      <c r="T62" s="109"/>
      <c r="U62" s="109"/>
      <c r="V62" s="109"/>
      <c r="W62" s="109"/>
      <c r="X62" s="109"/>
      <c r="Y62" s="109"/>
      <c r="Z62" s="109"/>
      <c r="AA62" s="109"/>
      <c r="AB62" s="109"/>
    </row>
    <row r="63" ht="15.75" customHeight="1">
      <c r="A63" s="109"/>
      <c r="B63" s="109"/>
      <c r="C63" s="109"/>
      <c r="D63" s="109"/>
      <c r="E63" s="109"/>
      <c r="F63" s="109"/>
      <c r="G63" s="109"/>
      <c r="H63" s="136"/>
      <c r="I63" s="136"/>
      <c r="J63" s="109"/>
      <c r="K63" s="109"/>
      <c r="L63" s="109"/>
      <c r="M63" s="109"/>
      <c r="N63" s="109"/>
      <c r="O63" s="109"/>
      <c r="P63" s="109"/>
      <c r="Q63" s="109"/>
      <c r="R63" s="109"/>
      <c r="S63" s="109"/>
      <c r="T63" s="109"/>
      <c r="U63" s="109"/>
      <c r="V63" s="109"/>
      <c r="W63" s="109"/>
      <c r="X63" s="109"/>
      <c r="Y63" s="109"/>
      <c r="Z63" s="109"/>
      <c r="AA63" s="109"/>
      <c r="AB63" s="109"/>
    </row>
    <row r="64" ht="15.75" customHeight="1">
      <c r="A64" s="109"/>
      <c r="B64" s="109"/>
      <c r="C64" s="109"/>
      <c r="D64" s="109"/>
      <c r="E64" s="109"/>
      <c r="F64" s="109"/>
      <c r="G64" s="109"/>
      <c r="H64" s="136"/>
      <c r="I64" s="136"/>
      <c r="J64" s="109"/>
      <c r="K64" s="109"/>
      <c r="L64" s="109"/>
      <c r="M64" s="109"/>
      <c r="N64" s="109"/>
      <c r="O64" s="109"/>
      <c r="P64" s="109"/>
      <c r="Q64" s="109"/>
      <c r="R64" s="109"/>
      <c r="S64" s="109"/>
      <c r="T64" s="109"/>
      <c r="U64" s="109"/>
      <c r="V64" s="109"/>
      <c r="W64" s="109"/>
      <c r="X64" s="109"/>
      <c r="Y64" s="109"/>
      <c r="Z64" s="109"/>
      <c r="AA64" s="109"/>
      <c r="AB64" s="109"/>
    </row>
    <row r="65" ht="15.75" customHeight="1">
      <c r="A65" s="109"/>
      <c r="B65" s="109"/>
      <c r="C65" s="109"/>
      <c r="D65" s="109"/>
      <c r="E65" s="109"/>
      <c r="F65" s="109"/>
      <c r="G65" s="109"/>
      <c r="H65" s="136"/>
      <c r="I65" s="136"/>
      <c r="J65" s="109"/>
      <c r="K65" s="109"/>
      <c r="L65" s="109"/>
      <c r="M65" s="109"/>
      <c r="N65" s="109"/>
      <c r="O65" s="109"/>
      <c r="P65" s="109"/>
      <c r="Q65" s="109"/>
      <c r="R65" s="109"/>
      <c r="S65" s="109"/>
      <c r="T65" s="109"/>
      <c r="U65" s="109"/>
      <c r="V65" s="109"/>
      <c r="W65" s="109"/>
      <c r="X65" s="109"/>
      <c r="Y65" s="109"/>
      <c r="Z65" s="109"/>
      <c r="AA65" s="109"/>
      <c r="AB65" s="109"/>
    </row>
    <row r="66" ht="15.75" customHeight="1">
      <c r="A66" s="109"/>
      <c r="B66" s="109"/>
      <c r="C66" s="109"/>
      <c r="D66" s="109"/>
      <c r="E66" s="109"/>
      <c r="F66" s="109"/>
      <c r="G66" s="109"/>
      <c r="H66" s="136"/>
      <c r="I66" s="136"/>
      <c r="J66" s="109"/>
      <c r="K66" s="109"/>
      <c r="L66" s="109"/>
      <c r="M66" s="109"/>
      <c r="N66" s="109"/>
      <c r="O66" s="109"/>
      <c r="P66" s="109"/>
      <c r="Q66" s="109"/>
      <c r="R66" s="109"/>
      <c r="S66" s="109"/>
      <c r="T66" s="109"/>
      <c r="U66" s="109"/>
      <c r="V66" s="109"/>
      <c r="W66" s="109"/>
      <c r="X66" s="109"/>
      <c r="Y66" s="109"/>
      <c r="Z66" s="109"/>
      <c r="AA66" s="109"/>
      <c r="AB66" s="109"/>
    </row>
    <row r="67" ht="15.75" customHeight="1">
      <c r="A67" s="109"/>
      <c r="B67" s="109"/>
      <c r="C67" s="109"/>
      <c r="D67" s="109"/>
      <c r="E67" s="109"/>
      <c r="F67" s="109"/>
      <c r="G67" s="109"/>
      <c r="H67" s="136"/>
      <c r="I67" s="136"/>
      <c r="J67" s="109"/>
      <c r="K67" s="109"/>
      <c r="L67" s="109"/>
      <c r="M67" s="109"/>
      <c r="N67" s="109"/>
      <c r="O67" s="109"/>
      <c r="P67" s="109"/>
      <c r="Q67" s="109"/>
      <c r="R67" s="109"/>
      <c r="S67" s="109"/>
      <c r="T67" s="109"/>
      <c r="U67" s="109"/>
      <c r="V67" s="109"/>
      <c r="W67" s="109"/>
      <c r="X67" s="109"/>
      <c r="Y67" s="109"/>
      <c r="Z67" s="109"/>
      <c r="AA67" s="109"/>
      <c r="AB67" s="109"/>
    </row>
    <row r="68" ht="15.75" customHeight="1">
      <c r="A68" s="109"/>
      <c r="B68" s="109"/>
      <c r="C68" s="109"/>
      <c r="D68" s="109"/>
      <c r="E68" s="109"/>
      <c r="F68" s="109"/>
      <c r="G68" s="109"/>
      <c r="H68" s="136"/>
      <c r="I68" s="136"/>
      <c r="J68" s="109"/>
      <c r="K68" s="109"/>
      <c r="L68" s="109"/>
      <c r="M68" s="109"/>
      <c r="N68" s="109"/>
      <c r="O68" s="109"/>
      <c r="P68" s="109"/>
      <c r="Q68" s="109"/>
      <c r="R68" s="109"/>
      <c r="S68" s="109"/>
      <c r="T68" s="109"/>
      <c r="U68" s="109"/>
      <c r="V68" s="109"/>
      <c r="W68" s="109"/>
      <c r="X68" s="109"/>
      <c r="Y68" s="109"/>
      <c r="Z68" s="109"/>
      <c r="AA68" s="109"/>
      <c r="AB68" s="109"/>
    </row>
    <row r="69" ht="15.75" customHeight="1">
      <c r="A69" s="109"/>
      <c r="B69" s="109"/>
      <c r="C69" s="109"/>
      <c r="D69" s="109"/>
      <c r="E69" s="109"/>
      <c r="F69" s="109"/>
      <c r="G69" s="109"/>
      <c r="H69" s="136"/>
      <c r="I69" s="136"/>
      <c r="J69" s="109"/>
      <c r="K69" s="109"/>
      <c r="L69" s="109"/>
      <c r="M69" s="109"/>
      <c r="N69" s="109"/>
      <c r="O69" s="109"/>
      <c r="P69" s="109"/>
      <c r="Q69" s="109"/>
      <c r="R69" s="109"/>
      <c r="S69" s="109"/>
      <c r="T69" s="109"/>
      <c r="U69" s="109"/>
      <c r="V69" s="109"/>
      <c r="W69" s="109"/>
      <c r="X69" s="109"/>
      <c r="Y69" s="109"/>
      <c r="Z69" s="109"/>
      <c r="AA69" s="109"/>
      <c r="AB69" s="109"/>
    </row>
    <row r="70" ht="15.75" customHeight="1">
      <c r="A70" s="109"/>
      <c r="B70" s="109"/>
      <c r="C70" s="109"/>
      <c r="D70" s="109"/>
      <c r="E70" s="109"/>
      <c r="F70" s="109"/>
      <c r="G70" s="109"/>
      <c r="H70" s="136"/>
      <c r="I70" s="136"/>
      <c r="J70" s="109"/>
      <c r="K70" s="109"/>
      <c r="L70" s="109"/>
      <c r="M70" s="109"/>
      <c r="N70" s="109"/>
      <c r="O70" s="109"/>
      <c r="P70" s="109"/>
      <c r="Q70" s="109"/>
      <c r="R70" s="109"/>
      <c r="S70" s="109"/>
      <c r="T70" s="109"/>
      <c r="U70" s="109"/>
      <c r="V70" s="109"/>
      <c r="W70" s="109"/>
      <c r="X70" s="109"/>
      <c r="Y70" s="109"/>
      <c r="Z70" s="109"/>
      <c r="AA70" s="109"/>
      <c r="AB70" s="109"/>
    </row>
    <row r="71" ht="15.75" customHeight="1">
      <c r="A71" s="109"/>
      <c r="B71" s="109"/>
      <c r="C71" s="109"/>
      <c r="D71" s="109"/>
      <c r="E71" s="109"/>
      <c r="F71" s="109"/>
      <c r="G71" s="109"/>
      <c r="H71" s="136"/>
      <c r="I71" s="136"/>
      <c r="J71" s="109"/>
      <c r="K71" s="109"/>
      <c r="L71" s="109"/>
      <c r="M71" s="109"/>
      <c r="N71" s="109"/>
      <c r="O71" s="109"/>
      <c r="P71" s="109"/>
      <c r="Q71" s="109"/>
      <c r="R71" s="109"/>
      <c r="S71" s="109"/>
      <c r="T71" s="109"/>
      <c r="U71" s="109"/>
      <c r="V71" s="109"/>
      <c r="W71" s="109"/>
      <c r="X71" s="109"/>
      <c r="Y71" s="109"/>
      <c r="Z71" s="109"/>
      <c r="AA71" s="109"/>
      <c r="AB71" s="109"/>
    </row>
    <row r="72" ht="15.75" customHeight="1">
      <c r="A72" s="109"/>
      <c r="B72" s="109"/>
      <c r="C72" s="109"/>
      <c r="D72" s="109"/>
      <c r="E72" s="109"/>
      <c r="F72" s="109"/>
      <c r="G72" s="109"/>
      <c r="H72" s="136"/>
      <c r="I72" s="136"/>
      <c r="J72" s="109"/>
      <c r="K72" s="109"/>
      <c r="L72" s="109"/>
      <c r="M72" s="109"/>
      <c r="N72" s="109"/>
      <c r="O72" s="109"/>
      <c r="P72" s="109"/>
      <c r="Q72" s="109"/>
      <c r="R72" s="109"/>
      <c r="S72" s="109"/>
      <c r="T72" s="109"/>
      <c r="U72" s="109"/>
      <c r="V72" s="109"/>
      <c r="W72" s="109"/>
      <c r="X72" s="109"/>
      <c r="Y72" s="109"/>
      <c r="Z72" s="109"/>
      <c r="AA72" s="109"/>
      <c r="AB72" s="109"/>
    </row>
    <row r="73" ht="15.75" customHeight="1">
      <c r="A73" s="109"/>
      <c r="B73" s="109"/>
      <c r="C73" s="109"/>
      <c r="D73" s="109"/>
      <c r="E73" s="109"/>
      <c r="F73" s="109"/>
      <c r="G73" s="109"/>
      <c r="H73" s="136"/>
      <c r="I73" s="136"/>
      <c r="J73" s="109"/>
      <c r="K73" s="109"/>
      <c r="L73" s="109"/>
      <c r="M73" s="109"/>
      <c r="N73" s="109"/>
      <c r="O73" s="109"/>
      <c r="P73" s="109"/>
      <c r="Q73" s="109"/>
      <c r="R73" s="109"/>
      <c r="S73" s="109"/>
      <c r="T73" s="109"/>
      <c r="U73" s="109"/>
      <c r="V73" s="109"/>
      <c r="W73" s="109"/>
      <c r="X73" s="109"/>
      <c r="Y73" s="109"/>
      <c r="Z73" s="109"/>
      <c r="AA73" s="109"/>
      <c r="AB73" s="109"/>
    </row>
    <row r="74" ht="15.75" customHeight="1">
      <c r="A74" s="109"/>
      <c r="B74" s="109"/>
      <c r="C74" s="109"/>
      <c r="D74" s="109"/>
      <c r="E74" s="109"/>
      <c r="F74" s="109"/>
      <c r="G74" s="109"/>
      <c r="H74" s="136"/>
      <c r="I74" s="136"/>
      <c r="J74" s="109"/>
      <c r="K74" s="109"/>
      <c r="L74" s="109"/>
      <c r="M74" s="109"/>
      <c r="N74" s="109"/>
      <c r="O74" s="109"/>
      <c r="P74" s="109"/>
      <c r="Q74" s="109"/>
      <c r="R74" s="109"/>
      <c r="S74" s="109"/>
      <c r="T74" s="109"/>
      <c r="U74" s="109"/>
      <c r="V74" s="109"/>
      <c r="W74" s="109"/>
      <c r="X74" s="109"/>
      <c r="Y74" s="109"/>
      <c r="Z74" s="109"/>
      <c r="AA74" s="109"/>
      <c r="AB74" s="109"/>
    </row>
    <row r="75" ht="15.75" customHeight="1">
      <c r="A75" s="109"/>
      <c r="B75" s="109"/>
      <c r="C75" s="109"/>
      <c r="D75" s="109"/>
      <c r="E75" s="109"/>
      <c r="F75" s="109"/>
      <c r="G75" s="109"/>
      <c r="H75" s="136"/>
      <c r="I75" s="136"/>
      <c r="J75" s="109"/>
      <c r="K75" s="109"/>
      <c r="L75" s="109"/>
      <c r="M75" s="109"/>
      <c r="N75" s="109"/>
      <c r="O75" s="109"/>
      <c r="P75" s="109"/>
      <c r="Q75" s="109"/>
      <c r="R75" s="109"/>
      <c r="S75" s="109"/>
      <c r="T75" s="109"/>
      <c r="U75" s="109"/>
      <c r="V75" s="109"/>
      <c r="W75" s="109"/>
      <c r="X75" s="109"/>
      <c r="Y75" s="109"/>
      <c r="Z75" s="109"/>
      <c r="AA75" s="109"/>
      <c r="AB75" s="109"/>
    </row>
    <row r="76" ht="15.75" customHeight="1">
      <c r="A76" s="109"/>
      <c r="B76" s="109"/>
      <c r="C76" s="109"/>
      <c r="D76" s="109"/>
      <c r="E76" s="109"/>
      <c r="F76" s="109"/>
      <c r="G76" s="109"/>
      <c r="H76" s="136"/>
      <c r="I76" s="136"/>
      <c r="J76" s="109"/>
      <c r="K76" s="109"/>
      <c r="L76" s="109"/>
      <c r="M76" s="109"/>
      <c r="N76" s="109"/>
      <c r="O76" s="109"/>
      <c r="P76" s="109"/>
      <c r="Q76" s="109"/>
      <c r="R76" s="109"/>
      <c r="S76" s="109"/>
      <c r="T76" s="109"/>
      <c r="U76" s="109"/>
      <c r="V76" s="109"/>
      <c r="W76" s="109"/>
      <c r="X76" s="109"/>
      <c r="Y76" s="109"/>
      <c r="Z76" s="109"/>
      <c r="AA76" s="109"/>
      <c r="AB76" s="109"/>
    </row>
    <row r="77" ht="15.75" customHeight="1">
      <c r="A77" s="109"/>
      <c r="B77" s="109"/>
      <c r="C77" s="109"/>
      <c r="D77" s="109"/>
      <c r="E77" s="109"/>
      <c r="F77" s="109"/>
      <c r="G77" s="109"/>
      <c r="H77" s="136"/>
      <c r="I77" s="136"/>
      <c r="J77" s="109"/>
      <c r="K77" s="109"/>
      <c r="L77" s="109"/>
      <c r="M77" s="109"/>
      <c r="N77" s="109"/>
      <c r="O77" s="109"/>
      <c r="P77" s="109"/>
      <c r="Q77" s="109"/>
      <c r="R77" s="109"/>
      <c r="S77" s="109"/>
      <c r="T77" s="109"/>
      <c r="U77" s="109"/>
      <c r="V77" s="109"/>
      <c r="W77" s="109"/>
      <c r="X77" s="109"/>
      <c r="Y77" s="109"/>
      <c r="Z77" s="109"/>
      <c r="AA77" s="109"/>
      <c r="AB77" s="109"/>
    </row>
    <row r="78" ht="15.75" customHeight="1">
      <c r="A78" s="109"/>
      <c r="B78" s="109"/>
      <c r="C78" s="109"/>
      <c r="D78" s="109"/>
      <c r="E78" s="109"/>
      <c r="F78" s="109"/>
      <c r="G78" s="109"/>
      <c r="H78" s="136"/>
      <c r="I78" s="136"/>
      <c r="J78" s="109"/>
      <c r="K78" s="109"/>
      <c r="L78" s="109"/>
      <c r="M78" s="109"/>
      <c r="N78" s="109"/>
      <c r="O78" s="109"/>
      <c r="P78" s="109"/>
      <c r="Q78" s="109"/>
      <c r="R78" s="109"/>
      <c r="S78" s="109"/>
      <c r="T78" s="109"/>
      <c r="U78" s="109"/>
      <c r="V78" s="109"/>
      <c r="W78" s="109"/>
      <c r="X78" s="109"/>
      <c r="Y78" s="109"/>
      <c r="Z78" s="109"/>
      <c r="AA78" s="109"/>
      <c r="AB78" s="109"/>
    </row>
    <row r="79" ht="15.75" customHeight="1">
      <c r="A79" s="109"/>
      <c r="B79" s="109"/>
      <c r="C79" s="109"/>
      <c r="D79" s="109"/>
      <c r="E79" s="109"/>
      <c r="F79" s="109"/>
      <c r="G79" s="109"/>
      <c r="H79" s="136"/>
      <c r="I79" s="136"/>
      <c r="J79" s="109"/>
      <c r="K79" s="109"/>
      <c r="L79" s="109"/>
      <c r="M79" s="109"/>
      <c r="N79" s="109"/>
      <c r="O79" s="109"/>
      <c r="P79" s="109"/>
      <c r="Q79" s="109"/>
      <c r="R79" s="109"/>
      <c r="S79" s="109"/>
      <c r="T79" s="109"/>
      <c r="U79" s="109"/>
      <c r="V79" s="109"/>
      <c r="W79" s="109"/>
      <c r="X79" s="109"/>
      <c r="Y79" s="109"/>
      <c r="Z79" s="109"/>
      <c r="AA79" s="109"/>
      <c r="AB79" s="109"/>
    </row>
    <row r="80" ht="15.75" customHeight="1">
      <c r="A80" s="109"/>
      <c r="B80" s="109"/>
      <c r="C80" s="109"/>
      <c r="D80" s="109"/>
      <c r="E80" s="109"/>
      <c r="F80" s="109"/>
      <c r="G80" s="109"/>
      <c r="H80" s="136"/>
      <c r="I80" s="136"/>
      <c r="J80" s="109"/>
      <c r="K80" s="109"/>
      <c r="L80" s="109"/>
      <c r="M80" s="109"/>
      <c r="N80" s="109"/>
      <c r="O80" s="109"/>
      <c r="P80" s="109"/>
      <c r="Q80" s="109"/>
      <c r="R80" s="109"/>
      <c r="S80" s="109"/>
      <c r="T80" s="109"/>
      <c r="U80" s="109"/>
      <c r="V80" s="109"/>
      <c r="W80" s="109"/>
      <c r="X80" s="109"/>
      <c r="Y80" s="109"/>
      <c r="Z80" s="109"/>
      <c r="AA80" s="109"/>
      <c r="AB80" s="109"/>
    </row>
    <row r="81" ht="15.75" customHeight="1">
      <c r="A81" s="109"/>
      <c r="B81" s="109"/>
      <c r="C81" s="109"/>
      <c r="D81" s="109"/>
      <c r="E81" s="109"/>
      <c r="F81" s="109"/>
      <c r="G81" s="109"/>
      <c r="H81" s="136"/>
      <c r="I81" s="136"/>
      <c r="J81" s="109"/>
      <c r="K81" s="109"/>
      <c r="L81" s="109"/>
      <c r="M81" s="109"/>
      <c r="N81" s="109"/>
      <c r="O81" s="109"/>
      <c r="P81" s="109"/>
      <c r="Q81" s="109"/>
      <c r="R81" s="109"/>
      <c r="S81" s="109"/>
      <c r="T81" s="109"/>
      <c r="U81" s="109"/>
      <c r="V81" s="109"/>
      <c r="W81" s="109"/>
      <c r="X81" s="109"/>
      <c r="Y81" s="109"/>
      <c r="Z81" s="109"/>
      <c r="AA81" s="109"/>
      <c r="AB81" s="109"/>
    </row>
    <row r="82" ht="15.75" customHeight="1">
      <c r="A82" s="109"/>
      <c r="B82" s="109"/>
      <c r="C82" s="109"/>
      <c r="D82" s="109"/>
      <c r="E82" s="109"/>
      <c r="F82" s="109"/>
      <c r="G82" s="109"/>
      <c r="H82" s="136"/>
      <c r="I82" s="136"/>
      <c r="J82" s="109"/>
      <c r="K82" s="109"/>
      <c r="L82" s="109"/>
      <c r="M82" s="109"/>
      <c r="N82" s="109"/>
      <c r="O82" s="109"/>
      <c r="P82" s="109"/>
      <c r="Q82" s="109"/>
      <c r="R82" s="109"/>
      <c r="S82" s="109"/>
      <c r="T82" s="109"/>
      <c r="U82" s="109"/>
      <c r="V82" s="109"/>
      <c r="W82" s="109"/>
      <c r="X82" s="109"/>
      <c r="Y82" s="109"/>
      <c r="Z82" s="109"/>
      <c r="AA82" s="109"/>
      <c r="AB82" s="109"/>
    </row>
    <row r="83" ht="15.75" customHeight="1">
      <c r="A83" s="109"/>
      <c r="B83" s="109"/>
      <c r="C83" s="109"/>
      <c r="D83" s="109"/>
      <c r="E83" s="109"/>
      <c r="F83" s="109"/>
      <c r="G83" s="109"/>
      <c r="H83" s="136"/>
      <c r="I83" s="136"/>
      <c r="J83" s="109"/>
      <c r="K83" s="109"/>
      <c r="L83" s="109"/>
      <c r="M83" s="109"/>
      <c r="N83" s="109"/>
      <c r="O83" s="109"/>
      <c r="P83" s="109"/>
      <c r="Q83" s="109"/>
      <c r="R83" s="109"/>
      <c r="S83" s="109"/>
      <c r="T83" s="109"/>
      <c r="U83" s="109"/>
      <c r="V83" s="109"/>
      <c r="W83" s="109"/>
      <c r="X83" s="109"/>
      <c r="Y83" s="109"/>
      <c r="Z83" s="109"/>
      <c r="AA83" s="109"/>
      <c r="AB83" s="109"/>
    </row>
    <row r="84" ht="15.75" customHeight="1">
      <c r="A84" s="109"/>
      <c r="B84" s="109"/>
      <c r="C84" s="109"/>
      <c r="D84" s="109"/>
      <c r="E84" s="109"/>
      <c r="F84" s="109"/>
      <c r="G84" s="109"/>
      <c r="H84" s="136"/>
      <c r="I84" s="136"/>
      <c r="J84" s="109"/>
      <c r="K84" s="109"/>
      <c r="L84" s="109"/>
      <c r="M84" s="109"/>
      <c r="N84" s="109"/>
      <c r="O84" s="109"/>
      <c r="P84" s="109"/>
      <c r="Q84" s="109"/>
      <c r="R84" s="109"/>
      <c r="S84" s="109"/>
      <c r="T84" s="109"/>
      <c r="U84" s="109"/>
      <c r="V84" s="109"/>
      <c r="W84" s="109"/>
      <c r="X84" s="109"/>
      <c r="Y84" s="109"/>
      <c r="Z84" s="109"/>
      <c r="AA84" s="109"/>
      <c r="AB84" s="109"/>
    </row>
    <row r="85" ht="15.75" customHeight="1">
      <c r="A85" s="109"/>
      <c r="B85" s="109"/>
      <c r="C85" s="109"/>
      <c r="D85" s="109"/>
      <c r="E85" s="109"/>
      <c r="F85" s="109"/>
      <c r="G85" s="109"/>
      <c r="H85" s="136"/>
      <c r="I85" s="136"/>
      <c r="J85" s="109"/>
      <c r="K85" s="109"/>
      <c r="L85" s="109"/>
      <c r="M85" s="109"/>
      <c r="N85" s="109"/>
      <c r="O85" s="109"/>
      <c r="P85" s="109"/>
      <c r="Q85" s="109"/>
      <c r="R85" s="109"/>
      <c r="S85" s="109"/>
      <c r="T85" s="109"/>
      <c r="U85" s="109"/>
      <c r="V85" s="109"/>
      <c r="W85" s="109"/>
      <c r="X85" s="109"/>
      <c r="Y85" s="109"/>
      <c r="Z85" s="109"/>
      <c r="AA85" s="109"/>
      <c r="AB85" s="109"/>
    </row>
    <row r="86" ht="15.75" customHeight="1">
      <c r="A86" s="109"/>
      <c r="B86" s="109"/>
      <c r="C86" s="109"/>
      <c r="D86" s="109"/>
      <c r="E86" s="109"/>
      <c r="F86" s="109"/>
      <c r="G86" s="109"/>
      <c r="H86" s="136"/>
      <c r="I86" s="136"/>
      <c r="J86" s="109"/>
      <c r="K86" s="109"/>
      <c r="L86" s="109"/>
      <c r="M86" s="109"/>
      <c r="N86" s="109"/>
      <c r="O86" s="109"/>
      <c r="P86" s="109"/>
      <c r="Q86" s="109"/>
      <c r="R86" s="109"/>
      <c r="S86" s="109"/>
      <c r="T86" s="109"/>
      <c r="U86" s="109"/>
      <c r="V86" s="109"/>
      <c r="W86" s="109"/>
      <c r="X86" s="109"/>
      <c r="Y86" s="109"/>
      <c r="Z86" s="109"/>
      <c r="AA86" s="109"/>
      <c r="AB86" s="109"/>
    </row>
    <row r="87" ht="15.75" customHeight="1">
      <c r="A87" s="109"/>
      <c r="B87" s="109"/>
      <c r="C87" s="109"/>
      <c r="D87" s="109"/>
      <c r="E87" s="109"/>
      <c r="F87" s="109"/>
      <c r="G87" s="109"/>
      <c r="H87" s="136"/>
      <c r="I87" s="136"/>
      <c r="J87" s="109"/>
      <c r="K87" s="109"/>
      <c r="L87" s="109"/>
      <c r="M87" s="109"/>
      <c r="N87" s="109"/>
      <c r="O87" s="109"/>
      <c r="P87" s="109"/>
      <c r="Q87" s="109"/>
      <c r="R87" s="109"/>
      <c r="S87" s="109"/>
      <c r="T87" s="109"/>
      <c r="U87" s="109"/>
      <c r="V87" s="109"/>
      <c r="W87" s="109"/>
      <c r="X87" s="109"/>
      <c r="Y87" s="109"/>
      <c r="Z87" s="109"/>
      <c r="AA87" s="109"/>
      <c r="AB87" s="109"/>
    </row>
    <row r="88" ht="15.75" customHeight="1">
      <c r="A88" s="109"/>
      <c r="B88" s="109"/>
      <c r="C88" s="109"/>
      <c r="D88" s="109"/>
      <c r="E88" s="109"/>
      <c r="F88" s="109"/>
      <c r="G88" s="109"/>
      <c r="H88" s="136"/>
      <c r="I88" s="136"/>
      <c r="J88" s="109"/>
      <c r="K88" s="109"/>
      <c r="L88" s="109"/>
      <c r="M88" s="109"/>
      <c r="N88" s="109"/>
      <c r="O88" s="109"/>
      <c r="P88" s="109"/>
      <c r="Q88" s="109"/>
      <c r="R88" s="109"/>
      <c r="S88" s="109"/>
      <c r="T88" s="109"/>
      <c r="U88" s="109"/>
      <c r="V88" s="109"/>
      <c r="W88" s="109"/>
      <c r="X88" s="109"/>
      <c r="Y88" s="109"/>
      <c r="Z88" s="109"/>
      <c r="AA88" s="109"/>
      <c r="AB88" s="109"/>
    </row>
    <row r="89" ht="15.75" customHeight="1">
      <c r="A89" s="109"/>
      <c r="B89" s="109"/>
      <c r="C89" s="109"/>
      <c r="D89" s="109"/>
      <c r="E89" s="109"/>
      <c r="F89" s="109"/>
      <c r="G89" s="109"/>
      <c r="H89" s="136"/>
      <c r="I89" s="136"/>
      <c r="J89" s="109"/>
      <c r="K89" s="109"/>
      <c r="L89" s="109"/>
      <c r="M89" s="109"/>
      <c r="N89" s="109"/>
      <c r="O89" s="109"/>
      <c r="P89" s="109"/>
      <c r="Q89" s="109"/>
      <c r="R89" s="109"/>
      <c r="S89" s="109"/>
      <c r="T89" s="109"/>
      <c r="U89" s="109"/>
      <c r="V89" s="109"/>
      <c r="W89" s="109"/>
      <c r="X89" s="109"/>
      <c r="Y89" s="109"/>
      <c r="Z89" s="109"/>
      <c r="AA89" s="109"/>
      <c r="AB89" s="109"/>
    </row>
    <row r="90" ht="15.75" customHeight="1">
      <c r="A90" s="109"/>
      <c r="B90" s="109"/>
      <c r="C90" s="109"/>
      <c r="D90" s="109"/>
      <c r="E90" s="109"/>
      <c r="F90" s="109"/>
      <c r="G90" s="109"/>
      <c r="H90" s="136"/>
      <c r="I90" s="136"/>
      <c r="J90" s="109"/>
      <c r="K90" s="109"/>
      <c r="L90" s="109"/>
      <c r="M90" s="109"/>
      <c r="N90" s="109"/>
      <c r="O90" s="109"/>
      <c r="P90" s="109"/>
      <c r="Q90" s="109"/>
      <c r="R90" s="109"/>
      <c r="S90" s="109"/>
      <c r="T90" s="109"/>
      <c r="U90" s="109"/>
      <c r="V90" s="109"/>
      <c r="W90" s="109"/>
      <c r="X90" s="109"/>
      <c r="Y90" s="109"/>
      <c r="Z90" s="109"/>
      <c r="AA90" s="109"/>
      <c r="AB90" s="109"/>
    </row>
    <row r="91" ht="15.75" customHeight="1">
      <c r="A91" s="109"/>
      <c r="B91" s="109"/>
      <c r="C91" s="109"/>
      <c r="D91" s="109"/>
      <c r="E91" s="109"/>
      <c r="F91" s="109"/>
      <c r="G91" s="109"/>
      <c r="H91" s="136"/>
      <c r="I91" s="136"/>
      <c r="J91" s="109"/>
      <c r="K91" s="109"/>
      <c r="L91" s="109"/>
      <c r="M91" s="109"/>
      <c r="N91" s="109"/>
      <c r="O91" s="109"/>
      <c r="P91" s="109"/>
      <c r="Q91" s="109"/>
      <c r="R91" s="109"/>
      <c r="S91" s="109"/>
      <c r="T91" s="109"/>
      <c r="U91" s="109"/>
      <c r="V91" s="109"/>
      <c r="W91" s="109"/>
      <c r="X91" s="109"/>
      <c r="Y91" s="109"/>
      <c r="Z91" s="109"/>
      <c r="AA91" s="109"/>
      <c r="AB91" s="109"/>
    </row>
    <row r="92" ht="15.75" customHeight="1">
      <c r="A92" s="109"/>
      <c r="B92" s="109"/>
      <c r="C92" s="109"/>
      <c r="D92" s="109"/>
      <c r="E92" s="109"/>
      <c r="F92" s="109"/>
      <c r="G92" s="109"/>
      <c r="H92" s="136"/>
      <c r="I92" s="136"/>
      <c r="J92" s="109"/>
      <c r="K92" s="109"/>
      <c r="L92" s="109"/>
      <c r="M92" s="109"/>
      <c r="N92" s="109"/>
      <c r="O92" s="109"/>
      <c r="P92" s="109"/>
      <c r="Q92" s="109"/>
      <c r="R92" s="109"/>
      <c r="S92" s="109"/>
      <c r="T92" s="109"/>
      <c r="U92" s="109"/>
      <c r="V92" s="109"/>
      <c r="W92" s="109"/>
      <c r="X92" s="109"/>
      <c r="Y92" s="109"/>
      <c r="Z92" s="109"/>
      <c r="AA92" s="109"/>
      <c r="AB92" s="109"/>
    </row>
    <row r="93" ht="15.75" customHeight="1">
      <c r="A93" s="109"/>
      <c r="B93" s="109"/>
      <c r="C93" s="109"/>
      <c r="D93" s="109"/>
      <c r="E93" s="109"/>
      <c r="F93" s="109"/>
      <c r="G93" s="109"/>
      <c r="H93" s="136"/>
      <c r="I93" s="136"/>
      <c r="J93" s="109"/>
      <c r="K93" s="109"/>
      <c r="L93" s="109"/>
      <c r="M93" s="109"/>
      <c r="N93" s="109"/>
      <c r="O93" s="109"/>
      <c r="P93" s="109"/>
      <c r="Q93" s="109"/>
      <c r="R93" s="109"/>
      <c r="S93" s="109"/>
      <c r="T93" s="109"/>
      <c r="U93" s="109"/>
      <c r="V93" s="109"/>
      <c r="W93" s="109"/>
      <c r="X93" s="109"/>
      <c r="Y93" s="109"/>
      <c r="Z93" s="109"/>
      <c r="AA93" s="109"/>
      <c r="AB93" s="109"/>
    </row>
    <row r="94" ht="15.75" customHeight="1">
      <c r="A94" s="109"/>
      <c r="B94" s="109"/>
      <c r="C94" s="109"/>
      <c r="D94" s="109"/>
      <c r="E94" s="109"/>
      <c r="F94" s="109"/>
      <c r="G94" s="109"/>
      <c r="H94" s="136"/>
      <c r="I94" s="136"/>
      <c r="J94" s="109"/>
      <c r="K94" s="109"/>
      <c r="L94" s="109"/>
      <c r="M94" s="109"/>
      <c r="N94" s="109"/>
      <c r="O94" s="109"/>
      <c r="P94" s="109"/>
      <c r="Q94" s="109"/>
      <c r="R94" s="109"/>
      <c r="S94" s="109"/>
      <c r="T94" s="109"/>
      <c r="U94" s="109"/>
      <c r="V94" s="109"/>
      <c r="W94" s="109"/>
      <c r="X94" s="109"/>
      <c r="Y94" s="109"/>
      <c r="Z94" s="109"/>
      <c r="AA94" s="109"/>
      <c r="AB94" s="109"/>
    </row>
    <row r="95" ht="15.75" customHeight="1">
      <c r="A95" s="109"/>
      <c r="B95" s="109"/>
      <c r="C95" s="109"/>
      <c r="D95" s="109"/>
      <c r="E95" s="109"/>
      <c r="F95" s="109"/>
      <c r="G95" s="109"/>
      <c r="H95" s="136"/>
      <c r="I95" s="136"/>
      <c r="J95" s="109"/>
      <c r="K95" s="109"/>
      <c r="L95" s="109"/>
      <c r="M95" s="109"/>
      <c r="N95" s="109"/>
      <c r="O95" s="109"/>
      <c r="P95" s="109"/>
      <c r="Q95" s="109"/>
      <c r="R95" s="109"/>
      <c r="S95" s="109"/>
      <c r="T95" s="109"/>
      <c r="U95" s="109"/>
      <c r="V95" s="109"/>
      <c r="W95" s="109"/>
      <c r="X95" s="109"/>
      <c r="Y95" s="109"/>
      <c r="Z95" s="109"/>
      <c r="AA95" s="109"/>
      <c r="AB95" s="109"/>
    </row>
    <row r="96" ht="15.75" customHeight="1">
      <c r="A96" s="109"/>
      <c r="B96" s="109"/>
      <c r="C96" s="109"/>
      <c r="D96" s="109"/>
      <c r="E96" s="109"/>
      <c r="F96" s="109"/>
      <c r="G96" s="109"/>
      <c r="H96" s="136"/>
      <c r="I96" s="136"/>
      <c r="J96" s="109"/>
      <c r="K96" s="109"/>
      <c r="L96" s="109"/>
      <c r="M96" s="109"/>
      <c r="N96" s="109"/>
      <c r="O96" s="109"/>
      <c r="P96" s="109"/>
      <c r="Q96" s="109"/>
      <c r="R96" s="109"/>
      <c r="S96" s="109"/>
      <c r="T96" s="109"/>
      <c r="U96" s="109"/>
      <c r="V96" s="109"/>
      <c r="W96" s="109"/>
      <c r="X96" s="109"/>
      <c r="Y96" s="109"/>
      <c r="Z96" s="109"/>
      <c r="AA96" s="109"/>
      <c r="AB96" s="109"/>
    </row>
    <row r="97" ht="15.75" customHeight="1">
      <c r="A97" s="109"/>
      <c r="B97" s="109"/>
      <c r="C97" s="109"/>
      <c r="D97" s="109"/>
      <c r="E97" s="109"/>
      <c r="F97" s="109"/>
      <c r="G97" s="109"/>
      <c r="H97" s="136"/>
      <c r="I97" s="136"/>
      <c r="J97" s="109"/>
      <c r="K97" s="109"/>
      <c r="L97" s="109"/>
      <c r="M97" s="109"/>
      <c r="N97" s="109"/>
      <c r="O97" s="109"/>
      <c r="P97" s="109"/>
      <c r="Q97" s="109"/>
      <c r="R97" s="109"/>
      <c r="S97" s="109"/>
      <c r="T97" s="109"/>
      <c r="U97" s="109"/>
      <c r="V97" s="109"/>
      <c r="W97" s="109"/>
      <c r="X97" s="109"/>
      <c r="Y97" s="109"/>
      <c r="Z97" s="109"/>
      <c r="AA97" s="109"/>
      <c r="AB97" s="109"/>
    </row>
    <row r="98" ht="15.75" customHeight="1">
      <c r="A98" s="109"/>
      <c r="B98" s="109"/>
      <c r="C98" s="109"/>
      <c r="D98" s="109"/>
      <c r="E98" s="109"/>
      <c r="F98" s="109"/>
      <c r="G98" s="109"/>
      <c r="H98" s="136"/>
      <c r="I98" s="136"/>
      <c r="J98" s="109"/>
      <c r="K98" s="109"/>
      <c r="L98" s="109"/>
      <c r="M98" s="109"/>
      <c r="N98" s="109"/>
      <c r="O98" s="109"/>
      <c r="P98" s="109"/>
      <c r="Q98" s="109"/>
      <c r="R98" s="109"/>
      <c r="S98" s="109"/>
      <c r="T98" s="109"/>
      <c r="U98" s="109"/>
      <c r="V98" s="109"/>
      <c r="W98" s="109"/>
      <c r="X98" s="109"/>
      <c r="Y98" s="109"/>
      <c r="Z98" s="109"/>
      <c r="AA98" s="109"/>
      <c r="AB98" s="109"/>
    </row>
    <row r="99" ht="15.75" customHeight="1">
      <c r="A99" s="109"/>
      <c r="B99" s="109"/>
      <c r="C99" s="109"/>
      <c r="D99" s="109"/>
      <c r="E99" s="109"/>
      <c r="F99" s="109"/>
      <c r="G99" s="109"/>
      <c r="H99" s="136"/>
      <c r="I99" s="136"/>
      <c r="J99" s="109"/>
      <c r="K99" s="109"/>
      <c r="L99" s="109"/>
      <c r="M99" s="109"/>
      <c r="N99" s="109"/>
      <c r="O99" s="109"/>
      <c r="P99" s="109"/>
      <c r="Q99" s="109"/>
      <c r="R99" s="109"/>
      <c r="S99" s="109"/>
      <c r="T99" s="109"/>
      <c r="U99" s="109"/>
      <c r="V99" s="109"/>
      <c r="W99" s="109"/>
      <c r="X99" s="109"/>
      <c r="Y99" s="109"/>
      <c r="Z99" s="109"/>
      <c r="AA99" s="109"/>
      <c r="AB99" s="109"/>
    </row>
    <row r="100" ht="15.75" customHeight="1">
      <c r="A100" s="109"/>
      <c r="B100" s="109"/>
      <c r="C100" s="109"/>
      <c r="D100" s="109"/>
      <c r="E100" s="109"/>
      <c r="F100" s="109"/>
      <c r="G100" s="109"/>
      <c r="H100" s="136"/>
      <c r="I100" s="136"/>
      <c r="J100" s="109"/>
      <c r="K100" s="109"/>
      <c r="L100" s="109"/>
      <c r="M100" s="109"/>
      <c r="N100" s="109"/>
      <c r="O100" s="109"/>
      <c r="P100" s="109"/>
      <c r="Q100" s="109"/>
      <c r="R100" s="109"/>
      <c r="S100" s="109"/>
      <c r="T100" s="109"/>
      <c r="U100" s="109"/>
      <c r="V100" s="109"/>
      <c r="W100" s="109"/>
      <c r="X100" s="109"/>
      <c r="Y100" s="109"/>
      <c r="Z100" s="109"/>
      <c r="AA100" s="109"/>
      <c r="AB100" s="109"/>
    </row>
    <row r="101" ht="15.75" customHeight="1">
      <c r="A101" s="109"/>
      <c r="B101" s="109"/>
      <c r="C101" s="109"/>
      <c r="D101" s="109"/>
      <c r="E101" s="109"/>
      <c r="F101" s="109"/>
      <c r="G101" s="109"/>
      <c r="H101" s="136"/>
      <c r="I101" s="136"/>
      <c r="J101" s="109"/>
      <c r="K101" s="109"/>
      <c r="L101" s="109"/>
      <c r="M101" s="109"/>
      <c r="N101" s="109"/>
      <c r="O101" s="109"/>
      <c r="P101" s="109"/>
      <c r="Q101" s="109"/>
      <c r="R101" s="109"/>
      <c r="S101" s="109"/>
      <c r="T101" s="109"/>
      <c r="U101" s="109"/>
      <c r="V101" s="109"/>
      <c r="W101" s="109"/>
      <c r="X101" s="109"/>
      <c r="Y101" s="109"/>
      <c r="Z101" s="109"/>
      <c r="AA101" s="109"/>
      <c r="AB101" s="109"/>
    </row>
    <row r="102" ht="15.75" customHeight="1">
      <c r="A102" s="109"/>
      <c r="B102" s="109"/>
      <c r="C102" s="109"/>
      <c r="D102" s="109"/>
      <c r="E102" s="109"/>
      <c r="F102" s="109"/>
      <c r="G102" s="109"/>
      <c r="H102" s="136"/>
      <c r="I102" s="136"/>
      <c r="J102" s="109"/>
      <c r="K102" s="109"/>
      <c r="L102" s="109"/>
      <c r="M102" s="109"/>
      <c r="N102" s="109"/>
      <c r="O102" s="109"/>
      <c r="P102" s="109"/>
      <c r="Q102" s="109"/>
      <c r="R102" s="109"/>
      <c r="S102" s="109"/>
      <c r="T102" s="109"/>
      <c r="U102" s="109"/>
      <c r="V102" s="109"/>
      <c r="W102" s="109"/>
      <c r="X102" s="109"/>
      <c r="Y102" s="109"/>
      <c r="Z102" s="109"/>
      <c r="AA102" s="109"/>
      <c r="AB102" s="109"/>
    </row>
    <row r="103" ht="15.75" customHeight="1">
      <c r="A103" s="109"/>
      <c r="B103" s="109"/>
      <c r="C103" s="109"/>
      <c r="D103" s="109"/>
      <c r="E103" s="109"/>
      <c r="F103" s="109"/>
      <c r="G103" s="109"/>
      <c r="H103" s="136"/>
      <c r="I103" s="136"/>
      <c r="J103" s="109"/>
      <c r="K103" s="109"/>
      <c r="L103" s="109"/>
      <c r="M103" s="109"/>
      <c r="N103" s="109"/>
      <c r="O103" s="109"/>
      <c r="P103" s="109"/>
      <c r="Q103" s="109"/>
      <c r="R103" s="109"/>
      <c r="S103" s="109"/>
      <c r="T103" s="109"/>
      <c r="U103" s="109"/>
      <c r="V103" s="109"/>
      <c r="W103" s="109"/>
      <c r="X103" s="109"/>
      <c r="Y103" s="109"/>
      <c r="Z103" s="109"/>
      <c r="AA103" s="109"/>
      <c r="AB103" s="109"/>
    </row>
    <row r="104" ht="15.75" customHeight="1">
      <c r="A104" s="109"/>
      <c r="B104" s="109"/>
      <c r="C104" s="109"/>
      <c r="D104" s="109"/>
      <c r="E104" s="109"/>
      <c r="F104" s="109"/>
      <c r="G104" s="109"/>
      <c r="H104" s="136"/>
      <c r="I104" s="136"/>
      <c r="J104" s="109"/>
      <c r="K104" s="109"/>
      <c r="L104" s="109"/>
      <c r="M104" s="109"/>
      <c r="N104" s="109"/>
      <c r="O104" s="109"/>
      <c r="P104" s="109"/>
      <c r="Q104" s="109"/>
      <c r="R104" s="109"/>
      <c r="S104" s="109"/>
      <c r="T104" s="109"/>
      <c r="U104" s="109"/>
      <c r="V104" s="109"/>
      <c r="W104" s="109"/>
      <c r="X104" s="109"/>
      <c r="Y104" s="109"/>
      <c r="Z104" s="109"/>
      <c r="AA104" s="109"/>
      <c r="AB104" s="109"/>
    </row>
    <row r="105" ht="15.75" customHeight="1">
      <c r="A105" s="109"/>
      <c r="B105" s="109"/>
      <c r="C105" s="109"/>
      <c r="D105" s="109"/>
      <c r="E105" s="109"/>
      <c r="F105" s="109"/>
      <c r="G105" s="109"/>
      <c r="H105" s="136"/>
      <c r="I105" s="136"/>
      <c r="J105" s="109"/>
      <c r="K105" s="109"/>
      <c r="L105" s="109"/>
      <c r="M105" s="109"/>
      <c r="N105" s="109"/>
      <c r="O105" s="109"/>
      <c r="P105" s="109"/>
      <c r="Q105" s="109"/>
      <c r="R105" s="109"/>
      <c r="S105" s="109"/>
      <c r="T105" s="109"/>
      <c r="U105" s="109"/>
      <c r="V105" s="109"/>
      <c r="W105" s="109"/>
      <c r="X105" s="109"/>
      <c r="Y105" s="109"/>
      <c r="Z105" s="109"/>
      <c r="AA105" s="109"/>
      <c r="AB105" s="109"/>
    </row>
    <row r="106" ht="15.75" customHeight="1">
      <c r="A106" s="109"/>
      <c r="B106" s="109"/>
      <c r="C106" s="109"/>
      <c r="D106" s="109"/>
      <c r="E106" s="109"/>
      <c r="F106" s="109"/>
      <c r="G106" s="109"/>
      <c r="H106" s="136"/>
      <c r="I106" s="136"/>
      <c r="J106" s="109"/>
      <c r="K106" s="109"/>
      <c r="L106" s="109"/>
      <c r="M106" s="109"/>
      <c r="N106" s="109"/>
      <c r="O106" s="109"/>
      <c r="P106" s="109"/>
      <c r="Q106" s="109"/>
      <c r="R106" s="109"/>
      <c r="S106" s="109"/>
      <c r="T106" s="109"/>
      <c r="U106" s="109"/>
      <c r="V106" s="109"/>
      <c r="W106" s="109"/>
      <c r="X106" s="109"/>
      <c r="Y106" s="109"/>
      <c r="Z106" s="109"/>
      <c r="AA106" s="109"/>
      <c r="AB106" s="109"/>
    </row>
    <row r="107" ht="15.75" customHeight="1">
      <c r="A107" s="109"/>
      <c r="B107" s="109"/>
      <c r="C107" s="109"/>
      <c r="D107" s="109"/>
      <c r="E107" s="109"/>
      <c r="F107" s="109"/>
      <c r="G107" s="109"/>
      <c r="H107" s="136"/>
      <c r="I107" s="136"/>
      <c r="J107" s="109"/>
      <c r="K107" s="109"/>
      <c r="L107" s="109"/>
      <c r="M107" s="109"/>
      <c r="N107" s="109"/>
      <c r="O107" s="109"/>
      <c r="P107" s="109"/>
      <c r="Q107" s="109"/>
      <c r="R107" s="109"/>
      <c r="S107" s="109"/>
      <c r="T107" s="109"/>
      <c r="U107" s="109"/>
      <c r="V107" s="109"/>
      <c r="W107" s="109"/>
      <c r="X107" s="109"/>
      <c r="Y107" s="109"/>
      <c r="Z107" s="109"/>
      <c r="AA107" s="109"/>
      <c r="AB107" s="109"/>
    </row>
    <row r="108" ht="15.75" customHeight="1">
      <c r="A108" s="109"/>
      <c r="B108" s="109"/>
      <c r="C108" s="109"/>
      <c r="D108" s="109"/>
      <c r="E108" s="109"/>
      <c r="F108" s="109"/>
      <c r="G108" s="109"/>
      <c r="H108" s="136"/>
      <c r="I108" s="136"/>
      <c r="J108" s="109"/>
      <c r="K108" s="109"/>
      <c r="L108" s="109"/>
      <c r="M108" s="109"/>
      <c r="N108" s="109"/>
      <c r="O108" s="109"/>
      <c r="P108" s="109"/>
      <c r="Q108" s="109"/>
      <c r="R108" s="109"/>
      <c r="S108" s="109"/>
      <c r="T108" s="109"/>
      <c r="U108" s="109"/>
      <c r="V108" s="109"/>
      <c r="W108" s="109"/>
      <c r="X108" s="109"/>
      <c r="Y108" s="109"/>
      <c r="Z108" s="109"/>
      <c r="AA108" s="109"/>
      <c r="AB108" s="109"/>
    </row>
    <row r="109" ht="15.75" customHeight="1">
      <c r="A109" s="109"/>
      <c r="B109" s="109"/>
      <c r="C109" s="109"/>
      <c r="D109" s="109"/>
      <c r="E109" s="109"/>
      <c r="F109" s="109"/>
      <c r="G109" s="109"/>
      <c r="H109" s="136"/>
      <c r="I109" s="136"/>
      <c r="J109" s="109"/>
      <c r="K109" s="109"/>
      <c r="L109" s="109"/>
      <c r="M109" s="109"/>
      <c r="N109" s="109"/>
      <c r="O109" s="109"/>
      <c r="P109" s="109"/>
      <c r="Q109" s="109"/>
      <c r="R109" s="109"/>
      <c r="S109" s="109"/>
      <c r="T109" s="109"/>
      <c r="U109" s="109"/>
      <c r="V109" s="109"/>
      <c r="W109" s="109"/>
      <c r="X109" s="109"/>
      <c r="Y109" s="109"/>
      <c r="Z109" s="109"/>
      <c r="AA109" s="109"/>
      <c r="AB109" s="109"/>
    </row>
    <row r="110" ht="15.75" customHeight="1">
      <c r="A110" s="109"/>
      <c r="B110" s="109"/>
      <c r="C110" s="109"/>
      <c r="D110" s="109"/>
      <c r="E110" s="109"/>
      <c r="F110" s="109"/>
      <c r="G110" s="109"/>
      <c r="H110" s="136"/>
      <c r="I110" s="136"/>
      <c r="J110" s="109"/>
      <c r="K110" s="109"/>
      <c r="L110" s="109"/>
      <c r="M110" s="109"/>
      <c r="N110" s="109"/>
      <c r="O110" s="109"/>
      <c r="P110" s="109"/>
      <c r="Q110" s="109"/>
      <c r="R110" s="109"/>
      <c r="S110" s="109"/>
      <c r="T110" s="109"/>
      <c r="U110" s="109"/>
      <c r="V110" s="109"/>
      <c r="W110" s="109"/>
      <c r="X110" s="109"/>
      <c r="Y110" s="109"/>
      <c r="Z110" s="109"/>
      <c r="AA110" s="109"/>
      <c r="AB110" s="109"/>
    </row>
    <row r="111" ht="15.75" customHeight="1">
      <c r="A111" s="109"/>
      <c r="B111" s="109"/>
      <c r="C111" s="109"/>
      <c r="D111" s="109"/>
      <c r="E111" s="109"/>
      <c r="F111" s="109"/>
      <c r="G111" s="109"/>
      <c r="H111" s="136"/>
      <c r="I111" s="136"/>
      <c r="J111" s="109"/>
      <c r="K111" s="109"/>
      <c r="L111" s="109"/>
      <c r="M111" s="109"/>
      <c r="N111" s="109"/>
      <c r="O111" s="109"/>
      <c r="P111" s="109"/>
      <c r="Q111" s="109"/>
      <c r="R111" s="109"/>
      <c r="S111" s="109"/>
      <c r="T111" s="109"/>
      <c r="U111" s="109"/>
      <c r="V111" s="109"/>
      <c r="W111" s="109"/>
      <c r="X111" s="109"/>
      <c r="Y111" s="109"/>
      <c r="Z111" s="109"/>
      <c r="AA111" s="109"/>
      <c r="AB111" s="109"/>
    </row>
    <row r="112" ht="15.75" customHeight="1">
      <c r="A112" s="109"/>
      <c r="B112" s="109"/>
      <c r="C112" s="109"/>
      <c r="D112" s="109"/>
      <c r="E112" s="109"/>
      <c r="F112" s="109"/>
      <c r="G112" s="109"/>
      <c r="H112" s="136"/>
      <c r="I112" s="136"/>
      <c r="J112" s="109"/>
      <c r="K112" s="109"/>
      <c r="L112" s="109"/>
      <c r="M112" s="109"/>
      <c r="N112" s="109"/>
      <c r="O112" s="109"/>
      <c r="P112" s="109"/>
      <c r="Q112" s="109"/>
      <c r="R112" s="109"/>
      <c r="S112" s="109"/>
      <c r="T112" s="109"/>
      <c r="U112" s="109"/>
      <c r="V112" s="109"/>
      <c r="W112" s="109"/>
      <c r="X112" s="109"/>
      <c r="Y112" s="109"/>
      <c r="Z112" s="109"/>
      <c r="AA112" s="109"/>
      <c r="AB112" s="109"/>
    </row>
    <row r="113" ht="15.75" customHeight="1">
      <c r="A113" s="109"/>
      <c r="B113" s="109"/>
      <c r="C113" s="109"/>
      <c r="D113" s="109"/>
      <c r="E113" s="109"/>
      <c r="F113" s="109"/>
      <c r="G113" s="109"/>
      <c r="H113" s="136"/>
      <c r="I113" s="136"/>
      <c r="J113" s="109"/>
      <c r="K113" s="109"/>
      <c r="L113" s="109"/>
      <c r="M113" s="109"/>
      <c r="N113" s="109"/>
      <c r="O113" s="109"/>
      <c r="P113" s="109"/>
      <c r="Q113" s="109"/>
      <c r="R113" s="109"/>
      <c r="S113" s="109"/>
      <c r="T113" s="109"/>
      <c r="U113" s="109"/>
      <c r="V113" s="109"/>
      <c r="W113" s="109"/>
      <c r="X113" s="109"/>
      <c r="Y113" s="109"/>
      <c r="Z113" s="109"/>
      <c r="AA113" s="109"/>
      <c r="AB113" s="109"/>
    </row>
    <row r="114" ht="15.75" customHeight="1">
      <c r="A114" s="109"/>
      <c r="B114" s="109"/>
      <c r="C114" s="109"/>
      <c r="D114" s="109"/>
      <c r="E114" s="109"/>
      <c r="F114" s="109"/>
      <c r="G114" s="109"/>
      <c r="H114" s="136"/>
      <c r="I114" s="136"/>
      <c r="J114" s="109"/>
      <c r="K114" s="109"/>
      <c r="L114" s="109"/>
      <c r="M114" s="109"/>
      <c r="N114" s="109"/>
      <c r="O114" s="109"/>
      <c r="P114" s="109"/>
      <c r="Q114" s="109"/>
      <c r="R114" s="109"/>
      <c r="S114" s="109"/>
      <c r="T114" s="109"/>
      <c r="U114" s="109"/>
      <c r="V114" s="109"/>
      <c r="W114" s="109"/>
      <c r="X114" s="109"/>
      <c r="Y114" s="109"/>
      <c r="Z114" s="109"/>
      <c r="AA114" s="109"/>
      <c r="AB114" s="109"/>
    </row>
    <row r="115" ht="15.75" customHeight="1">
      <c r="A115" s="109"/>
      <c r="B115" s="109"/>
      <c r="C115" s="109"/>
      <c r="D115" s="109"/>
      <c r="E115" s="109"/>
      <c r="F115" s="109"/>
      <c r="G115" s="109"/>
      <c r="H115" s="136"/>
      <c r="I115" s="136"/>
      <c r="J115" s="109"/>
      <c r="K115" s="109"/>
      <c r="L115" s="109"/>
      <c r="M115" s="109"/>
      <c r="N115" s="109"/>
      <c r="O115" s="109"/>
      <c r="P115" s="109"/>
      <c r="Q115" s="109"/>
      <c r="R115" s="109"/>
      <c r="S115" s="109"/>
      <c r="T115" s="109"/>
      <c r="U115" s="109"/>
      <c r="V115" s="109"/>
      <c r="W115" s="109"/>
      <c r="X115" s="109"/>
      <c r="Y115" s="109"/>
      <c r="Z115" s="109"/>
      <c r="AA115" s="109"/>
      <c r="AB115" s="109"/>
    </row>
    <row r="116" ht="15.75" customHeight="1">
      <c r="A116" s="109"/>
      <c r="B116" s="109"/>
      <c r="C116" s="109"/>
      <c r="D116" s="109"/>
      <c r="E116" s="109"/>
      <c r="F116" s="109"/>
      <c r="G116" s="109"/>
      <c r="H116" s="136"/>
      <c r="I116" s="136"/>
      <c r="J116" s="109"/>
      <c r="K116" s="109"/>
      <c r="L116" s="109"/>
      <c r="M116" s="109"/>
      <c r="N116" s="109"/>
      <c r="O116" s="109"/>
      <c r="P116" s="109"/>
      <c r="Q116" s="109"/>
      <c r="R116" s="109"/>
      <c r="S116" s="109"/>
      <c r="T116" s="109"/>
      <c r="U116" s="109"/>
      <c r="V116" s="109"/>
      <c r="W116" s="109"/>
      <c r="X116" s="109"/>
      <c r="Y116" s="109"/>
      <c r="Z116" s="109"/>
      <c r="AA116" s="109"/>
      <c r="AB116" s="109"/>
    </row>
    <row r="117" ht="15.75" customHeight="1">
      <c r="A117" s="109"/>
      <c r="B117" s="109"/>
      <c r="C117" s="109"/>
      <c r="D117" s="109"/>
      <c r="E117" s="109"/>
      <c r="F117" s="109"/>
      <c r="G117" s="109"/>
      <c r="H117" s="136"/>
      <c r="I117" s="136"/>
      <c r="J117" s="109"/>
      <c r="K117" s="109"/>
      <c r="L117" s="109"/>
      <c r="M117" s="109"/>
      <c r="N117" s="109"/>
      <c r="O117" s="109"/>
      <c r="P117" s="109"/>
      <c r="Q117" s="109"/>
      <c r="R117" s="109"/>
      <c r="S117" s="109"/>
      <c r="T117" s="109"/>
      <c r="U117" s="109"/>
      <c r="V117" s="109"/>
      <c r="W117" s="109"/>
      <c r="X117" s="109"/>
      <c r="Y117" s="109"/>
      <c r="Z117" s="109"/>
      <c r="AA117" s="109"/>
      <c r="AB117" s="109"/>
    </row>
    <row r="118" ht="15.75" customHeight="1">
      <c r="A118" s="109"/>
      <c r="B118" s="109"/>
      <c r="C118" s="109"/>
      <c r="D118" s="109"/>
      <c r="E118" s="109"/>
      <c r="F118" s="109"/>
      <c r="G118" s="109"/>
      <c r="H118" s="136"/>
      <c r="I118" s="136"/>
      <c r="J118" s="109"/>
      <c r="K118" s="109"/>
      <c r="L118" s="109"/>
      <c r="M118" s="109"/>
      <c r="N118" s="109"/>
      <c r="O118" s="109"/>
      <c r="P118" s="109"/>
      <c r="Q118" s="109"/>
      <c r="R118" s="109"/>
      <c r="S118" s="109"/>
      <c r="T118" s="109"/>
      <c r="U118" s="109"/>
      <c r="V118" s="109"/>
      <c r="W118" s="109"/>
      <c r="X118" s="109"/>
      <c r="Y118" s="109"/>
      <c r="Z118" s="109"/>
      <c r="AA118" s="109"/>
      <c r="AB118" s="109"/>
    </row>
    <row r="119" ht="15.75" customHeight="1">
      <c r="A119" s="109"/>
      <c r="B119" s="109"/>
      <c r="C119" s="109"/>
      <c r="D119" s="109"/>
      <c r="E119" s="109"/>
      <c r="F119" s="109"/>
      <c r="G119" s="109"/>
      <c r="H119" s="136"/>
      <c r="I119" s="136"/>
      <c r="J119" s="109"/>
      <c r="K119" s="109"/>
      <c r="L119" s="109"/>
      <c r="M119" s="109"/>
      <c r="N119" s="109"/>
      <c r="O119" s="109"/>
      <c r="P119" s="109"/>
      <c r="Q119" s="109"/>
      <c r="R119" s="109"/>
      <c r="S119" s="109"/>
      <c r="T119" s="109"/>
      <c r="U119" s="109"/>
      <c r="V119" s="109"/>
      <c r="W119" s="109"/>
      <c r="X119" s="109"/>
      <c r="Y119" s="109"/>
      <c r="Z119" s="109"/>
      <c r="AA119" s="109"/>
      <c r="AB119" s="109"/>
    </row>
    <row r="120" ht="15.75" customHeight="1">
      <c r="A120" s="109"/>
      <c r="B120" s="109"/>
      <c r="C120" s="109"/>
      <c r="D120" s="109"/>
      <c r="E120" s="109"/>
      <c r="F120" s="109"/>
      <c r="G120" s="109"/>
      <c r="H120" s="136"/>
      <c r="I120" s="136"/>
      <c r="J120" s="109"/>
      <c r="K120" s="109"/>
      <c r="L120" s="109"/>
      <c r="M120" s="109"/>
      <c r="N120" s="109"/>
      <c r="O120" s="109"/>
      <c r="P120" s="109"/>
      <c r="Q120" s="109"/>
      <c r="R120" s="109"/>
      <c r="S120" s="109"/>
      <c r="T120" s="109"/>
      <c r="U120" s="109"/>
      <c r="V120" s="109"/>
      <c r="W120" s="109"/>
      <c r="X120" s="109"/>
      <c r="Y120" s="109"/>
      <c r="Z120" s="109"/>
      <c r="AA120" s="109"/>
      <c r="AB120" s="109"/>
    </row>
    <row r="121" ht="15.75" customHeight="1">
      <c r="A121" s="109"/>
      <c r="B121" s="109"/>
      <c r="C121" s="109"/>
      <c r="D121" s="109"/>
      <c r="E121" s="109"/>
      <c r="F121" s="109"/>
      <c r="G121" s="109"/>
      <c r="H121" s="136"/>
      <c r="I121" s="136"/>
      <c r="J121" s="109"/>
      <c r="K121" s="109"/>
      <c r="L121" s="109"/>
      <c r="M121" s="109"/>
      <c r="N121" s="109"/>
      <c r="O121" s="109"/>
      <c r="P121" s="109"/>
      <c r="Q121" s="109"/>
      <c r="R121" s="109"/>
      <c r="S121" s="109"/>
      <c r="T121" s="109"/>
      <c r="U121" s="109"/>
      <c r="V121" s="109"/>
      <c r="W121" s="109"/>
      <c r="X121" s="109"/>
      <c r="Y121" s="109"/>
      <c r="Z121" s="109"/>
      <c r="AA121" s="109"/>
      <c r="AB121" s="109"/>
    </row>
    <row r="122" ht="15.75" customHeight="1">
      <c r="A122" s="109"/>
      <c r="B122" s="109"/>
      <c r="C122" s="109"/>
      <c r="D122" s="109"/>
      <c r="E122" s="109"/>
      <c r="F122" s="109"/>
      <c r="G122" s="109"/>
      <c r="H122" s="136"/>
      <c r="I122" s="136"/>
      <c r="J122" s="109"/>
      <c r="K122" s="109"/>
      <c r="L122" s="109"/>
      <c r="M122" s="109"/>
      <c r="N122" s="109"/>
      <c r="O122" s="109"/>
      <c r="P122" s="109"/>
      <c r="Q122" s="109"/>
      <c r="R122" s="109"/>
      <c r="S122" s="109"/>
      <c r="T122" s="109"/>
      <c r="U122" s="109"/>
      <c r="V122" s="109"/>
      <c r="W122" s="109"/>
      <c r="X122" s="109"/>
      <c r="Y122" s="109"/>
      <c r="Z122" s="109"/>
      <c r="AA122" s="109"/>
      <c r="AB122" s="109"/>
    </row>
    <row r="123" ht="15.75" customHeight="1">
      <c r="A123" s="109"/>
      <c r="B123" s="109"/>
      <c r="C123" s="109"/>
      <c r="D123" s="109"/>
      <c r="E123" s="109"/>
      <c r="F123" s="109"/>
      <c r="G123" s="109"/>
      <c r="H123" s="136"/>
      <c r="I123" s="136"/>
      <c r="J123" s="109"/>
      <c r="K123" s="109"/>
      <c r="L123" s="109"/>
      <c r="M123" s="109"/>
      <c r="N123" s="109"/>
      <c r="O123" s="109"/>
      <c r="P123" s="109"/>
      <c r="Q123" s="109"/>
      <c r="R123" s="109"/>
      <c r="S123" s="109"/>
      <c r="T123" s="109"/>
      <c r="U123" s="109"/>
      <c r="V123" s="109"/>
      <c r="W123" s="109"/>
      <c r="X123" s="109"/>
      <c r="Y123" s="109"/>
      <c r="Z123" s="109"/>
      <c r="AA123" s="109"/>
      <c r="AB123" s="109"/>
    </row>
    <row r="124" ht="15.75" customHeight="1">
      <c r="A124" s="109"/>
      <c r="B124" s="109"/>
      <c r="C124" s="109"/>
      <c r="D124" s="109"/>
      <c r="E124" s="109"/>
      <c r="F124" s="109"/>
      <c r="G124" s="109"/>
      <c r="H124" s="136"/>
      <c r="I124" s="136"/>
      <c r="J124" s="109"/>
      <c r="K124" s="109"/>
      <c r="L124" s="109"/>
      <c r="M124" s="109"/>
      <c r="N124" s="109"/>
      <c r="O124" s="109"/>
      <c r="P124" s="109"/>
      <c r="Q124" s="109"/>
      <c r="R124" s="109"/>
      <c r="S124" s="109"/>
      <c r="T124" s="109"/>
      <c r="U124" s="109"/>
      <c r="V124" s="109"/>
      <c r="W124" s="109"/>
      <c r="X124" s="109"/>
      <c r="Y124" s="109"/>
      <c r="Z124" s="109"/>
      <c r="AA124" s="109"/>
      <c r="AB124" s="109"/>
    </row>
    <row r="125" ht="15.75" customHeight="1">
      <c r="A125" s="109"/>
      <c r="B125" s="109"/>
      <c r="C125" s="109"/>
      <c r="D125" s="109"/>
      <c r="E125" s="109"/>
      <c r="F125" s="109"/>
      <c r="G125" s="109"/>
      <c r="H125" s="136"/>
      <c r="I125" s="136"/>
      <c r="J125" s="109"/>
      <c r="K125" s="109"/>
      <c r="L125" s="109"/>
      <c r="M125" s="109"/>
      <c r="N125" s="109"/>
      <c r="O125" s="109"/>
      <c r="P125" s="109"/>
      <c r="Q125" s="109"/>
      <c r="R125" s="109"/>
      <c r="S125" s="109"/>
      <c r="T125" s="109"/>
      <c r="U125" s="109"/>
      <c r="V125" s="109"/>
      <c r="W125" s="109"/>
      <c r="X125" s="109"/>
      <c r="Y125" s="109"/>
      <c r="Z125" s="109"/>
      <c r="AA125" s="109"/>
      <c r="AB125" s="109"/>
    </row>
    <row r="126" ht="15.75" customHeight="1">
      <c r="A126" s="109"/>
      <c r="B126" s="109"/>
      <c r="C126" s="109"/>
      <c r="D126" s="109"/>
      <c r="E126" s="109"/>
      <c r="F126" s="109"/>
      <c r="G126" s="109"/>
      <c r="H126" s="136"/>
      <c r="I126" s="136"/>
      <c r="J126" s="109"/>
      <c r="K126" s="109"/>
      <c r="L126" s="109"/>
      <c r="M126" s="109"/>
      <c r="N126" s="109"/>
      <c r="O126" s="109"/>
      <c r="P126" s="109"/>
      <c r="Q126" s="109"/>
      <c r="R126" s="109"/>
      <c r="S126" s="109"/>
      <c r="T126" s="109"/>
      <c r="U126" s="109"/>
      <c r="V126" s="109"/>
      <c r="W126" s="109"/>
      <c r="X126" s="109"/>
      <c r="Y126" s="109"/>
      <c r="Z126" s="109"/>
      <c r="AA126" s="109"/>
      <c r="AB126" s="109"/>
    </row>
    <row r="127" ht="15.75" customHeight="1">
      <c r="A127" s="109"/>
      <c r="B127" s="109"/>
      <c r="C127" s="109"/>
      <c r="D127" s="109"/>
      <c r="E127" s="109"/>
      <c r="F127" s="109"/>
      <c r="G127" s="109"/>
      <c r="H127" s="136"/>
      <c r="I127" s="136"/>
      <c r="J127" s="109"/>
      <c r="K127" s="109"/>
      <c r="L127" s="109"/>
      <c r="M127" s="109"/>
      <c r="N127" s="109"/>
      <c r="O127" s="109"/>
      <c r="P127" s="109"/>
      <c r="Q127" s="109"/>
      <c r="R127" s="109"/>
      <c r="S127" s="109"/>
      <c r="T127" s="109"/>
      <c r="U127" s="109"/>
      <c r="V127" s="109"/>
      <c r="W127" s="109"/>
      <c r="X127" s="109"/>
      <c r="Y127" s="109"/>
      <c r="Z127" s="109"/>
      <c r="AA127" s="109"/>
      <c r="AB127" s="109"/>
    </row>
    <row r="128" ht="15.75" customHeight="1">
      <c r="A128" s="109"/>
      <c r="B128" s="109"/>
      <c r="C128" s="109"/>
      <c r="D128" s="109"/>
      <c r="E128" s="109"/>
      <c r="F128" s="109"/>
      <c r="G128" s="109"/>
      <c r="H128" s="136"/>
      <c r="I128" s="136"/>
      <c r="J128" s="109"/>
      <c r="K128" s="109"/>
      <c r="L128" s="109"/>
      <c r="M128" s="109"/>
      <c r="N128" s="109"/>
      <c r="O128" s="109"/>
      <c r="P128" s="109"/>
      <c r="Q128" s="109"/>
      <c r="R128" s="109"/>
      <c r="S128" s="109"/>
      <c r="T128" s="109"/>
      <c r="U128" s="109"/>
      <c r="V128" s="109"/>
      <c r="W128" s="109"/>
      <c r="X128" s="109"/>
      <c r="Y128" s="109"/>
      <c r="Z128" s="109"/>
      <c r="AA128" s="109"/>
      <c r="AB128" s="109"/>
    </row>
    <row r="129" ht="15.75" customHeight="1">
      <c r="A129" s="109"/>
      <c r="B129" s="109"/>
      <c r="C129" s="109"/>
      <c r="D129" s="109"/>
      <c r="E129" s="109"/>
      <c r="F129" s="109"/>
      <c r="G129" s="109"/>
      <c r="H129" s="136"/>
      <c r="I129" s="136"/>
      <c r="J129" s="109"/>
      <c r="K129" s="109"/>
      <c r="L129" s="109"/>
      <c r="M129" s="109"/>
      <c r="N129" s="109"/>
      <c r="O129" s="109"/>
      <c r="P129" s="109"/>
      <c r="Q129" s="109"/>
      <c r="R129" s="109"/>
      <c r="S129" s="109"/>
      <c r="T129" s="109"/>
      <c r="U129" s="109"/>
      <c r="V129" s="109"/>
      <c r="W129" s="109"/>
      <c r="X129" s="109"/>
      <c r="Y129" s="109"/>
      <c r="Z129" s="109"/>
      <c r="AA129" s="109"/>
      <c r="AB129" s="109"/>
    </row>
    <row r="130" ht="15.75" customHeight="1">
      <c r="A130" s="109"/>
      <c r="B130" s="109"/>
      <c r="C130" s="109"/>
      <c r="D130" s="109"/>
      <c r="E130" s="109"/>
      <c r="F130" s="109"/>
      <c r="G130" s="109"/>
      <c r="H130" s="136"/>
      <c r="I130" s="136"/>
      <c r="J130" s="109"/>
      <c r="K130" s="109"/>
      <c r="L130" s="109"/>
      <c r="M130" s="109"/>
      <c r="N130" s="109"/>
      <c r="O130" s="109"/>
      <c r="P130" s="109"/>
      <c r="Q130" s="109"/>
      <c r="R130" s="109"/>
      <c r="S130" s="109"/>
      <c r="T130" s="109"/>
      <c r="U130" s="109"/>
      <c r="V130" s="109"/>
      <c r="W130" s="109"/>
      <c r="X130" s="109"/>
      <c r="Y130" s="109"/>
      <c r="Z130" s="109"/>
      <c r="AA130" s="109"/>
      <c r="AB130" s="109"/>
    </row>
    <row r="131" ht="15.75" customHeight="1">
      <c r="A131" s="109"/>
      <c r="B131" s="109"/>
      <c r="C131" s="109"/>
      <c r="D131" s="109"/>
      <c r="E131" s="109"/>
      <c r="F131" s="109"/>
      <c r="G131" s="109"/>
      <c r="H131" s="136"/>
      <c r="I131" s="136"/>
      <c r="J131" s="109"/>
      <c r="K131" s="109"/>
      <c r="L131" s="109"/>
      <c r="M131" s="109"/>
      <c r="N131" s="109"/>
      <c r="O131" s="109"/>
      <c r="P131" s="109"/>
      <c r="Q131" s="109"/>
      <c r="R131" s="109"/>
      <c r="S131" s="109"/>
      <c r="T131" s="109"/>
      <c r="U131" s="109"/>
      <c r="V131" s="109"/>
      <c r="W131" s="109"/>
      <c r="X131" s="109"/>
      <c r="Y131" s="109"/>
      <c r="Z131" s="109"/>
      <c r="AA131" s="109"/>
      <c r="AB131" s="109"/>
    </row>
    <row r="132" ht="15.75" customHeight="1">
      <c r="A132" s="109"/>
      <c r="B132" s="109"/>
      <c r="C132" s="109"/>
      <c r="D132" s="109"/>
      <c r="E132" s="109"/>
      <c r="F132" s="109"/>
      <c r="G132" s="109"/>
      <c r="H132" s="136"/>
      <c r="I132" s="136"/>
      <c r="J132" s="109"/>
      <c r="K132" s="109"/>
      <c r="L132" s="109"/>
      <c r="M132" s="109"/>
      <c r="N132" s="109"/>
      <c r="O132" s="109"/>
      <c r="P132" s="109"/>
      <c r="Q132" s="109"/>
      <c r="R132" s="109"/>
      <c r="S132" s="109"/>
      <c r="T132" s="109"/>
      <c r="U132" s="109"/>
      <c r="V132" s="109"/>
      <c r="W132" s="109"/>
      <c r="X132" s="109"/>
      <c r="Y132" s="109"/>
      <c r="Z132" s="109"/>
      <c r="AA132" s="109"/>
      <c r="AB132" s="109"/>
    </row>
    <row r="133" ht="15.75" customHeight="1">
      <c r="A133" s="109"/>
      <c r="B133" s="109"/>
      <c r="C133" s="109"/>
      <c r="D133" s="109"/>
      <c r="E133" s="109"/>
      <c r="F133" s="109"/>
      <c r="G133" s="109"/>
      <c r="H133" s="136"/>
      <c r="I133" s="136"/>
      <c r="J133" s="109"/>
      <c r="K133" s="109"/>
      <c r="L133" s="109"/>
      <c r="M133" s="109"/>
      <c r="N133" s="109"/>
      <c r="O133" s="109"/>
      <c r="P133" s="109"/>
      <c r="Q133" s="109"/>
      <c r="R133" s="109"/>
      <c r="S133" s="109"/>
      <c r="T133" s="109"/>
      <c r="U133" s="109"/>
      <c r="V133" s="109"/>
      <c r="W133" s="109"/>
      <c r="X133" s="109"/>
      <c r="Y133" s="109"/>
      <c r="Z133" s="109"/>
      <c r="AA133" s="109"/>
      <c r="AB133" s="109"/>
    </row>
    <row r="134" ht="15.75" customHeight="1">
      <c r="A134" s="109"/>
      <c r="B134" s="109"/>
      <c r="C134" s="109"/>
      <c r="D134" s="109"/>
      <c r="E134" s="109"/>
      <c r="F134" s="109"/>
      <c r="G134" s="109"/>
      <c r="H134" s="136"/>
      <c r="I134" s="136"/>
      <c r="J134" s="109"/>
      <c r="K134" s="109"/>
      <c r="L134" s="109"/>
      <c r="M134" s="109"/>
      <c r="N134" s="109"/>
      <c r="O134" s="109"/>
      <c r="P134" s="109"/>
      <c r="Q134" s="109"/>
      <c r="R134" s="109"/>
      <c r="S134" s="109"/>
      <c r="T134" s="109"/>
      <c r="U134" s="109"/>
      <c r="V134" s="109"/>
      <c r="W134" s="109"/>
      <c r="X134" s="109"/>
      <c r="Y134" s="109"/>
      <c r="Z134" s="109"/>
      <c r="AA134" s="109"/>
      <c r="AB134" s="109"/>
    </row>
    <row r="135" ht="15.75" customHeight="1">
      <c r="A135" s="109"/>
      <c r="B135" s="109"/>
      <c r="C135" s="109"/>
      <c r="D135" s="109"/>
      <c r="E135" s="109"/>
      <c r="F135" s="109"/>
      <c r="G135" s="109"/>
      <c r="H135" s="136"/>
      <c r="I135" s="136"/>
      <c r="J135" s="109"/>
      <c r="K135" s="109"/>
      <c r="L135" s="109"/>
      <c r="M135" s="109"/>
      <c r="N135" s="109"/>
      <c r="O135" s="109"/>
      <c r="P135" s="109"/>
      <c r="Q135" s="109"/>
      <c r="R135" s="109"/>
      <c r="S135" s="109"/>
      <c r="T135" s="109"/>
      <c r="U135" s="109"/>
      <c r="V135" s="109"/>
      <c r="W135" s="109"/>
      <c r="X135" s="109"/>
      <c r="Y135" s="109"/>
      <c r="Z135" s="109"/>
      <c r="AA135" s="109"/>
      <c r="AB135" s="109"/>
    </row>
    <row r="136" ht="15.75" customHeight="1">
      <c r="A136" s="109"/>
      <c r="B136" s="109"/>
      <c r="C136" s="109"/>
      <c r="D136" s="109"/>
      <c r="E136" s="109"/>
      <c r="F136" s="109"/>
      <c r="G136" s="109"/>
      <c r="H136" s="136"/>
      <c r="I136" s="136"/>
      <c r="J136" s="109"/>
      <c r="K136" s="109"/>
      <c r="L136" s="109"/>
      <c r="M136" s="109"/>
      <c r="N136" s="109"/>
      <c r="O136" s="109"/>
      <c r="P136" s="109"/>
      <c r="Q136" s="109"/>
      <c r="R136" s="109"/>
      <c r="S136" s="109"/>
      <c r="T136" s="109"/>
      <c r="U136" s="109"/>
      <c r="V136" s="109"/>
      <c r="W136" s="109"/>
      <c r="X136" s="109"/>
      <c r="Y136" s="109"/>
      <c r="Z136" s="109"/>
      <c r="AA136" s="109"/>
      <c r="AB136" s="109"/>
    </row>
    <row r="137" ht="15.75" customHeight="1">
      <c r="A137" s="109"/>
      <c r="B137" s="109"/>
      <c r="C137" s="109"/>
      <c r="D137" s="109"/>
      <c r="E137" s="109"/>
      <c r="F137" s="109"/>
      <c r="G137" s="109"/>
      <c r="H137" s="136"/>
      <c r="I137" s="136"/>
      <c r="J137" s="109"/>
      <c r="K137" s="109"/>
      <c r="L137" s="109"/>
      <c r="M137" s="109"/>
      <c r="N137" s="109"/>
      <c r="O137" s="109"/>
      <c r="P137" s="109"/>
      <c r="Q137" s="109"/>
      <c r="R137" s="109"/>
      <c r="S137" s="109"/>
      <c r="T137" s="109"/>
      <c r="U137" s="109"/>
      <c r="V137" s="109"/>
      <c r="W137" s="109"/>
      <c r="X137" s="109"/>
      <c r="Y137" s="109"/>
      <c r="Z137" s="109"/>
      <c r="AA137" s="109"/>
      <c r="AB137" s="109"/>
    </row>
    <row r="138" ht="15.75" customHeight="1">
      <c r="A138" s="109"/>
      <c r="B138" s="109"/>
      <c r="C138" s="109"/>
      <c r="D138" s="109"/>
      <c r="E138" s="109"/>
      <c r="F138" s="109"/>
      <c r="G138" s="109"/>
      <c r="H138" s="136"/>
      <c r="I138" s="136"/>
      <c r="J138" s="109"/>
      <c r="K138" s="109"/>
      <c r="L138" s="109"/>
      <c r="M138" s="109"/>
      <c r="N138" s="109"/>
      <c r="O138" s="109"/>
      <c r="P138" s="109"/>
      <c r="Q138" s="109"/>
      <c r="R138" s="109"/>
      <c r="S138" s="109"/>
      <c r="T138" s="109"/>
      <c r="U138" s="109"/>
      <c r="V138" s="109"/>
      <c r="W138" s="109"/>
      <c r="X138" s="109"/>
      <c r="Y138" s="109"/>
      <c r="Z138" s="109"/>
      <c r="AA138" s="109"/>
      <c r="AB138" s="109"/>
    </row>
    <row r="139" ht="15.75" customHeight="1">
      <c r="A139" s="109"/>
      <c r="B139" s="109"/>
      <c r="C139" s="109"/>
      <c r="D139" s="109"/>
      <c r="E139" s="109"/>
      <c r="F139" s="109"/>
      <c r="G139" s="109"/>
      <c r="H139" s="136"/>
      <c r="I139" s="136"/>
      <c r="J139" s="109"/>
      <c r="K139" s="109"/>
      <c r="L139" s="109"/>
      <c r="M139" s="109"/>
      <c r="N139" s="109"/>
      <c r="O139" s="109"/>
      <c r="P139" s="109"/>
      <c r="Q139" s="109"/>
      <c r="R139" s="109"/>
      <c r="S139" s="109"/>
      <c r="T139" s="109"/>
      <c r="U139" s="109"/>
      <c r="V139" s="109"/>
      <c r="W139" s="109"/>
      <c r="X139" s="109"/>
      <c r="Y139" s="109"/>
      <c r="Z139" s="109"/>
      <c r="AA139" s="109"/>
      <c r="AB139" s="109"/>
    </row>
    <row r="140" ht="15.75" customHeight="1">
      <c r="A140" s="109"/>
      <c r="B140" s="109"/>
      <c r="C140" s="109"/>
      <c r="D140" s="109"/>
      <c r="E140" s="109"/>
      <c r="F140" s="109"/>
      <c r="G140" s="109"/>
      <c r="H140" s="136"/>
      <c r="I140" s="136"/>
      <c r="J140" s="109"/>
      <c r="K140" s="109"/>
      <c r="L140" s="109"/>
      <c r="M140" s="109"/>
      <c r="N140" s="109"/>
      <c r="O140" s="109"/>
      <c r="P140" s="109"/>
      <c r="Q140" s="109"/>
      <c r="R140" s="109"/>
      <c r="S140" s="109"/>
      <c r="T140" s="109"/>
      <c r="U140" s="109"/>
      <c r="V140" s="109"/>
      <c r="W140" s="109"/>
      <c r="X140" s="109"/>
      <c r="Y140" s="109"/>
      <c r="Z140" s="109"/>
      <c r="AA140" s="109"/>
      <c r="AB140" s="109"/>
    </row>
    <row r="141" ht="15.75" customHeight="1">
      <c r="A141" s="109"/>
      <c r="B141" s="109"/>
      <c r="C141" s="109"/>
      <c r="D141" s="109"/>
      <c r="E141" s="109"/>
      <c r="F141" s="109"/>
      <c r="G141" s="109"/>
      <c r="H141" s="136"/>
      <c r="I141" s="136"/>
      <c r="J141" s="109"/>
      <c r="K141" s="109"/>
      <c r="L141" s="109"/>
      <c r="M141" s="109"/>
      <c r="N141" s="109"/>
      <c r="O141" s="109"/>
      <c r="P141" s="109"/>
      <c r="Q141" s="109"/>
      <c r="R141" s="109"/>
      <c r="S141" s="109"/>
      <c r="T141" s="109"/>
      <c r="U141" s="109"/>
      <c r="V141" s="109"/>
      <c r="W141" s="109"/>
      <c r="X141" s="109"/>
      <c r="Y141" s="109"/>
      <c r="Z141" s="109"/>
      <c r="AA141" s="109"/>
      <c r="AB141" s="109"/>
    </row>
    <row r="142" ht="15.75" customHeight="1">
      <c r="A142" s="109"/>
      <c r="B142" s="109"/>
      <c r="C142" s="109"/>
      <c r="D142" s="109"/>
      <c r="E142" s="109"/>
      <c r="F142" s="109"/>
      <c r="G142" s="109"/>
      <c r="H142" s="136"/>
      <c r="I142" s="136"/>
      <c r="J142" s="109"/>
      <c r="K142" s="109"/>
      <c r="L142" s="109"/>
      <c r="M142" s="109"/>
      <c r="N142" s="109"/>
      <c r="O142" s="109"/>
      <c r="P142" s="109"/>
      <c r="Q142" s="109"/>
      <c r="R142" s="109"/>
      <c r="S142" s="109"/>
      <c r="T142" s="109"/>
      <c r="U142" s="109"/>
      <c r="V142" s="109"/>
      <c r="W142" s="109"/>
      <c r="X142" s="109"/>
      <c r="Y142" s="109"/>
      <c r="Z142" s="109"/>
      <c r="AA142" s="109"/>
      <c r="AB142" s="109"/>
    </row>
    <row r="143" ht="15.75" customHeight="1">
      <c r="A143" s="109"/>
      <c r="B143" s="109"/>
      <c r="C143" s="109"/>
      <c r="D143" s="109"/>
      <c r="E143" s="109"/>
      <c r="F143" s="109"/>
      <c r="G143" s="109"/>
      <c r="H143" s="136"/>
      <c r="I143" s="136"/>
      <c r="J143" s="109"/>
      <c r="K143" s="109"/>
      <c r="L143" s="109"/>
      <c r="M143" s="109"/>
      <c r="N143" s="109"/>
      <c r="O143" s="109"/>
      <c r="P143" s="109"/>
      <c r="Q143" s="109"/>
      <c r="R143" s="109"/>
      <c r="S143" s="109"/>
      <c r="T143" s="109"/>
      <c r="U143" s="109"/>
      <c r="V143" s="109"/>
      <c r="W143" s="109"/>
      <c r="X143" s="109"/>
      <c r="Y143" s="109"/>
      <c r="Z143" s="109"/>
      <c r="AA143" s="109"/>
      <c r="AB143" s="109"/>
    </row>
    <row r="144" ht="15.75" customHeight="1">
      <c r="A144" s="109"/>
      <c r="B144" s="109"/>
      <c r="C144" s="109"/>
      <c r="D144" s="109"/>
      <c r="E144" s="109"/>
      <c r="F144" s="109"/>
      <c r="G144" s="109"/>
      <c r="H144" s="136"/>
      <c r="I144" s="136"/>
      <c r="J144" s="109"/>
      <c r="K144" s="109"/>
      <c r="L144" s="109"/>
      <c r="M144" s="109"/>
      <c r="N144" s="109"/>
      <c r="O144" s="109"/>
      <c r="P144" s="109"/>
      <c r="Q144" s="109"/>
      <c r="R144" s="109"/>
      <c r="S144" s="109"/>
      <c r="T144" s="109"/>
      <c r="U144" s="109"/>
      <c r="V144" s="109"/>
      <c r="W144" s="109"/>
      <c r="X144" s="109"/>
      <c r="Y144" s="109"/>
      <c r="Z144" s="109"/>
      <c r="AA144" s="109"/>
      <c r="AB144" s="109"/>
    </row>
    <row r="145" ht="15.75" customHeight="1">
      <c r="A145" s="109"/>
      <c r="B145" s="109"/>
      <c r="C145" s="109"/>
      <c r="D145" s="109"/>
      <c r="E145" s="109"/>
      <c r="F145" s="109"/>
      <c r="G145" s="109"/>
      <c r="H145" s="136"/>
      <c r="I145" s="136"/>
      <c r="J145" s="109"/>
      <c r="K145" s="109"/>
      <c r="L145" s="109"/>
      <c r="M145" s="109"/>
      <c r="N145" s="109"/>
      <c r="O145" s="109"/>
      <c r="P145" s="109"/>
      <c r="Q145" s="109"/>
      <c r="R145" s="109"/>
      <c r="S145" s="109"/>
      <c r="T145" s="109"/>
      <c r="U145" s="109"/>
      <c r="V145" s="109"/>
      <c r="W145" s="109"/>
      <c r="X145" s="109"/>
      <c r="Y145" s="109"/>
      <c r="Z145" s="109"/>
      <c r="AA145" s="109"/>
      <c r="AB145" s="109"/>
    </row>
    <row r="146" ht="15.75" customHeight="1">
      <c r="A146" s="109"/>
      <c r="B146" s="109"/>
      <c r="C146" s="109"/>
      <c r="D146" s="109"/>
      <c r="E146" s="109"/>
      <c r="F146" s="109"/>
      <c r="G146" s="109"/>
      <c r="H146" s="136"/>
      <c r="I146" s="136"/>
      <c r="J146" s="109"/>
      <c r="K146" s="109"/>
      <c r="L146" s="109"/>
      <c r="M146" s="109"/>
      <c r="N146" s="109"/>
      <c r="O146" s="109"/>
      <c r="P146" s="109"/>
      <c r="Q146" s="109"/>
      <c r="R146" s="109"/>
      <c r="S146" s="109"/>
      <c r="T146" s="109"/>
      <c r="U146" s="109"/>
      <c r="V146" s="109"/>
      <c r="W146" s="109"/>
      <c r="X146" s="109"/>
      <c r="Y146" s="109"/>
      <c r="Z146" s="109"/>
      <c r="AA146" s="109"/>
      <c r="AB146" s="109"/>
    </row>
    <row r="147" ht="15.75" customHeight="1">
      <c r="A147" s="109"/>
      <c r="B147" s="109"/>
      <c r="C147" s="109"/>
      <c r="D147" s="109"/>
      <c r="E147" s="109"/>
      <c r="F147" s="109"/>
      <c r="G147" s="109"/>
      <c r="H147" s="136"/>
      <c r="I147" s="136"/>
      <c r="J147" s="109"/>
      <c r="K147" s="109"/>
      <c r="L147" s="109"/>
      <c r="M147" s="109"/>
      <c r="N147" s="109"/>
      <c r="O147" s="109"/>
      <c r="P147" s="109"/>
      <c r="Q147" s="109"/>
      <c r="R147" s="109"/>
      <c r="S147" s="109"/>
      <c r="T147" s="109"/>
      <c r="U147" s="109"/>
      <c r="V147" s="109"/>
      <c r="W147" s="109"/>
      <c r="X147" s="109"/>
      <c r="Y147" s="109"/>
      <c r="Z147" s="109"/>
      <c r="AA147" s="109"/>
      <c r="AB147" s="109"/>
    </row>
    <row r="148" ht="15.75" customHeight="1">
      <c r="A148" s="109"/>
      <c r="B148" s="109"/>
      <c r="C148" s="109"/>
      <c r="D148" s="109"/>
      <c r="E148" s="109"/>
      <c r="F148" s="109"/>
      <c r="G148" s="109"/>
      <c r="H148" s="136"/>
      <c r="I148" s="136"/>
      <c r="J148" s="109"/>
      <c r="K148" s="109"/>
      <c r="L148" s="109"/>
      <c r="M148" s="109"/>
      <c r="N148" s="109"/>
      <c r="O148" s="109"/>
      <c r="P148" s="109"/>
      <c r="Q148" s="109"/>
      <c r="R148" s="109"/>
      <c r="S148" s="109"/>
      <c r="T148" s="109"/>
      <c r="U148" s="109"/>
      <c r="V148" s="109"/>
      <c r="W148" s="109"/>
      <c r="X148" s="109"/>
      <c r="Y148" s="109"/>
      <c r="Z148" s="109"/>
      <c r="AA148" s="109"/>
      <c r="AB148" s="109"/>
    </row>
    <row r="149" ht="15.75" customHeight="1">
      <c r="A149" s="109"/>
      <c r="B149" s="109"/>
      <c r="C149" s="109"/>
      <c r="D149" s="109"/>
      <c r="E149" s="109"/>
      <c r="F149" s="109"/>
      <c r="G149" s="109"/>
      <c r="H149" s="136"/>
      <c r="I149" s="136"/>
      <c r="J149" s="109"/>
      <c r="K149" s="109"/>
      <c r="L149" s="109"/>
      <c r="M149" s="109"/>
      <c r="N149" s="109"/>
      <c r="O149" s="109"/>
      <c r="P149" s="109"/>
      <c r="Q149" s="109"/>
      <c r="R149" s="109"/>
      <c r="S149" s="109"/>
      <c r="T149" s="109"/>
      <c r="U149" s="109"/>
      <c r="V149" s="109"/>
      <c r="W149" s="109"/>
      <c r="X149" s="109"/>
      <c r="Y149" s="109"/>
      <c r="Z149" s="109"/>
      <c r="AA149" s="109"/>
      <c r="AB149" s="109"/>
    </row>
    <row r="150" ht="15.75" customHeight="1">
      <c r="A150" s="109"/>
      <c r="B150" s="109"/>
      <c r="C150" s="109"/>
      <c r="D150" s="109"/>
      <c r="E150" s="109"/>
      <c r="F150" s="109"/>
      <c r="G150" s="109"/>
      <c r="H150" s="136"/>
      <c r="I150" s="136"/>
      <c r="J150" s="109"/>
      <c r="K150" s="109"/>
      <c r="L150" s="109"/>
      <c r="M150" s="109"/>
      <c r="N150" s="109"/>
      <c r="O150" s="109"/>
      <c r="P150" s="109"/>
      <c r="Q150" s="109"/>
      <c r="R150" s="109"/>
      <c r="S150" s="109"/>
      <c r="T150" s="109"/>
      <c r="U150" s="109"/>
      <c r="V150" s="109"/>
      <c r="W150" s="109"/>
      <c r="X150" s="109"/>
      <c r="Y150" s="109"/>
      <c r="Z150" s="109"/>
      <c r="AA150" s="109"/>
      <c r="AB150" s="109"/>
    </row>
    <row r="151" ht="15.75" customHeight="1">
      <c r="A151" s="109"/>
      <c r="B151" s="109"/>
      <c r="C151" s="109"/>
      <c r="D151" s="109"/>
      <c r="E151" s="109"/>
      <c r="F151" s="109"/>
      <c r="G151" s="109"/>
      <c r="H151" s="136"/>
      <c r="I151" s="136"/>
      <c r="J151" s="109"/>
      <c r="K151" s="109"/>
      <c r="L151" s="109"/>
      <c r="M151" s="109"/>
      <c r="N151" s="109"/>
      <c r="O151" s="109"/>
      <c r="P151" s="109"/>
      <c r="Q151" s="109"/>
      <c r="R151" s="109"/>
      <c r="S151" s="109"/>
      <c r="T151" s="109"/>
      <c r="U151" s="109"/>
      <c r="V151" s="109"/>
      <c r="W151" s="109"/>
      <c r="X151" s="109"/>
      <c r="Y151" s="109"/>
      <c r="Z151" s="109"/>
      <c r="AA151" s="109"/>
      <c r="AB151" s="109"/>
    </row>
    <row r="152" ht="15.75" customHeight="1">
      <c r="A152" s="109"/>
      <c r="B152" s="109"/>
      <c r="C152" s="109"/>
      <c r="D152" s="109"/>
      <c r="E152" s="109"/>
      <c r="F152" s="109"/>
      <c r="G152" s="109"/>
      <c r="H152" s="136"/>
      <c r="I152" s="136"/>
      <c r="J152" s="109"/>
      <c r="K152" s="109"/>
      <c r="L152" s="109"/>
      <c r="M152" s="109"/>
      <c r="N152" s="109"/>
      <c r="O152" s="109"/>
      <c r="P152" s="109"/>
      <c r="Q152" s="109"/>
      <c r="R152" s="109"/>
      <c r="S152" s="109"/>
      <c r="T152" s="109"/>
      <c r="U152" s="109"/>
      <c r="V152" s="109"/>
      <c r="W152" s="109"/>
      <c r="X152" s="109"/>
      <c r="Y152" s="109"/>
      <c r="Z152" s="109"/>
      <c r="AA152" s="109"/>
      <c r="AB152" s="109"/>
    </row>
    <row r="153" ht="15.75" customHeight="1">
      <c r="A153" s="109"/>
      <c r="B153" s="109"/>
      <c r="C153" s="109"/>
      <c r="D153" s="109"/>
      <c r="E153" s="109"/>
      <c r="F153" s="109"/>
      <c r="G153" s="109"/>
      <c r="H153" s="136"/>
      <c r="I153" s="136"/>
      <c r="J153" s="109"/>
      <c r="K153" s="109"/>
      <c r="L153" s="109"/>
      <c r="M153" s="109"/>
      <c r="N153" s="109"/>
      <c r="O153" s="109"/>
      <c r="P153" s="109"/>
      <c r="Q153" s="109"/>
      <c r="R153" s="109"/>
      <c r="S153" s="109"/>
      <c r="T153" s="109"/>
      <c r="U153" s="109"/>
      <c r="V153" s="109"/>
      <c r="W153" s="109"/>
      <c r="X153" s="109"/>
      <c r="Y153" s="109"/>
      <c r="Z153" s="109"/>
      <c r="AA153" s="109"/>
      <c r="AB153" s="109"/>
    </row>
    <row r="154" ht="15.75" customHeight="1">
      <c r="A154" s="109"/>
      <c r="B154" s="109"/>
      <c r="C154" s="109"/>
      <c r="D154" s="109"/>
      <c r="E154" s="109"/>
      <c r="F154" s="109"/>
      <c r="G154" s="109"/>
      <c r="H154" s="136"/>
      <c r="I154" s="136"/>
      <c r="J154" s="109"/>
      <c r="K154" s="109"/>
      <c r="L154" s="109"/>
      <c r="M154" s="109"/>
      <c r="N154" s="109"/>
      <c r="O154" s="109"/>
      <c r="P154" s="109"/>
      <c r="Q154" s="109"/>
      <c r="R154" s="109"/>
      <c r="S154" s="109"/>
      <c r="T154" s="109"/>
      <c r="U154" s="109"/>
      <c r="V154" s="109"/>
      <c r="W154" s="109"/>
      <c r="X154" s="109"/>
      <c r="Y154" s="109"/>
      <c r="Z154" s="109"/>
      <c r="AA154" s="109"/>
      <c r="AB154" s="109"/>
    </row>
    <row r="155" ht="15.75" customHeight="1">
      <c r="A155" s="109"/>
      <c r="B155" s="109"/>
      <c r="C155" s="109"/>
      <c r="D155" s="109"/>
      <c r="E155" s="109"/>
      <c r="F155" s="109"/>
      <c r="G155" s="109"/>
      <c r="H155" s="136"/>
      <c r="I155" s="136"/>
      <c r="J155" s="109"/>
      <c r="K155" s="109"/>
      <c r="L155" s="109"/>
      <c r="M155" s="109"/>
      <c r="N155" s="109"/>
      <c r="O155" s="109"/>
      <c r="P155" s="109"/>
      <c r="Q155" s="109"/>
      <c r="R155" s="109"/>
      <c r="S155" s="109"/>
      <c r="T155" s="109"/>
      <c r="U155" s="109"/>
      <c r="V155" s="109"/>
      <c r="W155" s="109"/>
      <c r="X155" s="109"/>
      <c r="Y155" s="109"/>
      <c r="Z155" s="109"/>
      <c r="AA155" s="109"/>
      <c r="AB155" s="109"/>
    </row>
    <row r="156" ht="15.75" customHeight="1">
      <c r="A156" s="109"/>
      <c r="B156" s="109"/>
      <c r="C156" s="109"/>
      <c r="D156" s="109"/>
      <c r="E156" s="109"/>
      <c r="F156" s="109"/>
      <c r="G156" s="109"/>
      <c r="H156" s="136"/>
      <c r="I156" s="136"/>
      <c r="J156" s="109"/>
      <c r="K156" s="109"/>
      <c r="L156" s="109"/>
      <c r="M156" s="109"/>
      <c r="N156" s="109"/>
      <c r="O156" s="109"/>
      <c r="P156" s="109"/>
      <c r="Q156" s="109"/>
      <c r="R156" s="109"/>
      <c r="S156" s="109"/>
      <c r="T156" s="109"/>
      <c r="U156" s="109"/>
      <c r="V156" s="109"/>
      <c r="W156" s="109"/>
      <c r="X156" s="109"/>
      <c r="Y156" s="109"/>
      <c r="Z156" s="109"/>
      <c r="AA156" s="109"/>
      <c r="AB156" s="109"/>
    </row>
    <row r="157" ht="15.75" customHeight="1">
      <c r="A157" s="109"/>
      <c r="B157" s="109"/>
      <c r="C157" s="109"/>
      <c r="D157" s="109"/>
      <c r="E157" s="109"/>
      <c r="F157" s="109"/>
      <c r="G157" s="109"/>
      <c r="H157" s="136"/>
      <c r="I157" s="136"/>
      <c r="J157" s="109"/>
      <c r="K157" s="109"/>
      <c r="L157" s="109"/>
      <c r="M157" s="109"/>
      <c r="N157" s="109"/>
      <c r="O157" s="109"/>
      <c r="P157" s="109"/>
      <c r="Q157" s="109"/>
      <c r="R157" s="109"/>
      <c r="S157" s="109"/>
      <c r="T157" s="109"/>
      <c r="U157" s="109"/>
      <c r="V157" s="109"/>
      <c r="W157" s="109"/>
      <c r="X157" s="109"/>
      <c r="Y157" s="109"/>
      <c r="Z157" s="109"/>
      <c r="AA157" s="109"/>
      <c r="AB157" s="109"/>
    </row>
    <row r="158" ht="15.75" customHeight="1">
      <c r="A158" s="109"/>
      <c r="B158" s="109"/>
      <c r="C158" s="109"/>
      <c r="D158" s="109"/>
      <c r="E158" s="109"/>
      <c r="F158" s="109"/>
      <c r="G158" s="109"/>
      <c r="H158" s="136"/>
      <c r="I158" s="136"/>
      <c r="J158" s="109"/>
      <c r="K158" s="109"/>
      <c r="L158" s="109"/>
      <c r="M158" s="109"/>
      <c r="N158" s="109"/>
      <c r="O158" s="109"/>
      <c r="P158" s="109"/>
      <c r="Q158" s="109"/>
      <c r="R158" s="109"/>
      <c r="S158" s="109"/>
      <c r="T158" s="109"/>
      <c r="U158" s="109"/>
      <c r="V158" s="109"/>
      <c r="W158" s="109"/>
      <c r="X158" s="109"/>
      <c r="Y158" s="109"/>
      <c r="Z158" s="109"/>
      <c r="AA158" s="109"/>
      <c r="AB158" s="109"/>
    </row>
    <row r="159" ht="15.75" customHeight="1">
      <c r="A159" s="109"/>
      <c r="B159" s="109"/>
      <c r="C159" s="109"/>
      <c r="D159" s="109"/>
      <c r="E159" s="109"/>
      <c r="F159" s="109"/>
      <c r="G159" s="109"/>
      <c r="H159" s="136"/>
      <c r="I159" s="136"/>
      <c r="J159" s="109"/>
      <c r="K159" s="109"/>
      <c r="L159" s="109"/>
      <c r="M159" s="109"/>
      <c r="N159" s="109"/>
      <c r="O159" s="109"/>
      <c r="P159" s="109"/>
      <c r="Q159" s="109"/>
      <c r="R159" s="109"/>
      <c r="S159" s="109"/>
      <c r="T159" s="109"/>
      <c r="U159" s="109"/>
      <c r="V159" s="109"/>
      <c r="W159" s="109"/>
      <c r="X159" s="109"/>
      <c r="Y159" s="109"/>
      <c r="Z159" s="109"/>
      <c r="AA159" s="109"/>
      <c r="AB159" s="109"/>
    </row>
    <row r="160" ht="15.75" customHeight="1">
      <c r="A160" s="109"/>
      <c r="B160" s="109"/>
      <c r="C160" s="109"/>
      <c r="D160" s="109"/>
      <c r="E160" s="109"/>
      <c r="F160" s="109"/>
      <c r="G160" s="109"/>
      <c r="H160" s="136"/>
      <c r="I160" s="136"/>
      <c r="J160" s="109"/>
      <c r="K160" s="109"/>
      <c r="L160" s="109"/>
      <c r="M160" s="109"/>
      <c r="N160" s="109"/>
      <c r="O160" s="109"/>
      <c r="P160" s="109"/>
      <c r="Q160" s="109"/>
      <c r="R160" s="109"/>
      <c r="S160" s="109"/>
      <c r="T160" s="109"/>
      <c r="U160" s="109"/>
      <c r="V160" s="109"/>
      <c r="W160" s="109"/>
      <c r="X160" s="109"/>
      <c r="Y160" s="109"/>
      <c r="Z160" s="109"/>
      <c r="AA160" s="109"/>
      <c r="AB160" s="109"/>
    </row>
    <row r="161" ht="15.75" customHeight="1">
      <c r="A161" s="109"/>
      <c r="B161" s="109"/>
      <c r="C161" s="109"/>
      <c r="D161" s="109"/>
      <c r="E161" s="109"/>
      <c r="F161" s="109"/>
      <c r="G161" s="109"/>
      <c r="H161" s="136"/>
      <c r="I161" s="136"/>
      <c r="J161" s="109"/>
      <c r="K161" s="109"/>
      <c r="L161" s="109"/>
      <c r="M161" s="109"/>
      <c r="N161" s="109"/>
      <c r="O161" s="109"/>
      <c r="P161" s="109"/>
      <c r="Q161" s="109"/>
      <c r="R161" s="109"/>
      <c r="S161" s="109"/>
      <c r="T161" s="109"/>
      <c r="U161" s="109"/>
      <c r="V161" s="109"/>
      <c r="W161" s="109"/>
      <c r="X161" s="109"/>
      <c r="Y161" s="109"/>
      <c r="Z161" s="109"/>
      <c r="AA161" s="109"/>
      <c r="AB161" s="109"/>
    </row>
    <row r="162" ht="15.75" customHeight="1">
      <c r="A162" s="109"/>
      <c r="B162" s="109"/>
      <c r="C162" s="109"/>
      <c r="D162" s="109"/>
      <c r="E162" s="109"/>
      <c r="F162" s="109"/>
      <c r="G162" s="109"/>
      <c r="H162" s="136"/>
      <c r="I162" s="136"/>
      <c r="J162" s="109"/>
      <c r="K162" s="109"/>
      <c r="L162" s="109"/>
      <c r="M162" s="109"/>
      <c r="N162" s="109"/>
      <c r="O162" s="109"/>
      <c r="P162" s="109"/>
      <c r="Q162" s="109"/>
      <c r="R162" s="109"/>
      <c r="S162" s="109"/>
      <c r="T162" s="109"/>
      <c r="U162" s="109"/>
      <c r="V162" s="109"/>
      <c r="W162" s="109"/>
      <c r="X162" s="109"/>
      <c r="Y162" s="109"/>
      <c r="Z162" s="109"/>
      <c r="AA162" s="109"/>
      <c r="AB162" s="109"/>
    </row>
    <row r="163" ht="15.75" customHeight="1">
      <c r="A163" s="109"/>
      <c r="B163" s="109"/>
      <c r="C163" s="109"/>
      <c r="D163" s="109"/>
      <c r="E163" s="109"/>
      <c r="F163" s="109"/>
      <c r="G163" s="109"/>
      <c r="H163" s="136"/>
      <c r="I163" s="136"/>
      <c r="J163" s="109"/>
      <c r="K163" s="109"/>
      <c r="L163" s="109"/>
      <c r="M163" s="109"/>
      <c r="N163" s="109"/>
      <c r="O163" s="109"/>
      <c r="P163" s="109"/>
      <c r="Q163" s="109"/>
      <c r="R163" s="109"/>
      <c r="S163" s="109"/>
      <c r="T163" s="109"/>
      <c r="U163" s="109"/>
      <c r="V163" s="109"/>
      <c r="W163" s="109"/>
      <c r="X163" s="109"/>
      <c r="Y163" s="109"/>
      <c r="Z163" s="109"/>
      <c r="AA163" s="109"/>
      <c r="AB163" s="109"/>
    </row>
    <row r="164" ht="15.75" customHeight="1">
      <c r="A164" s="109"/>
      <c r="B164" s="109"/>
      <c r="C164" s="109"/>
      <c r="D164" s="109"/>
      <c r="E164" s="109"/>
      <c r="F164" s="109"/>
      <c r="G164" s="109"/>
      <c r="H164" s="136"/>
      <c r="I164" s="136"/>
      <c r="J164" s="109"/>
      <c r="K164" s="109"/>
      <c r="L164" s="109"/>
      <c r="M164" s="109"/>
      <c r="N164" s="109"/>
      <c r="O164" s="109"/>
      <c r="P164" s="109"/>
      <c r="Q164" s="109"/>
      <c r="R164" s="109"/>
      <c r="S164" s="109"/>
      <c r="T164" s="109"/>
      <c r="U164" s="109"/>
      <c r="V164" s="109"/>
      <c r="W164" s="109"/>
      <c r="X164" s="109"/>
      <c r="Y164" s="109"/>
      <c r="Z164" s="109"/>
      <c r="AA164" s="109"/>
      <c r="AB164" s="109"/>
    </row>
    <row r="165" ht="15.75" customHeight="1">
      <c r="A165" s="109"/>
      <c r="B165" s="109"/>
      <c r="C165" s="109"/>
      <c r="D165" s="109"/>
      <c r="E165" s="109"/>
      <c r="F165" s="109"/>
      <c r="G165" s="109"/>
      <c r="H165" s="136"/>
      <c r="I165" s="136"/>
      <c r="J165" s="109"/>
      <c r="K165" s="109"/>
      <c r="L165" s="109"/>
      <c r="M165" s="109"/>
      <c r="N165" s="109"/>
      <c r="O165" s="109"/>
      <c r="P165" s="109"/>
      <c r="Q165" s="109"/>
      <c r="R165" s="109"/>
      <c r="S165" s="109"/>
      <c r="T165" s="109"/>
      <c r="U165" s="109"/>
      <c r="V165" s="109"/>
      <c r="W165" s="109"/>
      <c r="X165" s="109"/>
      <c r="Y165" s="109"/>
      <c r="Z165" s="109"/>
      <c r="AA165" s="109"/>
      <c r="AB165" s="109"/>
    </row>
    <row r="166" ht="15.75" customHeight="1">
      <c r="A166" s="109"/>
      <c r="B166" s="109"/>
      <c r="C166" s="109"/>
      <c r="D166" s="109"/>
      <c r="E166" s="109"/>
      <c r="F166" s="109"/>
      <c r="G166" s="109"/>
      <c r="H166" s="136"/>
      <c r="I166" s="136"/>
      <c r="J166" s="109"/>
      <c r="K166" s="109"/>
      <c r="L166" s="109"/>
      <c r="M166" s="109"/>
      <c r="N166" s="109"/>
      <c r="O166" s="109"/>
      <c r="P166" s="109"/>
      <c r="Q166" s="109"/>
      <c r="R166" s="109"/>
      <c r="S166" s="109"/>
      <c r="T166" s="109"/>
      <c r="U166" s="109"/>
      <c r="V166" s="109"/>
      <c r="W166" s="109"/>
      <c r="X166" s="109"/>
      <c r="Y166" s="109"/>
      <c r="Z166" s="109"/>
      <c r="AA166" s="109"/>
      <c r="AB166" s="109"/>
    </row>
    <row r="167" ht="15.75" customHeight="1">
      <c r="A167" s="109"/>
      <c r="B167" s="109"/>
      <c r="C167" s="109"/>
      <c r="D167" s="109"/>
      <c r="E167" s="109"/>
      <c r="F167" s="109"/>
      <c r="G167" s="109"/>
      <c r="H167" s="136"/>
      <c r="I167" s="136"/>
      <c r="J167" s="109"/>
      <c r="K167" s="109"/>
      <c r="L167" s="109"/>
      <c r="M167" s="109"/>
      <c r="N167" s="109"/>
      <c r="O167" s="109"/>
      <c r="P167" s="109"/>
      <c r="Q167" s="109"/>
      <c r="R167" s="109"/>
      <c r="S167" s="109"/>
      <c r="T167" s="109"/>
      <c r="U167" s="109"/>
      <c r="V167" s="109"/>
      <c r="W167" s="109"/>
      <c r="X167" s="109"/>
      <c r="Y167" s="109"/>
      <c r="Z167" s="109"/>
      <c r="AA167" s="109"/>
      <c r="AB167" s="109"/>
    </row>
    <row r="168" ht="15.75" customHeight="1">
      <c r="A168" s="109"/>
      <c r="B168" s="109"/>
      <c r="C168" s="109"/>
      <c r="D168" s="109"/>
      <c r="E168" s="109"/>
      <c r="F168" s="109"/>
      <c r="G168" s="109"/>
      <c r="H168" s="136"/>
      <c r="I168" s="136"/>
      <c r="J168" s="109"/>
      <c r="K168" s="109"/>
      <c r="L168" s="109"/>
      <c r="M168" s="109"/>
      <c r="N168" s="109"/>
      <c r="O168" s="109"/>
      <c r="P168" s="109"/>
      <c r="Q168" s="109"/>
      <c r="R168" s="109"/>
      <c r="S168" s="109"/>
      <c r="T168" s="109"/>
      <c r="U168" s="109"/>
      <c r="V168" s="109"/>
      <c r="W168" s="109"/>
      <c r="X168" s="109"/>
      <c r="Y168" s="109"/>
      <c r="Z168" s="109"/>
      <c r="AA168" s="109"/>
      <c r="AB168" s="109"/>
    </row>
    <row r="169" ht="15.75" customHeight="1">
      <c r="A169" s="109"/>
      <c r="B169" s="109"/>
      <c r="C169" s="109"/>
      <c r="D169" s="109"/>
      <c r="E169" s="109"/>
      <c r="F169" s="109"/>
      <c r="G169" s="109"/>
      <c r="H169" s="136"/>
      <c r="I169" s="136"/>
      <c r="J169" s="109"/>
      <c r="K169" s="109"/>
      <c r="L169" s="109"/>
      <c r="M169" s="109"/>
      <c r="N169" s="109"/>
      <c r="O169" s="109"/>
      <c r="P169" s="109"/>
      <c r="Q169" s="109"/>
      <c r="R169" s="109"/>
      <c r="S169" s="109"/>
      <c r="T169" s="109"/>
      <c r="U169" s="109"/>
      <c r="V169" s="109"/>
      <c r="W169" s="109"/>
      <c r="X169" s="109"/>
      <c r="Y169" s="109"/>
      <c r="Z169" s="109"/>
      <c r="AA169" s="109"/>
      <c r="AB169" s="109"/>
    </row>
    <row r="170" ht="15.75" customHeight="1">
      <c r="A170" s="109"/>
      <c r="B170" s="109"/>
      <c r="C170" s="109"/>
      <c r="D170" s="109"/>
      <c r="E170" s="109"/>
      <c r="F170" s="109"/>
      <c r="G170" s="109"/>
      <c r="H170" s="136"/>
      <c r="I170" s="136"/>
      <c r="J170" s="109"/>
      <c r="K170" s="109"/>
      <c r="L170" s="109"/>
      <c r="M170" s="109"/>
      <c r="N170" s="109"/>
      <c r="O170" s="109"/>
      <c r="P170" s="109"/>
      <c r="Q170" s="109"/>
      <c r="R170" s="109"/>
      <c r="S170" s="109"/>
      <c r="T170" s="109"/>
      <c r="U170" s="109"/>
      <c r="V170" s="109"/>
      <c r="W170" s="109"/>
      <c r="X170" s="109"/>
      <c r="Y170" s="109"/>
      <c r="Z170" s="109"/>
      <c r="AA170" s="109"/>
      <c r="AB170" s="109"/>
    </row>
    <row r="171" ht="15.75" customHeight="1">
      <c r="A171" s="109"/>
      <c r="B171" s="109"/>
      <c r="C171" s="109"/>
      <c r="D171" s="109"/>
      <c r="E171" s="109"/>
      <c r="F171" s="109"/>
      <c r="G171" s="109"/>
      <c r="H171" s="136"/>
      <c r="I171" s="136"/>
      <c r="J171" s="109"/>
      <c r="K171" s="109"/>
      <c r="L171" s="109"/>
      <c r="M171" s="109"/>
      <c r="N171" s="109"/>
      <c r="O171" s="109"/>
      <c r="P171" s="109"/>
      <c r="Q171" s="109"/>
      <c r="R171" s="109"/>
      <c r="S171" s="109"/>
      <c r="T171" s="109"/>
      <c r="U171" s="109"/>
      <c r="V171" s="109"/>
      <c r="W171" s="109"/>
      <c r="X171" s="109"/>
      <c r="Y171" s="109"/>
      <c r="Z171" s="109"/>
      <c r="AA171" s="109"/>
      <c r="AB171" s="109"/>
    </row>
    <row r="172" ht="15.75" customHeight="1">
      <c r="A172" s="109"/>
      <c r="B172" s="109"/>
      <c r="C172" s="109"/>
      <c r="D172" s="109"/>
      <c r="E172" s="109"/>
      <c r="F172" s="109"/>
      <c r="G172" s="109"/>
      <c r="H172" s="136"/>
      <c r="I172" s="136"/>
      <c r="J172" s="109"/>
      <c r="K172" s="109"/>
      <c r="L172" s="109"/>
      <c r="M172" s="109"/>
      <c r="N172" s="109"/>
      <c r="O172" s="109"/>
      <c r="P172" s="109"/>
      <c r="Q172" s="109"/>
      <c r="R172" s="109"/>
      <c r="S172" s="109"/>
      <c r="T172" s="109"/>
      <c r="U172" s="109"/>
      <c r="V172" s="109"/>
      <c r="W172" s="109"/>
      <c r="X172" s="109"/>
      <c r="Y172" s="109"/>
      <c r="Z172" s="109"/>
      <c r="AA172" s="109"/>
      <c r="AB172" s="109"/>
    </row>
    <row r="173" ht="15.75" customHeight="1">
      <c r="A173" s="109"/>
      <c r="B173" s="109"/>
      <c r="C173" s="109"/>
      <c r="D173" s="109"/>
      <c r="E173" s="109"/>
      <c r="F173" s="109"/>
      <c r="G173" s="109"/>
      <c r="H173" s="136"/>
      <c r="I173" s="136"/>
      <c r="J173" s="109"/>
      <c r="K173" s="109"/>
      <c r="L173" s="109"/>
      <c r="M173" s="109"/>
      <c r="N173" s="109"/>
      <c r="O173" s="109"/>
      <c r="P173" s="109"/>
      <c r="Q173" s="109"/>
      <c r="R173" s="109"/>
      <c r="S173" s="109"/>
      <c r="T173" s="109"/>
      <c r="U173" s="109"/>
      <c r="V173" s="109"/>
      <c r="W173" s="109"/>
      <c r="X173" s="109"/>
      <c r="Y173" s="109"/>
      <c r="Z173" s="109"/>
      <c r="AA173" s="109"/>
      <c r="AB173" s="109"/>
    </row>
    <row r="174" ht="15.75" customHeight="1">
      <c r="A174" s="109"/>
      <c r="B174" s="109"/>
      <c r="C174" s="109"/>
      <c r="D174" s="109"/>
      <c r="E174" s="109"/>
      <c r="F174" s="109"/>
      <c r="G174" s="109"/>
      <c r="H174" s="136"/>
      <c r="I174" s="136"/>
      <c r="J174" s="109"/>
      <c r="K174" s="109"/>
      <c r="L174" s="109"/>
      <c r="M174" s="109"/>
      <c r="N174" s="109"/>
      <c r="O174" s="109"/>
      <c r="P174" s="109"/>
      <c r="Q174" s="109"/>
      <c r="R174" s="109"/>
      <c r="S174" s="109"/>
      <c r="T174" s="109"/>
      <c r="U174" s="109"/>
      <c r="V174" s="109"/>
      <c r="W174" s="109"/>
      <c r="X174" s="109"/>
      <c r="Y174" s="109"/>
      <c r="Z174" s="109"/>
      <c r="AA174" s="109"/>
      <c r="AB174" s="109"/>
    </row>
    <row r="175" ht="15.75" customHeight="1">
      <c r="A175" s="109"/>
      <c r="B175" s="109"/>
      <c r="C175" s="109"/>
      <c r="D175" s="109"/>
      <c r="E175" s="109"/>
      <c r="F175" s="109"/>
      <c r="G175" s="109"/>
      <c r="H175" s="136"/>
      <c r="I175" s="136"/>
      <c r="J175" s="109"/>
      <c r="K175" s="109"/>
      <c r="L175" s="109"/>
      <c r="M175" s="109"/>
      <c r="N175" s="109"/>
      <c r="O175" s="109"/>
      <c r="P175" s="109"/>
      <c r="Q175" s="109"/>
      <c r="R175" s="109"/>
      <c r="S175" s="109"/>
      <c r="T175" s="109"/>
      <c r="U175" s="109"/>
      <c r="V175" s="109"/>
      <c r="W175" s="109"/>
      <c r="X175" s="109"/>
      <c r="Y175" s="109"/>
      <c r="Z175" s="109"/>
      <c r="AA175" s="109"/>
      <c r="AB175" s="109"/>
    </row>
    <row r="176" ht="15.75" customHeight="1">
      <c r="A176" s="109"/>
      <c r="B176" s="109"/>
      <c r="C176" s="109"/>
      <c r="D176" s="109"/>
      <c r="E176" s="109"/>
      <c r="F176" s="109"/>
      <c r="G176" s="109"/>
      <c r="H176" s="136"/>
      <c r="I176" s="136"/>
      <c r="J176" s="109"/>
      <c r="K176" s="109"/>
      <c r="L176" s="109"/>
      <c r="M176" s="109"/>
      <c r="N176" s="109"/>
      <c r="O176" s="109"/>
      <c r="P176" s="109"/>
      <c r="Q176" s="109"/>
      <c r="R176" s="109"/>
      <c r="S176" s="109"/>
      <c r="T176" s="109"/>
      <c r="U176" s="109"/>
      <c r="V176" s="109"/>
      <c r="W176" s="109"/>
      <c r="X176" s="109"/>
      <c r="Y176" s="109"/>
      <c r="Z176" s="109"/>
      <c r="AA176" s="109"/>
      <c r="AB176" s="109"/>
    </row>
    <row r="177" ht="15.75" customHeight="1">
      <c r="A177" s="109"/>
      <c r="B177" s="109"/>
      <c r="C177" s="109"/>
      <c r="D177" s="109"/>
      <c r="E177" s="109"/>
      <c r="F177" s="109"/>
      <c r="G177" s="109"/>
      <c r="H177" s="136"/>
      <c r="I177" s="136"/>
      <c r="J177" s="109"/>
      <c r="K177" s="109"/>
      <c r="L177" s="109"/>
      <c r="M177" s="109"/>
      <c r="N177" s="109"/>
      <c r="O177" s="109"/>
      <c r="P177" s="109"/>
      <c r="Q177" s="109"/>
      <c r="R177" s="109"/>
      <c r="S177" s="109"/>
      <c r="T177" s="109"/>
      <c r="U177" s="109"/>
      <c r="V177" s="109"/>
      <c r="W177" s="109"/>
      <c r="X177" s="109"/>
      <c r="Y177" s="109"/>
      <c r="Z177" s="109"/>
      <c r="AA177" s="109"/>
      <c r="AB177" s="109"/>
    </row>
    <row r="178" ht="15.75" customHeight="1">
      <c r="A178" s="109"/>
      <c r="B178" s="109"/>
      <c r="C178" s="109"/>
      <c r="D178" s="109"/>
      <c r="E178" s="109"/>
      <c r="F178" s="109"/>
      <c r="G178" s="109"/>
      <c r="H178" s="136"/>
      <c r="I178" s="136"/>
      <c r="J178" s="109"/>
      <c r="K178" s="109"/>
      <c r="L178" s="109"/>
      <c r="M178" s="109"/>
      <c r="N178" s="109"/>
      <c r="O178" s="109"/>
      <c r="P178" s="109"/>
      <c r="Q178" s="109"/>
      <c r="R178" s="109"/>
      <c r="S178" s="109"/>
      <c r="T178" s="109"/>
      <c r="U178" s="109"/>
      <c r="V178" s="109"/>
      <c r="W178" s="109"/>
      <c r="X178" s="109"/>
      <c r="Y178" s="109"/>
      <c r="Z178" s="109"/>
      <c r="AA178" s="109"/>
      <c r="AB178" s="109"/>
    </row>
    <row r="179" ht="15.75" customHeight="1">
      <c r="A179" s="109"/>
      <c r="B179" s="109"/>
      <c r="C179" s="109"/>
      <c r="D179" s="109"/>
      <c r="E179" s="109"/>
      <c r="F179" s="109"/>
      <c r="G179" s="109"/>
      <c r="H179" s="136"/>
      <c r="I179" s="136"/>
      <c r="J179" s="109"/>
      <c r="K179" s="109"/>
      <c r="L179" s="109"/>
      <c r="M179" s="109"/>
      <c r="N179" s="109"/>
      <c r="O179" s="109"/>
      <c r="P179" s="109"/>
      <c r="Q179" s="109"/>
      <c r="R179" s="109"/>
      <c r="S179" s="109"/>
      <c r="T179" s="109"/>
      <c r="U179" s="109"/>
      <c r="V179" s="109"/>
      <c r="W179" s="109"/>
      <c r="X179" s="109"/>
      <c r="Y179" s="109"/>
      <c r="Z179" s="109"/>
      <c r="AA179" s="109"/>
      <c r="AB179" s="109"/>
    </row>
    <row r="180" ht="15.75" customHeight="1">
      <c r="A180" s="109"/>
      <c r="B180" s="109"/>
      <c r="C180" s="109"/>
      <c r="D180" s="109"/>
      <c r="E180" s="109"/>
      <c r="F180" s="109"/>
      <c r="G180" s="109"/>
      <c r="H180" s="136"/>
      <c r="I180" s="136"/>
      <c r="J180" s="109"/>
      <c r="K180" s="109"/>
      <c r="L180" s="109"/>
      <c r="M180" s="109"/>
      <c r="N180" s="109"/>
      <c r="O180" s="109"/>
      <c r="P180" s="109"/>
      <c r="Q180" s="109"/>
      <c r="R180" s="109"/>
      <c r="S180" s="109"/>
      <c r="T180" s="109"/>
      <c r="U180" s="109"/>
      <c r="V180" s="109"/>
      <c r="W180" s="109"/>
      <c r="X180" s="109"/>
      <c r="Y180" s="109"/>
      <c r="Z180" s="109"/>
      <c r="AA180" s="109"/>
      <c r="AB180" s="109"/>
    </row>
    <row r="181" ht="15.75" customHeight="1">
      <c r="A181" s="109"/>
      <c r="B181" s="109"/>
      <c r="C181" s="109"/>
      <c r="D181" s="109"/>
      <c r="E181" s="109"/>
      <c r="F181" s="109"/>
      <c r="G181" s="109"/>
      <c r="H181" s="136"/>
      <c r="I181" s="136"/>
      <c r="J181" s="109"/>
      <c r="K181" s="109"/>
      <c r="L181" s="109"/>
      <c r="M181" s="109"/>
      <c r="N181" s="109"/>
      <c r="O181" s="109"/>
      <c r="P181" s="109"/>
      <c r="Q181" s="109"/>
      <c r="R181" s="109"/>
      <c r="S181" s="109"/>
      <c r="T181" s="109"/>
      <c r="U181" s="109"/>
      <c r="V181" s="109"/>
      <c r="W181" s="109"/>
      <c r="X181" s="109"/>
      <c r="Y181" s="109"/>
      <c r="Z181" s="109"/>
      <c r="AA181" s="109"/>
      <c r="AB181" s="109"/>
    </row>
    <row r="182" ht="15.75" customHeight="1">
      <c r="A182" s="109"/>
      <c r="B182" s="109"/>
      <c r="C182" s="109"/>
      <c r="D182" s="109"/>
      <c r="E182" s="109"/>
      <c r="F182" s="109"/>
      <c r="G182" s="109"/>
      <c r="H182" s="136"/>
      <c r="I182" s="136"/>
      <c r="J182" s="109"/>
      <c r="K182" s="109"/>
      <c r="L182" s="109"/>
      <c r="M182" s="109"/>
      <c r="N182" s="109"/>
      <c r="O182" s="109"/>
      <c r="P182" s="109"/>
      <c r="Q182" s="109"/>
      <c r="R182" s="109"/>
      <c r="S182" s="109"/>
      <c r="T182" s="109"/>
      <c r="U182" s="109"/>
      <c r="V182" s="109"/>
      <c r="W182" s="109"/>
      <c r="X182" s="109"/>
      <c r="Y182" s="109"/>
      <c r="Z182" s="109"/>
      <c r="AA182" s="109"/>
      <c r="AB182" s="109"/>
    </row>
    <row r="183" ht="15.75" customHeight="1">
      <c r="A183" s="109"/>
      <c r="B183" s="109"/>
      <c r="C183" s="109"/>
      <c r="D183" s="109"/>
      <c r="E183" s="109"/>
      <c r="F183" s="109"/>
      <c r="G183" s="109"/>
      <c r="H183" s="136"/>
      <c r="I183" s="136"/>
      <c r="J183" s="109"/>
      <c r="K183" s="109"/>
      <c r="L183" s="109"/>
      <c r="M183" s="109"/>
      <c r="N183" s="109"/>
      <c r="O183" s="109"/>
      <c r="P183" s="109"/>
      <c r="Q183" s="109"/>
      <c r="R183" s="109"/>
      <c r="S183" s="109"/>
      <c r="T183" s="109"/>
      <c r="U183" s="109"/>
      <c r="V183" s="109"/>
      <c r="W183" s="109"/>
      <c r="X183" s="109"/>
      <c r="Y183" s="109"/>
      <c r="Z183" s="109"/>
      <c r="AA183" s="109"/>
      <c r="AB183" s="109"/>
    </row>
    <row r="184" ht="15.75" customHeight="1">
      <c r="A184" s="109"/>
      <c r="B184" s="109"/>
      <c r="C184" s="109"/>
      <c r="D184" s="109"/>
      <c r="E184" s="109"/>
      <c r="F184" s="109"/>
      <c r="G184" s="109"/>
      <c r="H184" s="136"/>
      <c r="I184" s="136"/>
      <c r="J184" s="109"/>
      <c r="K184" s="109"/>
      <c r="L184" s="109"/>
      <c r="M184" s="109"/>
      <c r="N184" s="109"/>
      <c r="O184" s="109"/>
      <c r="P184" s="109"/>
      <c r="Q184" s="109"/>
      <c r="R184" s="109"/>
      <c r="S184" s="109"/>
      <c r="T184" s="109"/>
      <c r="U184" s="109"/>
      <c r="V184" s="109"/>
      <c r="W184" s="109"/>
      <c r="X184" s="109"/>
      <c r="Y184" s="109"/>
      <c r="Z184" s="109"/>
      <c r="AA184" s="109"/>
      <c r="AB184" s="109"/>
    </row>
    <row r="185" ht="15.75" customHeight="1">
      <c r="A185" s="109"/>
      <c r="B185" s="109"/>
      <c r="C185" s="109"/>
      <c r="D185" s="109"/>
      <c r="E185" s="109"/>
      <c r="F185" s="109"/>
      <c r="G185" s="109"/>
      <c r="H185" s="136"/>
      <c r="I185" s="136"/>
      <c r="J185" s="109"/>
      <c r="K185" s="109"/>
      <c r="L185" s="109"/>
      <c r="M185" s="109"/>
      <c r="N185" s="109"/>
      <c r="O185" s="109"/>
      <c r="P185" s="109"/>
      <c r="Q185" s="109"/>
      <c r="R185" s="109"/>
      <c r="S185" s="109"/>
      <c r="T185" s="109"/>
      <c r="U185" s="109"/>
      <c r="V185" s="109"/>
      <c r="W185" s="109"/>
      <c r="X185" s="109"/>
      <c r="Y185" s="109"/>
      <c r="Z185" s="109"/>
      <c r="AA185" s="109"/>
      <c r="AB185" s="109"/>
    </row>
    <row r="186" ht="15.75" customHeight="1">
      <c r="A186" s="109"/>
      <c r="B186" s="109"/>
      <c r="C186" s="109"/>
      <c r="D186" s="109"/>
      <c r="E186" s="109"/>
      <c r="F186" s="109"/>
      <c r="G186" s="109"/>
      <c r="H186" s="136"/>
      <c r="I186" s="136"/>
      <c r="J186" s="109"/>
      <c r="K186" s="109"/>
      <c r="L186" s="109"/>
      <c r="M186" s="109"/>
      <c r="N186" s="109"/>
      <c r="O186" s="109"/>
      <c r="P186" s="109"/>
      <c r="Q186" s="109"/>
      <c r="R186" s="109"/>
      <c r="S186" s="109"/>
      <c r="T186" s="109"/>
      <c r="U186" s="109"/>
      <c r="V186" s="109"/>
      <c r="W186" s="109"/>
      <c r="X186" s="109"/>
      <c r="Y186" s="109"/>
      <c r="Z186" s="109"/>
      <c r="AA186" s="109"/>
      <c r="AB186" s="109"/>
    </row>
    <row r="187" ht="15.75" customHeight="1">
      <c r="A187" s="109"/>
      <c r="B187" s="109"/>
      <c r="C187" s="109"/>
      <c r="D187" s="109"/>
      <c r="E187" s="109"/>
      <c r="F187" s="109"/>
      <c r="G187" s="109"/>
      <c r="H187" s="136"/>
      <c r="I187" s="136"/>
      <c r="J187" s="109"/>
      <c r="K187" s="109"/>
      <c r="L187" s="109"/>
      <c r="M187" s="109"/>
      <c r="N187" s="109"/>
      <c r="O187" s="109"/>
      <c r="P187" s="109"/>
      <c r="Q187" s="109"/>
      <c r="R187" s="109"/>
      <c r="S187" s="109"/>
      <c r="T187" s="109"/>
      <c r="U187" s="109"/>
      <c r="V187" s="109"/>
      <c r="W187" s="109"/>
      <c r="X187" s="109"/>
      <c r="Y187" s="109"/>
      <c r="Z187" s="109"/>
      <c r="AA187" s="109"/>
      <c r="AB187" s="109"/>
    </row>
    <row r="188" ht="15.75" customHeight="1">
      <c r="A188" s="109"/>
      <c r="B188" s="109"/>
      <c r="C188" s="109"/>
      <c r="D188" s="109"/>
      <c r="E188" s="109"/>
      <c r="F188" s="109"/>
      <c r="G188" s="109"/>
      <c r="H188" s="136"/>
      <c r="I188" s="136"/>
      <c r="J188" s="109"/>
      <c r="K188" s="109"/>
      <c r="L188" s="109"/>
      <c r="M188" s="109"/>
      <c r="N188" s="109"/>
      <c r="O188" s="109"/>
      <c r="P188" s="109"/>
      <c r="Q188" s="109"/>
      <c r="R188" s="109"/>
      <c r="S188" s="109"/>
      <c r="T188" s="109"/>
      <c r="U188" s="109"/>
      <c r="V188" s="109"/>
      <c r="W188" s="109"/>
      <c r="X188" s="109"/>
      <c r="Y188" s="109"/>
      <c r="Z188" s="109"/>
      <c r="AA188" s="109"/>
      <c r="AB188" s="109"/>
    </row>
    <row r="189" ht="15.75" customHeight="1">
      <c r="A189" s="109"/>
      <c r="B189" s="109"/>
      <c r="C189" s="109"/>
      <c r="D189" s="109"/>
      <c r="E189" s="109"/>
      <c r="F189" s="109"/>
      <c r="G189" s="109"/>
      <c r="H189" s="136"/>
      <c r="I189" s="136"/>
      <c r="J189" s="109"/>
      <c r="K189" s="109"/>
      <c r="L189" s="109"/>
      <c r="M189" s="109"/>
      <c r="N189" s="109"/>
      <c r="O189" s="109"/>
      <c r="P189" s="109"/>
      <c r="Q189" s="109"/>
      <c r="R189" s="109"/>
      <c r="S189" s="109"/>
      <c r="T189" s="109"/>
      <c r="U189" s="109"/>
      <c r="V189" s="109"/>
      <c r="W189" s="109"/>
      <c r="X189" s="109"/>
      <c r="Y189" s="109"/>
      <c r="Z189" s="109"/>
      <c r="AA189" s="109"/>
      <c r="AB189" s="109"/>
    </row>
    <row r="190" ht="15.75" customHeight="1">
      <c r="A190" s="109"/>
      <c r="B190" s="109"/>
      <c r="C190" s="109"/>
      <c r="D190" s="109"/>
      <c r="E190" s="109"/>
      <c r="F190" s="109"/>
      <c r="G190" s="109"/>
      <c r="H190" s="136"/>
      <c r="I190" s="136"/>
      <c r="J190" s="109"/>
      <c r="K190" s="109"/>
      <c r="L190" s="109"/>
      <c r="M190" s="109"/>
      <c r="N190" s="109"/>
      <c r="O190" s="109"/>
      <c r="P190" s="109"/>
      <c r="Q190" s="109"/>
      <c r="R190" s="109"/>
      <c r="S190" s="109"/>
      <c r="T190" s="109"/>
      <c r="U190" s="109"/>
      <c r="V190" s="109"/>
      <c r="W190" s="109"/>
      <c r="X190" s="109"/>
      <c r="Y190" s="109"/>
      <c r="Z190" s="109"/>
      <c r="AA190" s="109"/>
      <c r="AB190" s="109"/>
    </row>
    <row r="191" ht="15.75" customHeight="1">
      <c r="A191" s="109"/>
      <c r="B191" s="109"/>
      <c r="C191" s="109"/>
      <c r="D191" s="109"/>
      <c r="E191" s="109"/>
      <c r="F191" s="109"/>
      <c r="G191" s="109"/>
      <c r="H191" s="136"/>
      <c r="I191" s="136"/>
      <c r="J191" s="109"/>
      <c r="K191" s="109"/>
      <c r="L191" s="109"/>
      <c r="M191" s="109"/>
      <c r="N191" s="109"/>
      <c r="O191" s="109"/>
      <c r="P191" s="109"/>
      <c r="Q191" s="109"/>
      <c r="R191" s="109"/>
      <c r="S191" s="109"/>
      <c r="T191" s="109"/>
      <c r="U191" s="109"/>
      <c r="V191" s="109"/>
      <c r="W191" s="109"/>
      <c r="X191" s="109"/>
      <c r="Y191" s="109"/>
      <c r="Z191" s="109"/>
      <c r="AA191" s="109"/>
      <c r="AB191" s="109"/>
    </row>
    <row r="192" ht="15.75" customHeight="1">
      <c r="A192" s="109"/>
      <c r="B192" s="109"/>
      <c r="C192" s="109"/>
      <c r="D192" s="109"/>
      <c r="E192" s="109"/>
      <c r="F192" s="109"/>
      <c r="G192" s="109"/>
      <c r="H192" s="136"/>
      <c r="I192" s="136"/>
      <c r="J192" s="109"/>
      <c r="K192" s="109"/>
      <c r="L192" s="109"/>
      <c r="M192" s="109"/>
      <c r="N192" s="109"/>
      <c r="O192" s="109"/>
      <c r="P192" s="109"/>
      <c r="Q192" s="109"/>
      <c r="R192" s="109"/>
      <c r="S192" s="109"/>
      <c r="T192" s="109"/>
      <c r="U192" s="109"/>
      <c r="V192" s="109"/>
      <c r="W192" s="109"/>
      <c r="X192" s="109"/>
      <c r="Y192" s="109"/>
      <c r="Z192" s="109"/>
      <c r="AA192" s="109"/>
      <c r="AB192" s="109"/>
    </row>
    <row r="193" ht="15.75" customHeight="1">
      <c r="A193" s="109"/>
      <c r="B193" s="109"/>
      <c r="C193" s="109"/>
      <c r="D193" s="109"/>
      <c r="E193" s="109"/>
      <c r="F193" s="109"/>
      <c r="G193" s="109"/>
      <c r="H193" s="136"/>
      <c r="I193" s="136"/>
      <c r="J193" s="109"/>
      <c r="K193" s="109"/>
      <c r="L193" s="109"/>
      <c r="M193" s="109"/>
      <c r="N193" s="109"/>
      <c r="O193" s="109"/>
      <c r="P193" s="109"/>
      <c r="Q193" s="109"/>
      <c r="R193" s="109"/>
      <c r="S193" s="109"/>
      <c r="T193" s="109"/>
      <c r="U193" s="109"/>
      <c r="V193" s="109"/>
      <c r="W193" s="109"/>
      <c r="X193" s="109"/>
      <c r="Y193" s="109"/>
      <c r="Z193" s="109"/>
      <c r="AA193" s="109"/>
      <c r="AB193" s="109"/>
    </row>
    <row r="194" ht="15.75" customHeight="1">
      <c r="A194" s="109"/>
      <c r="B194" s="109"/>
      <c r="C194" s="109"/>
      <c r="D194" s="109"/>
      <c r="E194" s="109"/>
      <c r="F194" s="109"/>
      <c r="G194" s="109"/>
      <c r="H194" s="136"/>
      <c r="I194" s="136"/>
      <c r="J194" s="109"/>
      <c r="K194" s="109"/>
      <c r="L194" s="109"/>
      <c r="M194" s="109"/>
      <c r="N194" s="109"/>
      <c r="O194" s="109"/>
      <c r="P194" s="109"/>
      <c r="Q194" s="109"/>
      <c r="R194" s="109"/>
      <c r="S194" s="109"/>
      <c r="T194" s="109"/>
      <c r="U194" s="109"/>
      <c r="V194" s="109"/>
      <c r="W194" s="109"/>
      <c r="X194" s="109"/>
      <c r="Y194" s="109"/>
      <c r="Z194" s="109"/>
      <c r="AA194" s="109"/>
      <c r="AB194" s="109"/>
    </row>
    <row r="195" ht="15.75" customHeight="1">
      <c r="A195" s="109"/>
      <c r="B195" s="109"/>
      <c r="C195" s="109"/>
      <c r="D195" s="109"/>
      <c r="E195" s="109"/>
      <c r="F195" s="109"/>
      <c r="G195" s="109"/>
      <c r="H195" s="136"/>
      <c r="I195" s="136"/>
      <c r="J195" s="109"/>
      <c r="K195" s="109"/>
      <c r="L195" s="109"/>
      <c r="M195" s="109"/>
      <c r="N195" s="109"/>
      <c r="O195" s="109"/>
      <c r="P195" s="109"/>
      <c r="Q195" s="109"/>
      <c r="R195" s="109"/>
      <c r="S195" s="109"/>
      <c r="T195" s="109"/>
      <c r="U195" s="109"/>
      <c r="V195" s="109"/>
      <c r="W195" s="109"/>
      <c r="X195" s="109"/>
      <c r="Y195" s="109"/>
      <c r="Z195" s="109"/>
      <c r="AA195" s="109"/>
      <c r="AB195" s="109"/>
    </row>
    <row r="196" ht="15.75" customHeight="1">
      <c r="A196" s="109"/>
      <c r="B196" s="109"/>
      <c r="C196" s="109"/>
      <c r="D196" s="109"/>
      <c r="E196" s="109"/>
      <c r="F196" s="109"/>
      <c r="G196" s="109"/>
      <c r="H196" s="136"/>
      <c r="I196" s="136"/>
      <c r="J196" s="109"/>
      <c r="K196" s="109"/>
      <c r="L196" s="109"/>
      <c r="M196" s="109"/>
      <c r="N196" s="109"/>
      <c r="O196" s="109"/>
      <c r="P196" s="109"/>
      <c r="Q196" s="109"/>
      <c r="R196" s="109"/>
      <c r="S196" s="109"/>
      <c r="T196" s="109"/>
      <c r="U196" s="109"/>
      <c r="V196" s="109"/>
      <c r="W196" s="109"/>
      <c r="X196" s="109"/>
      <c r="Y196" s="109"/>
      <c r="Z196" s="109"/>
      <c r="AA196" s="109"/>
      <c r="AB196" s="109"/>
    </row>
    <row r="197" ht="15.75" customHeight="1">
      <c r="A197" s="109"/>
      <c r="B197" s="109"/>
      <c r="C197" s="109"/>
      <c r="D197" s="109"/>
      <c r="E197" s="109"/>
      <c r="F197" s="109"/>
      <c r="G197" s="109"/>
      <c r="H197" s="136"/>
      <c r="I197" s="136"/>
      <c r="J197" s="109"/>
      <c r="K197" s="109"/>
      <c r="L197" s="109"/>
      <c r="M197" s="109"/>
      <c r="N197" s="109"/>
      <c r="O197" s="109"/>
      <c r="P197" s="109"/>
      <c r="Q197" s="109"/>
      <c r="R197" s="109"/>
      <c r="S197" s="109"/>
      <c r="T197" s="109"/>
      <c r="U197" s="109"/>
      <c r="V197" s="109"/>
      <c r="W197" s="109"/>
      <c r="X197" s="109"/>
      <c r="Y197" s="109"/>
      <c r="Z197" s="109"/>
      <c r="AA197" s="109"/>
      <c r="AB197" s="109"/>
    </row>
    <row r="198" ht="15.75" customHeight="1">
      <c r="A198" s="109"/>
      <c r="B198" s="109"/>
      <c r="C198" s="109"/>
      <c r="D198" s="109"/>
      <c r="E198" s="109"/>
      <c r="F198" s="109"/>
      <c r="G198" s="109"/>
      <c r="H198" s="136"/>
      <c r="I198" s="136"/>
      <c r="J198" s="109"/>
      <c r="K198" s="109"/>
      <c r="L198" s="109"/>
      <c r="M198" s="109"/>
      <c r="N198" s="109"/>
      <c r="O198" s="109"/>
      <c r="P198" s="109"/>
      <c r="Q198" s="109"/>
      <c r="R198" s="109"/>
      <c r="S198" s="109"/>
      <c r="T198" s="109"/>
      <c r="U198" s="109"/>
      <c r="V198" s="109"/>
      <c r="W198" s="109"/>
      <c r="X198" s="109"/>
      <c r="Y198" s="109"/>
      <c r="Z198" s="109"/>
      <c r="AA198" s="109"/>
      <c r="AB198" s="109"/>
    </row>
    <row r="199" ht="15.75" customHeight="1">
      <c r="A199" s="109"/>
      <c r="B199" s="109"/>
      <c r="C199" s="109"/>
      <c r="D199" s="109"/>
      <c r="E199" s="109"/>
      <c r="F199" s="109"/>
      <c r="G199" s="109"/>
      <c r="H199" s="136"/>
      <c r="I199" s="136"/>
      <c r="J199" s="109"/>
      <c r="K199" s="109"/>
      <c r="L199" s="109"/>
      <c r="M199" s="109"/>
      <c r="N199" s="109"/>
      <c r="O199" s="109"/>
      <c r="P199" s="109"/>
      <c r="Q199" s="109"/>
      <c r="R199" s="109"/>
      <c r="S199" s="109"/>
      <c r="T199" s="109"/>
      <c r="U199" s="109"/>
      <c r="V199" s="109"/>
      <c r="W199" s="109"/>
      <c r="X199" s="109"/>
      <c r="Y199" s="109"/>
      <c r="Z199" s="109"/>
      <c r="AA199" s="109"/>
      <c r="AB199" s="109"/>
    </row>
    <row r="200" ht="15.75" customHeight="1">
      <c r="A200" s="109"/>
      <c r="B200" s="109"/>
      <c r="C200" s="109"/>
      <c r="D200" s="109"/>
      <c r="E200" s="109"/>
      <c r="F200" s="109"/>
      <c r="G200" s="109"/>
      <c r="H200" s="136"/>
      <c r="I200" s="136"/>
      <c r="J200" s="109"/>
      <c r="K200" s="109"/>
      <c r="L200" s="109"/>
      <c r="M200" s="109"/>
      <c r="N200" s="109"/>
      <c r="O200" s="109"/>
      <c r="P200" s="109"/>
      <c r="Q200" s="109"/>
      <c r="R200" s="109"/>
      <c r="S200" s="109"/>
      <c r="T200" s="109"/>
      <c r="U200" s="109"/>
      <c r="V200" s="109"/>
      <c r="W200" s="109"/>
      <c r="X200" s="109"/>
      <c r="Y200" s="109"/>
      <c r="Z200" s="109"/>
      <c r="AA200" s="109"/>
      <c r="AB200" s="109"/>
    </row>
    <row r="201" ht="15.75" customHeight="1">
      <c r="A201" s="109"/>
      <c r="B201" s="109"/>
      <c r="C201" s="109"/>
      <c r="D201" s="109"/>
      <c r="E201" s="109"/>
      <c r="F201" s="109"/>
      <c r="G201" s="109"/>
      <c r="H201" s="136"/>
      <c r="I201" s="136"/>
      <c r="J201" s="109"/>
      <c r="K201" s="109"/>
      <c r="L201" s="109"/>
      <c r="M201" s="109"/>
      <c r="N201" s="109"/>
      <c r="O201" s="109"/>
      <c r="P201" s="109"/>
      <c r="Q201" s="109"/>
      <c r="R201" s="109"/>
      <c r="S201" s="109"/>
      <c r="T201" s="109"/>
      <c r="U201" s="109"/>
      <c r="V201" s="109"/>
      <c r="W201" s="109"/>
      <c r="X201" s="109"/>
      <c r="Y201" s="109"/>
      <c r="Z201" s="109"/>
      <c r="AA201" s="109"/>
      <c r="AB201" s="109"/>
    </row>
    <row r="202" ht="15.75" customHeight="1">
      <c r="A202" s="109"/>
      <c r="B202" s="109"/>
      <c r="C202" s="109"/>
      <c r="D202" s="109"/>
      <c r="E202" s="109"/>
      <c r="F202" s="109"/>
      <c r="G202" s="109"/>
      <c r="H202" s="136"/>
      <c r="I202" s="136"/>
      <c r="J202" s="109"/>
      <c r="K202" s="109"/>
      <c r="L202" s="109"/>
      <c r="M202" s="109"/>
      <c r="N202" s="109"/>
      <c r="O202" s="109"/>
      <c r="P202" s="109"/>
      <c r="Q202" s="109"/>
      <c r="R202" s="109"/>
      <c r="S202" s="109"/>
      <c r="T202" s="109"/>
      <c r="U202" s="109"/>
      <c r="V202" s="109"/>
      <c r="W202" s="109"/>
      <c r="X202" s="109"/>
      <c r="Y202" s="109"/>
      <c r="Z202" s="109"/>
      <c r="AA202" s="109"/>
      <c r="AB202" s="109"/>
    </row>
    <row r="203" ht="15.75" customHeight="1">
      <c r="A203" s="109"/>
      <c r="B203" s="109"/>
      <c r="C203" s="109"/>
      <c r="D203" s="109"/>
      <c r="E203" s="109"/>
      <c r="F203" s="109"/>
      <c r="G203" s="109"/>
      <c r="H203" s="136"/>
      <c r="I203" s="136"/>
      <c r="J203" s="109"/>
      <c r="K203" s="109"/>
      <c r="L203" s="109"/>
      <c r="M203" s="109"/>
      <c r="N203" s="109"/>
      <c r="O203" s="109"/>
      <c r="P203" s="109"/>
      <c r="Q203" s="109"/>
      <c r="R203" s="109"/>
      <c r="S203" s="109"/>
      <c r="T203" s="109"/>
      <c r="U203" s="109"/>
      <c r="V203" s="109"/>
      <c r="W203" s="109"/>
      <c r="X203" s="109"/>
      <c r="Y203" s="109"/>
      <c r="Z203" s="109"/>
      <c r="AA203" s="109"/>
      <c r="AB203" s="109"/>
    </row>
    <row r="204" ht="15.75" customHeight="1">
      <c r="A204" s="109"/>
      <c r="B204" s="109"/>
      <c r="C204" s="109"/>
      <c r="D204" s="109"/>
      <c r="E204" s="109"/>
      <c r="F204" s="109"/>
      <c r="G204" s="109"/>
      <c r="H204" s="136"/>
      <c r="I204" s="136"/>
      <c r="J204" s="109"/>
      <c r="K204" s="109"/>
      <c r="L204" s="109"/>
      <c r="M204" s="109"/>
      <c r="N204" s="109"/>
      <c r="O204" s="109"/>
      <c r="P204" s="109"/>
      <c r="Q204" s="109"/>
      <c r="R204" s="109"/>
      <c r="S204" s="109"/>
      <c r="T204" s="109"/>
      <c r="U204" s="109"/>
      <c r="V204" s="109"/>
      <c r="W204" s="109"/>
      <c r="X204" s="109"/>
      <c r="Y204" s="109"/>
      <c r="Z204" s="109"/>
      <c r="AA204" s="109"/>
      <c r="AB204" s="109"/>
    </row>
    <row r="205" ht="15.75" customHeight="1">
      <c r="A205" s="109"/>
      <c r="B205" s="109"/>
      <c r="C205" s="109"/>
      <c r="D205" s="109"/>
      <c r="E205" s="109"/>
      <c r="F205" s="109"/>
      <c r="G205" s="109"/>
      <c r="H205" s="136"/>
      <c r="I205" s="136"/>
      <c r="J205" s="109"/>
      <c r="K205" s="109"/>
      <c r="L205" s="109"/>
      <c r="M205" s="109"/>
      <c r="N205" s="109"/>
      <c r="O205" s="109"/>
      <c r="P205" s="109"/>
      <c r="Q205" s="109"/>
      <c r="R205" s="109"/>
      <c r="S205" s="109"/>
      <c r="T205" s="109"/>
      <c r="U205" s="109"/>
      <c r="V205" s="109"/>
      <c r="W205" s="109"/>
      <c r="X205" s="109"/>
      <c r="Y205" s="109"/>
      <c r="Z205" s="109"/>
      <c r="AA205" s="109"/>
      <c r="AB205" s="109"/>
    </row>
    <row r="206" ht="15.75" customHeight="1">
      <c r="A206" s="109"/>
      <c r="B206" s="109"/>
      <c r="C206" s="109"/>
      <c r="D206" s="109"/>
      <c r="E206" s="109"/>
      <c r="F206" s="109"/>
      <c r="G206" s="109"/>
      <c r="H206" s="136"/>
      <c r="I206" s="136"/>
      <c r="J206" s="109"/>
      <c r="K206" s="109"/>
      <c r="L206" s="109"/>
      <c r="M206" s="109"/>
      <c r="N206" s="109"/>
      <c r="O206" s="109"/>
      <c r="P206" s="109"/>
      <c r="Q206" s="109"/>
      <c r="R206" s="109"/>
      <c r="S206" s="109"/>
      <c r="T206" s="109"/>
      <c r="U206" s="109"/>
      <c r="V206" s="109"/>
      <c r="W206" s="109"/>
      <c r="X206" s="109"/>
      <c r="Y206" s="109"/>
      <c r="Z206" s="109"/>
      <c r="AA206" s="109"/>
      <c r="AB206" s="109"/>
    </row>
    <row r="207" ht="15.75" customHeight="1">
      <c r="A207" s="109"/>
      <c r="B207" s="109"/>
      <c r="C207" s="109"/>
      <c r="D207" s="109"/>
      <c r="E207" s="109"/>
      <c r="F207" s="109"/>
      <c r="G207" s="109"/>
      <c r="H207" s="136"/>
      <c r="I207" s="136"/>
      <c r="J207" s="109"/>
      <c r="K207" s="109"/>
      <c r="L207" s="109"/>
      <c r="M207" s="109"/>
      <c r="N207" s="109"/>
      <c r="O207" s="109"/>
      <c r="P207" s="109"/>
      <c r="Q207" s="109"/>
      <c r="R207" s="109"/>
      <c r="S207" s="109"/>
      <c r="T207" s="109"/>
      <c r="U207" s="109"/>
      <c r="V207" s="109"/>
      <c r="W207" s="109"/>
      <c r="X207" s="109"/>
      <c r="Y207" s="109"/>
      <c r="Z207" s="109"/>
      <c r="AA207" s="109"/>
      <c r="AB207" s="109"/>
    </row>
    <row r="208" ht="15.75" customHeight="1">
      <c r="A208" s="109"/>
      <c r="B208" s="109"/>
      <c r="C208" s="109"/>
      <c r="D208" s="109"/>
      <c r="E208" s="109"/>
      <c r="F208" s="109"/>
      <c r="G208" s="109"/>
      <c r="H208" s="136"/>
      <c r="I208" s="136"/>
      <c r="J208" s="109"/>
      <c r="K208" s="109"/>
      <c r="L208" s="109"/>
      <c r="M208" s="109"/>
      <c r="N208" s="109"/>
      <c r="O208" s="109"/>
      <c r="P208" s="109"/>
      <c r="Q208" s="109"/>
      <c r="R208" s="109"/>
      <c r="S208" s="109"/>
      <c r="T208" s="109"/>
      <c r="U208" s="109"/>
      <c r="V208" s="109"/>
      <c r="W208" s="109"/>
      <c r="X208" s="109"/>
      <c r="Y208" s="109"/>
      <c r="Z208" s="109"/>
      <c r="AA208" s="109"/>
      <c r="AB208" s="109"/>
    </row>
    <row r="209" ht="15.75" customHeight="1">
      <c r="A209" s="109"/>
      <c r="B209" s="109"/>
      <c r="C209" s="109"/>
      <c r="D209" s="109"/>
      <c r="E209" s="109"/>
      <c r="F209" s="109"/>
      <c r="G209" s="109"/>
      <c r="H209" s="136"/>
      <c r="I209" s="136"/>
      <c r="J209" s="109"/>
      <c r="K209" s="109"/>
      <c r="L209" s="109"/>
      <c r="M209" s="109"/>
      <c r="N209" s="109"/>
      <c r="O209" s="109"/>
      <c r="P209" s="109"/>
      <c r="Q209" s="109"/>
      <c r="R209" s="109"/>
      <c r="S209" s="109"/>
      <c r="T209" s="109"/>
      <c r="U209" s="109"/>
      <c r="V209" s="109"/>
      <c r="W209" s="109"/>
      <c r="X209" s="109"/>
      <c r="Y209" s="109"/>
      <c r="Z209" s="109"/>
      <c r="AA209" s="109"/>
      <c r="AB209" s="109"/>
    </row>
    <row r="210" ht="15.75" customHeight="1">
      <c r="A210" s="109"/>
      <c r="B210" s="109"/>
      <c r="C210" s="109"/>
      <c r="D210" s="109"/>
      <c r="E210" s="109"/>
      <c r="F210" s="109"/>
      <c r="G210" s="109"/>
      <c r="H210" s="136"/>
      <c r="I210" s="136"/>
      <c r="J210" s="109"/>
      <c r="K210" s="109"/>
      <c r="L210" s="109"/>
      <c r="M210" s="109"/>
      <c r="N210" s="109"/>
      <c r="O210" s="109"/>
      <c r="P210" s="109"/>
      <c r="Q210" s="109"/>
      <c r="R210" s="109"/>
      <c r="S210" s="109"/>
      <c r="T210" s="109"/>
      <c r="U210" s="109"/>
      <c r="V210" s="109"/>
      <c r="W210" s="109"/>
      <c r="X210" s="109"/>
      <c r="Y210" s="109"/>
      <c r="Z210" s="109"/>
      <c r="AA210" s="109"/>
      <c r="AB210" s="109"/>
    </row>
    <row r="211" ht="15.75" customHeight="1">
      <c r="A211" s="109"/>
      <c r="B211" s="109"/>
      <c r="C211" s="109"/>
      <c r="D211" s="109"/>
      <c r="E211" s="109"/>
      <c r="F211" s="109"/>
      <c r="G211" s="109"/>
      <c r="H211" s="136"/>
      <c r="I211" s="136"/>
      <c r="J211" s="109"/>
      <c r="K211" s="109"/>
      <c r="L211" s="109"/>
      <c r="M211" s="109"/>
      <c r="N211" s="109"/>
      <c r="O211" s="109"/>
      <c r="P211" s="109"/>
      <c r="Q211" s="109"/>
      <c r="R211" s="109"/>
      <c r="S211" s="109"/>
      <c r="T211" s="109"/>
      <c r="U211" s="109"/>
      <c r="V211" s="109"/>
      <c r="W211" s="109"/>
      <c r="X211" s="109"/>
      <c r="Y211" s="109"/>
      <c r="Z211" s="109"/>
      <c r="AA211" s="109"/>
      <c r="AB211" s="109"/>
    </row>
    <row r="212" ht="15.75" customHeight="1">
      <c r="A212" s="109"/>
      <c r="B212" s="109"/>
      <c r="C212" s="109"/>
      <c r="D212" s="109"/>
      <c r="E212" s="109"/>
      <c r="F212" s="109"/>
      <c r="G212" s="109"/>
      <c r="H212" s="136"/>
      <c r="I212" s="136"/>
      <c r="J212" s="109"/>
      <c r="K212" s="109"/>
      <c r="L212" s="109"/>
      <c r="M212" s="109"/>
      <c r="N212" s="109"/>
      <c r="O212" s="109"/>
      <c r="P212" s="109"/>
      <c r="Q212" s="109"/>
      <c r="R212" s="109"/>
      <c r="S212" s="109"/>
      <c r="T212" s="109"/>
      <c r="U212" s="109"/>
      <c r="V212" s="109"/>
      <c r="W212" s="109"/>
      <c r="X212" s="109"/>
      <c r="Y212" s="109"/>
      <c r="Z212" s="109"/>
      <c r="AA212" s="109"/>
      <c r="AB212" s="109"/>
    </row>
    <row r="213" ht="15.75" customHeight="1">
      <c r="A213" s="109"/>
      <c r="B213" s="109"/>
      <c r="C213" s="109"/>
      <c r="D213" s="109"/>
      <c r="E213" s="109"/>
      <c r="F213" s="109"/>
      <c r="G213" s="109"/>
      <c r="H213" s="136"/>
      <c r="I213" s="136"/>
      <c r="J213" s="109"/>
      <c r="K213" s="109"/>
      <c r="L213" s="109"/>
      <c r="M213" s="109"/>
      <c r="N213" s="109"/>
      <c r="O213" s="109"/>
      <c r="P213" s="109"/>
      <c r="Q213" s="109"/>
      <c r="R213" s="109"/>
      <c r="S213" s="109"/>
      <c r="T213" s="109"/>
      <c r="U213" s="109"/>
      <c r="V213" s="109"/>
      <c r="W213" s="109"/>
      <c r="X213" s="109"/>
      <c r="Y213" s="109"/>
      <c r="Z213" s="109"/>
      <c r="AA213" s="109"/>
      <c r="AB213" s="109"/>
    </row>
    <row r="214" ht="15.75" customHeight="1">
      <c r="A214" s="109"/>
      <c r="B214" s="109"/>
      <c r="C214" s="109"/>
      <c r="D214" s="109"/>
      <c r="E214" s="109"/>
      <c r="F214" s="109"/>
      <c r="G214" s="109"/>
      <c r="H214" s="136"/>
      <c r="I214" s="136"/>
      <c r="J214" s="109"/>
      <c r="K214" s="109"/>
      <c r="L214" s="109"/>
      <c r="M214" s="109"/>
      <c r="N214" s="109"/>
      <c r="O214" s="109"/>
      <c r="P214" s="109"/>
      <c r="Q214" s="109"/>
      <c r="R214" s="109"/>
      <c r="S214" s="109"/>
      <c r="T214" s="109"/>
      <c r="U214" s="109"/>
      <c r="V214" s="109"/>
      <c r="W214" s="109"/>
      <c r="X214" s="109"/>
      <c r="Y214" s="109"/>
      <c r="Z214" s="109"/>
      <c r="AA214" s="109"/>
      <c r="AB214" s="109"/>
    </row>
    <row r="215" ht="15.75" customHeight="1">
      <c r="A215" s="109"/>
      <c r="B215" s="109"/>
      <c r="C215" s="109"/>
      <c r="D215" s="109"/>
      <c r="E215" s="109"/>
      <c r="F215" s="109"/>
      <c r="G215" s="109"/>
      <c r="H215" s="136"/>
      <c r="I215" s="136"/>
      <c r="J215" s="109"/>
      <c r="K215" s="109"/>
      <c r="L215" s="109"/>
      <c r="M215" s="109"/>
      <c r="N215" s="109"/>
      <c r="O215" s="109"/>
      <c r="P215" s="109"/>
      <c r="Q215" s="109"/>
      <c r="R215" s="109"/>
      <c r="S215" s="109"/>
      <c r="T215" s="109"/>
      <c r="U215" s="109"/>
      <c r="V215" s="109"/>
      <c r="W215" s="109"/>
      <c r="X215" s="109"/>
      <c r="Y215" s="109"/>
      <c r="Z215" s="109"/>
      <c r="AA215" s="109"/>
      <c r="AB215" s="109"/>
    </row>
    <row r="216" ht="15.75" customHeight="1">
      <c r="A216" s="109"/>
      <c r="B216" s="109"/>
      <c r="C216" s="109"/>
      <c r="D216" s="109"/>
      <c r="E216" s="109"/>
      <c r="F216" s="109"/>
      <c r="G216" s="109"/>
      <c r="H216" s="136"/>
      <c r="I216" s="136"/>
      <c r="J216" s="109"/>
      <c r="K216" s="109"/>
      <c r="L216" s="109"/>
      <c r="M216" s="109"/>
      <c r="N216" s="109"/>
      <c r="O216" s="109"/>
      <c r="P216" s="109"/>
      <c r="Q216" s="109"/>
      <c r="R216" s="109"/>
      <c r="S216" s="109"/>
      <c r="T216" s="109"/>
      <c r="U216" s="109"/>
      <c r="V216" s="109"/>
      <c r="W216" s="109"/>
      <c r="X216" s="109"/>
      <c r="Y216" s="109"/>
      <c r="Z216" s="109"/>
      <c r="AA216" s="109"/>
      <c r="AB216" s="109"/>
    </row>
    <row r="217" ht="15.75" customHeight="1">
      <c r="A217" s="109"/>
      <c r="B217" s="109"/>
      <c r="C217" s="109"/>
      <c r="D217" s="109"/>
      <c r="E217" s="109"/>
      <c r="F217" s="109"/>
      <c r="G217" s="109"/>
      <c r="H217" s="136"/>
      <c r="I217" s="136"/>
      <c r="J217" s="109"/>
      <c r="K217" s="109"/>
      <c r="L217" s="109"/>
      <c r="M217" s="109"/>
      <c r="N217" s="109"/>
      <c r="O217" s="109"/>
      <c r="P217" s="109"/>
      <c r="Q217" s="109"/>
      <c r="R217" s="109"/>
      <c r="S217" s="109"/>
      <c r="T217" s="109"/>
      <c r="U217" s="109"/>
      <c r="V217" s="109"/>
      <c r="W217" s="109"/>
      <c r="X217" s="109"/>
      <c r="Y217" s="109"/>
      <c r="Z217" s="109"/>
      <c r="AA217" s="109"/>
      <c r="AB217" s="109"/>
    </row>
    <row r="218" ht="15.75" customHeight="1">
      <c r="A218" s="109"/>
      <c r="B218" s="109"/>
      <c r="C218" s="109"/>
      <c r="D218" s="109"/>
      <c r="E218" s="109"/>
      <c r="F218" s="109"/>
      <c r="G218" s="109"/>
      <c r="H218" s="136"/>
      <c r="I218" s="136"/>
      <c r="J218" s="109"/>
      <c r="K218" s="109"/>
      <c r="L218" s="109"/>
      <c r="M218" s="109"/>
      <c r="N218" s="109"/>
      <c r="O218" s="109"/>
      <c r="P218" s="109"/>
      <c r="Q218" s="109"/>
      <c r="R218" s="109"/>
      <c r="S218" s="109"/>
      <c r="T218" s="109"/>
      <c r="U218" s="109"/>
      <c r="V218" s="109"/>
      <c r="W218" s="109"/>
      <c r="X218" s="109"/>
      <c r="Y218" s="109"/>
      <c r="Z218" s="109"/>
      <c r="AA218" s="109"/>
      <c r="AB218" s="109"/>
    </row>
    <row r="219" ht="15.75" customHeight="1">
      <c r="A219" s="109"/>
      <c r="B219" s="109"/>
      <c r="C219" s="109"/>
      <c r="D219" s="109"/>
      <c r="E219" s="109"/>
      <c r="F219" s="109"/>
      <c r="G219" s="109"/>
      <c r="H219" s="136"/>
      <c r="I219" s="136"/>
      <c r="J219" s="109"/>
      <c r="K219" s="109"/>
      <c r="L219" s="109"/>
      <c r="M219" s="109"/>
      <c r="N219" s="109"/>
      <c r="O219" s="109"/>
      <c r="P219" s="109"/>
      <c r="Q219" s="109"/>
      <c r="R219" s="109"/>
      <c r="S219" s="109"/>
      <c r="T219" s="109"/>
      <c r="U219" s="109"/>
      <c r="V219" s="109"/>
      <c r="W219" s="109"/>
      <c r="X219" s="109"/>
      <c r="Y219" s="109"/>
      <c r="Z219" s="109"/>
      <c r="AA219" s="109"/>
      <c r="AB219" s="109"/>
    </row>
    <row r="220" ht="15.75" customHeight="1">
      <c r="A220" s="109"/>
      <c r="B220" s="109"/>
      <c r="C220" s="109"/>
      <c r="D220" s="109"/>
      <c r="E220" s="109"/>
      <c r="F220" s="109"/>
      <c r="G220" s="109"/>
      <c r="H220" s="136"/>
      <c r="I220" s="136"/>
      <c r="J220" s="109"/>
      <c r="K220" s="109"/>
      <c r="L220" s="109"/>
      <c r="M220" s="109"/>
      <c r="N220" s="109"/>
      <c r="O220" s="109"/>
      <c r="P220" s="109"/>
      <c r="Q220" s="109"/>
      <c r="R220" s="109"/>
      <c r="S220" s="109"/>
      <c r="T220" s="109"/>
      <c r="U220" s="109"/>
      <c r="V220" s="109"/>
      <c r="W220" s="109"/>
      <c r="X220" s="109"/>
      <c r="Y220" s="109"/>
      <c r="Z220" s="109"/>
      <c r="AA220" s="109"/>
      <c r="AB220" s="109"/>
    </row>
    <row r="221" ht="15.75" customHeight="1">
      <c r="A221" s="109"/>
      <c r="B221" s="109"/>
      <c r="C221" s="109"/>
      <c r="D221" s="109"/>
      <c r="E221" s="109"/>
      <c r="F221" s="109"/>
      <c r="G221" s="109"/>
      <c r="H221" s="136"/>
      <c r="I221" s="136"/>
      <c r="J221" s="109"/>
      <c r="K221" s="109"/>
      <c r="L221" s="109"/>
      <c r="M221" s="109"/>
      <c r="N221" s="109"/>
      <c r="O221" s="109"/>
      <c r="P221" s="109"/>
      <c r="Q221" s="109"/>
      <c r="R221" s="109"/>
      <c r="S221" s="109"/>
      <c r="T221" s="109"/>
      <c r="U221" s="109"/>
      <c r="V221" s="109"/>
      <c r="W221" s="109"/>
      <c r="X221" s="109"/>
      <c r="Y221" s="109"/>
      <c r="Z221" s="109"/>
      <c r="AA221" s="109"/>
      <c r="AB221" s="109"/>
    </row>
    <row r="222" ht="15.75" customHeight="1">
      <c r="A222" s="109"/>
      <c r="B222" s="109"/>
      <c r="C222" s="109"/>
      <c r="D222" s="109"/>
      <c r="E222" s="109"/>
      <c r="F222" s="109"/>
      <c r="G222" s="109"/>
      <c r="H222" s="136"/>
      <c r="I222" s="136"/>
      <c r="J222" s="109"/>
      <c r="K222" s="109"/>
      <c r="L222" s="109"/>
      <c r="M222" s="109"/>
      <c r="N222" s="109"/>
      <c r="O222" s="109"/>
      <c r="P222" s="109"/>
      <c r="Q222" s="109"/>
      <c r="R222" s="109"/>
      <c r="S222" s="109"/>
      <c r="T222" s="109"/>
      <c r="U222" s="109"/>
      <c r="V222" s="109"/>
      <c r="W222" s="109"/>
      <c r="X222" s="109"/>
      <c r="Y222" s="109"/>
      <c r="Z222" s="109"/>
      <c r="AA222" s="109"/>
      <c r="AB222" s="109"/>
    </row>
    <row r="223" ht="15.75" customHeight="1">
      <c r="A223" s="109"/>
      <c r="B223" s="109"/>
      <c r="C223" s="109"/>
      <c r="D223" s="109"/>
      <c r="E223" s="109"/>
      <c r="F223" s="109"/>
      <c r="G223" s="109"/>
      <c r="H223" s="136"/>
      <c r="I223" s="136"/>
      <c r="J223" s="109"/>
      <c r="K223" s="109"/>
      <c r="L223" s="109"/>
      <c r="M223" s="109"/>
      <c r="N223" s="109"/>
      <c r="O223" s="109"/>
      <c r="P223" s="109"/>
      <c r="Q223" s="109"/>
      <c r="R223" s="109"/>
      <c r="S223" s="109"/>
      <c r="T223" s="109"/>
      <c r="U223" s="109"/>
      <c r="V223" s="109"/>
      <c r="W223" s="109"/>
      <c r="X223" s="109"/>
      <c r="Y223" s="109"/>
      <c r="Z223" s="109"/>
      <c r="AA223" s="109"/>
      <c r="AB223" s="109"/>
    </row>
    <row r="224" ht="15.75" customHeight="1">
      <c r="A224" s="109"/>
      <c r="B224" s="109"/>
      <c r="C224" s="109"/>
      <c r="D224" s="109"/>
      <c r="E224" s="109"/>
      <c r="F224" s="109"/>
      <c r="G224" s="109"/>
      <c r="H224" s="136"/>
      <c r="I224" s="136"/>
      <c r="J224" s="109"/>
      <c r="K224" s="109"/>
      <c r="L224" s="109"/>
      <c r="M224" s="109"/>
      <c r="N224" s="109"/>
      <c r="O224" s="109"/>
      <c r="P224" s="109"/>
      <c r="Q224" s="109"/>
      <c r="R224" s="109"/>
      <c r="S224" s="109"/>
      <c r="T224" s="109"/>
      <c r="U224" s="109"/>
      <c r="V224" s="109"/>
      <c r="W224" s="109"/>
      <c r="X224" s="109"/>
      <c r="Y224" s="109"/>
      <c r="Z224" s="109"/>
      <c r="AA224" s="109"/>
      <c r="AB224" s="109"/>
    </row>
    <row r="225" ht="15.75" customHeight="1">
      <c r="A225" s="109"/>
      <c r="B225" s="109"/>
      <c r="C225" s="109"/>
      <c r="D225" s="109"/>
      <c r="E225" s="109"/>
      <c r="F225" s="109"/>
      <c r="G225" s="109"/>
      <c r="H225" s="136"/>
      <c r="I225" s="136"/>
      <c r="J225" s="109"/>
      <c r="K225" s="109"/>
      <c r="L225" s="109"/>
      <c r="M225" s="109"/>
      <c r="N225" s="109"/>
      <c r="O225" s="109"/>
      <c r="P225" s="109"/>
      <c r="Q225" s="109"/>
      <c r="R225" s="109"/>
      <c r="S225" s="109"/>
      <c r="T225" s="109"/>
      <c r="U225" s="109"/>
      <c r="V225" s="109"/>
      <c r="W225" s="109"/>
      <c r="X225" s="109"/>
      <c r="Y225" s="109"/>
      <c r="Z225" s="109"/>
      <c r="AA225" s="109"/>
      <c r="AB225" s="109"/>
    </row>
    <row r="226" ht="15.75" customHeight="1">
      <c r="A226" s="109"/>
      <c r="B226" s="109"/>
      <c r="C226" s="109"/>
      <c r="D226" s="109"/>
      <c r="E226" s="109"/>
      <c r="F226" s="109"/>
      <c r="G226" s="109"/>
      <c r="H226" s="136"/>
      <c r="I226" s="136"/>
      <c r="J226" s="109"/>
      <c r="K226" s="109"/>
      <c r="L226" s="109"/>
      <c r="M226" s="109"/>
      <c r="N226" s="109"/>
      <c r="O226" s="109"/>
      <c r="P226" s="109"/>
      <c r="Q226" s="109"/>
      <c r="R226" s="109"/>
      <c r="S226" s="109"/>
      <c r="T226" s="109"/>
      <c r="U226" s="109"/>
      <c r="V226" s="109"/>
      <c r="W226" s="109"/>
      <c r="X226" s="109"/>
      <c r="Y226" s="109"/>
      <c r="Z226" s="109"/>
      <c r="AA226" s="109"/>
      <c r="AB226" s="109"/>
    </row>
    <row r="227" ht="15.75" customHeight="1">
      <c r="A227" s="109"/>
      <c r="B227" s="109"/>
      <c r="C227" s="109"/>
      <c r="D227" s="109"/>
      <c r="E227" s="109"/>
      <c r="F227" s="109"/>
      <c r="G227" s="109"/>
      <c r="H227" s="136"/>
      <c r="I227" s="136"/>
      <c r="J227" s="109"/>
      <c r="K227" s="109"/>
      <c r="L227" s="109"/>
      <c r="M227" s="109"/>
      <c r="N227" s="109"/>
      <c r="O227" s="109"/>
      <c r="P227" s="109"/>
      <c r="Q227" s="109"/>
      <c r="R227" s="109"/>
      <c r="S227" s="109"/>
      <c r="T227" s="109"/>
      <c r="U227" s="109"/>
      <c r="V227" s="109"/>
      <c r="W227" s="109"/>
      <c r="X227" s="109"/>
      <c r="Y227" s="109"/>
      <c r="Z227" s="109"/>
      <c r="AA227" s="109"/>
      <c r="AB227" s="109"/>
    </row>
    <row r="228" ht="15.75" customHeight="1">
      <c r="A228" s="109"/>
      <c r="B228" s="109"/>
      <c r="C228" s="109"/>
      <c r="D228" s="109"/>
      <c r="E228" s="109"/>
      <c r="F228" s="109"/>
      <c r="G228" s="109"/>
      <c r="H228" s="136"/>
      <c r="I228" s="136"/>
      <c r="J228" s="109"/>
      <c r="K228" s="109"/>
      <c r="L228" s="109"/>
      <c r="M228" s="109"/>
      <c r="N228" s="109"/>
      <c r="O228" s="109"/>
      <c r="P228" s="109"/>
      <c r="Q228" s="109"/>
      <c r="R228" s="109"/>
      <c r="S228" s="109"/>
      <c r="T228" s="109"/>
      <c r="U228" s="109"/>
      <c r="V228" s="109"/>
      <c r="W228" s="109"/>
      <c r="X228" s="109"/>
      <c r="Y228" s="109"/>
      <c r="Z228" s="109"/>
      <c r="AA228" s="109"/>
      <c r="AB228" s="109"/>
    </row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31.13"/>
    <col customWidth="1" min="2" max="2" width="30.5"/>
    <col customWidth="1" min="3" max="3" width="23.88"/>
    <col customWidth="1" min="4" max="4" width="20.63"/>
    <col customWidth="1" min="5" max="6" width="12.63"/>
    <col customWidth="1" min="8" max="8" width="15.88"/>
    <col customWidth="1" min="10" max="10" width="23.75"/>
    <col customWidth="1" min="11" max="11" width="21.88"/>
    <col customWidth="1" min="12" max="12" width="23.75"/>
  </cols>
  <sheetData>
    <row r="1">
      <c r="A1" s="138"/>
      <c r="B1" s="139"/>
      <c r="C1" s="139"/>
      <c r="D1" s="139"/>
      <c r="E1" s="139"/>
      <c r="F1" s="138"/>
      <c r="G1" s="138"/>
      <c r="H1" s="138"/>
      <c r="I1" s="138"/>
      <c r="J1" s="138"/>
      <c r="K1" s="138"/>
      <c r="L1" s="138"/>
      <c r="M1" s="138"/>
      <c r="N1" s="138"/>
      <c r="O1" s="138"/>
      <c r="P1" s="138"/>
      <c r="Q1" s="138"/>
      <c r="R1" s="138"/>
      <c r="S1" s="138"/>
      <c r="T1" s="138"/>
    </row>
    <row r="2">
      <c r="A2" s="138"/>
      <c r="B2" s="139"/>
      <c r="C2" s="139"/>
      <c r="D2" s="139"/>
      <c r="E2" s="139"/>
      <c r="F2" s="138"/>
      <c r="G2" s="138"/>
      <c r="H2" s="140" t="s">
        <v>438</v>
      </c>
      <c r="I2" s="140">
        <v>20.0</v>
      </c>
      <c r="J2" s="138"/>
      <c r="K2" s="138"/>
      <c r="L2" s="138"/>
      <c r="M2" s="138"/>
      <c r="N2" s="138"/>
      <c r="O2" s="138"/>
      <c r="P2" s="138"/>
      <c r="Q2" s="138"/>
      <c r="R2" s="138"/>
      <c r="S2" s="138"/>
      <c r="T2" s="138"/>
    </row>
    <row r="3">
      <c r="A3" s="138"/>
      <c r="B3" s="139"/>
      <c r="C3" s="139"/>
      <c r="D3" s="139"/>
      <c r="E3" s="141" t="s">
        <v>439</v>
      </c>
      <c r="F3" s="138"/>
      <c r="G3" s="138"/>
      <c r="H3" s="138"/>
      <c r="I3" s="138"/>
      <c r="J3" s="138"/>
      <c r="K3" s="138"/>
      <c r="L3" s="138"/>
      <c r="M3" s="138"/>
      <c r="N3" s="138"/>
      <c r="O3" s="138"/>
      <c r="P3" s="138"/>
      <c r="Q3" s="138"/>
      <c r="R3" s="138"/>
      <c r="S3" s="138"/>
      <c r="T3" s="138"/>
    </row>
    <row r="4" ht="36.0" customHeight="1">
      <c r="A4" s="138"/>
      <c r="B4" s="142">
        <v>2.0</v>
      </c>
      <c r="C4" s="142">
        <v>3.0</v>
      </c>
      <c r="D4" s="142">
        <v>4.0</v>
      </c>
      <c r="E4" s="142">
        <f t="shared" ref="E4:E7" si="1">SUM(B4:D4)</f>
        <v>9</v>
      </c>
      <c r="F4" s="138"/>
      <c r="G4" s="138"/>
      <c r="H4" s="143" t="s">
        <v>440</v>
      </c>
      <c r="I4" s="143" t="s">
        <v>441</v>
      </c>
      <c r="J4" s="144">
        <v>12000.0</v>
      </c>
      <c r="K4" s="143">
        <f t="shared" ref="K4:K6" si="2">J4*$I$2</f>
        <v>240000</v>
      </c>
      <c r="L4" s="138">
        <f t="shared" ref="L4:L6" si="3">K4*I2</f>
        <v>4800000</v>
      </c>
      <c r="M4" s="138"/>
      <c r="N4" s="138"/>
      <c r="O4" s="138"/>
      <c r="P4" s="138"/>
      <c r="Q4" s="138"/>
      <c r="R4" s="138"/>
      <c r="S4" s="138"/>
      <c r="T4" s="138"/>
    </row>
    <row r="5" ht="36.0" customHeight="1">
      <c r="A5" s="138"/>
      <c r="B5" s="142">
        <v>3.0</v>
      </c>
      <c r="C5" s="142">
        <v>5.0</v>
      </c>
      <c r="D5" s="142">
        <v>2.0</v>
      </c>
      <c r="E5" s="142">
        <f t="shared" si="1"/>
        <v>10</v>
      </c>
      <c r="F5" s="138"/>
      <c r="G5" s="138"/>
      <c r="H5" s="143" t="s">
        <v>442</v>
      </c>
      <c r="I5" s="143" t="s">
        <v>443</v>
      </c>
      <c r="J5" s="143">
        <v>7500.0</v>
      </c>
      <c r="K5" s="143">
        <f t="shared" si="2"/>
        <v>150000</v>
      </c>
      <c r="L5" s="138">
        <f t="shared" si="3"/>
        <v>0</v>
      </c>
      <c r="M5" s="138"/>
      <c r="N5" s="138"/>
      <c r="O5" s="138"/>
      <c r="P5" s="138"/>
      <c r="Q5" s="138"/>
      <c r="R5" s="138"/>
      <c r="S5" s="138"/>
      <c r="T5" s="138"/>
    </row>
    <row r="6" ht="36.0" customHeight="1">
      <c r="A6" s="138"/>
      <c r="B6" s="142">
        <v>4.0</v>
      </c>
      <c r="C6" s="142">
        <v>6.0</v>
      </c>
      <c r="D6" s="142">
        <v>2.0</v>
      </c>
      <c r="E6" s="142">
        <f t="shared" si="1"/>
        <v>12</v>
      </c>
      <c r="F6" s="138"/>
      <c r="G6" s="138"/>
      <c r="H6" s="143" t="s">
        <v>444</v>
      </c>
      <c r="I6" s="143" t="s">
        <v>445</v>
      </c>
      <c r="J6" s="143">
        <v>5400.0</v>
      </c>
      <c r="K6" s="143">
        <f t="shared" si="2"/>
        <v>108000</v>
      </c>
      <c r="L6" s="138" t="str">
        <f t="shared" si="3"/>
        <v>#VALUE!</v>
      </c>
      <c r="M6" s="138"/>
      <c r="N6" s="138"/>
      <c r="O6" s="138"/>
      <c r="P6" s="138"/>
      <c r="Q6" s="138"/>
      <c r="R6" s="138"/>
      <c r="S6" s="138"/>
      <c r="T6" s="138"/>
    </row>
    <row r="7" ht="36.0" customHeight="1">
      <c r="A7" s="138"/>
      <c r="B7" s="142">
        <v>5.0</v>
      </c>
      <c r="C7" s="142">
        <v>6.0</v>
      </c>
      <c r="D7" s="142">
        <v>2.0</v>
      </c>
      <c r="E7" s="142">
        <f t="shared" si="1"/>
        <v>13</v>
      </c>
      <c r="F7" s="138"/>
      <c r="G7" s="138"/>
      <c r="H7" s="138"/>
      <c r="I7" s="138"/>
      <c r="J7" s="138"/>
      <c r="K7" s="138"/>
      <c r="L7" s="138"/>
      <c r="M7" s="138"/>
      <c r="N7" s="138"/>
      <c r="O7" s="138"/>
      <c r="P7" s="138"/>
      <c r="Q7" s="138"/>
      <c r="R7" s="138"/>
      <c r="S7" s="138"/>
      <c r="T7" s="138"/>
    </row>
    <row r="8" ht="36.0" customHeight="1">
      <c r="A8" s="141" t="s">
        <v>439</v>
      </c>
      <c r="B8" s="142">
        <f>SUM(B4:B7)</f>
        <v>14</v>
      </c>
      <c r="C8" s="142">
        <f>SUM($C$4:C$7)</f>
        <v>20</v>
      </c>
      <c r="D8" s="142">
        <f>SUM(D4:D7)</f>
        <v>10</v>
      </c>
      <c r="E8" s="142">
        <f>SUM($C$4:E$7)</f>
        <v>74</v>
      </c>
      <c r="F8" s="138"/>
      <c r="G8" s="138"/>
      <c r="H8" s="138"/>
      <c r="I8" s="138"/>
      <c r="J8" s="138"/>
      <c r="K8" s="138"/>
      <c r="L8" s="138"/>
      <c r="M8" s="138"/>
      <c r="N8" s="138"/>
      <c r="O8" s="138"/>
      <c r="P8" s="138"/>
      <c r="Q8" s="138"/>
      <c r="R8" s="138"/>
      <c r="S8" s="138"/>
      <c r="T8" s="138"/>
    </row>
    <row r="9">
      <c r="A9" s="138"/>
      <c r="B9" s="139"/>
      <c r="C9" s="139"/>
      <c r="D9" s="139"/>
      <c r="E9" s="139"/>
      <c r="F9" s="138"/>
      <c r="G9" s="138"/>
      <c r="H9" s="138"/>
      <c r="I9" s="138"/>
      <c r="J9" s="138"/>
      <c r="K9" s="138"/>
      <c r="L9" s="138"/>
      <c r="M9" s="138"/>
      <c r="N9" s="138"/>
      <c r="O9" s="138"/>
      <c r="P9" s="138"/>
      <c r="Q9" s="138"/>
      <c r="R9" s="138"/>
      <c r="S9" s="138"/>
      <c r="T9" s="138"/>
    </row>
    <row r="10">
      <c r="A10" s="138"/>
      <c r="B10" s="139"/>
      <c r="C10" s="139"/>
      <c r="D10" s="139"/>
      <c r="E10" s="139"/>
      <c r="F10" s="138"/>
      <c r="G10" s="138"/>
      <c r="H10" s="138"/>
      <c r="I10" s="138"/>
      <c r="J10" s="138"/>
      <c r="K10" s="138"/>
      <c r="L10" s="138"/>
      <c r="M10" s="138"/>
      <c r="N10" s="138"/>
      <c r="O10" s="138"/>
      <c r="P10" s="138"/>
      <c r="Q10" s="138"/>
      <c r="R10" s="138"/>
      <c r="S10" s="138"/>
      <c r="T10" s="138"/>
    </row>
    <row r="11">
      <c r="A11" s="138"/>
      <c r="B11" s="139"/>
      <c r="C11" s="139"/>
      <c r="D11" s="139"/>
      <c r="E11" s="139"/>
      <c r="F11" s="138"/>
      <c r="G11" s="138"/>
      <c r="H11" s="138"/>
      <c r="I11" s="138"/>
      <c r="J11" s="138"/>
      <c r="K11" s="138"/>
      <c r="L11" s="138"/>
      <c r="M11" s="138"/>
      <c r="N11" s="138"/>
      <c r="O11" s="138"/>
      <c r="P11" s="138"/>
      <c r="Q11" s="138"/>
      <c r="R11" s="138"/>
      <c r="S11" s="138"/>
      <c r="T11" s="138"/>
    </row>
    <row r="12">
      <c r="A12" s="138"/>
      <c r="B12" s="139"/>
      <c r="C12" s="139"/>
      <c r="D12" s="139"/>
      <c r="E12" s="139"/>
      <c r="F12" s="138"/>
      <c r="G12" s="138"/>
      <c r="H12" s="138"/>
      <c r="I12" s="138"/>
      <c r="J12" s="138"/>
      <c r="K12" s="138"/>
      <c r="L12" s="138"/>
      <c r="M12" s="138"/>
      <c r="N12" s="138"/>
      <c r="O12" s="138"/>
      <c r="P12" s="138"/>
      <c r="Q12" s="138"/>
      <c r="R12" s="138"/>
      <c r="S12" s="138"/>
      <c r="T12" s="138"/>
    </row>
    <row r="13">
      <c r="A13" s="143"/>
      <c r="B13" s="145" t="s">
        <v>446</v>
      </c>
      <c r="C13" s="145" t="s">
        <v>447</v>
      </c>
      <c r="D13" s="145" t="s">
        <v>447</v>
      </c>
      <c r="E13" s="139"/>
      <c r="F13" s="138"/>
      <c r="G13" s="146" t="s">
        <v>448</v>
      </c>
      <c r="H13" s="146"/>
      <c r="I13" s="147"/>
      <c r="J13" s="146"/>
      <c r="K13" s="138"/>
      <c r="L13" s="138"/>
      <c r="M13" s="138"/>
      <c r="N13" s="138"/>
      <c r="O13" s="138"/>
      <c r="P13" s="138"/>
      <c r="Q13" s="138"/>
      <c r="R13" s="138"/>
      <c r="S13" s="138"/>
      <c r="T13" s="138"/>
    </row>
    <row r="14">
      <c r="A14" s="148" t="s">
        <v>449</v>
      </c>
      <c r="B14" s="142">
        <v>50.0</v>
      </c>
      <c r="C14" s="142">
        <f t="shared" ref="C14:C16" si="4">B14+G14</f>
        <v>70</v>
      </c>
      <c r="D14" s="142">
        <f t="shared" ref="D14:D16" si="5">C14+$G$14</f>
        <v>90</v>
      </c>
      <c r="E14" s="139"/>
      <c r="F14" s="138"/>
      <c r="G14" s="138">
        <v>20.0</v>
      </c>
      <c r="H14" s="138"/>
      <c r="I14" s="138"/>
      <c r="J14" s="138"/>
      <c r="K14" s="138"/>
      <c r="L14" s="138"/>
      <c r="M14" s="138"/>
      <c r="N14" s="138"/>
      <c r="O14" s="138"/>
      <c r="P14" s="138"/>
      <c r="Q14" s="138"/>
      <c r="R14" s="138"/>
      <c r="S14" s="138"/>
      <c r="T14" s="138"/>
    </row>
    <row r="15">
      <c r="A15" s="148" t="s">
        <v>450</v>
      </c>
      <c r="B15" s="142">
        <v>60.0</v>
      </c>
      <c r="C15" s="142">
        <f t="shared" si="4"/>
        <v>60</v>
      </c>
      <c r="D15" s="142">
        <f t="shared" si="5"/>
        <v>80</v>
      </c>
      <c r="E15" s="139"/>
      <c r="F15" s="138"/>
      <c r="G15" s="138"/>
      <c r="H15" s="138"/>
      <c r="I15" s="138"/>
      <c r="J15" s="138"/>
      <c r="K15" s="138"/>
      <c r="L15" s="138"/>
      <c r="M15" s="138"/>
      <c r="N15" s="138"/>
      <c r="O15" s="138"/>
      <c r="P15" s="138"/>
      <c r="Q15" s="138"/>
      <c r="R15" s="138"/>
      <c r="S15" s="138"/>
      <c r="T15" s="138"/>
    </row>
    <row r="16">
      <c r="A16" s="148" t="s">
        <v>451</v>
      </c>
      <c r="B16" s="142">
        <v>40.0</v>
      </c>
      <c r="C16" s="142">
        <f t="shared" si="4"/>
        <v>50</v>
      </c>
      <c r="D16" s="142">
        <f t="shared" si="5"/>
        <v>70</v>
      </c>
      <c r="E16" s="139"/>
      <c r="F16" s="138"/>
      <c r="G16" s="138">
        <v>10.0</v>
      </c>
      <c r="H16" s="138"/>
      <c r="I16" s="138"/>
      <c r="J16" s="138"/>
      <c r="K16" s="138"/>
      <c r="L16" s="138"/>
      <c r="M16" s="138"/>
      <c r="N16" s="138"/>
      <c r="O16" s="138"/>
      <c r="P16" s="138"/>
      <c r="Q16" s="138"/>
      <c r="R16" s="138"/>
      <c r="S16" s="138"/>
      <c r="T16" s="138"/>
    </row>
    <row r="17">
      <c r="A17" s="138"/>
      <c r="B17" s="139"/>
      <c r="C17" s="139"/>
      <c r="D17" s="139"/>
      <c r="E17" s="139"/>
      <c r="F17" s="138"/>
      <c r="G17" s="138"/>
      <c r="H17" s="138"/>
      <c r="I17" s="138"/>
      <c r="J17" s="138"/>
      <c r="K17" s="138"/>
      <c r="L17" s="138"/>
      <c r="M17" s="138"/>
      <c r="N17" s="138"/>
      <c r="O17" s="138"/>
      <c r="P17" s="138"/>
      <c r="Q17" s="138"/>
      <c r="R17" s="138"/>
      <c r="S17" s="138"/>
      <c r="T17" s="138"/>
    </row>
    <row r="18">
      <c r="A18" s="138"/>
      <c r="B18" s="139"/>
      <c r="C18" s="139"/>
      <c r="D18" s="139"/>
      <c r="E18" s="139"/>
      <c r="F18" s="138"/>
      <c r="G18" s="138"/>
      <c r="H18" s="138"/>
      <c r="I18" s="138"/>
      <c r="J18" s="138"/>
      <c r="K18" s="138"/>
      <c r="L18" s="138"/>
      <c r="M18" s="138"/>
      <c r="N18" s="138"/>
      <c r="O18" s="138"/>
      <c r="P18" s="138"/>
      <c r="Q18" s="138"/>
      <c r="R18" s="138"/>
      <c r="S18" s="138"/>
      <c r="T18" s="138"/>
    </row>
    <row r="19">
      <c r="A19" s="138"/>
      <c r="B19" s="139"/>
      <c r="C19" s="139"/>
      <c r="D19" s="139"/>
      <c r="E19" s="139"/>
      <c r="F19" s="138"/>
      <c r="G19" s="138"/>
      <c r="H19" s="138"/>
      <c r="I19" s="138"/>
      <c r="J19" s="138"/>
      <c r="K19" s="138"/>
      <c r="L19" s="138"/>
      <c r="M19" s="138"/>
      <c r="N19" s="138"/>
      <c r="O19" s="138"/>
      <c r="P19" s="138"/>
      <c r="Q19" s="138"/>
      <c r="R19" s="138"/>
      <c r="S19" s="138"/>
      <c r="T19" s="138"/>
    </row>
    <row r="20">
      <c r="A20" s="138">
        <v>100.0</v>
      </c>
      <c r="B20" s="139"/>
      <c r="C20" s="139"/>
      <c r="D20" s="139"/>
      <c r="E20" s="139"/>
      <c r="F20" s="138"/>
      <c r="G20" s="138"/>
      <c r="H20" s="138"/>
      <c r="I20" s="138"/>
      <c r="J20" s="138"/>
      <c r="K20" s="138"/>
      <c r="L20" s="138"/>
      <c r="M20" s="138"/>
      <c r="N20" s="138"/>
      <c r="O20" s="138"/>
      <c r="P20" s="138"/>
      <c r="Q20" s="138"/>
      <c r="R20" s="138"/>
      <c r="S20" s="138"/>
      <c r="T20" s="138"/>
    </row>
    <row r="21" ht="15.75" customHeight="1">
      <c r="A21" s="138"/>
      <c r="B21" s="139"/>
      <c r="C21" s="139"/>
      <c r="D21" s="139"/>
      <c r="E21" s="139"/>
      <c r="F21" s="138"/>
      <c r="G21" s="138"/>
      <c r="H21" s="138"/>
      <c r="I21" s="138"/>
      <c r="J21" s="138"/>
      <c r="K21" s="138"/>
      <c r="L21" s="138"/>
      <c r="M21" s="138"/>
      <c r="N21" s="138"/>
      <c r="O21" s="138"/>
      <c r="P21" s="138"/>
      <c r="Q21" s="138"/>
      <c r="R21" s="138"/>
      <c r="S21" s="138"/>
      <c r="T21" s="138"/>
    </row>
    <row r="22" ht="15.75" customHeight="1">
      <c r="A22" s="138"/>
      <c r="B22" s="139"/>
      <c r="C22" s="139"/>
      <c r="D22" s="139"/>
      <c r="E22" s="139"/>
      <c r="F22" s="138"/>
      <c r="G22" s="138"/>
      <c r="H22" s="138"/>
      <c r="I22" s="138"/>
      <c r="J22" s="138"/>
      <c r="K22" s="138"/>
      <c r="L22" s="138"/>
      <c r="M22" s="138"/>
      <c r="N22" s="138"/>
      <c r="O22" s="138"/>
      <c r="P22" s="138"/>
      <c r="Q22" s="138"/>
      <c r="R22" s="138"/>
      <c r="S22" s="138"/>
      <c r="T22" s="138"/>
    </row>
    <row r="23" ht="15.75" customHeight="1">
      <c r="A23" s="138"/>
      <c r="B23" s="139"/>
      <c r="C23" s="139"/>
      <c r="D23" s="139"/>
      <c r="E23" s="139"/>
      <c r="F23" s="138"/>
      <c r="G23" s="138"/>
      <c r="H23" s="138"/>
      <c r="I23" s="138"/>
      <c r="J23" s="138"/>
      <c r="K23" s="138"/>
      <c r="L23" s="138"/>
      <c r="M23" s="138"/>
      <c r="N23" s="138"/>
      <c r="O23" s="138"/>
      <c r="P23" s="138"/>
      <c r="Q23" s="138"/>
      <c r="R23" s="138"/>
      <c r="S23" s="138"/>
      <c r="T23" s="138"/>
    </row>
    <row r="24" ht="15.75" customHeight="1">
      <c r="A24" s="138"/>
      <c r="B24" s="139"/>
      <c r="C24" s="139"/>
      <c r="D24" s="139"/>
      <c r="E24" s="139"/>
      <c r="F24" s="138"/>
      <c r="G24" s="138"/>
      <c r="H24" s="138"/>
      <c r="I24" s="138"/>
      <c r="J24" s="138"/>
      <c r="K24" s="138"/>
      <c r="L24" s="138"/>
      <c r="M24" s="138"/>
      <c r="N24" s="138"/>
      <c r="O24" s="138"/>
      <c r="P24" s="138"/>
      <c r="Q24" s="138"/>
      <c r="R24" s="138"/>
      <c r="S24" s="138"/>
      <c r="T24" s="138"/>
    </row>
    <row r="25" ht="15.75" customHeight="1">
      <c r="A25" s="138"/>
      <c r="B25" s="139"/>
      <c r="C25" s="139"/>
      <c r="D25" s="139"/>
      <c r="E25" s="139"/>
      <c r="F25" s="138"/>
      <c r="G25" s="138"/>
      <c r="H25" s="138"/>
      <c r="I25" s="138"/>
      <c r="J25" s="138"/>
      <c r="K25" s="138"/>
      <c r="L25" s="138"/>
      <c r="M25" s="138"/>
      <c r="N25" s="138"/>
      <c r="O25" s="138"/>
      <c r="P25" s="138"/>
      <c r="Q25" s="138"/>
      <c r="R25" s="138"/>
      <c r="S25" s="138"/>
      <c r="T25" s="138"/>
    </row>
    <row r="26" ht="15.75" customHeight="1">
      <c r="A26" s="138"/>
      <c r="B26" s="139"/>
      <c r="C26" s="139"/>
      <c r="D26" s="139"/>
      <c r="E26" s="139"/>
      <c r="F26" s="138"/>
      <c r="G26" s="138"/>
      <c r="H26" s="138"/>
      <c r="I26" s="138"/>
      <c r="J26" s="138"/>
      <c r="K26" s="138"/>
      <c r="L26" s="138"/>
      <c r="M26" s="138"/>
      <c r="N26" s="138"/>
      <c r="O26" s="138"/>
      <c r="P26" s="138"/>
      <c r="Q26" s="138"/>
      <c r="R26" s="138"/>
      <c r="S26" s="138"/>
      <c r="T26" s="138"/>
    </row>
    <row r="27" ht="15.75" customHeight="1">
      <c r="A27" s="138"/>
      <c r="B27" s="139"/>
      <c r="C27" s="139"/>
      <c r="D27" s="139"/>
      <c r="E27" s="139"/>
      <c r="F27" s="138"/>
      <c r="G27" s="138"/>
      <c r="H27" s="138"/>
      <c r="I27" s="138"/>
      <c r="J27" s="138"/>
      <c r="K27" s="138"/>
      <c r="L27" s="138"/>
      <c r="M27" s="138"/>
      <c r="N27" s="138"/>
      <c r="O27" s="138"/>
      <c r="P27" s="138"/>
      <c r="Q27" s="138"/>
      <c r="R27" s="138"/>
      <c r="S27" s="138"/>
      <c r="T27" s="138"/>
    </row>
    <row r="28" ht="15.75" customHeight="1">
      <c r="A28" s="138"/>
      <c r="B28" s="139"/>
      <c r="C28" s="139"/>
      <c r="D28" s="139"/>
      <c r="E28" s="139"/>
      <c r="F28" s="138"/>
      <c r="G28" s="138"/>
      <c r="H28" s="138"/>
      <c r="I28" s="138"/>
      <c r="J28" s="138"/>
      <c r="K28" s="138"/>
      <c r="L28" s="138"/>
      <c r="M28" s="138"/>
      <c r="N28" s="138"/>
      <c r="O28" s="138"/>
      <c r="P28" s="138"/>
      <c r="Q28" s="138"/>
      <c r="R28" s="138"/>
      <c r="S28" s="138"/>
      <c r="T28" s="138"/>
    </row>
    <row r="29" ht="15.75" customHeight="1">
      <c r="A29" s="138"/>
      <c r="B29" s="139"/>
      <c r="C29" s="139"/>
      <c r="D29" s="139"/>
      <c r="E29" s="139"/>
      <c r="F29" s="138"/>
      <c r="G29" s="138"/>
      <c r="H29" s="138"/>
      <c r="I29" s="138"/>
      <c r="J29" s="138"/>
      <c r="K29" s="138"/>
      <c r="L29" s="138"/>
      <c r="M29" s="138"/>
      <c r="N29" s="138"/>
      <c r="O29" s="138"/>
      <c r="P29" s="138"/>
      <c r="Q29" s="138"/>
      <c r="R29" s="138"/>
      <c r="S29" s="138"/>
      <c r="T29" s="138"/>
    </row>
    <row r="30" ht="15.75" customHeight="1">
      <c r="A30" s="138"/>
      <c r="B30" s="139"/>
      <c r="C30" s="139"/>
      <c r="D30" s="139"/>
      <c r="E30" s="139"/>
      <c r="F30" s="138"/>
      <c r="G30" s="138"/>
      <c r="H30" s="138"/>
      <c r="I30" s="138"/>
      <c r="J30" s="138"/>
      <c r="K30" s="138"/>
      <c r="L30" s="138"/>
      <c r="M30" s="138"/>
      <c r="N30" s="138"/>
      <c r="O30" s="138"/>
      <c r="P30" s="138"/>
      <c r="Q30" s="138"/>
      <c r="R30" s="138"/>
      <c r="S30" s="138"/>
      <c r="T30" s="138"/>
    </row>
    <row r="31" ht="15.75" customHeight="1">
      <c r="A31" s="138"/>
      <c r="B31" s="139"/>
      <c r="C31" s="139"/>
      <c r="D31" s="139"/>
      <c r="E31" s="139"/>
      <c r="F31" s="138"/>
      <c r="G31" s="138"/>
      <c r="H31" s="138"/>
      <c r="I31" s="138"/>
      <c r="J31" s="138"/>
      <c r="K31" s="138"/>
      <c r="L31" s="138"/>
      <c r="M31" s="138"/>
      <c r="N31" s="138"/>
      <c r="O31" s="138"/>
      <c r="P31" s="138"/>
      <c r="Q31" s="138"/>
      <c r="R31" s="138"/>
      <c r="S31" s="138"/>
      <c r="T31" s="138"/>
    </row>
    <row r="32" ht="15.75" customHeight="1">
      <c r="A32" s="138"/>
      <c r="B32" s="139"/>
      <c r="C32" s="139"/>
      <c r="D32" s="139"/>
      <c r="E32" s="139"/>
      <c r="F32" s="138"/>
      <c r="G32" s="138"/>
      <c r="H32" s="138"/>
      <c r="I32" s="138"/>
      <c r="J32" s="138"/>
      <c r="K32" s="138"/>
      <c r="L32" s="138"/>
      <c r="M32" s="138"/>
      <c r="N32" s="138"/>
      <c r="O32" s="138"/>
      <c r="P32" s="138"/>
      <c r="Q32" s="138"/>
      <c r="R32" s="138"/>
      <c r="S32" s="138"/>
      <c r="T32" s="138"/>
    </row>
    <row r="33" ht="15.75" customHeight="1">
      <c r="A33" s="138"/>
      <c r="B33" s="139"/>
      <c r="C33" s="139"/>
      <c r="D33" s="139"/>
      <c r="E33" s="139"/>
      <c r="F33" s="138"/>
      <c r="G33" s="138"/>
      <c r="H33" s="138"/>
      <c r="I33" s="138"/>
      <c r="J33" s="138"/>
      <c r="K33" s="138"/>
      <c r="L33" s="138"/>
      <c r="M33" s="138"/>
      <c r="N33" s="138"/>
      <c r="O33" s="138"/>
      <c r="P33" s="138"/>
      <c r="Q33" s="138"/>
      <c r="R33" s="138"/>
      <c r="S33" s="138"/>
      <c r="T33" s="138"/>
    </row>
    <row r="34" ht="15.75" customHeight="1">
      <c r="A34" s="138"/>
      <c r="B34" s="139"/>
      <c r="C34" s="139"/>
      <c r="D34" s="139"/>
      <c r="E34" s="139"/>
      <c r="F34" s="138"/>
      <c r="G34" s="138"/>
      <c r="H34" s="138"/>
      <c r="I34" s="138"/>
      <c r="J34" s="138"/>
      <c r="K34" s="138"/>
      <c r="L34" s="138"/>
      <c r="M34" s="138"/>
      <c r="N34" s="138"/>
      <c r="O34" s="138"/>
      <c r="P34" s="138"/>
      <c r="Q34" s="138"/>
      <c r="R34" s="138"/>
      <c r="S34" s="138"/>
      <c r="T34" s="138"/>
    </row>
    <row r="35" ht="15.75" customHeight="1">
      <c r="A35" s="138"/>
      <c r="B35" s="139"/>
      <c r="C35" s="139"/>
      <c r="D35" s="139"/>
      <c r="E35" s="139"/>
      <c r="F35" s="138"/>
      <c r="G35" s="138"/>
      <c r="H35" s="138"/>
      <c r="I35" s="138"/>
      <c r="J35" s="138"/>
      <c r="K35" s="138"/>
      <c r="L35" s="138"/>
      <c r="M35" s="138"/>
      <c r="N35" s="138"/>
      <c r="O35" s="138"/>
      <c r="P35" s="138"/>
      <c r="Q35" s="138"/>
      <c r="R35" s="138"/>
      <c r="S35" s="138"/>
      <c r="T35" s="138"/>
    </row>
    <row r="36" ht="15.75" customHeight="1">
      <c r="A36" s="138"/>
      <c r="B36" s="139"/>
      <c r="C36" s="139"/>
      <c r="D36" s="139"/>
      <c r="E36" s="139"/>
      <c r="F36" s="138"/>
      <c r="G36" s="138"/>
      <c r="H36" s="138"/>
      <c r="I36" s="138"/>
      <c r="J36" s="138"/>
      <c r="K36" s="138"/>
      <c r="L36" s="138"/>
      <c r="M36" s="138"/>
      <c r="N36" s="138"/>
      <c r="O36" s="138"/>
      <c r="P36" s="138"/>
      <c r="Q36" s="138"/>
      <c r="R36" s="138"/>
      <c r="S36" s="138"/>
      <c r="T36" s="138"/>
    </row>
    <row r="37" ht="15.75" customHeight="1">
      <c r="A37" s="138"/>
      <c r="B37" s="139"/>
      <c r="C37" s="139"/>
      <c r="D37" s="139"/>
      <c r="E37" s="139"/>
      <c r="F37" s="138"/>
      <c r="G37" s="138"/>
      <c r="H37" s="138"/>
      <c r="I37" s="138"/>
      <c r="J37" s="138"/>
      <c r="K37" s="138"/>
      <c r="L37" s="138"/>
      <c r="M37" s="138"/>
      <c r="N37" s="138"/>
      <c r="O37" s="138"/>
      <c r="P37" s="138"/>
      <c r="Q37" s="138"/>
      <c r="R37" s="138"/>
      <c r="S37" s="138"/>
      <c r="T37" s="138"/>
    </row>
    <row r="38" ht="15.75" customHeight="1">
      <c r="A38" s="138"/>
      <c r="B38" s="139"/>
      <c r="C38" s="139"/>
      <c r="D38" s="139"/>
      <c r="E38" s="139"/>
      <c r="F38" s="138"/>
      <c r="G38" s="138"/>
      <c r="H38" s="138"/>
      <c r="I38" s="138"/>
      <c r="J38" s="138"/>
      <c r="K38" s="138"/>
      <c r="L38" s="138"/>
      <c r="M38" s="138"/>
      <c r="N38" s="138"/>
      <c r="O38" s="138"/>
      <c r="P38" s="138"/>
      <c r="Q38" s="138"/>
      <c r="R38" s="138"/>
      <c r="S38" s="138"/>
      <c r="T38" s="138"/>
    </row>
    <row r="39" ht="15.75" customHeight="1">
      <c r="A39" s="138"/>
      <c r="B39" s="139"/>
      <c r="C39" s="139"/>
      <c r="D39" s="139"/>
      <c r="E39" s="139"/>
      <c r="F39" s="138"/>
      <c r="G39" s="138"/>
      <c r="H39" s="138"/>
      <c r="I39" s="138"/>
      <c r="J39" s="138"/>
      <c r="K39" s="138"/>
      <c r="L39" s="138"/>
      <c r="M39" s="138"/>
      <c r="N39" s="138"/>
      <c r="O39" s="138"/>
      <c r="P39" s="138"/>
      <c r="Q39" s="138"/>
      <c r="R39" s="138"/>
      <c r="S39" s="138"/>
      <c r="T39" s="138"/>
    </row>
    <row r="40" ht="15.75" customHeight="1">
      <c r="A40" s="138"/>
      <c r="B40" s="139"/>
      <c r="C40" s="139"/>
      <c r="D40" s="139"/>
      <c r="E40" s="139"/>
      <c r="F40" s="138"/>
      <c r="G40" s="138"/>
      <c r="H40" s="138"/>
      <c r="I40" s="138"/>
      <c r="J40" s="138"/>
      <c r="K40" s="138"/>
      <c r="L40" s="138"/>
      <c r="M40" s="138"/>
      <c r="N40" s="138"/>
      <c r="O40" s="138"/>
      <c r="P40" s="138"/>
      <c r="Q40" s="138"/>
      <c r="R40" s="138"/>
      <c r="S40" s="138"/>
      <c r="T40" s="138"/>
    </row>
    <row r="41" ht="15.75" customHeight="1">
      <c r="A41" s="138"/>
      <c r="B41" s="139"/>
      <c r="C41" s="139"/>
      <c r="D41" s="139"/>
      <c r="E41" s="139"/>
      <c r="F41" s="138"/>
      <c r="G41" s="138"/>
      <c r="H41" s="138"/>
      <c r="I41" s="138"/>
      <c r="J41" s="138"/>
      <c r="K41" s="138"/>
      <c r="L41" s="138"/>
      <c r="M41" s="138"/>
      <c r="N41" s="138"/>
      <c r="O41" s="138"/>
      <c r="P41" s="138"/>
      <c r="Q41" s="138"/>
      <c r="R41" s="138"/>
      <c r="S41" s="138"/>
      <c r="T41" s="138"/>
    </row>
    <row r="42" ht="15.75" customHeight="1">
      <c r="A42" s="138"/>
      <c r="B42" s="139"/>
      <c r="C42" s="139"/>
      <c r="D42" s="139"/>
      <c r="E42" s="139"/>
      <c r="F42" s="138"/>
      <c r="G42" s="138"/>
      <c r="H42" s="138"/>
      <c r="I42" s="138"/>
      <c r="J42" s="138"/>
      <c r="K42" s="138"/>
      <c r="L42" s="138"/>
      <c r="M42" s="138"/>
      <c r="N42" s="138"/>
      <c r="O42" s="138"/>
      <c r="P42" s="138"/>
      <c r="Q42" s="138"/>
      <c r="R42" s="138"/>
      <c r="S42" s="138"/>
      <c r="T42" s="138"/>
    </row>
    <row r="43" ht="15.75" customHeight="1">
      <c r="A43" s="138"/>
      <c r="B43" s="139"/>
      <c r="C43" s="139"/>
      <c r="D43" s="139"/>
      <c r="E43" s="139"/>
      <c r="F43" s="138"/>
      <c r="G43" s="138"/>
      <c r="H43" s="138"/>
      <c r="I43" s="138"/>
      <c r="J43" s="138"/>
      <c r="K43" s="138"/>
      <c r="L43" s="138"/>
      <c r="M43" s="138"/>
      <c r="N43" s="138"/>
      <c r="O43" s="138"/>
      <c r="P43" s="138"/>
      <c r="Q43" s="138"/>
      <c r="R43" s="138"/>
      <c r="S43" s="138"/>
      <c r="T43" s="138"/>
    </row>
    <row r="44" ht="15.75" customHeight="1">
      <c r="A44" s="138"/>
      <c r="B44" s="139"/>
      <c r="C44" s="139"/>
      <c r="D44" s="139"/>
      <c r="E44" s="139"/>
      <c r="F44" s="138"/>
      <c r="G44" s="138"/>
      <c r="H44" s="138"/>
      <c r="I44" s="138"/>
      <c r="J44" s="138"/>
      <c r="K44" s="138"/>
      <c r="L44" s="138"/>
      <c r="M44" s="138"/>
      <c r="N44" s="138"/>
      <c r="O44" s="138"/>
      <c r="P44" s="138"/>
      <c r="Q44" s="138"/>
      <c r="R44" s="138"/>
      <c r="S44" s="138"/>
      <c r="T44" s="138"/>
    </row>
    <row r="45" ht="15.75" customHeight="1">
      <c r="A45" s="138"/>
      <c r="B45" s="139"/>
      <c r="C45" s="139"/>
      <c r="D45" s="139"/>
      <c r="E45" s="139"/>
      <c r="F45" s="138"/>
      <c r="G45" s="138"/>
      <c r="H45" s="138"/>
      <c r="I45" s="138"/>
      <c r="J45" s="138"/>
      <c r="K45" s="138"/>
      <c r="L45" s="138"/>
      <c r="M45" s="138"/>
      <c r="N45" s="138"/>
      <c r="O45" s="138"/>
      <c r="P45" s="138"/>
      <c r="Q45" s="138"/>
      <c r="R45" s="138"/>
      <c r="S45" s="138"/>
      <c r="T45" s="138"/>
    </row>
    <row r="46" ht="15.75" customHeight="1">
      <c r="A46" s="138"/>
      <c r="B46" s="139"/>
      <c r="C46" s="139"/>
      <c r="D46" s="139"/>
      <c r="E46" s="139"/>
      <c r="F46" s="138"/>
      <c r="G46" s="138"/>
      <c r="H46" s="138"/>
      <c r="I46" s="138"/>
      <c r="J46" s="138"/>
      <c r="K46" s="138"/>
      <c r="L46" s="138"/>
      <c r="M46" s="138"/>
      <c r="N46" s="138"/>
      <c r="O46" s="138"/>
      <c r="P46" s="138"/>
      <c r="Q46" s="138"/>
      <c r="R46" s="138"/>
      <c r="S46" s="138"/>
      <c r="T46" s="138"/>
    </row>
    <row r="47" ht="15.75" customHeight="1">
      <c r="A47" s="138"/>
      <c r="B47" s="139"/>
      <c r="C47" s="139"/>
      <c r="D47" s="139"/>
      <c r="E47" s="139"/>
      <c r="F47" s="138"/>
      <c r="G47" s="138"/>
      <c r="H47" s="138"/>
      <c r="I47" s="138"/>
      <c r="J47" s="138"/>
      <c r="K47" s="138"/>
      <c r="L47" s="138"/>
      <c r="M47" s="138"/>
      <c r="N47" s="138"/>
      <c r="O47" s="138"/>
      <c r="P47" s="138"/>
      <c r="Q47" s="138"/>
      <c r="R47" s="138"/>
      <c r="S47" s="138"/>
      <c r="T47" s="138"/>
    </row>
    <row r="48" ht="15.75" customHeight="1">
      <c r="A48" s="138"/>
      <c r="B48" s="139"/>
      <c r="C48" s="139"/>
      <c r="D48" s="139"/>
      <c r="E48" s="139"/>
      <c r="F48" s="138"/>
      <c r="G48" s="138"/>
      <c r="H48" s="138"/>
      <c r="I48" s="138"/>
      <c r="J48" s="138"/>
      <c r="K48" s="138"/>
      <c r="L48" s="138"/>
      <c r="M48" s="138"/>
      <c r="N48" s="138"/>
      <c r="O48" s="138"/>
      <c r="P48" s="138"/>
      <c r="Q48" s="138"/>
      <c r="R48" s="138"/>
      <c r="S48" s="138"/>
      <c r="T48" s="138"/>
    </row>
    <row r="49" ht="15.75" customHeight="1">
      <c r="A49" s="138"/>
      <c r="B49" s="139"/>
      <c r="C49" s="139"/>
      <c r="D49" s="139"/>
      <c r="E49" s="139"/>
      <c r="F49" s="138"/>
      <c r="G49" s="138"/>
      <c r="H49" s="138"/>
      <c r="I49" s="138"/>
      <c r="J49" s="138"/>
      <c r="K49" s="138"/>
      <c r="L49" s="138"/>
      <c r="M49" s="138"/>
      <c r="N49" s="138"/>
      <c r="O49" s="138"/>
      <c r="P49" s="138"/>
      <c r="Q49" s="138"/>
      <c r="R49" s="138"/>
      <c r="S49" s="138"/>
      <c r="T49" s="138"/>
    </row>
    <row r="50" ht="15.75" customHeight="1">
      <c r="A50" s="138"/>
      <c r="B50" s="139"/>
      <c r="C50" s="139"/>
      <c r="D50" s="139"/>
      <c r="E50" s="139"/>
      <c r="F50" s="138"/>
      <c r="G50" s="138"/>
      <c r="H50" s="138"/>
      <c r="I50" s="138"/>
      <c r="J50" s="138"/>
      <c r="K50" s="138"/>
      <c r="L50" s="138"/>
      <c r="M50" s="138"/>
      <c r="N50" s="138"/>
      <c r="O50" s="138"/>
      <c r="P50" s="138"/>
      <c r="Q50" s="138"/>
      <c r="R50" s="138"/>
      <c r="S50" s="138"/>
      <c r="T50" s="138"/>
    </row>
    <row r="51" ht="15.75" customHeight="1">
      <c r="A51" s="138"/>
      <c r="B51" s="139"/>
      <c r="C51" s="139"/>
      <c r="D51" s="139"/>
      <c r="E51" s="139"/>
      <c r="F51" s="138"/>
      <c r="G51" s="138"/>
      <c r="H51" s="138"/>
      <c r="I51" s="138"/>
      <c r="J51" s="138"/>
      <c r="K51" s="138"/>
      <c r="L51" s="138"/>
      <c r="M51" s="138"/>
      <c r="N51" s="138"/>
      <c r="O51" s="138"/>
      <c r="P51" s="138"/>
      <c r="Q51" s="138"/>
      <c r="R51" s="138"/>
      <c r="S51" s="138"/>
      <c r="T51" s="138"/>
    </row>
    <row r="52" ht="15.75" customHeight="1">
      <c r="A52" s="138"/>
      <c r="B52" s="139"/>
      <c r="C52" s="139"/>
      <c r="D52" s="139"/>
      <c r="E52" s="139"/>
      <c r="F52" s="138"/>
      <c r="G52" s="138"/>
      <c r="H52" s="138"/>
      <c r="I52" s="138"/>
      <c r="J52" s="138"/>
      <c r="K52" s="138"/>
      <c r="L52" s="138"/>
      <c r="M52" s="138"/>
      <c r="N52" s="138"/>
      <c r="O52" s="138"/>
      <c r="P52" s="138"/>
      <c r="Q52" s="138"/>
      <c r="R52" s="138"/>
      <c r="S52" s="138"/>
      <c r="T52" s="138"/>
    </row>
    <row r="53" ht="15.75" customHeight="1">
      <c r="A53" s="138"/>
      <c r="B53" s="139"/>
      <c r="C53" s="139"/>
      <c r="D53" s="139"/>
      <c r="E53" s="139"/>
      <c r="F53" s="138"/>
      <c r="G53" s="138"/>
      <c r="H53" s="138"/>
      <c r="I53" s="138"/>
      <c r="J53" s="138"/>
      <c r="K53" s="138"/>
      <c r="L53" s="138"/>
      <c r="M53" s="138"/>
      <c r="N53" s="138"/>
      <c r="O53" s="138"/>
      <c r="P53" s="138"/>
      <c r="Q53" s="138"/>
      <c r="R53" s="138"/>
      <c r="S53" s="138"/>
      <c r="T53" s="138"/>
    </row>
    <row r="54" ht="15.75" customHeight="1">
      <c r="A54" s="138"/>
      <c r="B54" s="139"/>
      <c r="C54" s="139"/>
      <c r="D54" s="139"/>
      <c r="E54" s="139"/>
      <c r="F54" s="138"/>
      <c r="G54" s="138"/>
      <c r="H54" s="138"/>
      <c r="I54" s="138"/>
      <c r="J54" s="138"/>
      <c r="K54" s="138"/>
      <c r="L54" s="138"/>
      <c r="M54" s="138"/>
      <c r="N54" s="138"/>
      <c r="O54" s="138"/>
      <c r="P54" s="138"/>
      <c r="Q54" s="138"/>
      <c r="R54" s="138"/>
      <c r="S54" s="138"/>
      <c r="T54" s="138"/>
    </row>
    <row r="55" ht="15.75" customHeight="1">
      <c r="A55" s="138"/>
      <c r="B55" s="139"/>
      <c r="C55" s="139"/>
      <c r="D55" s="139"/>
      <c r="E55" s="139"/>
      <c r="F55" s="138"/>
      <c r="G55" s="138"/>
      <c r="H55" s="138"/>
      <c r="I55" s="138"/>
      <c r="J55" s="138"/>
      <c r="K55" s="138"/>
      <c r="L55" s="138"/>
      <c r="M55" s="138"/>
      <c r="N55" s="138"/>
      <c r="O55" s="138"/>
      <c r="P55" s="138"/>
      <c r="Q55" s="138"/>
      <c r="R55" s="138"/>
      <c r="S55" s="138"/>
      <c r="T55" s="138"/>
    </row>
    <row r="56" ht="15.75" customHeight="1">
      <c r="A56" s="138"/>
      <c r="B56" s="139"/>
      <c r="C56" s="139"/>
      <c r="D56" s="139"/>
      <c r="E56" s="139"/>
      <c r="F56" s="138"/>
      <c r="G56" s="138"/>
      <c r="H56" s="138"/>
      <c r="I56" s="138"/>
      <c r="J56" s="138"/>
      <c r="K56" s="138"/>
      <c r="L56" s="138"/>
      <c r="M56" s="138"/>
      <c r="N56" s="138"/>
      <c r="O56" s="138"/>
      <c r="P56" s="138"/>
      <c r="Q56" s="138"/>
      <c r="R56" s="138"/>
      <c r="S56" s="138"/>
      <c r="T56" s="138"/>
    </row>
    <row r="57" ht="15.75" customHeight="1">
      <c r="A57" s="138"/>
      <c r="B57" s="139"/>
      <c r="C57" s="139"/>
      <c r="D57" s="139"/>
      <c r="E57" s="139"/>
      <c r="F57" s="138"/>
      <c r="G57" s="138"/>
      <c r="H57" s="138"/>
      <c r="I57" s="138"/>
      <c r="J57" s="138"/>
      <c r="K57" s="138"/>
      <c r="L57" s="138"/>
      <c r="M57" s="138"/>
      <c r="N57" s="138"/>
      <c r="O57" s="138"/>
      <c r="P57" s="138"/>
      <c r="Q57" s="138"/>
      <c r="R57" s="138"/>
      <c r="S57" s="138"/>
      <c r="T57" s="138"/>
    </row>
    <row r="58" ht="15.75" customHeight="1">
      <c r="A58" s="138"/>
      <c r="B58" s="139"/>
      <c r="C58" s="139"/>
      <c r="D58" s="139"/>
      <c r="E58" s="139"/>
      <c r="F58" s="138"/>
      <c r="G58" s="138"/>
      <c r="H58" s="138"/>
      <c r="I58" s="138"/>
      <c r="J58" s="138"/>
      <c r="K58" s="138"/>
      <c r="L58" s="138"/>
      <c r="M58" s="138"/>
      <c r="N58" s="138"/>
      <c r="O58" s="138"/>
      <c r="P58" s="138"/>
      <c r="Q58" s="138"/>
      <c r="R58" s="138"/>
      <c r="S58" s="138"/>
      <c r="T58" s="138"/>
    </row>
    <row r="59" ht="15.75" customHeight="1">
      <c r="A59" s="138"/>
      <c r="B59" s="139"/>
      <c r="C59" s="139"/>
      <c r="D59" s="139"/>
      <c r="E59" s="139"/>
      <c r="F59" s="138"/>
      <c r="G59" s="138"/>
      <c r="H59" s="138"/>
      <c r="I59" s="138"/>
      <c r="J59" s="138"/>
      <c r="K59" s="138"/>
      <c r="L59" s="138"/>
      <c r="M59" s="138"/>
      <c r="N59" s="138"/>
      <c r="O59" s="138"/>
      <c r="P59" s="138"/>
      <c r="Q59" s="138"/>
      <c r="R59" s="138"/>
      <c r="S59" s="138"/>
      <c r="T59" s="138"/>
    </row>
    <row r="60" ht="15.75" customHeight="1">
      <c r="A60" s="138"/>
      <c r="B60" s="139"/>
      <c r="C60" s="139"/>
      <c r="D60" s="139"/>
      <c r="E60" s="139"/>
      <c r="F60" s="138"/>
      <c r="G60" s="138"/>
      <c r="H60" s="138"/>
      <c r="I60" s="138"/>
      <c r="J60" s="138"/>
      <c r="K60" s="138"/>
      <c r="L60" s="138"/>
      <c r="M60" s="138"/>
      <c r="N60" s="138"/>
      <c r="O60" s="138"/>
      <c r="P60" s="138"/>
      <c r="Q60" s="138"/>
      <c r="R60" s="138"/>
      <c r="S60" s="138"/>
      <c r="T60" s="138"/>
    </row>
    <row r="61" ht="15.75" customHeight="1">
      <c r="A61" s="138"/>
      <c r="B61" s="139"/>
      <c r="C61" s="139"/>
      <c r="D61" s="139"/>
      <c r="E61" s="139"/>
      <c r="F61" s="138"/>
      <c r="G61" s="138"/>
      <c r="H61" s="138"/>
      <c r="I61" s="138"/>
      <c r="J61" s="138"/>
      <c r="K61" s="138"/>
      <c r="L61" s="138"/>
      <c r="M61" s="138"/>
      <c r="N61" s="138"/>
      <c r="O61" s="138"/>
      <c r="P61" s="138"/>
      <c r="Q61" s="138"/>
      <c r="R61" s="138"/>
      <c r="S61" s="138"/>
      <c r="T61" s="138"/>
    </row>
    <row r="62" ht="15.75" customHeight="1">
      <c r="A62" s="138"/>
      <c r="B62" s="139"/>
      <c r="C62" s="139"/>
      <c r="D62" s="139"/>
      <c r="E62" s="139"/>
      <c r="F62" s="138"/>
      <c r="G62" s="138"/>
      <c r="H62" s="138"/>
      <c r="I62" s="138"/>
      <c r="J62" s="138"/>
      <c r="K62" s="138"/>
      <c r="L62" s="138"/>
      <c r="M62" s="138"/>
      <c r="N62" s="138"/>
      <c r="O62" s="138"/>
      <c r="P62" s="138"/>
      <c r="Q62" s="138"/>
      <c r="R62" s="138"/>
      <c r="S62" s="138"/>
      <c r="T62" s="138"/>
    </row>
    <row r="63" ht="15.75" customHeight="1">
      <c r="A63" s="138"/>
      <c r="B63" s="139"/>
      <c r="C63" s="139"/>
      <c r="D63" s="139"/>
      <c r="E63" s="139"/>
      <c r="F63" s="138"/>
      <c r="G63" s="138"/>
      <c r="H63" s="138"/>
      <c r="I63" s="138"/>
      <c r="J63" s="138"/>
      <c r="K63" s="138"/>
      <c r="L63" s="138"/>
      <c r="M63" s="138"/>
      <c r="N63" s="138"/>
      <c r="O63" s="138"/>
      <c r="P63" s="138"/>
      <c r="Q63" s="138"/>
      <c r="R63" s="138"/>
      <c r="S63" s="138"/>
      <c r="T63" s="138"/>
    </row>
    <row r="64" ht="15.75" customHeight="1">
      <c r="A64" s="138"/>
      <c r="B64" s="139"/>
      <c r="C64" s="139"/>
      <c r="D64" s="139"/>
      <c r="E64" s="139"/>
      <c r="F64" s="138"/>
      <c r="G64" s="138"/>
      <c r="H64" s="138"/>
      <c r="I64" s="138"/>
      <c r="J64" s="138"/>
      <c r="K64" s="138"/>
      <c r="L64" s="138"/>
      <c r="M64" s="138"/>
      <c r="N64" s="138"/>
      <c r="O64" s="138"/>
      <c r="P64" s="138"/>
      <c r="Q64" s="138"/>
      <c r="R64" s="138"/>
      <c r="S64" s="138"/>
      <c r="T64" s="138"/>
    </row>
    <row r="65" ht="15.75" customHeight="1">
      <c r="A65" s="138"/>
      <c r="B65" s="139"/>
      <c r="C65" s="139"/>
      <c r="D65" s="139"/>
      <c r="E65" s="139"/>
      <c r="F65" s="138"/>
      <c r="G65" s="138"/>
      <c r="H65" s="138"/>
      <c r="I65" s="138"/>
      <c r="J65" s="138"/>
      <c r="K65" s="138"/>
      <c r="L65" s="138"/>
      <c r="M65" s="138"/>
      <c r="N65" s="138"/>
      <c r="O65" s="138"/>
      <c r="P65" s="138"/>
      <c r="Q65" s="138"/>
      <c r="R65" s="138"/>
      <c r="S65" s="138"/>
      <c r="T65" s="138"/>
    </row>
    <row r="66" ht="15.75" customHeight="1">
      <c r="A66" s="138"/>
      <c r="B66" s="139"/>
      <c r="C66" s="139"/>
      <c r="D66" s="139"/>
      <c r="E66" s="139"/>
      <c r="F66" s="138"/>
      <c r="G66" s="138"/>
      <c r="H66" s="138"/>
      <c r="I66" s="138"/>
      <c r="J66" s="138"/>
      <c r="K66" s="138"/>
      <c r="L66" s="138"/>
      <c r="M66" s="138"/>
      <c r="N66" s="138"/>
      <c r="O66" s="138"/>
      <c r="P66" s="138"/>
      <c r="Q66" s="138"/>
      <c r="R66" s="138"/>
      <c r="S66" s="138"/>
      <c r="T66" s="138"/>
    </row>
    <row r="67" ht="15.75" customHeight="1">
      <c r="A67" s="138"/>
      <c r="B67" s="139"/>
      <c r="C67" s="139"/>
      <c r="D67" s="139"/>
      <c r="E67" s="139"/>
      <c r="F67" s="138"/>
      <c r="G67" s="138"/>
      <c r="H67" s="138"/>
      <c r="I67" s="138"/>
      <c r="J67" s="138"/>
      <c r="K67" s="138"/>
      <c r="L67" s="138"/>
      <c r="M67" s="138"/>
      <c r="N67" s="138"/>
      <c r="O67" s="138"/>
      <c r="P67" s="138"/>
      <c r="Q67" s="138"/>
      <c r="R67" s="138"/>
      <c r="S67" s="138"/>
      <c r="T67" s="138"/>
    </row>
    <row r="68" ht="15.75" customHeight="1">
      <c r="A68" s="138"/>
      <c r="B68" s="139"/>
      <c r="C68" s="139"/>
      <c r="D68" s="139"/>
      <c r="E68" s="139"/>
      <c r="F68" s="138"/>
      <c r="G68" s="138"/>
      <c r="H68" s="138"/>
      <c r="I68" s="138"/>
      <c r="J68" s="138"/>
      <c r="K68" s="138"/>
      <c r="L68" s="138"/>
      <c r="M68" s="138"/>
      <c r="N68" s="138"/>
      <c r="O68" s="138"/>
      <c r="P68" s="138"/>
      <c r="Q68" s="138"/>
      <c r="R68" s="138"/>
      <c r="S68" s="138"/>
      <c r="T68" s="138"/>
    </row>
    <row r="69" ht="15.75" customHeight="1">
      <c r="A69" s="138"/>
      <c r="B69" s="139"/>
      <c r="C69" s="139"/>
      <c r="D69" s="139"/>
      <c r="E69" s="139"/>
      <c r="F69" s="138"/>
      <c r="G69" s="138"/>
      <c r="H69" s="138"/>
      <c r="I69" s="138"/>
      <c r="J69" s="138"/>
      <c r="K69" s="138"/>
      <c r="L69" s="138"/>
      <c r="M69" s="138"/>
      <c r="N69" s="138"/>
      <c r="O69" s="138"/>
      <c r="P69" s="138"/>
      <c r="Q69" s="138"/>
      <c r="R69" s="138"/>
      <c r="S69" s="138"/>
      <c r="T69" s="138"/>
    </row>
    <row r="70" ht="15.75" customHeight="1">
      <c r="A70" s="138"/>
      <c r="B70" s="139"/>
      <c r="C70" s="139"/>
      <c r="D70" s="139"/>
      <c r="E70" s="139"/>
      <c r="F70" s="138"/>
      <c r="G70" s="138"/>
      <c r="H70" s="138"/>
      <c r="I70" s="138"/>
      <c r="J70" s="138"/>
      <c r="K70" s="138"/>
      <c r="L70" s="138"/>
      <c r="M70" s="138"/>
      <c r="N70" s="138"/>
      <c r="O70" s="138"/>
      <c r="P70" s="138"/>
      <c r="Q70" s="138"/>
      <c r="R70" s="138"/>
      <c r="S70" s="138"/>
      <c r="T70" s="138"/>
    </row>
    <row r="71" ht="15.75" customHeight="1">
      <c r="A71" s="138"/>
      <c r="B71" s="139"/>
      <c r="C71" s="139"/>
      <c r="D71" s="139"/>
      <c r="E71" s="139"/>
      <c r="F71" s="138"/>
      <c r="G71" s="138"/>
      <c r="H71" s="138"/>
      <c r="I71" s="138"/>
      <c r="J71" s="138"/>
      <c r="K71" s="138"/>
      <c r="L71" s="138"/>
      <c r="M71" s="138"/>
      <c r="N71" s="138"/>
      <c r="O71" s="138"/>
      <c r="P71" s="138"/>
      <c r="Q71" s="138"/>
      <c r="R71" s="138"/>
      <c r="S71" s="138"/>
      <c r="T71" s="138"/>
    </row>
    <row r="72" ht="15.75" customHeight="1">
      <c r="A72" s="138"/>
      <c r="B72" s="139"/>
      <c r="C72" s="139"/>
      <c r="D72" s="139"/>
      <c r="E72" s="139"/>
      <c r="F72" s="138"/>
      <c r="G72" s="138"/>
      <c r="H72" s="138"/>
      <c r="I72" s="138"/>
      <c r="J72" s="138"/>
      <c r="K72" s="138"/>
      <c r="L72" s="138"/>
      <c r="M72" s="138"/>
      <c r="N72" s="138"/>
      <c r="O72" s="138"/>
      <c r="P72" s="138"/>
      <c r="Q72" s="138"/>
      <c r="R72" s="138"/>
      <c r="S72" s="138"/>
      <c r="T72" s="138"/>
    </row>
    <row r="73" ht="15.75" customHeight="1">
      <c r="A73" s="138"/>
      <c r="B73" s="139"/>
      <c r="C73" s="139"/>
      <c r="D73" s="139"/>
      <c r="E73" s="139"/>
      <c r="F73" s="138"/>
      <c r="G73" s="138"/>
      <c r="H73" s="138"/>
      <c r="I73" s="138"/>
      <c r="J73" s="138"/>
      <c r="K73" s="138"/>
      <c r="L73" s="138"/>
      <c r="M73" s="138"/>
      <c r="N73" s="138"/>
      <c r="O73" s="138"/>
      <c r="P73" s="138"/>
      <c r="Q73" s="138"/>
      <c r="R73" s="138"/>
      <c r="S73" s="138"/>
      <c r="T73" s="138"/>
    </row>
    <row r="74" ht="15.75" customHeight="1">
      <c r="A74" s="138"/>
      <c r="B74" s="139"/>
      <c r="C74" s="139"/>
      <c r="D74" s="139"/>
      <c r="E74" s="139"/>
      <c r="F74" s="138"/>
      <c r="G74" s="138"/>
      <c r="H74" s="138"/>
      <c r="I74" s="138"/>
      <c r="J74" s="138"/>
      <c r="K74" s="138"/>
      <c r="L74" s="138"/>
      <c r="M74" s="138"/>
      <c r="N74" s="138"/>
      <c r="O74" s="138"/>
      <c r="P74" s="138"/>
      <c r="Q74" s="138"/>
      <c r="R74" s="138"/>
      <c r="S74" s="138"/>
      <c r="T74" s="138"/>
    </row>
    <row r="75" ht="15.75" customHeight="1">
      <c r="A75" s="138"/>
      <c r="B75" s="139"/>
      <c r="C75" s="139"/>
      <c r="D75" s="139"/>
      <c r="E75" s="139"/>
      <c r="F75" s="138"/>
      <c r="G75" s="138"/>
      <c r="H75" s="138"/>
      <c r="I75" s="138"/>
      <c r="J75" s="138"/>
      <c r="K75" s="138"/>
      <c r="L75" s="138"/>
      <c r="M75" s="138"/>
      <c r="N75" s="138"/>
      <c r="O75" s="138"/>
      <c r="P75" s="138"/>
      <c r="Q75" s="138"/>
      <c r="R75" s="138"/>
      <c r="S75" s="138"/>
      <c r="T75" s="138"/>
    </row>
    <row r="76" ht="15.75" customHeight="1">
      <c r="A76" s="138"/>
      <c r="B76" s="139"/>
      <c r="C76" s="139"/>
      <c r="D76" s="139"/>
      <c r="E76" s="139"/>
      <c r="F76" s="138"/>
      <c r="G76" s="138"/>
      <c r="H76" s="138"/>
      <c r="I76" s="138"/>
      <c r="J76" s="138"/>
      <c r="K76" s="138"/>
      <c r="L76" s="138"/>
      <c r="M76" s="138"/>
      <c r="N76" s="138"/>
      <c r="O76" s="138"/>
      <c r="P76" s="138"/>
      <c r="Q76" s="138"/>
      <c r="R76" s="138"/>
      <c r="S76" s="138"/>
      <c r="T76" s="138"/>
    </row>
    <row r="77" ht="15.75" customHeight="1">
      <c r="A77" s="138"/>
      <c r="B77" s="139"/>
      <c r="C77" s="139"/>
      <c r="D77" s="139"/>
      <c r="E77" s="139"/>
      <c r="F77" s="138"/>
      <c r="G77" s="138"/>
      <c r="H77" s="138"/>
      <c r="I77" s="138"/>
      <c r="J77" s="138"/>
      <c r="K77" s="138"/>
      <c r="L77" s="138"/>
      <c r="M77" s="138"/>
      <c r="N77" s="138"/>
      <c r="O77" s="138"/>
      <c r="P77" s="138"/>
      <c r="Q77" s="138"/>
      <c r="R77" s="138"/>
      <c r="S77" s="138"/>
      <c r="T77" s="138"/>
    </row>
    <row r="78" ht="15.75" customHeight="1">
      <c r="A78" s="138"/>
      <c r="B78" s="139"/>
      <c r="C78" s="139"/>
      <c r="D78" s="139"/>
      <c r="E78" s="139"/>
      <c r="F78" s="138"/>
      <c r="G78" s="138"/>
      <c r="H78" s="138"/>
      <c r="I78" s="138"/>
      <c r="J78" s="138"/>
      <c r="K78" s="138"/>
      <c r="L78" s="138"/>
      <c r="M78" s="138"/>
      <c r="N78" s="138"/>
      <c r="O78" s="138"/>
      <c r="P78" s="138"/>
      <c r="Q78" s="138"/>
      <c r="R78" s="138"/>
      <c r="S78" s="138"/>
      <c r="T78" s="138"/>
    </row>
    <row r="79" ht="15.75" customHeight="1">
      <c r="A79" s="138"/>
      <c r="B79" s="139"/>
      <c r="C79" s="139"/>
      <c r="D79" s="139"/>
      <c r="E79" s="139"/>
      <c r="F79" s="138"/>
      <c r="G79" s="138"/>
      <c r="H79" s="138"/>
      <c r="I79" s="138"/>
      <c r="J79" s="138"/>
      <c r="K79" s="138"/>
      <c r="L79" s="138"/>
      <c r="M79" s="138"/>
      <c r="N79" s="138"/>
      <c r="O79" s="138"/>
      <c r="P79" s="138"/>
      <c r="Q79" s="138"/>
      <c r="R79" s="138"/>
      <c r="S79" s="138"/>
      <c r="T79" s="138"/>
    </row>
    <row r="80" ht="15.75" customHeight="1">
      <c r="A80" s="138"/>
      <c r="B80" s="139"/>
      <c r="C80" s="139"/>
      <c r="D80" s="139"/>
      <c r="E80" s="139"/>
      <c r="F80" s="138"/>
      <c r="G80" s="138"/>
      <c r="H80" s="138"/>
      <c r="I80" s="138"/>
      <c r="J80" s="138"/>
      <c r="K80" s="138"/>
      <c r="L80" s="138"/>
      <c r="M80" s="138"/>
      <c r="N80" s="138"/>
      <c r="O80" s="138"/>
      <c r="P80" s="138"/>
      <c r="Q80" s="138"/>
      <c r="R80" s="138"/>
      <c r="S80" s="138"/>
      <c r="T80" s="138"/>
    </row>
    <row r="81" ht="15.75" customHeight="1">
      <c r="A81" s="138"/>
      <c r="B81" s="139"/>
      <c r="C81" s="139"/>
      <c r="D81" s="139"/>
      <c r="E81" s="139"/>
      <c r="F81" s="138"/>
      <c r="G81" s="138"/>
      <c r="H81" s="138"/>
      <c r="I81" s="138"/>
      <c r="J81" s="138"/>
      <c r="K81" s="138"/>
      <c r="L81" s="138"/>
      <c r="M81" s="138"/>
      <c r="N81" s="138"/>
      <c r="O81" s="138"/>
      <c r="P81" s="138"/>
      <c r="Q81" s="138"/>
      <c r="R81" s="138"/>
      <c r="S81" s="138"/>
      <c r="T81" s="138"/>
    </row>
    <row r="82" ht="15.75" customHeight="1">
      <c r="A82" s="138"/>
      <c r="B82" s="139"/>
      <c r="C82" s="139"/>
      <c r="D82" s="139"/>
      <c r="E82" s="139"/>
      <c r="F82" s="138"/>
      <c r="G82" s="138"/>
      <c r="H82" s="138"/>
      <c r="I82" s="138"/>
      <c r="J82" s="138"/>
      <c r="K82" s="138"/>
      <c r="L82" s="138"/>
      <c r="M82" s="138"/>
      <c r="N82" s="138"/>
      <c r="O82" s="138"/>
      <c r="P82" s="138"/>
      <c r="Q82" s="138"/>
      <c r="R82" s="138"/>
      <c r="S82" s="138"/>
      <c r="T82" s="138"/>
    </row>
    <row r="83" ht="15.75" customHeight="1">
      <c r="A83" s="138"/>
      <c r="B83" s="139"/>
      <c r="C83" s="139"/>
      <c r="D83" s="139"/>
      <c r="E83" s="139"/>
      <c r="F83" s="138"/>
      <c r="G83" s="138"/>
      <c r="H83" s="138"/>
      <c r="I83" s="138"/>
      <c r="J83" s="138"/>
      <c r="K83" s="138"/>
      <c r="L83" s="138"/>
      <c r="M83" s="138"/>
      <c r="N83" s="138"/>
      <c r="O83" s="138"/>
      <c r="P83" s="138"/>
      <c r="Q83" s="138"/>
      <c r="R83" s="138"/>
      <c r="S83" s="138"/>
      <c r="T83" s="138"/>
    </row>
    <row r="84" ht="15.75" customHeight="1">
      <c r="A84" s="138"/>
      <c r="B84" s="139"/>
      <c r="C84" s="139"/>
      <c r="D84" s="139"/>
      <c r="E84" s="139"/>
      <c r="F84" s="138"/>
      <c r="G84" s="138"/>
      <c r="H84" s="138"/>
      <c r="I84" s="138"/>
      <c r="J84" s="138"/>
      <c r="K84" s="138"/>
      <c r="L84" s="138"/>
      <c r="M84" s="138"/>
      <c r="N84" s="138"/>
      <c r="O84" s="138"/>
      <c r="P84" s="138"/>
      <c r="Q84" s="138"/>
      <c r="R84" s="138"/>
      <c r="S84" s="138"/>
      <c r="T84" s="138"/>
    </row>
    <row r="85" ht="15.75" customHeight="1">
      <c r="A85" s="138"/>
      <c r="B85" s="139"/>
      <c r="C85" s="139"/>
      <c r="D85" s="139"/>
      <c r="E85" s="139"/>
      <c r="F85" s="138"/>
      <c r="G85" s="138"/>
      <c r="H85" s="138"/>
      <c r="I85" s="138"/>
      <c r="J85" s="138"/>
      <c r="K85" s="138"/>
      <c r="L85" s="138"/>
      <c r="M85" s="138"/>
      <c r="N85" s="138"/>
      <c r="O85" s="138"/>
      <c r="P85" s="138"/>
      <c r="Q85" s="138"/>
      <c r="R85" s="138"/>
      <c r="S85" s="138"/>
      <c r="T85" s="138"/>
    </row>
    <row r="86" ht="15.75" customHeight="1">
      <c r="A86" s="138"/>
      <c r="B86" s="139"/>
      <c r="C86" s="139"/>
      <c r="D86" s="139"/>
      <c r="E86" s="139"/>
      <c r="F86" s="138"/>
      <c r="G86" s="138"/>
      <c r="H86" s="138"/>
      <c r="I86" s="138"/>
      <c r="J86" s="138"/>
      <c r="K86" s="138"/>
      <c r="L86" s="138"/>
      <c r="M86" s="138"/>
      <c r="N86" s="138"/>
      <c r="O86" s="138"/>
      <c r="P86" s="138"/>
      <c r="Q86" s="138"/>
      <c r="R86" s="138"/>
      <c r="S86" s="138"/>
      <c r="T86" s="138"/>
    </row>
    <row r="87" ht="15.75" customHeight="1">
      <c r="A87" s="138"/>
      <c r="B87" s="139"/>
      <c r="C87" s="139"/>
      <c r="D87" s="139"/>
      <c r="E87" s="139"/>
      <c r="F87" s="138"/>
      <c r="G87" s="138"/>
      <c r="H87" s="138"/>
      <c r="I87" s="138"/>
      <c r="J87" s="138"/>
      <c r="K87" s="138"/>
      <c r="L87" s="138"/>
      <c r="M87" s="138"/>
      <c r="N87" s="138"/>
      <c r="O87" s="138"/>
      <c r="P87" s="138"/>
      <c r="Q87" s="138"/>
      <c r="R87" s="138"/>
      <c r="S87" s="138"/>
      <c r="T87" s="138"/>
    </row>
    <row r="88" ht="15.75" customHeight="1">
      <c r="A88" s="138"/>
      <c r="B88" s="139"/>
      <c r="C88" s="139"/>
      <c r="D88" s="139"/>
      <c r="E88" s="139"/>
      <c r="F88" s="138"/>
      <c r="G88" s="138"/>
      <c r="H88" s="138"/>
      <c r="I88" s="138"/>
      <c r="J88" s="138"/>
      <c r="K88" s="138"/>
      <c r="L88" s="138"/>
      <c r="M88" s="138"/>
      <c r="N88" s="138"/>
      <c r="O88" s="138"/>
      <c r="P88" s="138"/>
      <c r="Q88" s="138"/>
      <c r="R88" s="138"/>
      <c r="S88" s="138"/>
      <c r="T88" s="138"/>
    </row>
    <row r="89" ht="15.75" customHeight="1">
      <c r="A89" s="138"/>
      <c r="B89" s="139"/>
      <c r="C89" s="139"/>
      <c r="D89" s="139"/>
      <c r="E89" s="139"/>
      <c r="F89" s="138"/>
      <c r="G89" s="138"/>
      <c r="H89" s="138"/>
      <c r="I89" s="138"/>
      <c r="J89" s="138"/>
      <c r="K89" s="138"/>
      <c r="L89" s="138"/>
      <c r="M89" s="138"/>
      <c r="N89" s="138"/>
      <c r="O89" s="138"/>
      <c r="P89" s="138"/>
      <c r="Q89" s="138"/>
      <c r="R89" s="138"/>
      <c r="S89" s="138"/>
      <c r="T89" s="138"/>
    </row>
    <row r="90" ht="15.75" customHeight="1">
      <c r="A90" s="138"/>
      <c r="B90" s="139"/>
      <c r="C90" s="139"/>
      <c r="D90" s="139"/>
      <c r="E90" s="139"/>
      <c r="F90" s="138"/>
      <c r="G90" s="138"/>
      <c r="H90" s="138"/>
      <c r="I90" s="138"/>
      <c r="J90" s="138"/>
      <c r="K90" s="138"/>
      <c r="L90" s="138"/>
      <c r="M90" s="138"/>
      <c r="N90" s="138"/>
      <c r="O90" s="138"/>
      <c r="P90" s="138"/>
      <c r="Q90" s="138"/>
      <c r="R90" s="138"/>
      <c r="S90" s="138"/>
      <c r="T90" s="138"/>
    </row>
    <row r="91" ht="15.75" customHeight="1">
      <c r="A91" s="138"/>
      <c r="B91" s="139"/>
      <c r="C91" s="139"/>
      <c r="D91" s="139"/>
      <c r="E91" s="139"/>
      <c r="F91" s="138"/>
      <c r="G91" s="138"/>
      <c r="H91" s="138"/>
      <c r="I91" s="138"/>
      <c r="J91" s="138"/>
      <c r="K91" s="138"/>
      <c r="L91" s="138"/>
      <c r="M91" s="138"/>
      <c r="N91" s="138"/>
      <c r="O91" s="138"/>
      <c r="P91" s="138"/>
      <c r="Q91" s="138"/>
      <c r="R91" s="138"/>
      <c r="S91" s="138"/>
      <c r="T91" s="138"/>
    </row>
    <row r="92" ht="15.75" customHeight="1">
      <c r="A92" s="138"/>
      <c r="B92" s="139"/>
      <c r="C92" s="139"/>
      <c r="D92" s="139"/>
      <c r="E92" s="139"/>
      <c r="F92" s="138"/>
      <c r="G92" s="138"/>
      <c r="H92" s="138"/>
      <c r="I92" s="138"/>
      <c r="J92" s="138"/>
      <c r="K92" s="138"/>
      <c r="L92" s="138"/>
      <c r="M92" s="138"/>
      <c r="N92" s="138"/>
      <c r="O92" s="138"/>
      <c r="P92" s="138"/>
      <c r="Q92" s="138"/>
      <c r="R92" s="138"/>
      <c r="S92" s="138"/>
      <c r="T92" s="138"/>
    </row>
    <row r="93" ht="15.75" customHeight="1">
      <c r="A93" s="138"/>
      <c r="B93" s="139"/>
      <c r="C93" s="139"/>
      <c r="D93" s="139"/>
      <c r="E93" s="139"/>
      <c r="F93" s="138"/>
      <c r="G93" s="138"/>
      <c r="H93" s="138"/>
      <c r="I93" s="138"/>
      <c r="J93" s="138"/>
      <c r="K93" s="138"/>
      <c r="L93" s="138"/>
      <c r="M93" s="138"/>
      <c r="N93" s="138"/>
      <c r="O93" s="138"/>
      <c r="P93" s="138"/>
      <c r="Q93" s="138"/>
      <c r="R93" s="138"/>
      <c r="S93" s="138"/>
      <c r="T93" s="138"/>
    </row>
    <row r="94" ht="15.75" customHeight="1">
      <c r="A94" s="138"/>
      <c r="B94" s="139"/>
      <c r="C94" s="139"/>
      <c r="D94" s="139"/>
      <c r="E94" s="139"/>
      <c r="F94" s="138"/>
      <c r="G94" s="138"/>
      <c r="H94" s="138"/>
      <c r="I94" s="138"/>
      <c r="J94" s="138"/>
      <c r="K94" s="138"/>
      <c r="L94" s="138"/>
      <c r="M94" s="138"/>
      <c r="N94" s="138"/>
      <c r="O94" s="138"/>
      <c r="P94" s="138"/>
      <c r="Q94" s="138"/>
      <c r="R94" s="138"/>
      <c r="S94" s="138"/>
      <c r="T94" s="138"/>
    </row>
    <row r="95" ht="15.75" customHeight="1">
      <c r="A95" s="138"/>
      <c r="B95" s="139"/>
      <c r="C95" s="139"/>
      <c r="D95" s="139"/>
      <c r="E95" s="139"/>
      <c r="F95" s="138"/>
      <c r="G95" s="138"/>
      <c r="H95" s="138"/>
      <c r="I95" s="138"/>
      <c r="J95" s="138"/>
      <c r="K95" s="138"/>
      <c r="L95" s="138"/>
      <c r="M95" s="138"/>
      <c r="N95" s="138"/>
      <c r="O95" s="138"/>
      <c r="P95" s="138"/>
      <c r="Q95" s="138"/>
      <c r="R95" s="138"/>
      <c r="S95" s="138"/>
      <c r="T95" s="138"/>
    </row>
    <row r="96" ht="15.75" customHeight="1">
      <c r="A96" s="138"/>
      <c r="B96" s="139"/>
      <c r="C96" s="139"/>
      <c r="D96" s="139"/>
      <c r="E96" s="139"/>
      <c r="F96" s="138"/>
      <c r="G96" s="138"/>
      <c r="H96" s="138"/>
      <c r="I96" s="138"/>
      <c r="J96" s="138"/>
      <c r="K96" s="138"/>
      <c r="L96" s="138"/>
      <c r="M96" s="138"/>
      <c r="N96" s="138"/>
      <c r="O96" s="138"/>
      <c r="P96" s="138"/>
      <c r="Q96" s="138"/>
      <c r="R96" s="138"/>
      <c r="S96" s="138"/>
      <c r="T96" s="138"/>
    </row>
    <row r="97" ht="15.75" customHeight="1">
      <c r="A97" s="138"/>
      <c r="B97" s="139"/>
      <c r="C97" s="139"/>
      <c r="D97" s="139"/>
      <c r="E97" s="139"/>
      <c r="F97" s="138"/>
      <c r="G97" s="138"/>
      <c r="H97" s="138"/>
      <c r="I97" s="138"/>
      <c r="J97" s="138"/>
      <c r="K97" s="138"/>
      <c r="L97" s="138"/>
      <c r="M97" s="138"/>
      <c r="N97" s="138"/>
      <c r="O97" s="138"/>
      <c r="P97" s="138"/>
      <c r="Q97" s="138"/>
      <c r="R97" s="138"/>
      <c r="S97" s="138"/>
      <c r="T97" s="138"/>
    </row>
    <row r="98" ht="15.75" customHeight="1">
      <c r="A98" s="138"/>
      <c r="B98" s="139"/>
      <c r="C98" s="139"/>
      <c r="D98" s="139"/>
      <c r="E98" s="139"/>
      <c r="F98" s="138"/>
      <c r="G98" s="138"/>
      <c r="H98" s="138"/>
      <c r="I98" s="138"/>
      <c r="J98" s="138"/>
      <c r="K98" s="138"/>
      <c r="L98" s="138"/>
      <c r="M98" s="138"/>
      <c r="N98" s="138"/>
      <c r="O98" s="138"/>
      <c r="P98" s="138"/>
      <c r="Q98" s="138"/>
      <c r="R98" s="138"/>
      <c r="S98" s="138"/>
      <c r="T98" s="138"/>
    </row>
    <row r="99" ht="15.75" customHeight="1">
      <c r="A99" s="138"/>
      <c r="B99" s="139"/>
      <c r="C99" s="139"/>
      <c r="D99" s="139"/>
      <c r="E99" s="139"/>
      <c r="F99" s="138"/>
      <c r="G99" s="138"/>
      <c r="H99" s="138"/>
      <c r="I99" s="138"/>
      <c r="J99" s="138"/>
      <c r="K99" s="138"/>
      <c r="L99" s="138"/>
      <c r="M99" s="138"/>
      <c r="N99" s="138"/>
      <c r="O99" s="138"/>
      <c r="P99" s="138"/>
      <c r="Q99" s="138"/>
      <c r="R99" s="138"/>
      <c r="S99" s="138"/>
      <c r="T99" s="138"/>
    </row>
    <row r="100" ht="15.75" customHeight="1">
      <c r="A100" s="138"/>
      <c r="B100" s="139"/>
      <c r="C100" s="139"/>
      <c r="D100" s="139"/>
      <c r="E100" s="139"/>
      <c r="F100" s="138"/>
      <c r="G100" s="138"/>
      <c r="H100" s="138"/>
      <c r="I100" s="138"/>
      <c r="J100" s="138"/>
      <c r="K100" s="138"/>
      <c r="L100" s="138"/>
      <c r="M100" s="138"/>
      <c r="N100" s="138"/>
      <c r="O100" s="138"/>
      <c r="P100" s="138"/>
      <c r="Q100" s="138"/>
      <c r="R100" s="138"/>
      <c r="S100" s="138"/>
      <c r="T100" s="138"/>
    </row>
    <row r="101" ht="15.75" customHeight="1">
      <c r="A101" s="138"/>
      <c r="B101" s="139"/>
      <c r="C101" s="139"/>
      <c r="D101" s="139"/>
      <c r="E101" s="139"/>
      <c r="F101" s="138"/>
      <c r="G101" s="138"/>
      <c r="H101" s="138"/>
      <c r="I101" s="138"/>
      <c r="J101" s="138"/>
      <c r="K101" s="138"/>
      <c r="L101" s="138"/>
      <c r="M101" s="138"/>
      <c r="N101" s="138"/>
      <c r="O101" s="138"/>
      <c r="P101" s="138"/>
      <c r="Q101" s="138"/>
      <c r="R101" s="138"/>
      <c r="S101" s="138"/>
      <c r="T101" s="138"/>
    </row>
    <row r="102" ht="15.75" customHeight="1">
      <c r="A102" s="138"/>
      <c r="B102" s="139"/>
      <c r="C102" s="139"/>
      <c r="D102" s="139"/>
      <c r="E102" s="139"/>
      <c r="F102" s="138"/>
      <c r="G102" s="138"/>
      <c r="H102" s="138"/>
      <c r="I102" s="138"/>
      <c r="J102" s="138"/>
      <c r="K102" s="138"/>
      <c r="L102" s="138"/>
      <c r="M102" s="138"/>
      <c r="N102" s="138"/>
      <c r="O102" s="138"/>
      <c r="P102" s="138"/>
      <c r="Q102" s="138"/>
      <c r="R102" s="138"/>
      <c r="S102" s="138"/>
      <c r="T102" s="138"/>
    </row>
    <row r="103" ht="15.75" customHeight="1">
      <c r="A103" s="138"/>
      <c r="B103" s="139"/>
      <c r="C103" s="139"/>
      <c r="D103" s="139"/>
      <c r="E103" s="139"/>
      <c r="F103" s="138"/>
      <c r="G103" s="138"/>
      <c r="H103" s="138"/>
      <c r="I103" s="138"/>
      <c r="J103" s="138"/>
      <c r="K103" s="138"/>
      <c r="L103" s="138"/>
      <c r="M103" s="138"/>
      <c r="N103" s="138"/>
      <c r="O103" s="138"/>
      <c r="P103" s="138"/>
      <c r="Q103" s="138"/>
      <c r="R103" s="138"/>
      <c r="S103" s="138"/>
      <c r="T103" s="138"/>
    </row>
    <row r="104" ht="15.75" customHeight="1">
      <c r="A104" s="138"/>
      <c r="B104" s="139"/>
      <c r="C104" s="139"/>
      <c r="D104" s="139"/>
      <c r="E104" s="139"/>
      <c r="F104" s="138"/>
      <c r="G104" s="138"/>
      <c r="H104" s="138"/>
      <c r="I104" s="138"/>
      <c r="J104" s="138"/>
      <c r="K104" s="138"/>
      <c r="L104" s="138"/>
      <c r="M104" s="138"/>
      <c r="N104" s="138"/>
      <c r="O104" s="138"/>
      <c r="P104" s="138"/>
      <c r="Q104" s="138"/>
      <c r="R104" s="138"/>
      <c r="S104" s="138"/>
      <c r="T104" s="138"/>
    </row>
    <row r="105" ht="15.75" customHeight="1">
      <c r="A105" s="138"/>
      <c r="B105" s="139"/>
      <c r="C105" s="139"/>
      <c r="D105" s="139"/>
      <c r="E105" s="139"/>
      <c r="F105" s="138"/>
      <c r="G105" s="138"/>
      <c r="H105" s="138"/>
      <c r="I105" s="138"/>
      <c r="J105" s="138"/>
      <c r="K105" s="138"/>
      <c r="L105" s="138"/>
      <c r="M105" s="138"/>
      <c r="N105" s="138"/>
      <c r="O105" s="138"/>
      <c r="P105" s="138"/>
      <c r="Q105" s="138"/>
      <c r="R105" s="138"/>
      <c r="S105" s="138"/>
      <c r="T105" s="138"/>
    </row>
    <row r="106" ht="15.75" customHeight="1">
      <c r="A106" s="138"/>
      <c r="B106" s="139"/>
      <c r="C106" s="139"/>
      <c r="D106" s="139"/>
      <c r="E106" s="139"/>
      <c r="F106" s="138"/>
      <c r="G106" s="138"/>
      <c r="H106" s="138"/>
      <c r="I106" s="138"/>
      <c r="J106" s="138"/>
      <c r="K106" s="138"/>
      <c r="L106" s="138"/>
      <c r="M106" s="138"/>
      <c r="N106" s="138"/>
      <c r="O106" s="138"/>
      <c r="P106" s="138"/>
      <c r="Q106" s="138"/>
      <c r="R106" s="138"/>
      <c r="S106" s="138"/>
      <c r="T106" s="138"/>
    </row>
    <row r="107" ht="15.75" customHeight="1">
      <c r="A107" s="138"/>
      <c r="B107" s="139"/>
      <c r="C107" s="139"/>
      <c r="D107" s="139"/>
      <c r="E107" s="139"/>
      <c r="F107" s="138"/>
      <c r="G107" s="138"/>
      <c r="H107" s="138"/>
      <c r="I107" s="138"/>
      <c r="J107" s="138"/>
      <c r="K107" s="138"/>
      <c r="L107" s="138"/>
      <c r="M107" s="138"/>
      <c r="N107" s="138"/>
      <c r="O107" s="138"/>
      <c r="P107" s="138"/>
      <c r="Q107" s="138"/>
      <c r="R107" s="138"/>
      <c r="S107" s="138"/>
      <c r="T107" s="138"/>
    </row>
    <row r="108" ht="15.75" customHeight="1">
      <c r="A108" s="138"/>
      <c r="B108" s="139"/>
      <c r="C108" s="139"/>
      <c r="D108" s="139"/>
      <c r="E108" s="139"/>
      <c r="F108" s="138"/>
      <c r="G108" s="138"/>
      <c r="H108" s="138"/>
      <c r="I108" s="138"/>
      <c r="J108" s="138"/>
      <c r="K108" s="138"/>
      <c r="L108" s="138"/>
      <c r="M108" s="138"/>
      <c r="N108" s="138"/>
      <c r="O108" s="138"/>
      <c r="P108" s="138"/>
      <c r="Q108" s="138"/>
      <c r="R108" s="138"/>
      <c r="S108" s="138"/>
      <c r="T108" s="138"/>
    </row>
    <row r="109" ht="15.75" customHeight="1">
      <c r="A109" s="138"/>
      <c r="B109" s="139"/>
      <c r="C109" s="139"/>
      <c r="D109" s="139"/>
      <c r="E109" s="139"/>
      <c r="F109" s="138"/>
      <c r="G109" s="138"/>
      <c r="H109" s="138"/>
      <c r="I109" s="138"/>
      <c r="J109" s="138"/>
      <c r="K109" s="138"/>
      <c r="L109" s="138"/>
      <c r="M109" s="138"/>
      <c r="N109" s="138"/>
      <c r="O109" s="138"/>
      <c r="P109" s="138"/>
      <c r="Q109" s="138"/>
      <c r="R109" s="138"/>
      <c r="S109" s="138"/>
      <c r="T109" s="138"/>
    </row>
    <row r="110" ht="15.75" customHeight="1">
      <c r="A110" s="138"/>
      <c r="B110" s="139"/>
      <c r="C110" s="139"/>
      <c r="D110" s="139"/>
      <c r="E110" s="139"/>
      <c r="F110" s="138"/>
      <c r="G110" s="138"/>
      <c r="H110" s="138"/>
      <c r="I110" s="138"/>
      <c r="J110" s="138"/>
      <c r="K110" s="138"/>
      <c r="L110" s="138"/>
      <c r="M110" s="138"/>
      <c r="N110" s="138"/>
      <c r="O110" s="138"/>
      <c r="P110" s="138"/>
      <c r="Q110" s="138"/>
      <c r="R110" s="138"/>
      <c r="S110" s="138"/>
      <c r="T110" s="138"/>
    </row>
    <row r="111" ht="15.75" customHeight="1">
      <c r="A111" s="138"/>
      <c r="B111" s="139"/>
      <c r="C111" s="139"/>
      <c r="D111" s="139"/>
      <c r="E111" s="139"/>
      <c r="F111" s="138"/>
      <c r="G111" s="138"/>
      <c r="H111" s="138"/>
      <c r="I111" s="138"/>
      <c r="J111" s="138"/>
      <c r="K111" s="138"/>
      <c r="L111" s="138"/>
      <c r="M111" s="138"/>
      <c r="N111" s="138"/>
      <c r="O111" s="138"/>
      <c r="P111" s="138"/>
      <c r="Q111" s="138"/>
      <c r="R111" s="138"/>
      <c r="S111" s="138"/>
      <c r="T111" s="138"/>
    </row>
    <row r="112" ht="15.75" customHeight="1">
      <c r="A112" s="138"/>
      <c r="B112" s="139"/>
      <c r="C112" s="139"/>
      <c r="D112" s="139"/>
      <c r="E112" s="139"/>
      <c r="F112" s="138"/>
      <c r="G112" s="138"/>
      <c r="H112" s="138"/>
      <c r="I112" s="138"/>
      <c r="J112" s="138"/>
      <c r="K112" s="138"/>
      <c r="L112" s="138"/>
      <c r="M112" s="138"/>
      <c r="N112" s="138"/>
      <c r="O112" s="138"/>
      <c r="P112" s="138"/>
      <c r="Q112" s="138"/>
      <c r="R112" s="138"/>
      <c r="S112" s="138"/>
      <c r="T112" s="138"/>
    </row>
    <row r="113" ht="15.75" customHeight="1">
      <c r="A113" s="138"/>
      <c r="B113" s="139"/>
      <c r="C113" s="139"/>
      <c r="D113" s="139"/>
      <c r="E113" s="139"/>
      <c r="F113" s="138"/>
      <c r="G113" s="138"/>
      <c r="H113" s="138"/>
      <c r="I113" s="138"/>
      <c r="J113" s="138"/>
      <c r="K113" s="138"/>
      <c r="L113" s="138"/>
      <c r="M113" s="138"/>
      <c r="N113" s="138"/>
      <c r="O113" s="138"/>
      <c r="P113" s="138"/>
      <c r="Q113" s="138"/>
      <c r="R113" s="138"/>
      <c r="S113" s="138"/>
      <c r="T113" s="138"/>
    </row>
    <row r="114" ht="15.75" customHeight="1">
      <c r="A114" s="138"/>
      <c r="B114" s="139"/>
      <c r="C114" s="139"/>
      <c r="D114" s="139"/>
      <c r="E114" s="139"/>
      <c r="F114" s="138"/>
      <c r="G114" s="138"/>
      <c r="H114" s="138"/>
      <c r="I114" s="138"/>
      <c r="J114" s="138"/>
      <c r="K114" s="138"/>
      <c r="L114" s="138"/>
      <c r="M114" s="138"/>
      <c r="N114" s="138"/>
      <c r="O114" s="138"/>
      <c r="P114" s="138"/>
      <c r="Q114" s="138"/>
      <c r="R114" s="138"/>
      <c r="S114" s="138"/>
      <c r="T114" s="138"/>
    </row>
    <row r="115" ht="15.75" customHeight="1">
      <c r="A115" s="138"/>
      <c r="B115" s="139"/>
      <c r="C115" s="139"/>
      <c r="D115" s="139"/>
      <c r="E115" s="139"/>
      <c r="F115" s="138"/>
      <c r="G115" s="138"/>
      <c r="H115" s="138"/>
      <c r="I115" s="138"/>
      <c r="J115" s="138"/>
      <c r="K115" s="138"/>
      <c r="L115" s="138"/>
      <c r="M115" s="138"/>
      <c r="N115" s="138"/>
      <c r="O115" s="138"/>
      <c r="P115" s="138"/>
      <c r="Q115" s="138"/>
      <c r="R115" s="138"/>
      <c r="S115" s="138"/>
      <c r="T115" s="138"/>
    </row>
    <row r="116" ht="15.75" customHeight="1">
      <c r="A116" s="138"/>
      <c r="B116" s="139"/>
      <c r="C116" s="139"/>
      <c r="D116" s="139"/>
      <c r="E116" s="139"/>
      <c r="F116" s="138"/>
      <c r="G116" s="138"/>
      <c r="H116" s="138"/>
      <c r="I116" s="138"/>
      <c r="J116" s="138"/>
      <c r="K116" s="138"/>
      <c r="L116" s="138"/>
      <c r="M116" s="138"/>
      <c r="N116" s="138"/>
      <c r="O116" s="138"/>
      <c r="P116" s="138"/>
      <c r="Q116" s="138"/>
      <c r="R116" s="138"/>
      <c r="S116" s="138"/>
      <c r="T116" s="138"/>
    </row>
    <row r="117" ht="15.75" customHeight="1">
      <c r="A117" s="138"/>
      <c r="B117" s="139"/>
      <c r="C117" s="139"/>
      <c r="D117" s="139"/>
      <c r="E117" s="139"/>
      <c r="F117" s="138"/>
      <c r="G117" s="138"/>
      <c r="H117" s="138"/>
      <c r="I117" s="138"/>
      <c r="J117" s="138"/>
      <c r="K117" s="138"/>
      <c r="L117" s="138"/>
      <c r="M117" s="138"/>
      <c r="N117" s="138"/>
      <c r="O117" s="138"/>
      <c r="P117" s="138"/>
      <c r="Q117" s="138"/>
      <c r="R117" s="138"/>
      <c r="S117" s="138"/>
      <c r="T117" s="138"/>
    </row>
    <row r="118" ht="15.75" customHeight="1">
      <c r="A118" s="138"/>
      <c r="B118" s="139"/>
      <c r="C118" s="139"/>
      <c r="D118" s="139"/>
      <c r="E118" s="139"/>
      <c r="F118" s="138"/>
      <c r="G118" s="138"/>
      <c r="H118" s="138"/>
      <c r="I118" s="138"/>
      <c r="J118" s="138"/>
      <c r="K118" s="138"/>
      <c r="L118" s="138"/>
      <c r="M118" s="138"/>
      <c r="N118" s="138"/>
      <c r="O118" s="138"/>
      <c r="P118" s="138"/>
      <c r="Q118" s="138"/>
      <c r="R118" s="138"/>
      <c r="S118" s="138"/>
      <c r="T118" s="138"/>
    </row>
    <row r="119" ht="15.75" customHeight="1">
      <c r="A119" s="138"/>
      <c r="B119" s="139"/>
      <c r="C119" s="139"/>
      <c r="D119" s="139"/>
      <c r="E119" s="139"/>
      <c r="F119" s="138"/>
      <c r="G119" s="138"/>
      <c r="H119" s="138"/>
      <c r="I119" s="138"/>
      <c r="J119" s="138"/>
      <c r="K119" s="138"/>
      <c r="L119" s="138"/>
      <c r="M119" s="138"/>
      <c r="N119" s="138"/>
      <c r="O119" s="138"/>
      <c r="P119" s="138"/>
      <c r="Q119" s="138"/>
      <c r="R119" s="138"/>
      <c r="S119" s="138"/>
      <c r="T119" s="138"/>
    </row>
    <row r="120" ht="15.75" customHeight="1">
      <c r="A120" s="138"/>
      <c r="B120" s="139"/>
      <c r="C120" s="139"/>
      <c r="D120" s="139"/>
      <c r="E120" s="139"/>
      <c r="F120" s="138"/>
      <c r="G120" s="138"/>
      <c r="H120" s="138"/>
      <c r="I120" s="138"/>
      <c r="J120" s="138"/>
      <c r="K120" s="138"/>
      <c r="L120" s="138"/>
      <c r="M120" s="138"/>
      <c r="N120" s="138"/>
      <c r="O120" s="138"/>
      <c r="P120" s="138"/>
      <c r="Q120" s="138"/>
      <c r="R120" s="138"/>
      <c r="S120" s="138"/>
      <c r="T120" s="138"/>
    </row>
    <row r="121" ht="15.75" customHeight="1">
      <c r="A121" s="138"/>
      <c r="B121" s="139"/>
      <c r="C121" s="139"/>
      <c r="D121" s="139"/>
      <c r="E121" s="139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</row>
    <row r="122" ht="15.75" customHeight="1">
      <c r="A122" s="138"/>
      <c r="B122" s="139"/>
      <c r="C122" s="139"/>
      <c r="D122" s="139"/>
      <c r="E122" s="139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</row>
    <row r="123" ht="15.75" customHeight="1">
      <c r="A123" s="138"/>
      <c r="B123" s="139"/>
      <c r="C123" s="139"/>
      <c r="D123" s="139"/>
      <c r="E123" s="139"/>
      <c r="F123" s="138"/>
      <c r="G123" s="138"/>
      <c r="H123" s="138"/>
      <c r="I123" s="138"/>
      <c r="J123" s="138"/>
      <c r="K123" s="138"/>
      <c r="L123" s="138"/>
      <c r="M123" s="138"/>
      <c r="N123" s="138"/>
      <c r="O123" s="138"/>
      <c r="P123" s="138"/>
      <c r="Q123" s="138"/>
      <c r="R123" s="138"/>
      <c r="S123" s="138"/>
      <c r="T123" s="138"/>
    </row>
    <row r="124" ht="15.75" customHeight="1">
      <c r="A124" s="138"/>
      <c r="B124" s="139"/>
      <c r="C124" s="139"/>
      <c r="D124" s="139"/>
      <c r="E124" s="139"/>
      <c r="F124" s="138"/>
      <c r="G124" s="138"/>
      <c r="H124" s="138"/>
      <c r="I124" s="138"/>
      <c r="J124" s="138"/>
      <c r="K124" s="138"/>
      <c r="L124" s="138"/>
      <c r="M124" s="138"/>
      <c r="N124" s="138"/>
      <c r="O124" s="138"/>
      <c r="P124" s="138"/>
      <c r="Q124" s="138"/>
      <c r="R124" s="138"/>
      <c r="S124" s="138"/>
      <c r="T124" s="138"/>
    </row>
    <row r="125" ht="15.75" customHeight="1">
      <c r="A125" s="138"/>
      <c r="B125" s="139"/>
      <c r="C125" s="139"/>
      <c r="D125" s="139"/>
      <c r="E125" s="139"/>
      <c r="F125" s="138"/>
      <c r="G125" s="138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</row>
    <row r="126" ht="15.75" customHeight="1">
      <c r="A126" s="138"/>
      <c r="B126" s="139"/>
      <c r="C126" s="139"/>
      <c r="D126" s="139"/>
      <c r="E126" s="139"/>
      <c r="F126" s="138"/>
      <c r="G126" s="138"/>
      <c r="H126" s="138"/>
      <c r="I126" s="138"/>
      <c r="J126" s="138"/>
      <c r="K126" s="138"/>
      <c r="L126" s="138"/>
      <c r="M126" s="138"/>
      <c r="N126" s="138"/>
      <c r="O126" s="138"/>
      <c r="P126" s="138"/>
      <c r="Q126" s="138"/>
      <c r="R126" s="138"/>
      <c r="S126" s="138"/>
      <c r="T126" s="138"/>
    </row>
    <row r="127" ht="15.75" customHeight="1">
      <c r="A127" s="138"/>
      <c r="B127" s="139"/>
      <c r="C127" s="139"/>
      <c r="D127" s="139"/>
      <c r="E127" s="139"/>
      <c r="F127" s="138"/>
      <c r="G127" s="138"/>
      <c r="H127" s="138"/>
      <c r="I127" s="138"/>
      <c r="J127" s="138"/>
      <c r="K127" s="138"/>
      <c r="L127" s="138"/>
      <c r="M127" s="138"/>
      <c r="N127" s="138"/>
      <c r="O127" s="138"/>
      <c r="P127" s="138"/>
      <c r="Q127" s="138"/>
      <c r="R127" s="138"/>
      <c r="S127" s="138"/>
      <c r="T127" s="138"/>
    </row>
    <row r="128" ht="15.75" customHeight="1">
      <c r="A128" s="138"/>
      <c r="B128" s="139"/>
      <c r="C128" s="139"/>
      <c r="D128" s="139"/>
      <c r="E128" s="139"/>
      <c r="F128" s="138"/>
      <c r="G128" s="138"/>
      <c r="H128" s="138"/>
      <c r="I128" s="138"/>
      <c r="J128" s="138"/>
      <c r="K128" s="138"/>
      <c r="L128" s="138"/>
      <c r="M128" s="138"/>
      <c r="N128" s="138"/>
      <c r="O128" s="138"/>
      <c r="P128" s="138"/>
      <c r="Q128" s="138"/>
      <c r="R128" s="138"/>
      <c r="S128" s="138"/>
      <c r="T128" s="138"/>
    </row>
    <row r="129" ht="15.75" customHeight="1">
      <c r="A129" s="138"/>
      <c r="B129" s="139"/>
      <c r="C129" s="139"/>
      <c r="D129" s="139"/>
      <c r="E129" s="139"/>
      <c r="F129" s="138"/>
      <c r="G129" s="138"/>
      <c r="H129" s="138"/>
      <c r="I129" s="138"/>
      <c r="J129" s="138"/>
      <c r="K129" s="138"/>
      <c r="L129" s="138"/>
      <c r="M129" s="138"/>
      <c r="N129" s="138"/>
      <c r="O129" s="138"/>
      <c r="P129" s="138"/>
      <c r="Q129" s="138"/>
      <c r="R129" s="138"/>
      <c r="S129" s="138"/>
      <c r="T129" s="138"/>
    </row>
    <row r="130" ht="15.75" customHeight="1">
      <c r="A130" s="138"/>
      <c r="B130" s="139"/>
      <c r="C130" s="139"/>
      <c r="D130" s="139"/>
      <c r="E130" s="139"/>
      <c r="F130" s="138"/>
      <c r="G130" s="138"/>
      <c r="H130" s="138"/>
      <c r="I130" s="138"/>
      <c r="J130" s="138"/>
      <c r="K130" s="138"/>
      <c r="L130" s="138"/>
      <c r="M130" s="138"/>
      <c r="N130" s="138"/>
      <c r="O130" s="138"/>
      <c r="P130" s="138"/>
      <c r="Q130" s="138"/>
      <c r="R130" s="138"/>
      <c r="S130" s="138"/>
      <c r="T130" s="138"/>
    </row>
    <row r="131" ht="15.75" customHeight="1">
      <c r="A131" s="138"/>
      <c r="B131" s="139"/>
      <c r="C131" s="139"/>
      <c r="D131" s="139"/>
      <c r="E131" s="139"/>
      <c r="F131" s="138"/>
      <c r="G131" s="138"/>
      <c r="H131" s="138"/>
      <c r="I131" s="138"/>
      <c r="J131" s="138"/>
      <c r="K131" s="138"/>
      <c r="L131" s="138"/>
      <c r="M131" s="138"/>
      <c r="N131" s="138"/>
      <c r="O131" s="138"/>
      <c r="P131" s="138"/>
      <c r="Q131" s="138"/>
      <c r="R131" s="138"/>
      <c r="S131" s="138"/>
      <c r="T131" s="138"/>
    </row>
    <row r="132" ht="15.75" customHeight="1">
      <c r="A132" s="138"/>
      <c r="B132" s="139"/>
      <c r="C132" s="139"/>
      <c r="D132" s="139"/>
      <c r="E132" s="139"/>
      <c r="F132" s="138"/>
      <c r="G132" s="138"/>
      <c r="H132" s="138"/>
      <c r="I132" s="138"/>
      <c r="J132" s="138"/>
      <c r="K132" s="138"/>
      <c r="L132" s="138"/>
      <c r="M132" s="138"/>
      <c r="N132" s="138"/>
      <c r="O132" s="138"/>
      <c r="P132" s="138"/>
      <c r="Q132" s="138"/>
      <c r="R132" s="138"/>
      <c r="S132" s="138"/>
      <c r="T132" s="138"/>
    </row>
    <row r="133" ht="15.75" customHeight="1">
      <c r="A133" s="138"/>
      <c r="B133" s="139"/>
      <c r="C133" s="139"/>
      <c r="D133" s="139"/>
      <c r="E133" s="139"/>
      <c r="F133" s="138"/>
      <c r="G133" s="138"/>
      <c r="H133" s="138"/>
      <c r="I133" s="138"/>
      <c r="J133" s="138"/>
      <c r="K133" s="138"/>
      <c r="L133" s="138"/>
      <c r="M133" s="138"/>
      <c r="N133" s="138"/>
      <c r="O133" s="138"/>
      <c r="P133" s="138"/>
      <c r="Q133" s="138"/>
      <c r="R133" s="138"/>
      <c r="S133" s="138"/>
      <c r="T133" s="138"/>
    </row>
    <row r="134" ht="15.75" customHeight="1">
      <c r="A134" s="138"/>
      <c r="B134" s="139"/>
      <c r="C134" s="139"/>
      <c r="D134" s="139"/>
      <c r="E134" s="139"/>
      <c r="F134" s="138"/>
      <c r="G134" s="138"/>
      <c r="H134" s="138"/>
      <c r="I134" s="138"/>
      <c r="J134" s="138"/>
      <c r="K134" s="138"/>
      <c r="L134" s="138"/>
      <c r="M134" s="138"/>
      <c r="N134" s="138"/>
      <c r="O134" s="138"/>
      <c r="P134" s="138"/>
      <c r="Q134" s="138"/>
      <c r="R134" s="138"/>
      <c r="S134" s="138"/>
      <c r="T134" s="138"/>
    </row>
    <row r="135" ht="15.75" customHeight="1">
      <c r="A135" s="138"/>
      <c r="B135" s="139"/>
      <c r="C135" s="139"/>
      <c r="D135" s="139"/>
      <c r="E135" s="139"/>
      <c r="F135" s="138"/>
      <c r="G135" s="138"/>
      <c r="H135" s="138"/>
      <c r="I135" s="138"/>
      <c r="J135" s="138"/>
      <c r="K135" s="138"/>
      <c r="L135" s="138"/>
      <c r="M135" s="138"/>
      <c r="N135" s="138"/>
      <c r="O135" s="138"/>
      <c r="P135" s="138"/>
      <c r="Q135" s="138"/>
      <c r="R135" s="138"/>
      <c r="S135" s="138"/>
      <c r="T135" s="138"/>
    </row>
    <row r="136" ht="15.75" customHeight="1">
      <c r="A136" s="138"/>
      <c r="B136" s="139"/>
      <c r="C136" s="139"/>
      <c r="D136" s="139"/>
      <c r="E136" s="139"/>
      <c r="F136" s="138"/>
      <c r="G136" s="138"/>
      <c r="H136" s="138"/>
      <c r="I136" s="138"/>
      <c r="J136" s="138"/>
      <c r="K136" s="138"/>
      <c r="L136" s="138"/>
      <c r="M136" s="138"/>
      <c r="N136" s="138"/>
      <c r="O136" s="138"/>
      <c r="P136" s="138"/>
      <c r="Q136" s="138"/>
      <c r="R136" s="138"/>
      <c r="S136" s="138"/>
      <c r="T136" s="138"/>
    </row>
    <row r="137" ht="15.75" customHeight="1">
      <c r="A137" s="138"/>
      <c r="B137" s="139"/>
      <c r="C137" s="139"/>
      <c r="D137" s="139"/>
      <c r="E137" s="139"/>
      <c r="F137" s="138"/>
      <c r="G137" s="138"/>
      <c r="H137" s="138"/>
      <c r="I137" s="138"/>
      <c r="J137" s="138"/>
      <c r="K137" s="138"/>
      <c r="L137" s="138"/>
      <c r="M137" s="138"/>
      <c r="N137" s="138"/>
      <c r="O137" s="138"/>
      <c r="P137" s="138"/>
      <c r="Q137" s="138"/>
      <c r="R137" s="138"/>
      <c r="S137" s="138"/>
      <c r="T137" s="138"/>
    </row>
    <row r="138" ht="15.75" customHeight="1">
      <c r="A138" s="138"/>
      <c r="B138" s="139"/>
      <c r="C138" s="139"/>
      <c r="D138" s="139"/>
      <c r="E138" s="139"/>
      <c r="F138" s="138"/>
      <c r="G138" s="138"/>
      <c r="H138" s="138"/>
      <c r="I138" s="138"/>
      <c r="J138" s="138"/>
      <c r="K138" s="138"/>
      <c r="L138" s="138"/>
      <c r="M138" s="138"/>
      <c r="N138" s="138"/>
      <c r="O138" s="138"/>
      <c r="P138" s="138"/>
      <c r="Q138" s="138"/>
      <c r="R138" s="138"/>
      <c r="S138" s="138"/>
      <c r="T138" s="138"/>
    </row>
    <row r="139" ht="15.75" customHeight="1">
      <c r="A139" s="138"/>
      <c r="B139" s="139"/>
      <c r="C139" s="139"/>
      <c r="D139" s="139"/>
      <c r="E139" s="139"/>
      <c r="F139" s="138"/>
      <c r="G139" s="138"/>
      <c r="H139" s="138"/>
      <c r="I139" s="138"/>
      <c r="J139" s="138"/>
      <c r="K139" s="138"/>
      <c r="L139" s="138"/>
      <c r="M139" s="138"/>
      <c r="N139" s="138"/>
      <c r="O139" s="138"/>
      <c r="P139" s="138"/>
      <c r="Q139" s="138"/>
      <c r="R139" s="138"/>
      <c r="S139" s="138"/>
      <c r="T139" s="138"/>
    </row>
    <row r="140" ht="15.75" customHeight="1">
      <c r="A140" s="138"/>
      <c r="B140" s="139"/>
      <c r="C140" s="139"/>
      <c r="D140" s="139"/>
      <c r="E140" s="139"/>
      <c r="F140" s="138"/>
      <c r="G140" s="138"/>
      <c r="H140" s="138"/>
      <c r="I140" s="138"/>
      <c r="J140" s="138"/>
      <c r="K140" s="138"/>
      <c r="L140" s="138"/>
      <c r="M140" s="138"/>
      <c r="N140" s="138"/>
      <c r="O140" s="138"/>
      <c r="P140" s="138"/>
      <c r="Q140" s="138"/>
      <c r="R140" s="138"/>
      <c r="S140" s="138"/>
      <c r="T140" s="138"/>
    </row>
    <row r="141" ht="15.75" customHeight="1">
      <c r="A141" s="138"/>
      <c r="B141" s="139"/>
      <c r="C141" s="139"/>
      <c r="D141" s="139"/>
      <c r="E141" s="139"/>
      <c r="F141" s="138"/>
      <c r="G141" s="138"/>
      <c r="H141" s="138"/>
      <c r="I141" s="138"/>
      <c r="J141" s="138"/>
      <c r="K141" s="138"/>
      <c r="L141" s="138"/>
      <c r="M141" s="138"/>
      <c r="N141" s="138"/>
      <c r="O141" s="138"/>
      <c r="P141" s="138"/>
      <c r="Q141" s="138"/>
      <c r="R141" s="138"/>
      <c r="S141" s="138"/>
      <c r="T141" s="138"/>
    </row>
    <row r="142" ht="15.75" customHeight="1">
      <c r="A142" s="138"/>
      <c r="B142" s="139"/>
      <c r="C142" s="139"/>
      <c r="D142" s="139"/>
      <c r="E142" s="139"/>
      <c r="F142" s="138"/>
      <c r="G142" s="138"/>
      <c r="H142" s="138"/>
      <c r="I142" s="138"/>
      <c r="J142" s="138"/>
      <c r="K142" s="138"/>
      <c r="L142" s="138"/>
      <c r="M142" s="138"/>
      <c r="N142" s="138"/>
      <c r="O142" s="138"/>
      <c r="P142" s="138"/>
      <c r="Q142" s="138"/>
      <c r="R142" s="138"/>
      <c r="S142" s="138"/>
      <c r="T142" s="138"/>
    </row>
    <row r="143" ht="15.75" customHeight="1">
      <c r="A143" s="138"/>
      <c r="B143" s="139"/>
      <c r="C143" s="139"/>
      <c r="D143" s="139"/>
      <c r="E143" s="139"/>
      <c r="F143" s="138"/>
      <c r="G143" s="138"/>
      <c r="H143" s="138"/>
      <c r="I143" s="138"/>
      <c r="J143" s="138"/>
      <c r="K143" s="138"/>
      <c r="L143" s="138"/>
      <c r="M143" s="138"/>
      <c r="N143" s="138"/>
      <c r="O143" s="138"/>
      <c r="P143" s="138"/>
      <c r="Q143" s="138"/>
      <c r="R143" s="138"/>
      <c r="S143" s="138"/>
      <c r="T143" s="138"/>
    </row>
    <row r="144" ht="15.75" customHeight="1">
      <c r="A144" s="138"/>
      <c r="B144" s="139"/>
      <c r="C144" s="139"/>
      <c r="D144" s="139"/>
      <c r="E144" s="139"/>
      <c r="F144" s="138"/>
      <c r="G144" s="138"/>
      <c r="H144" s="138"/>
      <c r="I144" s="138"/>
      <c r="J144" s="138"/>
      <c r="K144" s="138"/>
      <c r="L144" s="138"/>
      <c r="M144" s="138"/>
      <c r="N144" s="138"/>
      <c r="O144" s="138"/>
      <c r="P144" s="138"/>
      <c r="Q144" s="138"/>
      <c r="R144" s="138"/>
      <c r="S144" s="138"/>
      <c r="T144" s="138"/>
    </row>
    <row r="145" ht="15.75" customHeight="1">
      <c r="A145" s="138"/>
      <c r="B145" s="139"/>
      <c r="C145" s="139"/>
      <c r="D145" s="139"/>
      <c r="E145" s="139"/>
      <c r="F145" s="138"/>
      <c r="G145" s="138"/>
      <c r="H145" s="138"/>
      <c r="I145" s="138"/>
      <c r="J145" s="138"/>
      <c r="K145" s="138"/>
      <c r="L145" s="138"/>
      <c r="M145" s="138"/>
      <c r="N145" s="138"/>
      <c r="O145" s="138"/>
      <c r="P145" s="138"/>
      <c r="Q145" s="138"/>
      <c r="R145" s="138"/>
      <c r="S145" s="138"/>
      <c r="T145" s="138"/>
    </row>
    <row r="146" ht="15.75" customHeight="1">
      <c r="A146" s="138"/>
      <c r="B146" s="139"/>
      <c r="C146" s="139"/>
      <c r="D146" s="139"/>
      <c r="E146" s="139"/>
      <c r="F146" s="138"/>
      <c r="G146" s="138"/>
      <c r="H146" s="138"/>
      <c r="I146" s="138"/>
      <c r="J146" s="138"/>
      <c r="K146" s="138"/>
      <c r="L146" s="138"/>
      <c r="M146" s="138"/>
      <c r="N146" s="138"/>
      <c r="O146" s="138"/>
      <c r="P146" s="138"/>
      <c r="Q146" s="138"/>
      <c r="R146" s="138"/>
      <c r="S146" s="138"/>
      <c r="T146" s="138"/>
    </row>
    <row r="147" ht="15.75" customHeight="1">
      <c r="A147" s="138"/>
      <c r="B147" s="139"/>
      <c r="C147" s="139"/>
      <c r="D147" s="139"/>
      <c r="E147" s="139"/>
      <c r="F147" s="138"/>
      <c r="G147" s="138"/>
      <c r="H147" s="138"/>
      <c r="I147" s="138"/>
      <c r="J147" s="138"/>
      <c r="K147" s="138"/>
      <c r="L147" s="138"/>
      <c r="M147" s="138"/>
      <c r="N147" s="138"/>
      <c r="O147" s="138"/>
      <c r="P147" s="138"/>
      <c r="Q147" s="138"/>
      <c r="R147" s="138"/>
      <c r="S147" s="138"/>
      <c r="T147" s="138"/>
    </row>
    <row r="148" ht="15.75" customHeight="1">
      <c r="A148" s="138"/>
      <c r="B148" s="139"/>
      <c r="C148" s="139"/>
      <c r="D148" s="139"/>
      <c r="E148" s="139"/>
      <c r="F148" s="138"/>
      <c r="G148" s="138"/>
      <c r="H148" s="138"/>
      <c r="I148" s="138"/>
      <c r="J148" s="138"/>
      <c r="K148" s="138"/>
      <c r="L148" s="138"/>
      <c r="M148" s="138"/>
      <c r="N148" s="138"/>
      <c r="O148" s="138"/>
      <c r="P148" s="138"/>
      <c r="Q148" s="138"/>
      <c r="R148" s="138"/>
      <c r="S148" s="138"/>
      <c r="T148" s="138"/>
    </row>
    <row r="149" ht="15.75" customHeight="1">
      <c r="A149" s="138"/>
      <c r="B149" s="139"/>
      <c r="C149" s="139"/>
      <c r="D149" s="139"/>
      <c r="E149" s="139"/>
      <c r="F149" s="138"/>
      <c r="G149" s="138"/>
      <c r="H149" s="138"/>
      <c r="I149" s="138"/>
      <c r="J149" s="138"/>
      <c r="K149" s="138"/>
      <c r="L149" s="138"/>
      <c r="M149" s="138"/>
      <c r="N149" s="138"/>
      <c r="O149" s="138"/>
      <c r="P149" s="138"/>
      <c r="Q149" s="138"/>
      <c r="R149" s="138"/>
      <c r="S149" s="138"/>
      <c r="T149" s="138"/>
    </row>
    <row r="150" ht="15.75" customHeight="1">
      <c r="A150" s="138"/>
      <c r="B150" s="139"/>
      <c r="C150" s="139"/>
      <c r="D150" s="139"/>
      <c r="E150" s="139"/>
      <c r="F150" s="138"/>
      <c r="G150" s="138"/>
      <c r="H150" s="138"/>
      <c r="I150" s="138"/>
      <c r="J150" s="138"/>
      <c r="K150" s="138"/>
      <c r="L150" s="138"/>
      <c r="M150" s="138"/>
      <c r="N150" s="138"/>
      <c r="O150" s="138"/>
      <c r="P150" s="138"/>
      <c r="Q150" s="138"/>
      <c r="R150" s="138"/>
      <c r="S150" s="138"/>
      <c r="T150" s="138"/>
    </row>
    <row r="151" ht="15.75" customHeight="1">
      <c r="A151" s="138"/>
      <c r="B151" s="139"/>
      <c r="C151" s="139"/>
      <c r="D151" s="139"/>
      <c r="E151" s="139"/>
      <c r="F151" s="138"/>
      <c r="G151" s="138"/>
      <c r="H151" s="138"/>
      <c r="I151" s="138"/>
      <c r="J151" s="138"/>
      <c r="K151" s="138"/>
      <c r="L151" s="138"/>
      <c r="M151" s="138"/>
      <c r="N151" s="138"/>
      <c r="O151" s="138"/>
      <c r="P151" s="138"/>
      <c r="Q151" s="138"/>
      <c r="R151" s="138"/>
      <c r="S151" s="138"/>
      <c r="T151" s="138"/>
    </row>
    <row r="152" ht="15.75" customHeight="1">
      <c r="A152" s="138"/>
      <c r="B152" s="139"/>
      <c r="C152" s="139"/>
      <c r="D152" s="139"/>
      <c r="E152" s="139"/>
      <c r="F152" s="138"/>
      <c r="G152" s="138"/>
      <c r="H152" s="138"/>
      <c r="I152" s="138"/>
      <c r="J152" s="138"/>
      <c r="K152" s="138"/>
      <c r="L152" s="138"/>
      <c r="M152" s="138"/>
      <c r="N152" s="138"/>
      <c r="O152" s="138"/>
      <c r="P152" s="138"/>
      <c r="Q152" s="138"/>
      <c r="R152" s="138"/>
      <c r="S152" s="138"/>
      <c r="T152" s="138"/>
    </row>
    <row r="153" ht="15.75" customHeight="1">
      <c r="A153" s="138"/>
      <c r="B153" s="139"/>
      <c r="C153" s="139"/>
      <c r="D153" s="139"/>
      <c r="E153" s="139"/>
      <c r="F153" s="138"/>
      <c r="G153" s="138"/>
      <c r="H153" s="138"/>
      <c r="I153" s="138"/>
      <c r="J153" s="138"/>
      <c r="K153" s="138"/>
      <c r="L153" s="138"/>
      <c r="M153" s="138"/>
      <c r="N153" s="138"/>
      <c r="O153" s="138"/>
      <c r="P153" s="138"/>
      <c r="Q153" s="138"/>
      <c r="R153" s="138"/>
      <c r="S153" s="138"/>
      <c r="T153" s="138"/>
    </row>
    <row r="154" ht="15.75" customHeight="1">
      <c r="A154" s="138"/>
      <c r="B154" s="139"/>
      <c r="C154" s="139"/>
      <c r="D154" s="139"/>
      <c r="E154" s="139"/>
      <c r="F154" s="138"/>
      <c r="G154" s="138"/>
      <c r="H154" s="138"/>
      <c r="I154" s="138"/>
      <c r="J154" s="138"/>
      <c r="K154" s="138"/>
      <c r="L154" s="138"/>
      <c r="M154" s="138"/>
      <c r="N154" s="138"/>
      <c r="O154" s="138"/>
      <c r="P154" s="138"/>
      <c r="Q154" s="138"/>
      <c r="R154" s="138"/>
      <c r="S154" s="138"/>
      <c r="T154" s="138"/>
    </row>
    <row r="155" ht="15.75" customHeight="1">
      <c r="A155" s="138"/>
      <c r="B155" s="139"/>
      <c r="C155" s="139"/>
      <c r="D155" s="139"/>
      <c r="E155" s="139"/>
      <c r="F155" s="138"/>
      <c r="G155" s="138"/>
      <c r="H155" s="138"/>
      <c r="I155" s="138"/>
      <c r="J155" s="138"/>
      <c r="K155" s="138"/>
      <c r="L155" s="138"/>
      <c r="M155" s="138"/>
      <c r="N155" s="138"/>
      <c r="O155" s="138"/>
      <c r="P155" s="138"/>
      <c r="Q155" s="138"/>
      <c r="R155" s="138"/>
      <c r="S155" s="138"/>
      <c r="T155" s="138"/>
    </row>
    <row r="156" ht="15.75" customHeight="1">
      <c r="A156" s="138"/>
      <c r="B156" s="139"/>
      <c r="C156" s="139"/>
      <c r="D156" s="139"/>
      <c r="E156" s="139"/>
      <c r="F156" s="138"/>
      <c r="G156" s="138"/>
      <c r="H156" s="138"/>
      <c r="I156" s="138"/>
      <c r="J156" s="138"/>
      <c r="K156" s="138"/>
      <c r="L156" s="138"/>
      <c r="M156" s="138"/>
      <c r="N156" s="138"/>
      <c r="O156" s="138"/>
      <c r="P156" s="138"/>
      <c r="Q156" s="138"/>
      <c r="R156" s="138"/>
      <c r="S156" s="138"/>
      <c r="T156" s="138"/>
    </row>
    <row r="157" ht="15.75" customHeight="1">
      <c r="A157" s="138"/>
      <c r="B157" s="139"/>
      <c r="C157" s="139"/>
      <c r="D157" s="139"/>
      <c r="E157" s="139"/>
      <c r="F157" s="138"/>
      <c r="G157" s="138"/>
      <c r="H157" s="138"/>
      <c r="I157" s="138"/>
      <c r="J157" s="138"/>
      <c r="K157" s="138"/>
      <c r="L157" s="138"/>
      <c r="M157" s="138"/>
      <c r="N157" s="138"/>
      <c r="O157" s="138"/>
      <c r="P157" s="138"/>
      <c r="Q157" s="138"/>
      <c r="R157" s="138"/>
      <c r="S157" s="138"/>
      <c r="T157" s="138"/>
    </row>
    <row r="158" ht="15.75" customHeight="1">
      <c r="A158" s="138"/>
      <c r="B158" s="139"/>
      <c r="C158" s="139"/>
      <c r="D158" s="139"/>
      <c r="E158" s="139"/>
      <c r="F158" s="138"/>
      <c r="G158" s="138"/>
      <c r="H158" s="138"/>
      <c r="I158" s="138"/>
      <c r="J158" s="138"/>
      <c r="K158" s="138"/>
      <c r="L158" s="138"/>
      <c r="M158" s="138"/>
      <c r="N158" s="138"/>
      <c r="O158" s="138"/>
      <c r="P158" s="138"/>
      <c r="Q158" s="138"/>
      <c r="R158" s="138"/>
      <c r="S158" s="138"/>
      <c r="T158" s="138"/>
    </row>
    <row r="159" ht="15.75" customHeight="1">
      <c r="A159" s="138"/>
      <c r="B159" s="139"/>
      <c r="C159" s="139"/>
      <c r="D159" s="139"/>
      <c r="E159" s="139"/>
      <c r="F159" s="138"/>
      <c r="G159" s="138"/>
      <c r="H159" s="138"/>
      <c r="I159" s="138"/>
      <c r="J159" s="138"/>
      <c r="K159" s="138"/>
      <c r="L159" s="138"/>
      <c r="M159" s="138"/>
      <c r="N159" s="138"/>
      <c r="O159" s="138"/>
      <c r="P159" s="138"/>
      <c r="Q159" s="138"/>
      <c r="R159" s="138"/>
      <c r="S159" s="138"/>
      <c r="T159" s="138"/>
    </row>
    <row r="160" ht="15.75" customHeight="1">
      <c r="A160" s="138"/>
      <c r="B160" s="139"/>
      <c r="C160" s="139"/>
      <c r="D160" s="139"/>
      <c r="E160" s="139"/>
      <c r="F160" s="138"/>
      <c r="G160" s="138"/>
      <c r="H160" s="138"/>
      <c r="I160" s="138"/>
      <c r="J160" s="138"/>
      <c r="K160" s="138"/>
      <c r="L160" s="138"/>
      <c r="M160" s="138"/>
      <c r="N160" s="138"/>
      <c r="O160" s="138"/>
      <c r="P160" s="138"/>
      <c r="Q160" s="138"/>
      <c r="R160" s="138"/>
      <c r="S160" s="138"/>
      <c r="T160" s="138"/>
    </row>
    <row r="161" ht="15.75" customHeight="1">
      <c r="A161" s="138"/>
      <c r="B161" s="139"/>
      <c r="C161" s="139"/>
      <c r="D161" s="139"/>
      <c r="E161" s="139"/>
      <c r="F161" s="138"/>
      <c r="G161" s="138"/>
      <c r="H161" s="138"/>
      <c r="I161" s="138"/>
      <c r="J161" s="138"/>
      <c r="K161" s="138"/>
      <c r="L161" s="138"/>
      <c r="M161" s="138"/>
      <c r="N161" s="138"/>
      <c r="O161" s="138"/>
      <c r="P161" s="138"/>
      <c r="Q161" s="138"/>
      <c r="R161" s="138"/>
      <c r="S161" s="138"/>
      <c r="T161" s="138"/>
    </row>
    <row r="162" ht="15.75" customHeight="1">
      <c r="A162" s="138"/>
      <c r="B162" s="139"/>
      <c r="C162" s="139"/>
      <c r="D162" s="139"/>
      <c r="E162" s="139"/>
      <c r="F162" s="138"/>
      <c r="G162" s="138"/>
      <c r="H162" s="138"/>
      <c r="I162" s="138"/>
      <c r="J162" s="138"/>
      <c r="K162" s="138"/>
      <c r="L162" s="138"/>
      <c r="M162" s="138"/>
      <c r="N162" s="138"/>
      <c r="O162" s="138"/>
      <c r="P162" s="138"/>
      <c r="Q162" s="138"/>
      <c r="R162" s="138"/>
      <c r="S162" s="138"/>
      <c r="T162" s="138"/>
    </row>
    <row r="163" ht="15.75" customHeight="1">
      <c r="A163" s="138"/>
      <c r="B163" s="139"/>
      <c r="C163" s="139"/>
      <c r="D163" s="139"/>
      <c r="E163" s="139"/>
      <c r="F163" s="138"/>
      <c r="G163" s="138"/>
      <c r="H163" s="138"/>
      <c r="I163" s="138"/>
      <c r="J163" s="138"/>
      <c r="K163" s="138"/>
      <c r="L163" s="138"/>
      <c r="M163" s="138"/>
      <c r="N163" s="138"/>
      <c r="O163" s="138"/>
      <c r="P163" s="138"/>
      <c r="Q163" s="138"/>
      <c r="R163" s="138"/>
      <c r="S163" s="138"/>
      <c r="T163" s="138"/>
    </row>
    <row r="164" ht="15.75" customHeight="1">
      <c r="A164" s="138"/>
      <c r="B164" s="139"/>
      <c r="C164" s="139"/>
      <c r="D164" s="139"/>
      <c r="E164" s="139"/>
      <c r="F164" s="138"/>
      <c r="G164" s="138"/>
      <c r="H164" s="138"/>
      <c r="I164" s="138"/>
      <c r="J164" s="138"/>
      <c r="K164" s="138"/>
      <c r="L164" s="138"/>
      <c r="M164" s="138"/>
      <c r="N164" s="138"/>
      <c r="O164" s="138"/>
      <c r="P164" s="138"/>
      <c r="Q164" s="138"/>
      <c r="R164" s="138"/>
      <c r="S164" s="138"/>
      <c r="T164" s="138"/>
    </row>
    <row r="165" ht="15.75" customHeight="1">
      <c r="A165" s="138"/>
      <c r="B165" s="139"/>
      <c r="C165" s="139"/>
      <c r="D165" s="139"/>
      <c r="E165" s="139"/>
      <c r="F165" s="138"/>
      <c r="G165" s="138"/>
      <c r="H165" s="138"/>
      <c r="I165" s="138"/>
      <c r="J165" s="138"/>
      <c r="K165" s="138"/>
      <c r="L165" s="138"/>
      <c r="M165" s="138"/>
      <c r="N165" s="138"/>
      <c r="O165" s="138"/>
      <c r="P165" s="138"/>
      <c r="Q165" s="138"/>
      <c r="R165" s="138"/>
      <c r="S165" s="138"/>
      <c r="T165" s="138"/>
    </row>
    <row r="166" ht="15.75" customHeight="1">
      <c r="A166" s="138"/>
      <c r="B166" s="139"/>
      <c r="C166" s="139"/>
      <c r="D166" s="139"/>
      <c r="E166" s="139"/>
      <c r="F166" s="138"/>
      <c r="G166" s="138"/>
      <c r="H166" s="138"/>
      <c r="I166" s="138"/>
      <c r="J166" s="138"/>
      <c r="K166" s="138"/>
      <c r="L166" s="138"/>
      <c r="M166" s="138"/>
      <c r="N166" s="138"/>
      <c r="O166" s="138"/>
      <c r="P166" s="138"/>
      <c r="Q166" s="138"/>
      <c r="R166" s="138"/>
      <c r="S166" s="138"/>
      <c r="T166" s="138"/>
    </row>
    <row r="167" ht="15.75" customHeight="1">
      <c r="A167" s="138"/>
      <c r="B167" s="139"/>
      <c r="C167" s="139"/>
      <c r="D167" s="139"/>
      <c r="E167" s="139"/>
      <c r="F167" s="138"/>
      <c r="G167" s="138"/>
      <c r="H167" s="138"/>
      <c r="I167" s="138"/>
      <c r="J167" s="138"/>
      <c r="K167" s="138"/>
      <c r="L167" s="138"/>
      <c r="M167" s="138"/>
      <c r="N167" s="138"/>
      <c r="O167" s="138"/>
      <c r="P167" s="138"/>
      <c r="Q167" s="138"/>
      <c r="R167" s="138"/>
      <c r="S167" s="138"/>
      <c r="T167" s="138"/>
    </row>
    <row r="168" ht="15.75" customHeight="1">
      <c r="A168" s="138"/>
      <c r="B168" s="139"/>
      <c r="C168" s="139"/>
      <c r="D168" s="139"/>
      <c r="E168" s="139"/>
      <c r="F168" s="138"/>
      <c r="G168" s="138"/>
      <c r="H168" s="138"/>
      <c r="I168" s="138"/>
      <c r="J168" s="138"/>
      <c r="K168" s="138"/>
      <c r="L168" s="138"/>
      <c r="M168" s="138"/>
      <c r="N168" s="138"/>
      <c r="O168" s="138"/>
      <c r="P168" s="138"/>
      <c r="Q168" s="138"/>
      <c r="R168" s="138"/>
      <c r="S168" s="138"/>
      <c r="T168" s="138"/>
    </row>
    <row r="169" ht="15.75" customHeight="1">
      <c r="A169" s="138"/>
      <c r="B169" s="139"/>
      <c r="C169" s="139"/>
      <c r="D169" s="139"/>
      <c r="E169" s="139"/>
      <c r="F169" s="138"/>
      <c r="G169" s="138"/>
      <c r="H169" s="138"/>
      <c r="I169" s="138"/>
      <c r="J169" s="138"/>
      <c r="K169" s="138"/>
      <c r="L169" s="138"/>
      <c r="M169" s="138"/>
      <c r="N169" s="138"/>
      <c r="O169" s="138"/>
      <c r="P169" s="138"/>
      <c r="Q169" s="138"/>
      <c r="R169" s="138"/>
      <c r="S169" s="138"/>
      <c r="T169" s="138"/>
    </row>
    <row r="170" ht="15.75" customHeight="1">
      <c r="A170" s="138"/>
      <c r="B170" s="139"/>
      <c r="C170" s="139"/>
      <c r="D170" s="139"/>
      <c r="E170" s="139"/>
      <c r="F170" s="138"/>
      <c r="G170" s="138"/>
      <c r="H170" s="138"/>
      <c r="I170" s="138"/>
      <c r="J170" s="138"/>
      <c r="K170" s="138"/>
      <c r="L170" s="138"/>
      <c r="M170" s="138"/>
      <c r="N170" s="138"/>
      <c r="O170" s="138"/>
      <c r="P170" s="138"/>
      <c r="Q170" s="138"/>
      <c r="R170" s="138"/>
      <c r="S170" s="138"/>
      <c r="T170" s="138"/>
    </row>
    <row r="171" ht="15.75" customHeight="1">
      <c r="A171" s="138"/>
      <c r="B171" s="139"/>
      <c r="C171" s="139"/>
      <c r="D171" s="139"/>
      <c r="E171" s="139"/>
      <c r="F171" s="138"/>
      <c r="G171" s="138"/>
      <c r="H171" s="138"/>
      <c r="I171" s="138"/>
      <c r="J171" s="138"/>
      <c r="K171" s="138"/>
      <c r="L171" s="138"/>
      <c r="M171" s="138"/>
      <c r="N171" s="138"/>
      <c r="O171" s="138"/>
      <c r="P171" s="138"/>
      <c r="Q171" s="138"/>
      <c r="R171" s="138"/>
      <c r="S171" s="138"/>
      <c r="T171" s="138"/>
    </row>
    <row r="172" ht="15.75" customHeight="1">
      <c r="A172" s="138"/>
      <c r="B172" s="139"/>
      <c r="C172" s="139"/>
      <c r="D172" s="139"/>
      <c r="E172" s="139"/>
      <c r="F172" s="138"/>
      <c r="G172" s="138"/>
      <c r="H172" s="138"/>
      <c r="I172" s="138"/>
      <c r="J172" s="138"/>
      <c r="K172" s="138"/>
      <c r="L172" s="138"/>
      <c r="M172" s="138"/>
      <c r="N172" s="138"/>
      <c r="O172" s="138"/>
      <c r="P172" s="138"/>
      <c r="Q172" s="138"/>
      <c r="R172" s="138"/>
      <c r="S172" s="138"/>
      <c r="T172" s="138"/>
    </row>
    <row r="173" ht="15.75" customHeight="1">
      <c r="A173" s="138"/>
      <c r="B173" s="139"/>
      <c r="C173" s="139"/>
      <c r="D173" s="139"/>
      <c r="E173" s="139"/>
      <c r="F173" s="138"/>
      <c r="G173" s="138"/>
      <c r="H173" s="138"/>
      <c r="I173" s="138"/>
      <c r="J173" s="138"/>
      <c r="K173" s="138"/>
      <c r="L173" s="138"/>
      <c r="M173" s="138"/>
      <c r="N173" s="138"/>
      <c r="O173" s="138"/>
      <c r="P173" s="138"/>
      <c r="Q173" s="138"/>
      <c r="R173" s="138"/>
      <c r="S173" s="138"/>
      <c r="T173" s="138"/>
    </row>
    <row r="174" ht="15.75" customHeight="1">
      <c r="A174" s="138"/>
      <c r="B174" s="139"/>
      <c r="C174" s="139"/>
      <c r="D174" s="139"/>
      <c r="E174" s="139"/>
      <c r="F174" s="138"/>
      <c r="G174" s="138"/>
      <c r="H174" s="138"/>
      <c r="I174" s="138"/>
      <c r="J174" s="138"/>
      <c r="K174" s="138"/>
      <c r="L174" s="138"/>
      <c r="M174" s="138"/>
      <c r="N174" s="138"/>
      <c r="O174" s="138"/>
      <c r="P174" s="138"/>
      <c r="Q174" s="138"/>
      <c r="R174" s="138"/>
      <c r="S174" s="138"/>
      <c r="T174" s="138"/>
    </row>
    <row r="175" ht="15.75" customHeight="1">
      <c r="A175" s="138"/>
      <c r="B175" s="139"/>
      <c r="C175" s="139"/>
      <c r="D175" s="139"/>
      <c r="E175" s="139"/>
      <c r="F175" s="138"/>
      <c r="G175" s="138"/>
      <c r="H175" s="138"/>
      <c r="I175" s="138"/>
      <c r="J175" s="138"/>
      <c r="K175" s="138"/>
      <c r="L175" s="138"/>
      <c r="M175" s="138"/>
      <c r="N175" s="138"/>
      <c r="O175" s="138"/>
      <c r="P175" s="138"/>
      <c r="Q175" s="138"/>
      <c r="R175" s="138"/>
      <c r="S175" s="138"/>
      <c r="T175" s="138"/>
    </row>
    <row r="176" ht="15.75" customHeight="1">
      <c r="A176" s="138"/>
      <c r="B176" s="139"/>
      <c r="C176" s="139"/>
      <c r="D176" s="139"/>
      <c r="E176" s="139"/>
      <c r="F176" s="138"/>
      <c r="G176" s="138"/>
      <c r="H176" s="138"/>
      <c r="I176" s="138"/>
      <c r="J176" s="138"/>
      <c r="K176" s="138"/>
      <c r="L176" s="138"/>
      <c r="M176" s="138"/>
      <c r="N176" s="138"/>
      <c r="O176" s="138"/>
      <c r="P176" s="138"/>
      <c r="Q176" s="138"/>
      <c r="R176" s="138"/>
      <c r="S176" s="138"/>
      <c r="T176" s="138"/>
    </row>
    <row r="177" ht="15.75" customHeight="1">
      <c r="A177" s="138"/>
      <c r="B177" s="139"/>
      <c r="C177" s="139"/>
      <c r="D177" s="139"/>
      <c r="E177" s="139"/>
      <c r="F177" s="138"/>
      <c r="G177" s="138"/>
      <c r="H177" s="138"/>
      <c r="I177" s="138"/>
      <c r="J177" s="138"/>
      <c r="K177" s="138"/>
      <c r="L177" s="138"/>
      <c r="M177" s="138"/>
      <c r="N177" s="138"/>
      <c r="O177" s="138"/>
      <c r="P177" s="138"/>
      <c r="Q177" s="138"/>
      <c r="R177" s="138"/>
      <c r="S177" s="138"/>
      <c r="T177" s="138"/>
    </row>
    <row r="178" ht="15.75" customHeight="1">
      <c r="A178" s="138"/>
      <c r="B178" s="139"/>
      <c r="C178" s="139"/>
      <c r="D178" s="139"/>
      <c r="E178" s="139"/>
      <c r="F178" s="138"/>
      <c r="G178" s="138"/>
      <c r="H178" s="138"/>
      <c r="I178" s="138"/>
      <c r="J178" s="138"/>
      <c r="K178" s="138"/>
      <c r="L178" s="138"/>
      <c r="M178" s="138"/>
      <c r="N178" s="138"/>
      <c r="O178" s="138"/>
      <c r="P178" s="138"/>
      <c r="Q178" s="138"/>
      <c r="R178" s="138"/>
      <c r="S178" s="138"/>
      <c r="T178" s="138"/>
    </row>
    <row r="179" ht="15.75" customHeight="1">
      <c r="A179" s="138"/>
      <c r="B179" s="139"/>
      <c r="C179" s="139"/>
      <c r="D179" s="139"/>
      <c r="E179" s="139"/>
      <c r="F179" s="138"/>
      <c r="G179" s="138"/>
      <c r="H179" s="138"/>
      <c r="I179" s="138"/>
      <c r="J179" s="138"/>
      <c r="K179" s="138"/>
      <c r="L179" s="138"/>
      <c r="M179" s="138"/>
      <c r="N179" s="138"/>
      <c r="O179" s="138"/>
      <c r="P179" s="138"/>
      <c r="Q179" s="138"/>
      <c r="R179" s="138"/>
      <c r="S179" s="138"/>
      <c r="T179" s="138"/>
    </row>
    <row r="180" ht="15.75" customHeight="1">
      <c r="A180" s="138"/>
      <c r="B180" s="139"/>
      <c r="C180" s="139"/>
      <c r="D180" s="139"/>
      <c r="E180" s="139"/>
      <c r="F180" s="138"/>
      <c r="G180" s="138"/>
      <c r="H180" s="138"/>
      <c r="I180" s="138"/>
      <c r="J180" s="138"/>
      <c r="K180" s="138"/>
      <c r="L180" s="138"/>
      <c r="M180" s="138"/>
      <c r="N180" s="138"/>
      <c r="O180" s="138"/>
      <c r="P180" s="138"/>
      <c r="Q180" s="138"/>
      <c r="R180" s="138"/>
      <c r="S180" s="138"/>
      <c r="T180" s="138"/>
    </row>
    <row r="181" ht="15.75" customHeight="1">
      <c r="A181" s="138"/>
      <c r="B181" s="139"/>
      <c r="C181" s="139"/>
      <c r="D181" s="139"/>
      <c r="E181" s="139"/>
      <c r="F181" s="138"/>
      <c r="G181" s="138"/>
      <c r="H181" s="138"/>
      <c r="I181" s="138"/>
      <c r="J181" s="138"/>
      <c r="K181" s="138"/>
      <c r="L181" s="138"/>
      <c r="M181" s="138"/>
      <c r="N181" s="138"/>
      <c r="O181" s="138"/>
      <c r="P181" s="138"/>
      <c r="Q181" s="138"/>
      <c r="R181" s="138"/>
      <c r="S181" s="138"/>
      <c r="T181" s="138"/>
    </row>
    <row r="182" ht="15.75" customHeight="1">
      <c r="A182" s="138"/>
      <c r="B182" s="139"/>
      <c r="C182" s="139"/>
      <c r="D182" s="139"/>
      <c r="E182" s="139"/>
      <c r="F182" s="138"/>
      <c r="G182" s="138"/>
      <c r="H182" s="138"/>
      <c r="I182" s="138"/>
      <c r="J182" s="138"/>
      <c r="K182" s="138"/>
      <c r="L182" s="138"/>
      <c r="M182" s="138"/>
      <c r="N182" s="138"/>
      <c r="O182" s="138"/>
      <c r="P182" s="138"/>
      <c r="Q182" s="138"/>
      <c r="R182" s="138"/>
      <c r="S182" s="138"/>
      <c r="T182" s="138"/>
    </row>
    <row r="183" ht="15.75" customHeight="1">
      <c r="A183" s="138"/>
      <c r="B183" s="139"/>
      <c r="C183" s="139"/>
      <c r="D183" s="139"/>
      <c r="E183" s="139"/>
      <c r="F183" s="138"/>
      <c r="G183" s="138"/>
      <c r="H183" s="138"/>
      <c r="I183" s="138"/>
      <c r="J183" s="138"/>
      <c r="K183" s="138"/>
      <c r="L183" s="138"/>
      <c r="M183" s="138"/>
      <c r="N183" s="138"/>
      <c r="O183" s="138"/>
      <c r="P183" s="138"/>
      <c r="Q183" s="138"/>
      <c r="R183" s="138"/>
      <c r="S183" s="138"/>
      <c r="T183" s="138"/>
    </row>
    <row r="184" ht="15.75" customHeight="1">
      <c r="A184" s="138"/>
      <c r="B184" s="139"/>
      <c r="C184" s="139"/>
      <c r="D184" s="139"/>
      <c r="E184" s="139"/>
      <c r="F184" s="138"/>
      <c r="G184" s="138"/>
      <c r="H184" s="138"/>
      <c r="I184" s="138"/>
      <c r="J184" s="138"/>
      <c r="K184" s="138"/>
      <c r="L184" s="138"/>
      <c r="M184" s="138"/>
      <c r="N184" s="138"/>
      <c r="O184" s="138"/>
      <c r="P184" s="138"/>
      <c r="Q184" s="138"/>
      <c r="R184" s="138"/>
      <c r="S184" s="138"/>
      <c r="T184" s="138"/>
    </row>
    <row r="185" ht="15.75" customHeight="1">
      <c r="A185" s="138"/>
      <c r="B185" s="139"/>
      <c r="C185" s="139"/>
      <c r="D185" s="139"/>
      <c r="E185" s="139"/>
      <c r="F185" s="138"/>
      <c r="G185" s="138"/>
      <c r="H185" s="138"/>
      <c r="I185" s="138"/>
      <c r="J185" s="138"/>
      <c r="K185" s="138"/>
      <c r="L185" s="138"/>
      <c r="M185" s="138"/>
      <c r="N185" s="138"/>
      <c r="O185" s="138"/>
      <c r="P185" s="138"/>
      <c r="Q185" s="138"/>
      <c r="R185" s="138"/>
      <c r="S185" s="138"/>
      <c r="T185" s="138"/>
    </row>
    <row r="186" ht="15.75" customHeight="1">
      <c r="A186" s="138"/>
      <c r="B186" s="139"/>
      <c r="C186" s="139"/>
      <c r="D186" s="139"/>
      <c r="E186" s="139"/>
      <c r="F186" s="138"/>
      <c r="G186" s="138"/>
      <c r="H186" s="138"/>
      <c r="I186" s="138"/>
      <c r="J186" s="138"/>
      <c r="K186" s="138"/>
      <c r="L186" s="138"/>
      <c r="M186" s="138"/>
      <c r="N186" s="138"/>
      <c r="O186" s="138"/>
      <c r="P186" s="138"/>
      <c r="Q186" s="138"/>
      <c r="R186" s="138"/>
      <c r="S186" s="138"/>
      <c r="T186" s="138"/>
    </row>
    <row r="187" ht="15.75" customHeight="1">
      <c r="A187" s="138"/>
      <c r="B187" s="139"/>
      <c r="C187" s="139"/>
      <c r="D187" s="139"/>
      <c r="E187" s="139"/>
      <c r="F187" s="138"/>
      <c r="G187" s="138"/>
      <c r="H187" s="138"/>
      <c r="I187" s="138"/>
      <c r="J187" s="138"/>
      <c r="K187" s="138"/>
      <c r="L187" s="138"/>
      <c r="M187" s="138"/>
      <c r="N187" s="138"/>
      <c r="O187" s="138"/>
      <c r="P187" s="138"/>
      <c r="Q187" s="138"/>
      <c r="R187" s="138"/>
      <c r="S187" s="138"/>
      <c r="T187" s="138"/>
    </row>
    <row r="188" ht="15.75" customHeight="1">
      <c r="A188" s="138"/>
      <c r="B188" s="139"/>
      <c r="C188" s="139"/>
      <c r="D188" s="139"/>
      <c r="E188" s="139"/>
      <c r="F188" s="138"/>
      <c r="G188" s="138"/>
      <c r="H188" s="138"/>
      <c r="I188" s="138"/>
      <c r="J188" s="138"/>
      <c r="K188" s="138"/>
      <c r="L188" s="138"/>
      <c r="M188" s="138"/>
      <c r="N188" s="138"/>
      <c r="O188" s="138"/>
      <c r="P188" s="138"/>
      <c r="Q188" s="138"/>
      <c r="R188" s="138"/>
      <c r="S188" s="138"/>
      <c r="T188" s="138"/>
    </row>
    <row r="189" ht="15.75" customHeight="1">
      <c r="A189" s="138"/>
      <c r="B189" s="139"/>
      <c r="C189" s="139"/>
      <c r="D189" s="139"/>
      <c r="E189" s="139"/>
      <c r="F189" s="138"/>
      <c r="G189" s="138"/>
      <c r="H189" s="138"/>
      <c r="I189" s="138"/>
      <c r="J189" s="138"/>
      <c r="K189" s="138"/>
      <c r="L189" s="138"/>
      <c r="M189" s="138"/>
      <c r="N189" s="138"/>
      <c r="O189" s="138"/>
      <c r="P189" s="138"/>
      <c r="Q189" s="138"/>
      <c r="R189" s="138"/>
      <c r="S189" s="138"/>
      <c r="T189" s="138"/>
    </row>
    <row r="190" ht="15.75" customHeight="1">
      <c r="A190" s="138"/>
      <c r="B190" s="139"/>
      <c r="C190" s="139"/>
      <c r="D190" s="139"/>
      <c r="E190" s="139"/>
      <c r="F190" s="138"/>
      <c r="G190" s="138"/>
      <c r="H190" s="138"/>
      <c r="I190" s="138"/>
      <c r="J190" s="138"/>
      <c r="K190" s="138"/>
      <c r="L190" s="138"/>
      <c r="M190" s="138"/>
      <c r="N190" s="138"/>
      <c r="O190" s="138"/>
      <c r="P190" s="138"/>
      <c r="Q190" s="138"/>
      <c r="R190" s="138"/>
      <c r="S190" s="138"/>
      <c r="T190" s="138"/>
    </row>
    <row r="191" ht="15.75" customHeight="1">
      <c r="A191" s="138"/>
      <c r="B191" s="139"/>
      <c r="C191" s="139"/>
      <c r="D191" s="139"/>
      <c r="E191" s="139"/>
      <c r="F191" s="138"/>
      <c r="G191" s="138"/>
      <c r="H191" s="138"/>
      <c r="I191" s="138"/>
      <c r="J191" s="138"/>
      <c r="K191" s="138"/>
      <c r="L191" s="138"/>
      <c r="M191" s="138"/>
      <c r="N191" s="138"/>
      <c r="O191" s="138"/>
      <c r="P191" s="138"/>
      <c r="Q191" s="138"/>
      <c r="R191" s="138"/>
      <c r="S191" s="138"/>
      <c r="T191" s="138"/>
    </row>
    <row r="192" ht="15.75" customHeight="1">
      <c r="A192" s="138"/>
      <c r="B192" s="139"/>
      <c r="C192" s="139"/>
      <c r="D192" s="139"/>
      <c r="E192" s="139"/>
      <c r="F192" s="138"/>
      <c r="G192" s="138"/>
      <c r="H192" s="138"/>
      <c r="I192" s="138"/>
      <c r="J192" s="138"/>
      <c r="K192" s="138"/>
      <c r="L192" s="138"/>
      <c r="M192" s="138"/>
      <c r="N192" s="138"/>
      <c r="O192" s="138"/>
      <c r="P192" s="138"/>
      <c r="Q192" s="138"/>
      <c r="R192" s="138"/>
      <c r="S192" s="138"/>
      <c r="T192" s="138"/>
    </row>
    <row r="193" ht="15.75" customHeight="1">
      <c r="A193" s="138"/>
      <c r="B193" s="139"/>
      <c r="C193" s="139"/>
      <c r="D193" s="139"/>
      <c r="E193" s="139"/>
      <c r="F193" s="138"/>
      <c r="G193" s="138"/>
      <c r="H193" s="138"/>
      <c r="I193" s="138"/>
      <c r="J193" s="138"/>
      <c r="K193" s="138"/>
      <c r="L193" s="138"/>
      <c r="M193" s="138"/>
      <c r="N193" s="138"/>
      <c r="O193" s="138"/>
      <c r="P193" s="138"/>
      <c r="Q193" s="138"/>
      <c r="R193" s="138"/>
      <c r="S193" s="138"/>
      <c r="T193" s="138"/>
    </row>
    <row r="194" ht="15.75" customHeight="1">
      <c r="A194" s="138"/>
      <c r="B194" s="139"/>
      <c r="C194" s="139"/>
      <c r="D194" s="139"/>
      <c r="E194" s="139"/>
      <c r="F194" s="138"/>
      <c r="G194" s="138"/>
      <c r="H194" s="138"/>
      <c r="I194" s="138"/>
      <c r="J194" s="138"/>
      <c r="K194" s="138"/>
      <c r="L194" s="138"/>
      <c r="M194" s="138"/>
      <c r="N194" s="138"/>
      <c r="O194" s="138"/>
      <c r="P194" s="138"/>
      <c r="Q194" s="138"/>
      <c r="R194" s="138"/>
      <c r="S194" s="138"/>
      <c r="T194" s="138"/>
    </row>
    <row r="195" ht="15.75" customHeight="1">
      <c r="A195" s="138"/>
      <c r="B195" s="139"/>
      <c r="C195" s="139"/>
      <c r="D195" s="139"/>
      <c r="E195" s="139"/>
      <c r="F195" s="138"/>
      <c r="G195" s="138"/>
      <c r="H195" s="138"/>
      <c r="I195" s="138"/>
      <c r="J195" s="138"/>
      <c r="K195" s="138"/>
      <c r="L195" s="138"/>
      <c r="M195" s="138"/>
      <c r="N195" s="138"/>
      <c r="O195" s="138"/>
      <c r="P195" s="138"/>
      <c r="Q195" s="138"/>
      <c r="R195" s="138"/>
      <c r="S195" s="138"/>
      <c r="T195" s="138"/>
    </row>
    <row r="196" ht="15.75" customHeight="1">
      <c r="A196" s="138"/>
      <c r="B196" s="139"/>
      <c r="C196" s="139"/>
      <c r="D196" s="139"/>
      <c r="E196" s="139"/>
      <c r="F196" s="138"/>
      <c r="G196" s="138"/>
      <c r="H196" s="138"/>
      <c r="I196" s="138"/>
      <c r="J196" s="138"/>
      <c r="K196" s="138"/>
      <c r="L196" s="138"/>
      <c r="M196" s="138"/>
      <c r="N196" s="138"/>
      <c r="O196" s="138"/>
      <c r="P196" s="138"/>
      <c r="Q196" s="138"/>
      <c r="R196" s="138"/>
      <c r="S196" s="138"/>
      <c r="T196" s="138"/>
    </row>
    <row r="197" ht="15.75" customHeight="1">
      <c r="A197" s="138"/>
      <c r="B197" s="139"/>
      <c r="C197" s="139"/>
      <c r="D197" s="139"/>
      <c r="E197" s="139"/>
      <c r="F197" s="138"/>
      <c r="G197" s="138"/>
      <c r="H197" s="138"/>
      <c r="I197" s="138"/>
      <c r="J197" s="138"/>
      <c r="K197" s="138"/>
      <c r="L197" s="138"/>
      <c r="M197" s="138"/>
      <c r="N197" s="138"/>
      <c r="O197" s="138"/>
      <c r="P197" s="138"/>
      <c r="Q197" s="138"/>
      <c r="R197" s="138"/>
      <c r="S197" s="138"/>
      <c r="T197" s="138"/>
    </row>
    <row r="198" ht="15.75" customHeight="1">
      <c r="A198" s="138"/>
      <c r="B198" s="139"/>
      <c r="C198" s="139"/>
      <c r="D198" s="139"/>
      <c r="E198" s="139"/>
      <c r="F198" s="138"/>
      <c r="G198" s="138"/>
      <c r="H198" s="138"/>
      <c r="I198" s="138"/>
      <c r="J198" s="138"/>
      <c r="K198" s="138"/>
      <c r="L198" s="138"/>
      <c r="M198" s="138"/>
      <c r="N198" s="138"/>
      <c r="O198" s="138"/>
      <c r="P198" s="138"/>
      <c r="Q198" s="138"/>
      <c r="R198" s="138"/>
      <c r="S198" s="138"/>
      <c r="T198" s="138"/>
    </row>
    <row r="199" ht="15.75" customHeight="1">
      <c r="A199" s="138"/>
      <c r="B199" s="139"/>
      <c r="C199" s="139"/>
      <c r="D199" s="139"/>
      <c r="E199" s="139"/>
      <c r="F199" s="138"/>
      <c r="G199" s="138"/>
      <c r="H199" s="138"/>
      <c r="I199" s="138"/>
      <c r="J199" s="138"/>
      <c r="K199" s="138"/>
      <c r="L199" s="138"/>
      <c r="M199" s="138"/>
      <c r="N199" s="138"/>
      <c r="O199" s="138"/>
      <c r="P199" s="138"/>
      <c r="Q199" s="138"/>
      <c r="R199" s="138"/>
      <c r="S199" s="138"/>
      <c r="T199" s="138"/>
    </row>
    <row r="200" ht="15.75" customHeight="1">
      <c r="A200" s="138"/>
      <c r="B200" s="139"/>
      <c r="C200" s="139"/>
      <c r="D200" s="139"/>
      <c r="E200" s="139"/>
      <c r="F200" s="138"/>
      <c r="G200" s="138"/>
      <c r="H200" s="138"/>
      <c r="I200" s="138"/>
      <c r="J200" s="138"/>
      <c r="K200" s="138"/>
      <c r="L200" s="138"/>
      <c r="M200" s="138"/>
      <c r="N200" s="138"/>
      <c r="O200" s="138"/>
      <c r="P200" s="138"/>
      <c r="Q200" s="138"/>
      <c r="R200" s="138"/>
      <c r="S200" s="138"/>
      <c r="T200" s="138"/>
    </row>
    <row r="201" ht="15.75" customHeight="1">
      <c r="A201" s="138"/>
      <c r="B201" s="139"/>
      <c r="C201" s="139"/>
      <c r="D201" s="139"/>
      <c r="E201" s="139"/>
      <c r="F201" s="138"/>
      <c r="G201" s="138"/>
      <c r="H201" s="138"/>
      <c r="I201" s="138"/>
      <c r="J201" s="138"/>
      <c r="K201" s="138"/>
      <c r="L201" s="138"/>
      <c r="M201" s="138"/>
      <c r="N201" s="138"/>
      <c r="O201" s="138"/>
      <c r="P201" s="138"/>
      <c r="Q201" s="138"/>
      <c r="R201" s="138"/>
      <c r="S201" s="138"/>
      <c r="T201" s="138"/>
    </row>
    <row r="202" ht="15.75" customHeight="1">
      <c r="A202" s="138"/>
      <c r="B202" s="139"/>
      <c r="C202" s="139"/>
      <c r="D202" s="139"/>
      <c r="E202" s="139"/>
      <c r="F202" s="138"/>
      <c r="G202" s="138"/>
      <c r="H202" s="138"/>
      <c r="I202" s="138"/>
      <c r="J202" s="138"/>
      <c r="K202" s="138"/>
      <c r="L202" s="138"/>
      <c r="M202" s="138"/>
      <c r="N202" s="138"/>
      <c r="O202" s="138"/>
      <c r="P202" s="138"/>
      <c r="Q202" s="138"/>
      <c r="R202" s="138"/>
      <c r="S202" s="138"/>
      <c r="T202" s="138"/>
    </row>
    <row r="203" ht="15.75" customHeight="1">
      <c r="A203" s="138"/>
      <c r="B203" s="139"/>
      <c r="C203" s="139"/>
      <c r="D203" s="139"/>
      <c r="E203" s="139"/>
      <c r="F203" s="138"/>
      <c r="G203" s="138"/>
      <c r="H203" s="138"/>
      <c r="I203" s="138"/>
      <c r="J203" s="138"/>
      <c r="K203" s="138"/>
      <c r="L203" s="138"/>
      <c r="M203" s="138"/>
      <c r="N203" s="138"/>
      <c r="O203" s="138"/>
      <c r="P203" s="138"/>
      <c r="Q203" s="138"/>
      <c r="R203" s="138"/>
      <c r="S203" s="138"/>
      <c r="T203" s="138"/>
    </row>
    <row r="204" ht="15.75" customHeight="1">
      <c r="A204" s="138"/>
      <c r="B204" s="139"/>
      <c r="C204" s="139"/>
      <c r="D204" s="139"/>
      <c r="E204" s="139"/>
      <c r="F204" s="138"/>
      <c r="G204" s="138"/>
      <c r="H204" s="138"/>
      <c r="I204" s="138"/>
      <c r="J204" s="138"/>
      <c r="K204" s="138"/>
      <c r="L204" s="138"/>
      <c r="M204" s="138"/>
      <c r="N204" s="138"/>
      <c r="O204" s="138"/>
      <c r="P204" s="138"/>
      <c r="Q204" s="138"/>
      <c r="R204" s="138"/>
      <c r="S204" s="138"/>
      <c r="T204" s="138"/>
    </row>
    <row r="205" ht="15.75" customHeight="1">
      <c r="A205" s="138"/>
      <c r="B205" s="139"/>
      <c r="C205" s="139"/>
      <c r="D205" s="139"/>
      <c r="E205" s="139"/>
      <c r="F205" s="138"/>
      <c r="G205" s="138"/>
      <c r="H205" s="138"/>
      <c r="I205" s="138"/>
      <c r="J205" s="138"/>
      <c r="K205" s="138"/>
      <c r="L205" s="138"/>
      <c r="M205" s="138"/>
      <c r="N205" s="138"/>
      <c r="O205" s="138"/>
      <c r="P205" s="138"/>
      <c r="Q205" s="138"/>
      <c r="R205" s="138"/>
      <c r="S205" s="138"/>
      <c r="T205" s="138"/>
    </row>
    <row r="206" ht="15.75" customHeight="1">
      <c r="A206" s="138"/>
      <c r="B206" s="139"/>
      <c r="C206" s="139"/>
      <c r="D206" s="139"/>
      <c r="E206" s="139"/>
      <c r="F206" s="138"/>
      <c r="G206" s="138"/>
      <c r="H206" s="138"/>
      <c r="I206" s="138"/>
      <c r="J206" s="138"/>
      <c r="K206" s="138"/>
      <c r="L206" s="138"/>
      <c r="M206" s="138"/>
      <c r="N206" s="138"/>
      <c r="O206" s="138"/>
      <c r="P206" s="138"/>
      <c r="Q206" s="138"/>
      <c r="R206" s="138"/>
      <c r="S206" s="138"/>
      <c r="T206" s="138"/>
    </row>
    <row r="207" ht="15.75" customHeight="1">
      <c r="A207" s="138"/>
      <c r="B207" s="139"/>
      <c r="C207" s="139"/>
      <c r="D207" s="139"/>
      <c r="E207" s="139"/>
      <c r="F207" s="138"/>
      <c r="G207" s="138"/>
      <c r="H207" s="138"/>
      <c r="I207" s="138"/>
      <c r="J207" s="138"/>
      <c r="K207" s="138"/>
      <c r="L207" s="138"/>
      <c r="M207" s="138"/>
      <c r="N207" s="138"/>
      <c r="O207" s="138"/>
      <c r="P207" s="138"/>
      <c r="Q207" s="138"/>
      <c r="R207" s="138"/>
      <c r="S207" s="138"/>
      <c r="T207" s="138"/>
    </row>
    <row r="208" ht="15.75" customHeight="1">
      <c r="A208" s="138"/>
      <c r="B208" s="139"/>
      <c r="C208" s="139"/>
      <c r="D208" s="139"/>
      <c r="E208" s="139"/>
      <c r="F208" s="138"/>
      <c r="G208" s="138"/>
      <c r="H208" s="138"/>
      <c r="I208" s="138"/>
      <c r="J208" s="138"/>
      <c r="K208" s="138"/>
      <c r="L208" s="138"/>
      <c r="M208" s="138"/>
      <c r="N208" s="138"/>
      <c r="O208" s="138"/>
      <c r="P208" s="138"/>
      <c r="Q208" s="138"/>
      <c r="R208" s="138"/>
      <c r="S208" s="138"/>
      <c r="T208" s="138"/>
    </row>
    <row r="209" ht="15.75" customHeight="1">
      <c r="A209" s="138"/>
      <c r="B209" s="139"/>
      <c r="C209" s="139"/>
      <c r="D209" s="139"/>
      <c r="E209" s="139"/>
      <c r="F209" s="138"/>
      <c r="G209" s="138"/>
      <c r="H209" s="138"/>
      <c r="I209" s="138"/>
      <c r="J209" s="138"/>
      <c r="K209" s="138"/>
      <c r="L209" s="138"/>
      <c r="M209" s="138"/>
      <c r="N209" s="138"/>
      <c r="O209" s="138"/>
      <c r="P209" s="138"/>
      <c r="Q209" s="138"/>
      <c r="R209" s="138"/>
      <c r="S209" s="138"/>
      <c r="T209" s="138"/>
    </row>
    <row r="210" ht="15.75" customHeight="1">
      <c r="A210" s="138"/>
      <c r="B210" s="139"/>
      <c r="C210" s="139"/>
      <c r="D210" s="139"/>
      <c r="E210" s="139"/>
      <c r="F210" s="138"/>
      <c r="G210" s="138"/>
      <c r="H210" s="138"/>
      <c r="I210" s="138"/>
      <c r="J210" s="138"/>
      <c r="K210" s="138"/>
      <c r="L210" s="138"/>
      <c r="M210" s="138"/>
      <c r="N210" s="138"/>
      <c r="O210" s="138"/>
      <c r="P210" s="138"/>
      <c r="Q210" s="138"/>
      <c r="R210" s="138"/>
      <c r="S210" s="138"/>
      <c r="T210" s="138"/>
    </row>
    <row r="211" ht="15.75" customHeight="1">
      <c r="A211" s="138"/>
      <c r="B211" s="139"/>
      <c r="C211" s="139"/>
      <c r="D211" s="139"/>
      <c r="E211" s="139"/>
      <c r="F211" s="138"/>
      <c r="G211" s="138"/>
      <c r="H211" s="138"/>
      <c r="I211" s="138"/>
      <c r="J211" s="138"/>
      <c r="K211" s="138"/>
      <c r="L211" s="138"/>
      <c r="M211" s="138"/>
      <c r="N211" s="138"/>
      <c r="O211" s="138"/>
      <c r="P211" s="138"/>
      <c r="Q211" s="138"/>
      <c r="R211" s="138"/>
      <c r="S211" s="138"/>
      <c r="T211" s="138"/>
    </row>
    <row r="212" ht="15.75" customHeight="1">
      <c r="A212" s="138"/>
      <c r="B212" s="139"/>
      <c r="C212" s="139"/>
      <c r="D212" s="139"/>
      <c r="E212" s="139"/>
      <c r="F212" s="138"/>
      <c r="G212" s="138"/>
      <c r="H212" s="138"/>
      <c r="I212" s="138"/>
      <c r="J212" s="138"/>
      <c r="K212" s="138"/>
      <c r="L212" s="138"/>
      <c r="M212" s="138"/>
      <c r="N212" s="138"/>
      <c r="O212" s="138"/>
      <c r="P212" s="138"/>
      <c r="Q212" s="138"/>
      <c r="R212" s="138"/>
      <c r="S212" s="138"/>
      <c r="T212" s="138"/>
    </row>
    <row r="213" ht="15.75" customHeight="1">
      <c r="A213" s="138"/>
      <c r="B213" s="139"/>
      <c r="C213" s="139"/>
      <c r="D213" s="139"/>
      <c r="E213" s="139"/>
      <c r="F213" s="138"/>
      <c r="G213" s="138"/>
      <c r="H213" s="138"/>
      <c r="I213" s="138"/>
      <c r="J213" s="138"/>
      <c r="K213" s="138"/>
      <c r="L213" s="138"/>
      <c r="M213" s="138"/>
      <c r="N213" s="138"/>
      <c r="O213" s="138"/>
      <c r="P213" s="138"/>
      <c r="Q213" s="138"/>
      <c r="R213" s="138"/>
      <c r="S213" s="138"/>
      <c r="T213" s="138"/>
    </row>
    <row r="214" ht="15.75" customHeight="1">
      <c r="A214" s="138"/>
      <c r="B214" s="139"/>
      <c r="C214" s="139"/>
      <c r="D214" s="139"/>
      <c r="E214" s="139"/>
      <c r="F214" s="138"/>
      <c r="G214" s="138"/>
      <c r="H214" s="138"/>
      <c r="I214" s="138"/>
      <c r="J214" s="138"/>
      <c r="K214" s="138"/>
      <c r="L214" s="138"/>
      <c r="M214" s="138"/>
      <c r="N214" s="138"/>
      <c r="O214" s="138"/>
      <c r="P214" s="138"/>
      <c r="Q214" s="138"/>
      <c r="R214" s="138"/>
      <c r="S214" s="138"/>
      <c r="T214" s="138"/>
    </row>
    <row r="215" ht="15.75" customHeight="1">
      <c r="A215" s="138"/>
      <c r="B215" s="139"/>
      <c r="C215" s="139"/>
      <c r="D215" s="139"/>
      <c r="E215" s="139"/>
      <c r="F215" s="138"/>
      <c r="G215" s="138"/>
      <c r="H215" s="138"/>
      <c r="I215" s="138"/>
      <c r="J215" s="138"/>
      <c r="K215" s="138"/>
      <c r="L215" s="138"/>
      <c r="M215" s="138"/>
      <c r="N215" s="138"/>
      <c r="O215" s="138"/>
      <c r="P215" s="138"/>
      <c r="Q215" s="138"/>
      <c r="R215" s="138"/>
      <c r="S215" s="138"/>
      <c r="T215" s="138"/>
    </row>
    <row r="216" ht="15.75" customHeight="1">
      <c r="A216" s="138"/>
      <c r="B216" s="139"/>
      <c r="C216" s="139"/>
      <c r="D216" s="139"/>
      <c r="E216" s="139"/>
      <c r="F216" s="138"/>
      <c r="G216" s="138"/>
      <c r="H216" s="138"/>
      <c r="I216" s="138"/>
      <c r="J216" s="138"/>
      <c r="K216" s="138"/>
      <c r="L216" s="138"/>
      <c r="M216" s="138"/>
      <c r="N216" s="138"/>
      <c r="O216" s="138"/>
      <c r="P216" s="138"/>
      <c r="Q216" s="138"/>
      <c r="R216" s="138"/>
      <c r="S216" s="138"/>
      <c r="T216" s="138"/>
    </row>
    <row r="217" ht="15.75" customHeight="1">
      <c r="A217" s="138"/>
      <c r="B217" s="139"/>
      <c r="C217" s="139"/>
      <c r="D217" s="139"/>
      <c r="E217" s="139"/>
      <c r="F217" s="138"/>
      <c r="G217" s="138"/>
      <c r="H217" s="138"/>
      <c r="I217" s="138"/>
      <c r="J217" s="138"/>
      <c r="K217" s="138"/>
      <c r="L217" s="138"/>
      <c r="M217" s="138"/>
      <c r="N217" s="138"/>
      <c r="O217" s="138"/>
      <c r="P217" s="138"/>
      <c r="Q217" s="138"/>
      <c r="R217" s="138"/>
      <c r="S217" s="138"/>
      <c r="T217" s="138"/>
    </row>
    <row r="218" ht="15.75" customHeight="1">
      <c r="A218" s="138"/>
      <c r="B218" s="139"/>
      <c r="C218" s="139"/>
      <c r="D218" s="139"/>
      <c r="E218" s="139"/>
      <c r="F218" s="138"/>
      <c r="G218" s="138"/>
      <c r="H218" s="138"/>
      <c r="I218" s="138"/>
      <c r="J218" s="138"/>
      <c r="K218" s="138"/>
      <c r="L218" s="138"/>
      <c r="M218" s="138"/>
      <c r="N218" s="138"/>
      <c r="O218" s="138"/>
      <c r="P218" s="138"/>
      <c r="Q218" s="138"/>
      <c r="R218" s="138"/>
      <c r="S218" s="138"/>
      <c r="T218" s="138"/>
    </row>
    <row r="219" ht="15.75" customHeight="1">
      <c r="A219" s="138"/>
      <c r="B219" s="139"/>
      <c r="C219" s="139"/>
      <c r="D219" s="139"/>
      <c r="E219" s="139"/>
      <c r="F219" s="138"/>
      <c r="G219" s="138"/>
      <c r="H219" s="138"/>
      <c r="I219" s="138"/>
      <c r="J219" s="138"/>
      <c r="K219" s="138"/>
      <c r="L219" s="138"/>
      <c r="M219" s="138"/>
      <c r="N219" s="138"/>
      <c r="O219" s="138"/>
      <c r="P219" s="138"/>
      <c r="Q219" s="138"/>
      <c r="R219" s="138"/>
      <c r="S219" s="138"/>
      <c r="T219" s="138"/>
    </row>
    <row r="220" ht="15.75" customHeight="1">
      <c r="A220" s="138"/>
      <c r="B220" s="139"/>
      <c r="C220" s="139"/>
      <c r="D220" s="139"/>
      <c r="E220" s="139"/>
      <c r="F220" s="138"/>
      <c r="G220" s="138"/>
      <c r="H220" s="138"/>
      <c r="I220" s="138"/>
      <c r="J220" s="138"/>
      <c r="K220" s="138"/>
      <c r="L220" s="138"/>
      <c r="M220" s="138"/>
      <c r="N220" s="138"/>
      <c r="O220" s="138"/>
      <c r="P220" s="138"/>
      <c r="Q220" s="138"/>
      <c r="R220" s="138"/>
      <c r="S220" s="138"/>
      <c r="T220" s="138"/>
    </row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25.38"/>
    <col customWidth="1" min="4" max="6" width="12.63"/>
  </cols>
  <sheetData>
    <row r="7">
      <c r="J7" s="16"/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50.25" customHeight="1">
      <c r="C31" s="16"/>
    </row>
    <row r="32" ht="15.75" customHeight="1"/>
    <row r="33" ht="15.75" customHeight="1"/>
    <row r="34" ht="69.0" customHeight="1">
      <c r="C34" s="16"/>
    </row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6" width="12.63"/>
  </cols>
  <sheetData>
    <row r="1" ht="15.75" customHeight="1"/>
    <row r="2" ht="15.75" customHeight="1"/>
    <row r="3" ht="15.75" customHeight="1">
      <c r="B3" s="16" t="s">
        <v>170</v>
      </c>
      <c r="C3" s="16" t="s">
        <v>246</v>
      </c>
      <c r="D3" s="16" t="s">
        <v>252</v>
      </c>
      <c r="E3" s="16" t="s">
        <v>222</v>
      </c>
      <c r="F3" s="16" t="s">
        <v>228</v>
      </c>
      <c r="G3" s="16" t="s">
        <v>175</v>
      </c>
      <c r="H3" s="16" t="s">
        <v>2</v>
      </c>
      <c r="I3" s="16" t="s">
        <v>176</v>
      </c>
      <c r="J3" s="16" t="s">
        <v>178</v>
      </c>
    </row>
    <row r="4" ht="15.75" customHeight="1">
      <c r="B4" s="16" t="s">
        <v>171</v>
      </c>
      <c r="C4" s="16" t="s">
        <v>247</v>
      </c>
      <c r="D4" s="16" t="s">
        <v>253</v>
      </c>
      <c r="E4" s="16" t="s">
        <v>223</v>
      </c>
      <c r="F4" s="16" t="s">
        <v>150</v>
      </c>
      <c r="G4" s="16">
        <v>99708.0</v>
      </c>
      <c r="H4" s="16">
        <v>4896.0</v>
      </c>
      <c r="I4" s="16" t="s">
        <v>185</v>
      </c>
      <c r="J4" s="16">
        <v>73.0</v>
      </c>
    </row>
    <row r="5" ht="15.75" customHeight="1">
      <c r="B5" s="16" t="s">
        <v>172</v>
      </c>
      <c r="C5" s="16" t="s">
        <v>248</v>
      </c>
      <c r="D5" s="16" t="s">
        <v>254</v>
      </c>
      <c r="E5" s="16" t="s">
        <v>224</v>
      </c>
      <c r="F5" s="16" t="s">
        <v>229</v>
      </c>
      <c r="G5" s="16">
        <v>99712.0</v>
      </c>
      <c r="H5" s="16">
        <v>7569.0</v>
      </c>
      <c r="I5" s="16" t="s">
        <v>195</v>
      </c>
      <c r="J5" s="16">
        <v>75.0</v>
      </c>
    </row>
    <row r="6" ht="15.75" customHeight="1">
      <c r="B6" s="16" t="s">
        <v>173</v>
      </c>
      <c r="C6" s="16" t="s">
        <v>249</v>
      </c>
      <c r="D6" s="16" t="s">
        <v>249</v>
      </c>
      <c r="E6" s="16" t="s">
        <v>225</v>
      </c>
      <c r="F6" s="16" t="s">
        <v>225</v>
      </c>
      <c r="G6" s="16">
        <v>93012.0</v>
      </c>
      <c r="H6" s="16">
        <v>8923.0</v>
      </c>
      <c r="I6" s="16" t="s">
        <v>185</v>
      </c>
      <c r="J6" s="16">
        <v>16.0</v>
      </c>
    </row>
    <row r="7" ht="15.75" customHeight="1">
      <c r="B7" s="16" t="s">
        <v>174</v>
      </c>
      <c r="C7" s="16" t="s">
        <v>250</v>
      </c>
      <c r="D7" s="16" t="s">
        <v>250</v>
      </c>
      <c r="E7" s="16" t="s">
        <v>226</v>
      </c>
      <c r="F7" s="16" t="s">
        <v>226</v>
      </c>
      <c r="G7" s="16">
        <v>93012.0</v>
      </c>
      <c r="H7" s="16">
        <v>6986.0</v>
      </c>
      <c r="I7" s="16" t="s">
        <v>195</v>
      </c>
      <c r="J7" s="16">
        <v>28.0</v>
      </c>
    </row>
    <row r="8" ht="15.75" customHeight="1">
      <c r="B8" s="16" t="s">
        <v>175</v>
      </c>
      <c r="C8" s="16">
        <v>99708.0</v>
      </c>
      <c r="D8" s="16">
        <v>99712.0</v>
      </c>
      <c r="E8" s="16">
        <v>93012.0</v>
      </c>
      <c r="F8" s="16">
        <v>93012.0</v>
      </c>
    </row>
    <row r="9" ht="15.75" customHeight="1">
      <c r="B9" s="16" t="s">
        <v>2</v>
      </c>
      <c r="C9" s="16">
        <v>4896.0</v>
      </c>
      <c r="D9" s="16">
        <v>7569.0</v>
      </c>
      <c r="E9" s="16">
        <v>8923.0</v>
      </c>
      <c r="F9" s="16">
        <v>6986.0</v>
      </c>
    </row>
    <row r="10" ht="15.75" customHeight="1">
      <c r="B10" s="16" t="s">
        <v>176</v>
      </c>
      <c r="C10" s="16" t="s">
        <v>185</v>
      </c>
      <c r="D10" s="16" t="s">
        <v>195</v>
      </c>
      <c r="E10" s="16" t="s">
        <v>185</v>
      </c>
      <c r="F10" s="16" t="s">
        <v>195</v>
      </c>
    </row>
    <row r="11" ht="15.75" customHeight="1">
      <c r="B11" s="16" t="s">
        <v>178</v>
      </c>
      <c r="C11" s="16">
        <v>73.0</v>
      </c>
      <c r="D11" s="16">
        <v>75.0</v>
      </c>
      <c r="E11" s="16">
        <v>16.0</v>
      </c>
      <c r="F11" s="16">
        <v>28.0</v>
      </c>
      <c r="J11" s="16" t="s">
        <v>170</v>
      </c>
      <c r="K11" s="16" t="s">
        <v>246</v>
      </c>
      <c r="L11" s="16" t="s">
        <v>252</v>
      </c>
      <c r="M11" s="16" t="s">
        <v>222</v>
      </c>
      <c r="N11" s="16" t="s">
        <v>228</v>
      </c>
    </row>
    <row r="12" ht="15.75" customHeight="1">
      <c r="B12" s="149" t="s">
        <v>172</v>
      </c>
      <c r="C12" s="150" t="s">
        <v>248</v>
      </c>
      <c r="D12" s="150" t="s">
        <v>254</v>
      </c>
      <c r="E12" s="150" t="s">
        <v>224</v>
      </c>
      <c r="F12" s="150" t="s">
        <v>229</v>
      </c>
      <c r="J12" s="16" t="s">
        <v>171</v>
      </c>
      <c r="K12" s="16" t="s">
        <v>247</v>
      </c>
      <c r="L12" s="16" t="s">
        <v>253</v>
      </c>
      <c r="M12" s="16" t="s">
        <v>223</v>
      </c>
      <c r="N12" s="16" t="s">
        <v>150</v>
      </c>
    </row>
    <row r="13" ht="15.75" customHeight="1">
      <c r="B13" s="149" t="s">
        <v>173</v>
      </c>
      <c r="C13" s="150" t="s">
        <v>249</v>
      </c>
      <c r="D13" s="150" t="s">
        <v>249</v>
      </c>
      <c r="E13" s="150" t="s">
        <v>225</v>
      </c>
      <c r="F13" s="150" t="s">
        <v>225</v>
      </c>
      <c r="J13" s="16" t="s">
        <v>172</v>
      </c>
      <c r="K13" s="16" t="s">
        <v>248</v>
      </c>
      <c r="L13" s="16" t="s">
        <v>254</v>
      </c>
      <c r="M13" s="16" t="s">
        <v>224</v>
      </c>
      <c r="N13" s="16" t="s">
        <v>229</v>
      </c>
    </row>
    <row r="14" ht="15.75" customHeight="1">
      <c r="B14" s="149" t="s">
        <v>174</v>
      </c>
      <c r="C14" s="150" t="s">
        <v>250</v>
      </c>
      <c r="D14" s="150" t="s">
        <v>250</v>
      </c>
      <c r="E14" s="150" t="s">
        <v>226</v>
      </c>
      <c r="F14" s="150" t="s">
        <v>226</v>
      </c>
      <c r="J14" s="16" t="s">
        <v>173</v>
      </c>
      <c r="K14" s="16" t="s">
        <v>249</v>
      </c>
      <c r="L14" s="16" t="s">
        <v>249</v>
      </c>
      <c r="M14" s="16" t="s">
        <v>225</v>
      </c>
      <c r="N14" s="16" t="s">
        <v>225</v>
      </c>
    </row>
    <row r="15" ht="15.75" customHeight="1">
      <c r="B15" s="149" t="s">
        <v>175</v>
      </c>
      <c r="C15" s="151">
        <v>99708.0</v>
      </c>
      <c r="D15" s="151">
        <v>99712.0</v>
      </c>
      <c r="E15" s="151">
        <v>93012.0</v>
      </c>
      <c r="F15" s="151">
        <v>93012.0</v>
      </c>
      <c r="J15" s="16" t="s">
        <v>174</v>
      </c>
      <c r="K15" s="16" t="s">
        <v>250</v>
      </c>
      <c r="L15" s="16" t="s">
        <v>250</v>
      </c>
      <c r="M15" s="16" t="s">
        <v>226</v>
      </c>
      <c r="N15" s="16" t="s">
        <v>226</v>
      </c>
    </row>
    <row r="16" ht="15.75" customHeight="1">
      <c r="B16" s="149" t="s">
        <v>2</v>
      </c>
      <c r="C16" s="151">
        <v>4896.0</v>
      </c>
      <c r="D16" s="151">
        <v>7569.0</v>
      </c>
      <c r="E16" s="151">
        <v>8923.0</v>
      </c>
      <c r="F16" s="151">
        <v>6986.0</v>
      </c>
      <c r="J16" s="16" t="s">
        <v>175</v>
      </c>
      <c r="K16" s="16">
        <v>99708.0</v>
      </c>
      <c r="L16" s="16">
        <v>99712.0</v>
      </c>
      <c r="M16" s="16">
        <v>93012.0</v>
      </c>
      <c r="N16" s="16">
        <v>93012.0</v>
      </c>
    </row>
    <row r="17" ht="15.75" customHeight="1">
      <c r="B17" s="152" t="s">
        <v>176</v>
      </c>
      <c r="C17" s="153" t="s">
        <v>185</v>
      </c>
      <c r="D17" s="153" t="s">
        <v>195</v>
      </c>
      <c r="E17" s="153" t="s">
        <v>185</v>
      </c>
      <c r="F17" s="153" t="s">
        <v>195</v>
      </c>
      <c r="J17" s="16" t="s">
        <v>2</v>
      </c>
      <c r="K17" s="16">
        <v>4896.0</v>
      </c>
      <c r="L17" s="16">
        <v>7569.0</v>
      </c>
      <c r="M17" s="16">
        <v>8923.0</v>
      </c>
      <c r="N17" s="16">
        <v>6986.0</v>
      </c>
    </row>
    <row r="18" ht="15.75" customHeight="1">
      <c r="B18" s="152" t="s">
        <v>178</v>
      </c>
      <c r="C18" s="153">
        <v>73.0</v>
      </c>
      <c r="D18" s="153">
        <v>75.0</v>
      </c>
      <c r="E18" s="153">
        <v>16.0</v>
      </c>
      <c r="F18" s="153">
        <v>28.0</v>
      </c>
      <c r="J18" s="16" t="s">
        <v>176</v>
      </c>
      <c r="K18" s="16" t="s">
        <v>185</v>
      </c>
      <c r="L18" s="16" t="s">
        <v>195</v>
      </c>
      <c r="M18" s="16" t="s">
        <v>185</v>
      </c>
      <c r="N18" s="16" t="s">
        <v>195</v>
      </c>
    </row>
    <row r="19" ht="15.75" customHeight="1">
      <c r="J19" s="16" t="s">
        <v>178</v>
      </c>
      <c r="K19" s="16">
        <v>73.0</v>
      </c>
      <c r="L19" s="16">
        <v>75.0</v>
      </c>
      <c r="M19" s="16">
        <v>16.0</v>
      </c>
      <c r="N19" s="16">
        <v>28.0</v>
      </c>
    </row>
    <row r="20" ht="15.75" customHeight="1"/>
    <row r="21" ht="15.75" customHeight="1">
      <c r="B21" s="16" t="s">
        <v>170</v>
      </c>
      <c r="C21" s="16" t="s">
        <v>171</v>
      </c>
      <c r="D21" s="16" t="s">
        <v>172</v>
      </c>
      <c r="E21" s="16" t="s">
        <v>173</v>
      </c>
      <c r="F21" s="16" t="s">
        <v>174</v>
      </c>
      <c r="G21" s="16" t="s">
        <v>175</v>
      </c>
      <c r="H21" s="16" t="s">
        <v>2</v>
      </c>
      <c r="I21" s="16" t="s">
        <v>176</v>
      </c>
      <c r="J21" s="16" t="s">
        <v>178</v>
      </c>
    </row>
    <row r="22" ht="15.75" customHeight="1">
      <c r="B22" s="16" t="s">
        <v>246</v>
      </c>
      <c r="C22" s="16" t="s">
        <v>247</v>
      </c>
      <c r="D22" s="16" t="s">
        <v>248</v>
      </c>
      <c r="E22" s="16" t="s">
        <v>249</v>
      </c>
      <c r="F22" s="16" t="s">
        <v>250</v>
      </c>
      <c r="G22" s="16">
        <v>99708.0</v>
      </c>
      <c r="H22" s="16">
        <v>4896.0</v>
      </c>
      <c r="I22" s="16" t="s">
        <v>185</v>
      </c>
      <c r="J22" s="16">
        <v>73.0</v>
      </c>
    </row>
    <row r="23" ht="15.75" customHeight="1">
      <c r="B23" s="16" t="s">
        <v>252</v>
      </c>
      <c r="C23" s="16" t="s">
        <v>253</v>
      </c>
      <c r="D23" s="16" t="s">
        <v>254</v>
      </c>
      <c r="E23" s="16" t="s">
        <v>249</v>
      </c>
      <c r="F23" s="16" t="s">
        <v>250</v>
      </c>
      <c r="G23" s="16">
        <v>99712.0</v>
      </c>
      <c r="H23" s="16">
        <v>7569.0</v>
      </c>
      <c r="I23" s="16" t="s">
        <v>195</v>
      </c>
      <c r="J23" s="16">
        <v>75.0</v>
      </c>
    </row>
    <row r="24" ht="15.75" customHeight="1">
      <c r="B24" s="16" t="s">
        <v>222</v>
      </c>
      <c r="C24" s="16" t="s">
        <v>223</v>
      </c>
      <c r="D24" s="16" t="s">
        <v>224</v>
      </c>
      <c r="E24" s="16" t="s">
        <v>225</v>
      </c>
      <c r="F24" s="16" t="s">
        <v>226</v>
      </c>
      <c r="G24" s="16">
        <v>93012.0</v>
      </c>
      <c r="H24" s="16">
        <v>8923.0</v>
      </c>
      <c r="I24" s="16" t="s">
        <v>185</v>
      </c>
      <c r="J24" s="16">
        <v>16.0</v>
      </c>
    </row>
    <row r="25" ht="15.75" customHeight="1">
      <c r="B25" s="16" t="s">
        <v>228</v>
      </c>
      <c r="C25" s="16" t="s">
        <v>150</v>
      </c>
      <c r="D25" s="16" t="s">
        <v>229</v>
      </c>
      <c r="E25" s="16" t="s">
        <v>225</v>
      </c>
      <c r="F25" s="16" t="s">
        <v>226</v>
      </c>
      <c r="G25" s="16">
        <v>93012.0</v>
      </c>
      <c r="H25" s="16">
        <v>6986.0</v>
      </c>
      <c r="I25" s="16" t="s">
        <v>195</v>
      </c>
      <c r="J25" s="16">
        <v>28.0</v>
      </c>
    </row>
    <row r="26" ht="15.75" customHeight="1"/>
    <row r="27" ht="15.75" customHeight="1"/>
    <row r="28" ht="15.75" customHeight="1"/>
    <row r="29" ht="15.75" customHeight="1"/>
    <row r="30" ht="15.75" customHeight="1">
      <c r="B30" s="29"/>
      <c r="C30" s="154"/>
      <c r="D30" s="154"/>
      <c r="E30" s="154"/>
      <c r="F30" s="154"/>
      <c r="G30" s="154"/>
      <c r="H30" s="154"/>
      <c r="I30" s="154"/>
      <c r="J30" s="154"/>
      <c r="K30" s="154"/>
      <c r="L30" s="29"/>
      <c r="M30" s="29"/>
      <c r="N30" s="29"/>
      <c r="O30" s="29"/>
      <c r="P30" s="29"/>
      <c r="Q30" s="29"/>
    </row>
    <row r="31" ht="15.75" customHeight="1">
      <c r="B31" s="155"/>
      <c r="C31" s="156" t="s">
        <v>170</v>
      </c>
      <c r="D31" s="156" t="s">
        <v>171</v>
      </c>
      <c r="E31" s="156" t="s">
        <v>172</v>
      </c>
      <c r="F31" s="156" t="s">
        <v>173</v>
      </c>
      <c r="G31" s="156" t="s">
        <v>174</v>
      </c>
      <c r="H31" s="156" t="s">
        <v>175</v>
      </c>
      <c r="I31" s="156" t="s">
        <v>2</v>
      </c>
      <c r="J31" s="156" t="s">
        <v>176</v>
      </c>
      <c r="K31" s="156" t="s">
        <v>178</v>
      </c>
      <c r="L31" s="29"/>
      <c r="M31" s="29"/>
      <c r="N31" s="29"/>
      <c r="O31" s="29"/>
      <c r="P31" s="29"/>
      <c r="Q31" s="29"/>
    </row>
    <row r="32" ht="15.75" customHeight="1">
      <c r="B32" s="155"/>
      <c r="C32" s="157" t="s">
        <v>246</v>
      </c>
      <c r="D32" s="157" t="s">
        <v>247</v>
      </c>
      <c r="E32" s="157" t="s">
        <v>248</v>
      </c>
      <c r="F32" s="157" t="s">
        <v>249</v>
      </c>
      <c r="G32" s="157" t="s">
        <v>250</v>
      </c>
      <c r="H32" s="157">
        <v>99708.0</v>
      </c>
      <c r="I32" s="157">
        <v>4896.0</v>
      </c>
      <c r="J32" s="157" t="s">
        <v>185</v>
      </c>
      <c r="K32" s="157">
        <v>73.0</v>
      </c>
      <c r="L32" s="29"/>
      <c r="M32" s="29"/>
      <c r="N32" s="29"/>
      <c r="O32" s="29"/>
      <c r="P32" s="29"/>
      <c r="Q32" s="29"/>
    </row>
    <row r="33" ht="15.75" customHeight="1">
      <c r="B33" s="155"/>
      <c r="C33" s="157" t="s">
        <v>252</v>
      </c>
      <c r="D33" s="157" t="s">
        <v>253</v>
      </c>
      <c r="E33" s="157" t="s">
        <v>254</v>
      </c>
      <c r="F33" s="157" t="s">
        <v>249</v>
      </c>
      <c r="G33" s="157" t="s">
        <v>250</v>
      </c>
      <c r="H33" s="157">
        <v>99712.0</v>
      </c>
      <c r="I33" s="157">
        <v>7569.0</v>
      </c>
      <c r="J33" s="157" t="s">
        <v>195</v>
      </c>
      <c r="K33" s="157">
        <v>75.0</v>
      </c>
      <c r="L33" s="29"/>
      <c r="M33" s="29"/>
      <c r="N33" s="29"/>
      <c r="O33" s="29"/>
      <c r="P33" s="29"/>
      <c r="Q33" s="29"/>
    </row>
    <row r="34" ht="15.75" customHeight="1">
      <c r="B34" s="155"/>
      <c r="C34" s="157" t="s">
        <v>222</v>
      </c>
      <c r="D34" s="157" t="s">
        <v>223</v>
      </c>
      <c r="E34" s="157" t="s">
        <v>224</v>
      </c>
      <c r="F34" s="157" t="s">
        <v>225</v>
      </c>
      <c r="G34" s="157" t="s">
        <v>226</v>
      </c>
      <c r="H34" s="157">
        <v>93012.0</v>
      </c>
      <c r="I34" s="157">
        <v>8923.0</v>
      </c>
      <c r="J34" s="157" t="s">
        <v>185</v>
      </c>
      <c r="K34" s="157">
        <v>16.0</v>
      </c>
      <c r="L34" s="29"/>
      <c r="M34" s="29"/>
      <c r="N34" s="29"/>
      <c r="O34" s="29"/>
      <c r="P34" s="29"/>
      <c r="Q34" s="29"/>
    </row>
    <row r="35" ht="15.75" customHeight="1">
      <c r="B35" s="155"/>
      <c r="C35" s="157" t="s">
        <v>228</v>
      </c>
      <c r="D35" s="157" t="s">
        <v>150</v>
      </c>
      <c r="E35" s="157" t="s">
        <v>229</v>
      </c>
      <c r="F35" s="157" t="s">
        <v>225</v>
      </c>
      <c r="G35" s="157" t="s">
        <v>226</v>
      </c>
      <c r="H35" s="157">
        <v>93012.0</v>
      </c>
      <c r="I35" s="157">
        <v>6986.0</v>
      </c>
      <c r="J35" s="157" t="s">
        <v>195</v>
      </c>
      <c r="K35" s="157">
        <v>28.0</v>
      </c>
      <c r="L35" s="29"/>
      <c r="M35" s="29"/>
      <c r="N35" s="29"/>
      <c r="O35" s="29"/>
      <c r="P35" s="29"/>
      <c r="Q35" s="29"/>
    </row>
    <row r="36" ht="15.75" customHeight="1"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</row>
    <row r="37" ht="15.75" customHeight="1"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</row>
    <row r="38" ht="15.75" customHeight="1"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</row>
    <row r="39" ht="15.75" customHeight="1">
      <c r="B39" s="29"/>
      <c r="C39" s="154"/>
      <c r="D39" s="154"/>
      <c r="E39" s="154"/>
      <c r="F39" s="154"/>
      <c r="G39" s="154"/>
      <c r="H39" s="29"/>
      <c r="I39" s="29"/>
      <c r="J39" s="154"/>
      <c r="K39" s="154"/>
      <c r="L39" s="154"/>
      <c r="M39" s="154"/>
      <c r="N39" s="154"/>
      <c r="O39" s="29"/>
      <c r="P39" s="29"/>
      <c r="Q39" s="29"/>
    </row>
    <row r="40" ht="15.75" customHeight="1">
      <c r="B40" s="155"/>
      <c r="C40" s="156" t="s">
        <v>170</v>
      </c>
      <c r="D40" s="157" t="s">
        <v>246</v>
      </c>
      <c r="E40" s="157" t="s">
        <v>252</v>
      </c>
      <c r="F40" s="157" t="s">
        <v>222</v>
      </c>
      <c r="G40" s="157" t="s">
        <v>228</v>
      </c>
      <c r="H40" s="29"/>
      <c r="I40" s="155"/>
      <c r="J40" s="157" t="s">
        <v>170</v>
      </c>
      <c r="K40" s="157" t="s">
        <v>246</v>
      </c>
      <c r="L40" s="157" t="s">
        <v>252</v>
      </c>
      <c r="M40" s="157" t="s">
        <v>222</v>
      </c>
      <c r="N40" s="157" t="s">
        <v>228</v>
      </c>
      <c r="O40" s="29"/>
      <c r="P40" s="158" t="s">
        <v>170</v>
      </c>
      <c r="Q40" s="158" t="s">
        <v>171</v>
      </c>
      <c r="R40" s="158" t="s">
        <v>172</v>
      </c>
      <c r="S40" s="158" t="s">
        <v>173</v>
      </c>
      <c r="T40" s="158" t="s">
        <v>174</v>
      </c>
      <c r="U40" s="158" t="s">
        <v>175</v>
      </c>
      <c r="V40" s="158" t="s">
        <v>2</v>
      </c>
      <c r="W40" s="158" t="s">
        <v>176</v>
      </c>
      <c r="X40" s="158" t="s">
        <v>178</v>
      </c>
    </row>
    <row r="41" ht="15.75" customHeight="1">
      <c r="B41" s="155"/>
      <c r="C41" s="156" t="s">
        <v>171</v>
      </c>
      <c r="D41" s="157" t="s">
        <v>247</v>
      </c>
      <c r="E41" s="157" t="s">
        <v>253</v>
      </c>
      <c r="F41" s="157" t="s">
        <v>223</v>
      </c>
      <c r="G41" s="157" t="s">
        <v>150</v>
      </c>
      <c r="H41" s="29"/>
      <c r="I41" s="155"/>
      <c r="J41" s="157" t="s">
        <v>171</v>
      </c>
      <c r="K41" s="157" t="s">
        <v>247</v>
      </c>
      <c r="L41" s="157" t="s">
        <v>253</v>
      </c>
      <c r="M41" s="157" t="s">
        <v>223</v>
      </c>
      <c r="N41" s="157" t="s">
        <v>150</v>
      </c>
      <c r="O41" s="29"/>
      <c r="P41" s="158" t="s">
        <v>246</v>
      </c>
      <c r="Q41" s="158" t="s">
        <v>247</v>
      </c>
      <c r="R41" s="158" t="s">
        <v>248</v>
      </c>
      <c r="S41" s="158" t="s">
        <v>249</v>
      </c>
      <c r="T41" s="158" t="s">
        <v>250</v>
      </c>
      <c r="U41" s="158">
        <v>99708.0</v>
      </c>
      <c r="V41" s="158">
        <v>4896.0</v>
      </c>
      <c r="W41" s="158" t="s">
        <v>185</v>
      </c>
      <c r="X41" s="158">
        <v>73.0</v>
      </c>
    </row>
    <row r="42" ht="15.75" customHeight="1">
      <c r="B42" s="155"/>
      <c r="C42" s="156" t="s">
        <v>172</v>
      </c>
      <c r="D42" s="157" t="s">
        <v>248</v>
      </c>
      <c r="E42" s="157" t="s">
        <v>254</v>
      </c>
      <c r="F42" s="157" t="s">
        <v>224</v>
      </c>
      <c r="G42" s="157" t="s">
        <v>229</v>
      </c>
      <c r="H42" s="29"/>
      <c r="I42" s="155"/>
      <c r="J42" s="157" t="s">
        <v>172</v>
      </c>
      <c r="K42" s="157" t="s">
        <v>248</v>
      </c>
      <c r="L42" s="157" t="s">
        <v>254</v>
      </c>
      <c r="M42" s="157" t="s">
        <v>224</v>
      </c>
      <c r="N42" s="157" t="s">
        <v>229</v>
      </c>
      <c r="O42" s="29"/>
      <c r="P42" s="158" t="s">
        <v>252</v>
      </c>
      <c r="Q42" s="158" t="s">
        <v>253</v>
      </c>
      <c r="R42" s="158" t="s">
        <v>254</v>
      </c>
      <c r="S42" s="158" t="s">
        <v>249</v>
      </c>
      <c r="T42" s="158" t="s">
        <v>250</v>
      </c>
      <c r="U42" s="158">
        <v>99712.0</v>
      </c>
      <c r="V42" s="158">
        <v>7569.0</v>
      </c>
      <c r="W42" s="158" t="s">
        <v>195</v>
      </c>
      <c r="X42" s="158">
        <v>75.0</v>
      </c>
    </row>
    <row r="43" ht="15.75" customHeight="1">
      <c r="B43" s="155"/>
      <c r="C43" s="156" t="s">
        <v>173</v>
      </c>
      <c r="D43" s="157" t="s">
        <v>249</v>
      </c>
      <c r="E43" s="157" t="s">
        <v>249</v>
      </c>
      <c r="F43" s="157" t="s">
        <v>225</v>
      </c>
      <c r="G43" s="157" t="s">
        <v>225</v>
      </c>
      <c r="H43" s="29"/>
      <c r="I43" s="155"/>
      <c r="J43" s="157" t="s">
        <v>173</v>
      </c>
      <c r="K43" s="157" t="s">
        <v>249</v>
      </c>
      <c r="L43" s="157" t="s">
        <v>249</v>
      </c>
      <c r="M43" s="157" t="s">
        <v>225</v>
      </c>
      <c r="N43" s="157" t="s">
        <v>225</v>
      </c>
      <c r="O43" s="29"/>
      <c r="P43" s="158" t="s">
        <v>222</v>
      </c>
      <c r="Q43" s="158" t="s">
        <v>223</v>
      </c>
      <c r="R43" s="158" t="s">
        <v>224</v>
      </c>
      <c r="S43" s="158" t="s">
        <v>225</v>
      </c>
      <c r="T43" s="158" t="s">
        <v>226</v>
      </c>
      <c r="U43" s="158">
        <v>93012.0</v>
      </c>
      <c r="V43" s="158">
        <v>8923.0</v>
      </c>
      <c r="W43" s="158" t="s">
        <v>185</v>
      </c>
      <c r="X43" s="158">
        <v>16.0</v>
      </c>
    </row>
    <row r="44" ht="15.75" customHeight="1">
      <c r="B44" s="155"/>
      <c r="C44" s="156" t="s">
        <v>174</v>
      </c>
      <c r="D44" s="157" t="s">
        <v>250</v>
      </c>
      <c r="E44" s="157" t="s">
        <v>250</v>
      </c>
      <c r="F44" s="157" t="s">
        <v>226</v>
      </c>
      <c r="G44" s="157" t="s">
        <v>226</v>
      </c>
      <c r="H44" s="29"/>
      <c r="I44" s="155"/>
      <c r="J44" s="157" t="s">
        <v>174</v>
      </c>
      <c r="K44" s="157" t="s">
        <v>250</v>
      </c>
      <c r="L44" s="157" t="s">
        <v>250</v>
      </c>
      <c r="M44" s="157" t="s">
        <v>226</v>
      </c>
      <c r="N44" s="157" t="s">
        <v>226</v>
      </c>
      <c r="O44" s="29"/>
      <c r="P44" s="158" t="s">
        <v>228</v>
      </c>
      <c r="Q44" s="158" t="s">
        <v>150</v>
      </c>
      <c r="R44" s="158" t="s">
        <v>229</v>
      </c>
      <c r="S44" s="158" t="s">
        <v>225</v>
      </c>
      <c r="T44" s="158" t="s">
        <v>226</v>
      </c>
      <c r="U44" s="158">
        <v>93012.0</v>
      </c>
      <c r="V44" s="158">
        <v>6986.0</v>
      </c>
      <c r="W44" s="158" t="s">
        <v>195</v>
      </c>
      <c r="X44" s="158">
        <v>28.0</v>
      </c>
    </row>
    <row r="45" ht="15.75" customHeight="1">
      <c r="B45" s="155"/>
      <c r="C45" s="156" t="s">
        <v>175</v>
      </c>
      <c r="D45" s="157">
        <v>99708.0</v>
      </c>
      <c r="E45" s="157">
        <v>99712.0</v>
      </c>
      <c r="F45" s="157">
        <v>93012.0</v>
      </c>
      <c r="G45" s="157">
        <v>93012.0</v>
      </c>
      <c r="H45" s="29"/>
      <c r="I45" s="155"/>
      <c r="J45" s="157" t="s">
        <v>175</v>
      </c>
      <c r="K45" s="157">
        <v>99708.0</v>
      </c>
      <c r="L45" s="157">
        <v>99712.0</v>
      </c>
      <c r="M45" s="157">
        <v>93012.0</v>
      </c>
      <c r="N45" s="157">
        <v>93012.0</v>
      </c>
      <c r="O45" s="29"/>
      <c r="P45" s="29"/>
      <c r="Q45" s="29"/>
    </row>
    <row r="46" ht="15.75" customHeight="1">
      <c r="B46" s="155"/>
      <c r="C46" s="156" t="s">
        <v>2</v>
      </c>
      <c r="D46" s="157">
        <v>4896.0</v>
      </c>
      <c r="E46" s="157">
        <v>7569.0</v>
      </c>
      <c r="F46" s="157">
        <v>8923.0</v>
      </c>
      <c r="G46" s="157">
        <v>6986.0</v>
      </c>
      <c r="H46" s="29"/>
      <c r="I46" s="155"/>
      <c r="J46" s="157" t="s">
        <v>2</v>
      </c>
      <c r="K46" s="157">
        <v>4896.0</v>
      </c>
      <c r="L46" s="157">
        <v>7569.0</v>
      </c>
      <c r="M46" s="157">
        <v>8923.0</v>
      </c>
      <c r="N46" s="157">
        <v>6986.0</v>
      </c>
      <c r="O46" s="29"/>
      <c r="P46" s="29"/>
      <c r="Q46" s="29"/>
    </row>
    <row r="47" ht="15.75" customHeight="1">
      <c r="B47" s="155"/>
      <c r="C47" s="156" t="s">
        <v>176</v>
      </c>
      <c r="D47" s="157" t="s">
        <v>185</v>
      </c>
      <c r="E47" s="157" t="s">
        <v>195</v>
      </c>
      <c r="F47" s="157" t="s">
        <v>185</v>
      </c>
      <c r="G47" s="157" t="s">
        <v>195</v>
      </c>
      <c r="H47" s="29"/>
      <c r="I47" s="155"/>
      <c r="J47" s="157" t="s">
        <v>176</v>
      </c>
      <c r="K47" s="157" t="s">
        <v>185</v>
      </c>
      <c r="L47" s="157" t="s">
        <v>195</v>
      </c>
      <c r="M47" s="157" t="s">
        <v>185</v>
      </c>
      <c r="N47" s="157" t="s">
        <v>195</v>
      </c>
      <c r="O47" s="29"/>
      <c r="P47" s="29"/>
      <c r="Q47" s="29"/>
    </row>
    <row r="48" ht="15.75" customHeight="1">
      <c r="B48" s="155"/>
      <c r="C48" s="156" t="s">
        <v>178</v>
      </c>
      <c r="D48" s="157">
        <v>73.0</v>
      </c>
      <c r="E48" s="157">
        <v>75.0</v>
      </c>
      <c r="F48" s="157">
        <v>16.0</v>
      </c>
      <c r="G48" s="157">
        <v>28.0</v>
      </c>
      <c r="H48" s="29"/>
      <c r="I48" s="155"/>
      <c r="J48" s="157" t="s">
        <v>178</v>
      </c>
      <c r="K48" s="157">
        <v>73.0</v>
      </c>
      <c r="L48" s="157">
        <v>75.0</v>
      </c>
      <c r="M48" s="157">
        <v>16.0</v>
      </c>
      <c r="N48" s="157">
        <v>28.0</v>
      </c>
      <c r="O48" s="29"/>
      <c r="P48" s="29"/>
      <c r="Q48" s="29"/>
    </row>
    <row r="49" ht="15.75" customHeight="1"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</row>
    <row r="50" ht="15.75" customHeight="1"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</row>
    <row r="51" ht="15.75" customHeight="1">
      <c r="B51" s="29"/>
      <c r="C51" s="154"/>
      <c r="D51" s="154"/>
      <c r="E51" s="154"/>
      <c r="F51" s="154"/>
      <c r="G51" s="154"/>
      <c r="H51" s="29"/>
      <c r="I51" s="29"/>
      <c r="J51" s="29"/>
      <c r="K51" s="29"/>
      <c r="L51" s="29"/>
      <c r="M51" s="29"/>
      <c r="N51" s="29"/>
      <c r="O51" s="29"/>
      <c r="P51" s="29"/>
      <c r="Q51" s="29"/>
    </row>
    <row r="52" ht="15.75" customHeight="1">
      <c r="B52" s="155"/>
      <c r="C52" s="156" t="s">
        <v>170</v>
      </c>
      <c r="D52" s="157" t="s">
        <v>246</v>
      </c>
      <c r="E52" s="157" t="s">
        <v>252</v>
      </c>
      <c r="F52" s="157" t="s">
        <v>222</v>
      </c>
      <c r="G52" s="157" t="s">
        <v>228</v>
      </c>
      <c r="H52" s="29"/>
      <c r="I52" s="29"/>
      <c r="J52" s="29"/>
      <c r="K52" s="29"/>
      <c r="L52" s="29"/>
      <c r="M52" s="29"/>
      <c r="N52" s="29"/>
      <c r="O52" s="29"/>
      <c r="P52" s="29"/>
      <c r="Q52" s="29"/>
    </row>
    <row r="53" ht="15.75" customHeight="1">
      <c r="B53" s="155"/>
      <c r="C53" s="156" t="s">
        <v>171</v>
      </c>
      <c r="D53" s="157" t="s">
        <v>247</v>
      </c>
      <c r="E53" s="157" t="s">
        <v>253</v>
      </c>
      <c r="F53" s="157" t="s">
        <v>223</v>
      </c>
      <c r="G53" s="157" t="s">
        <v>150</v>
      </c>
      <c r="H53" s="29"/>
      <c r="I53" s="29"/>
      <c r="J53" s="29"/>
      <c r="K53" s="29"/>
      <c r="L53" s="29"/>
      <c r="M53" s="29"/>
      <c r="N53" s="29"/>
      <c r="O53" s="29"/>
      <c r="P53" s="29"/>
      <c r="Q53" s="29"/>
    </row>
    <row r="54" ht="15.75" customHeight="1">
      <c r="B54" s="155"/>
      <c r="C54" s="156" t="s">
        <v>172</v>
      </c>
      <c r="D54" s="157" t="s">
        <v>248</v>
      </c>
      <c r="E54" s="157" t="s">
        <v>254</v>
      </c>
      <c r="F54" s="157" t="s">
        <v>224</v>
      </c>
      <c r="G54" s="157" t="s">
        <v>229</v>
      </c>
      <c r="H54" s="29"/>
      <c r="I54" s="29"/>
      <c r="J54" s="29"/>
      <c r="K54" s="29"/>
      <c r="L54" s="29"/>
      <c r="M54" s="29"/>
      <c r="N54" s="29"/>
      <c r="O54" s="29"/>
      <c r="P54" s="29"/>
      <c r="Q54" s="29"/>
    </row>
    <row r="55" ht="15.75" customHeight="1">
      <c r="B55" s="155"/>
      <c r="C55" s="156" t="s">
        <v>173</v>
      </c>
      <c r="D55" s="157" t="s">
        <v>249</v>
      </c>
      <c r="E55" s="157" t="s">
        <v>249</v>
      </c>
      <c r="F55" s="157" t="s">
        <v>225</v>
      </c>
      <c r="G55" s="157" t="s">
        <v>225</v>
      </c>
      <c r="H55" s="29"/>
      <c r="I55" s="29"/>
      <c r="J55" s="29"/>
      <c r="K55" s="29"/>
      <c r="L55" s="29"/>
      <c r="M55" s="29"/>
      <c r="N55" s="29"/>
      <c r="O55" s="29"/>
      <c r="P55" s="29"/>
      <c r="Q55" s="29"/>
    </row>
    <row r="56" ht="15.75" customHeight="1">
      <c r="B56" s="155"/>
      <c r="C56" s="156" t="s">
        <v>174</v>
      </c>
      <c r="D56" s="157" t="s">
        <v>250</v>
      </c>
      <c r="E56" s="157" t="s">
        <v>250</v>
      </c>
      <c r="F56" s="157" t="s">
        <v>226</v>
      </c>
      <c r="G56" s="157" t="s">
        <v>226</v>
      </c>
      <c r="H56" s="29"/>
      <c r="I56" s="29"/>
      <c r="J56" s="29"/>
      <c r="K56" s="29"/>
      <c r="L56" s="29"/>
      <c r="M56" s="29"/>
      <c r="N56" s="29"/>
      <c r="O56" s="29"/>
      <c r="P56" s="29"/>
      <c r="Q56" s="29"/>
    </row>
    <row r="57" ht="15.75" customHeight="1">
      <c r="B57" s="155"/>
      <c r="C57" s="156" t="s">
        <v>175</v>
      </c>
      <c r="D57" s="157">
        <v>99708.0</v>
      </c>
      <c r="E57" s="157">
        <v>99712.0</v>
      </c>
      <c r="F57" s="157">
        <v>93012.0</v>
      </c>
      <c r="G57" s="157">
        <v>93012.0</v>
      </c>
      <c r="H57" s="29"/>
      <c r="I57" s="29"/>
      <c r="J57" s="29"/>
      <c r="K57" s="29"/>
      <c r="L57" s="29"/>
      <c r="M57" s="29"/>
      <c r="N57" s="29"/>
      <c r="O57" s="29"/>
      <c r="P57" s="29"/>
      <c r="Q57" s="29"/>
    </row>
    <row r="58" ht="15.75" customHeight="1">
      <c r="B58" s="155"/>
      <c r="C58" s="156" t="s">
        <v>2</v>
      </c>
      <c r="D58" s="157">
        <v>4896.0</v>
      </c>
      <c r="E58" s="157">
        <v>7569.0</v>
      </c>
      <c r="F58" s="157">
        <v>8923.0</v>
      </c>
      <c r="G58" s="157">
        <v>6986.0</v>
      </c>
      <c r="H58" s="29"/>
      <c r="I58" s="29"/>
      <c r="J58" s="29"/>
      <c r="K58" s="29"/>
      <c r="L58" s="29"/>
      <c r="M58" s="29"/>
      <c r="N58" s="29"/>
      <c r="O58" s="29"/>
      <c r="P58" s="29"/>
      <c r="Q58" s="29"/>
    </row>
    <row r="59" ht="15.75" customHeight="1">
      <c r="B59" s="155"/>
      <c r="C59" s="156" t="s">
        <v>176</v>
      </c>
      <c r="D59" s="157" t="s">
        <v>185</v>
      </c>
      <c r="E59" s="157" t="s">
        <v>195</v>
      </c>
      <c r="F59" s="157" t="s">
        <v>185</v>
      </c>
      <c r="G59" s="157" t="s">
        <v>195</v>
      </c>
      <c r="H59" s="29"/>
      <c r="I59" s="29"/>
      <c r="J59" s="29"/>
      <c r="K59" s="29"/>
      <c r="L59" s="29"/>
      <c r="M59" s="29"/>
      <c r="N59" s="29"/>
      <c r="O59" s="29"/>
      <c r="P59" s="29"/>
      <c r="Q59" s="29"/>
    </row>
    <row r="60" ht="15.75" customHeight="1">
      <c r="B60" s="155"/>
      <c r="C60" s="156" t="s">
        <v>178</v>
      </c>
      <c r="D60" s="157">
        <v>73.0</v>
      </c>
      <c r="E60" s="157">
        <v>75.0</v>
      </c>
      <c r="F60" s="157">
        <v>16.0</v>
      </c>
      <c r="G60" s="157">
        <v>28.0</v>
      </c>
      <c r="H60" s="29"/>
      <c r="I60" s="29"/>
      <c r="J60" s="29"/>
      <c r="K60" s="29"/>
      <c r="L60" s="29"/>
      <c r="M60" s="29"/>
      <c r="N60" s="29"/>
      <c r="O60" s="29"/>
      <c r="P60" s="29"/>
      <c r="Q60" s="29"/>
    </row>
    <row r="61" ht="15.75" customHeight="1"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</row>
    <row r="62" ht="15.75" customHeight="1">
      <c r="B62" s="29"/>
      <c r="C62" s="154"/>
      <c r="D62" s="154"/>
      <c r="E62" s="154"/>
      <c r="F62" s="154"/>
      <c r="G62" s="154"/>
      <c r="H62" s="29"/>
      <c r="I62" s="29"/>
      <c r="J62" s="29"/>
      <c r="K62" s="29"/>
      <c r="L62" s="29"/>
      <c r="M62" s="29"/>
      <c r="N62" s="29"/>
      <c r="O62" s="29"/>
      <c r="P62" s="29"/>
      <c r="Q62" s="29"/>
    </row>
    <row r="63" ht="15.75" customHeight="1">
      <c r="B63" s="155"/>
      <c r="C63" s="156" t="s">
        <v>170</v>
      </c>
      <c r="D63" s="157" t="s">
        <v>246</v>
      </c>
      <c r="E63" s="157" t="s">
        <v>252</v>
      </c>
      <c r="F63" s="157" t="s">
        <v>222</v>
      </c>
      <c r="G63" s="157" t="s">
        <v>228</v>
      </c>
      <c r="H63" s="29"/>
      <c r="I63" s="29"/>
      <c r="J63" s="29"/>
      <c r="K63" s="29"/>
      <c r="L63" s="29"/>
      <c r="M63" s="29"/>
      <c r="N63" s="29"/>
      <c r="O63" s="29"/>
      <c r="P63" s="29"/>
      <c r="Q63" s="29"/>
    </row>
    <row r="64" ht="15.75" customHeight="1">
      <c r="B64" s="155"/>
      <c r="C64" s="156" t="s">
        <v>171</v>
      </c>
      <c r="D64" s="157" t="s">
        <v>247</v>
      </c>
      <c r="E64" s="157" t="s">
        <v>253</v>
      </c>
      <c r="F64" s="157" t="s">
        <v>223</v>
      </c>
      <c r="G64" s="157" t="s">
        <v>150</v>
      </c>
      <c r="H64" s="29"/>
      <c r="I64" s="29"/>
      <c r="J64" s="29"/>
      <c r="K64" s="29"/>
      <c r="L64" s="29"/>
      <c r="M64" s="29"/>
      <c r="N64" s="29"/>
      <c r="O64" s="29"/>
      <c r="P64" s="29"/>
      <c r="Q64" s="29"/>
    </row>
    <row r="65" ht="15.75" customHeight="1">
      <c r="B65" s="155"/>
      <c r="C65" s="156" t="s">
        <v>172</v>
      </c>
      <c r="D65" s="157" t="s">
        <v>248</v>
      </c>
      <c r="E65" s="157" t="s">
        <v>254</v>
      </c>
      <c r="F65" s="157" t="s">
        <v>224</v>
      </c>
      <c r="G65" s="157" t="s">
        <v>229</v>
      </c>
      <c r="H65" s="29"/>
      <c r="I65" s="29"/>
      <c r="J65" s="29"/>
      <c r="K65" s="29"/>
      <c r="L65" s="29"/>
      <c r="M65" s="29"/>
      <c r="N65" s="29"/>
      <c r="O65" s="29"/>
      <c r="P65" s="29"/>
      <c r="Q65" s="29"/>
    </row>
    <row r="66" ht="15.75" customHeight="1">
      <c r="B66" s="155"/>
      <c r="C66" s="156" t="s">
        <v>173</v>
      </c>
      <c r="D66" s="157" t="s">
        <v>249</v>
      </c>
      <c r="E66" s="157" t="s">
        <v>249</v>
      </c>
      <c r="F66" s="157" t="s">
        <v>225</v>
      </c>
      <c r="G66" s="157" t="s">
        <v>225</v>
      </c>
      <c r="H66" s="29"/>
      <c r="I66" s="29"/>
      <c r="J66" s="29"/>
      <c r="K66" s="29"/>
      <c r="L66" s="29"/>
      <c r="M66" s="29"/>
      <c r="N66" s="29"/>
      <c r="O66" s="29"/>
      <c r="P66" s="29"/>
      <c r="Q66" s="29"/>
    </row>
    <row r="67" ht="15.75" customHeight="1">
      <c r="B67" s="155"/>
      <c r="C67" s="156" t="s">
        <v>174</v>
      </c>
      <c r="D67" s="157" t="s">
        <v>250</v>
      </c>
      <c r="E67" s="157" t="s">
        <v>250</v>
      </c>
      <c r="F67" s="157" t="s">
        <v>226</v>
      </c>
      <c r="G67" s="157" t="s">
        <v>226</v>
      </c>
      <c r="H67" s="29"/>
      <c r="I67" s="29"/>
      <c r="J67" s="29"/>
      <c r="K67" s="29"/>
      <c r="L67" s="29"/>
      <c r="M67" s="29"/>
      <c r="N67" s="29"/>
      <c r="O67" s="29"/>
      <c r="P67" s="29"/>
      <c r="Q67" s="29"/>
    </row>
    <row r="68" ht="15.75" customHeight="1">
      <c r="B68" s="155"/>
      <c r="C68" s="156" t="s">
        <v>175</v>
      </c>
      <c r="D68" s="157">
        <v>99708.0</v>
      </c>
      <c r="E68" s="157">
        <v>99712.0</v>
      </c>
      <c r="F68" s="157">
        <v>93012.0</v>
      </c>
      <c r="G68" s="157">
        <v>93012.0</v>
      </c>
      <c r="H68" s="29"/>
      <c r="I68" s="29"/>
      <c r="J68" s="29"/>
      <c r="K68" s="29"/>
      <c r="L68" s="29"/>
      <c r="M68" s="29"/>
      <c r="N68" s="29"/>
      <c r="O68" s="29"/>
      <c r="P68" s="29"/>
      <c r="Q68" s="29"/>
    </row>
    <row r="69" ht="15.75" customHeight="1">
      <c r="B69" s="155"/>
      <c r="C69" s="156" t="s">
        <v>2</v>
      </c>
      <c r="D69" s="157">
        <v>4896.0</v>
      </c>
      <c r="E69" s="157">
        <v>7569.0</v>
      </c>
      <c r="F69" s="157">
        <v>8923.0</v>
      </c>
      <c r="G69" s="157">
        <v>6986.0</v>
      </c>
      <c r="H69" s="29"/>
      <c r="I69" s="29"/>
      <c r="J69" s="29"/>
      <c r="K69" s="29"/>
      <c r="L69" s="29"/>
      <c r="M69" s="29"/>
      <c r="N69" s="29"/>
      <c r="O69" s="29"/>
      <c r="P69" s="29"/>
      <c r="Q69" s="29"/>
    </row>
    <row r="70" ht="15.75" customHeight="1">
      <c r="B70" s="155"/>
      <c r="C70" s="156" t="s">
        <v>176</v>
      </c>
      <c r="D70" s="157" t="s">
        <v>185</v>
      </c>
      <c r="E70" s="157" t="s">
        <v>195</v>
      </c>
      <c r="F70" s="157" t="s">
        <v>185</v>
      </c>
      <c r="G70" s="157" t="s">
        <v>195</v>
      </c>
      <c r="H70" s="29"/>
      <c r="I70" s="29"/>
      <c r="J70" s="29"/>
      <c r="K70" s="29"/>
      <c r="L70" s="29"/>
      <c r="M70" s="29"/>
      <c r="N70" s="29"/>
      <c r="O70" s="29"/>
      <c r="P70" s="29"/>
      <c r="Q70" s="29"/>
    </row>
    <row r="71" ht="15.75" customHeight="1">
      <c r="B71" s="155"/>
      <c r="C71" s="156" t="s">
        <v>178</v>
      </c>
      <c r="D71" s="157">
        <v>73.0</v>
      </c>
      <c r="E71" s="157">
        <v>75.0</v>
      </c>
      <c r="F71" s="157">
        <v>16.0</v>
      </c>
      <c r="G71" s="157">
        <v>28.0</v>
      </c>
      <c r="H71" s="29"/>
      <c r="I71" s="29"/>
      <c r="J71" s="29"/>
      <c r="K71" s="29"/>
      <c r="L71" s="29"/>
      <c r="M71" s="29"/>
      <c r="N71" s="29"/>
      <c r="O71" s="29"/>
      <c r="P71" s="29"/>
      <c r="Q71" s="29"/>
    </row>
    <row r="72" ht="15.75" customHeight="1"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</row>
    <row r="73" ht="15.75" customHeight="1"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</row>
    <row r="74" ht="15.75" customHeight="1"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17:F17">
    <cfRule type="containsText" dxfId="14" priority="1" operator="containsText" text="M">
      <formula>NOT(ISERROR(SEARCH(("M"),(C17))))</formula>
    </cfRule>
  </conditionalFormatting>
  <conditionalFormatting sqref="C13:F13">
    <cfRule type="containsText" dxfId="15" priority="2" operator="containsText" text="Falrbanks">
      <formula>NOT(ISERROR(SEARCH(("Falrbanks"),(C13))))</formula>
    </cfRule>
  </conditionalFormatting>
  <conditionalFormatting sqref="C17:F17">
    <cfRule type="cellIs" dxfId="16" priority="3" operator="greaterThan">
      <formula>60</formula>
    </cfRule>
  </conditionalFormatting>
  <conditionalFormatting sqref="R40:R44">
    <cfRule type="containsText" dxfId="17" priority="4" operator="containsText" text="Morena">
      <formula>NOT(ISERROR(SEARCH(("Morena"),(R40))))</formula>
    </cfRule>
  </conditionalFormatting>
  <drawing r:id="rId1"/>
  <tableParts count="1">
    <tablePart r:id="rId3"/>
  </tableParts>
</worksheet>
</file>