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Topics\ChannelHydraulics\2perCent\DataAquisition\"/>
    </mc:Choice>
  </mc:AlternateContent>
  <bookViews>
    <workbookView xWindow="480" yWindow="135" windowWidth="13710" windowHeight="11610" activeTab="1"/>
  </bookViews>
  <sheets>
    <sheet name="Sheet1" sheetId="1" r:id="rId1"/>
    <sheet name="Kst_Je" sheetId="3" r:id="rId2"/>
  </sheets>
  <definedNames>
    <definedName name="beta">Sheet1!$B$15</definedName>
    <definedName name="dx_12">Sheet1!$B$20</definedName>
    <definedName name="dx_45">Sheet1!$B$22</definedName>
    <definedName name="dz_12">Sheet1!$B$19</definedName>
    <definedName name="dz_45">Sheet1!$B$21</definedName>
    <definedName name="J">Sheet1!$B$10</definedName>
    <definedName name="v_1">Kst_Je!$H$8</definedName>
    <definedName name="v_2">Kst_Je!$I$8</definedName>
    <definedName name="v_4">Kst_Je!$K$8</definedName>
    <definedName name="v_5">Kst_Je!$L$8</definedName>
    <definedName name="w0">Sheet1!$B$16</definedName>
  </definedNames>
  <calcPr calcId="152511"/>
</workbook>
</file>

<file path=xl/calcChain.xml><?xml version="1.0" encoding="utf-8"?>
<calcChain xmlns="http://schemas.openxmlformats.org/spreadsheetml/2006/main">
  <c r="P32" i="1" l="1"/>
  <c r="Q32" i="1"/>
  <c r="R32" i="1"/>
  <c r="S32" i="1"/>
  <c r="T32" i="1"/>
  <c r="U32" i="1"/>
  <c r="V32" i="1"/>
  <c r="O32" i="1"/>
  <c r="D29" i="3"/>
  <c r="C28" i="3"/>
  <c r="D28" i="3" s="1"/>
  <c r="C29" i="3"/>
  <c r="C30" i="3"/>
  <c r="D30" i="3" s="1"/>
  <c r="E30" i="3" s="1"/>
  <c r="C27" i="3"/>
  <c r="D27" i="3" s="1"/>
  <c r="B28" i="3"/>
  <c r="B29" i="3"/>
  <c r="E29" i="3" s="1"/>
  <c r="B30" i="3"/>
  <c r="B27" i="3"/>
  <c r="E28" i="3" l="1"/>
  <c r="E27" i="3"/>
  <c r="T44" i="1" l="1"/>
  <c r="T45" i="1"/>
  <c r="T46" i="1"/>
  <c r="T47" i="1"/>
  <c r="T48" i="1"/>
  <c r="R44" i="1"/>
  <c r="R45" i="1"/>
  <c r="R46" i="1"/>
  <c r="R47" i="1"/>
  <c r="R48" i="1"/>
  <c r="P44" i="1"/>
  <c r="P45" i="1"/>
  <c r="P46" i="1"/>
  <c r="P47" i="1"/>
  <c r="P48" i="1"/>
  <c r="P43" i="1"/>
  <c r="R43" i="1"/>
  <c r="T43" i="1"/>
  <c r="V44" i="1"/>
  <c r="V45" i="1"/>
  <c r="V46" i="1"/>
  <c r="V47" i="1"/>
  <c r="V48" i="1"/>
  <c r="V43" i="1"/>
  <c r="S3" i="3" l="1"/>
  <c r="T3" i="3"/>
  <c r="U3" i="3"/>
  <c r="V3" i="3"/>
  <c r="S4" i="3"/>
  <c r="T4" i="3"/>
  <c r="U4" i="3"/>
  <c r="V4" i="3"/>
  <c r="S5" i="3"/>
  <c r="T5" i="3"/>
  <c r="U5" i="3"/>
  <c r="V5" i="3"/>
  <c r="S6" i="3"/>
  <c r="T6" i="3"/>
  <c r="U6" i="3"/>
  <c r="V6" i="3"/>
  <c r="R4" i="3"/>
  <c r="R5" i="3"/>
  <c r="R6" i="3"/>
  <c r="R3" i="3"/>
  <c r="Q5" i="3"/>
  <c r="L5" i="3" s="1"/>
  <c r="O3" i="3"/>
  <c r="J3" i="3" s="1"/>
  <c r="N4" i="3"/>
  <c r="I4" i="3" s="1"/>
  <c r="O4" i="3"/>
  <c r="J4" i="3" s="1"/>
  <c r="P4" i="3"/>
  <c r="K4" i="3" s="1"/>
  <c r="Q4" i="3"/>
  <c r="L4" i="3" s="1"/>
  <c r="N5" i="3"/>
  <c r="I5" i="3" s="1"/>
  <c r="O5" i="3"/>
  <c r="J5" i="3" s="1"/>
  <c r="P5" i="3"/>
  <c r="K5" i="3" s="1"/>
  <c r="N6" i="3"/>
  <c r="I6" i="3" s="1"/>
  <c r="O6" i="3"/>
  <c r="J6" i="3" s="1"/>
  <c r="P6" i="3"/>
  <c r="K6" i="3" s="1"/>
  <c r="Q6" i="3"/>
  <c r="L6" i="3" s="1"/>
  <c r="P3" i="3"/>
  <c r="K3" i="3" s="1"/>
  <c r="Q3" i="3"/>
  <c r="L3" i="3" s="1"/>
  <c r="N3" i="3"/>
  <c r="I3" i="3" s="1"/>
  <c r="M4" i="3"/>
  <c r="H4" i="3" s="1"/>
  <c r="M5" i="3"/>
  <c r="H5" i="3" s="1"/>
  <c r="M6" i="3"/>
  <c r="H6" i="3" s="1"/>
  <c r="M3" i="3"/>
  <c r="H3" i="3" s="1"/>
  <c r="D33" i="3" l="1"/>
  <c r="L8" i="3"/>
  <c r="I8" i="3"/>
  <c r="J8" i="3"/>
  <c r="K8" i="3"/>
  <c r="H8" i="3"/>
  <c r="E20" i="3"/>
  <c r="E21" i="3"/>
  <c r="E22" i="3"/>
  <c r="E19" i="3"/>
  <c r="E12" i="3"/>
  <c r="E13" i="3"/>
  <c r="E14" i="3"/>
  <c r="E11" i="3"/>
  <c r="D20" i="3"/>
  <c r="D21" i="3"/>
  <c r="F21" i="3" s="1"/>
  <c r="D22" i="3"/>
  <c r="D19" i="3"/>
  <c r="F19" i="3" s="1"/>
  <c r="D12" i="3"/>
  <c r="F12" i="3" s="1"/>
  <c r="D13" i="3"/>
  <c r="D14" i="3"/>
  <c r="F14" i="3" s="1"/>
  <c r="D11" i="3"/>
  <c r="V23" i="1"/>
  <c r="T23" i="1"/>
  <c r="R23" i="1"/>
  <c r="P23" i="1"/>
  <c r="C13" i="3" l="1"/>
  <c r="C14" i="3"/>
  <c r="G14" i="3" s="1"/>
  <c r="C12" i="3"/>
  <c r="G12" i="3" s="1"/>
  <c r="C11" i="3"/>
  <c r="F22" i="3"/>
  <c r="C21" i="3"/>
  <c r="G21" i="3" s="1"/>
  <c r="C19" i="3"/>
  <c r="G19" i="3" s="1"/>
  <c r="C20" i="3"/>
  <c r="C22" i="3"/>
  <c r="F20" i="3"/>
  <c r="F13" i="3"/>
  <c r="F11" i="3"/>
  <c r="O2" i="1"/>
  <c r="O36" i="1" s="1"/>
  <c r="P2" i="1"/>
  <c r="O37" i="1" s="1"/>
  <c r="Q2" i="1"/>
  <c r="O38" i="1" s="1"/>
  <c r="R2" i="1"/>
  <c r="O39" i="1" s="1"/>
  <c r="S2" i="1"/>
  <c r="O40" i="1" s="1"/>
  <c r="O3" i="1"/>
  <c r="P3" i="1"/>
  <c r="Q37" i="1" s="1"/>
  <c r="Q3" i="1"/>
  <c r="Q38" i="1" s="1"/>
  <c r="R3" i="1"/>
  <c r="Q39" i="1" s="1"/>
  <c r="S3" i="1"/>
  <c r="Q40" i="1" s="1"/>
  <c r="O4" i="1"/>
  <c r="S36" i="1" s="1"/>
  <c r="P4" i="1"/>
  <c r="S37" i="1" s="1"/>
  <c r="Q4" i="1"/>
  <c r="S38" i="1" s="1"/>
  <c r="R4" i="1"/>
  <c r="S39" i="1" s="1"/>
  <c r="S4" i="1"/>
  <c r="S40" i="1" s="1"/>
  <c r="O5" i="1"/>
  <c r="U36" i="1" s="1"/>
  <c r="P5" i="1"/>
  <c r="U37" i="1" s="1"/>
  <c r="Q5" i="1"/>
  <c r="U38" i="1" s="1"/>
  <c r="R5" i="1"/>
  <c r="U39" i="1" s="1"/>
  <c r="S5" i="1"/>
  <c r="U40" i="1" s="1"/>
  <c r="J9" i="1"/>
  <c r="J15" i="1" s="1"/>
  <c r="J10" i="1"/>
  <c r="J16" i="1" s="1"/>
  <c r="J11" i="1"/>
  <c r="J23" i="1" s="1"/>
  <c r="J8" i="1"/>
  <c r="J20" i="1" s="1"/>
  <c r="I9" i="1"/>
  <c r="I15" i="1" s="1"/>
  <c r="I10" i="1"/>
  <c r="I16" i="1" s="1"/>
  <c r="I11" i="1"/>
  <c r="I23" i="1" s="1"/>
  <c r="I8" i="1"/>
  <c r="I20" i="1" s="1"/>
  <c r="H9" i="1"/>
  <c r="H21" i="1" s="1"/>
  <c r="H10" i="1"/>
  <c r="H22" i="1" s="1"/>
  <c r="H11" i="1"/>
  <c r="H23" i="1" s="1"/>
  <c r="H8" i="1"/>
  <c r="H14" i="1" s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P8" i="1"/>
  <c r="Q8" i="1"/>
  <c r="R8" i="1"/>
  <c r="S8" i="1"/>
  <c r="O8" i="1"/>
  <c r="G11" i="3" l="1"/>
  <c r="H15" i="3" s="1"/>
  <c r="G22" i="3"/>
  <c r="G13" i="3"/>
  <c r="Q36" i="1"/>
  <c r="O15" i="1"/>
  <c r="G20" i="3"/>
  <c r="H23" i="3" s="1"/>
  <c r="H15" i="1"/>
  <c r="H28" i="1" s="1"/>
  <c r="I17" i="1"/>
  <c r="I26" i="1" s="1"/>
  <c r="I14" i="1"/>
  <c r="I29" i="1" s="1"/>
  <c r="Q17" i="1"/>
  <c r="S15" i="1"/>
  <c r="R16" i="1"/>
  <c r="J14" i="1"/>
  <c r="J29" i="1" s="1"/>
  <c r="H17" i="1"/>
  <c r="H26" i="1" s="1"/>
  <c r="I22" i="1"/>
  <c r="I27" i="1" s="1"/>
  <c r="J22" i="1"/>
  <c r="J27" i="1" s="1"/>
  <c r="H16" i="1"/>
  <c r="H27" i="1" s="1"/>
  <c r="J21" i="1"/>
  <c r="J28" i="1" s="1"/>
  <c r="J17" i="1"/>
  <c r="J26" i="1" s="1"/>
  <c r="H20" i="1"/>
  <c r="H29" i="1" s="1"/>
  <c r="I21" i="1"/>
  <c r="I28" i="1" s="1"/>
  <c r="S14" i="1"/>
  <c r="S16" i="1"/>
  <c r="R14" i="1"/>
  <c r="P17" i="1"/>
  <c r="O14" i="1"/>
  <c r="Q14" i="1"/>
  <c r="P14" i="1"/>
  <c r="Q16" i="1"/>
  <c r="R15" i="1"/>
  <c r="S17" i="1"/>
  <c r="P16" i="1"/>
  <c r="O17" i="1"/>
  <c r="Q15" i="1"/>
  <c r="R17" i="1"/>
  <c r="O16" i="1"/>
  <c r="P15" i="1"/>
  <c r="I33" i="1" l="1"/>
  <c r="H33" i="1"/>
  <c r="J33" i="1"/>
</calcChain>
</file>

<file path=xl/sharedStrings.xml><?xml version="1.0" encoding="utf-8"?>
<sst xmlns="http://schemas.openxmlformats.org/spreadsheetml/2006/main" count="148" uniqueCount="109">
  <si>
    <t>h1</t>
  </si>
  <si>
    <t>h2</t>
  </si>
  <si>
    <t>h3</t>
  </si>
  <si>
    <t>h4</t>
  </si>
  <si>
    <t>h5</t>
  </si>
  <si>
    <t>Q</t>
  </si>
  <si>
    <t>Constantes</t>
  </si>
  <si>
    <t xml:space="preserve">g </t>
  </si>
  <si>
    <t>[m/s²]</t>
  </si>
  <si>
    <t xml:space="preserve">rhos </t>
  </si>
  <si>
    <t>[kg/m³] densite sediment</t>
  </si>
  <si>
    <t xml:space="preserve">rhof </t>
  </si>
  <si>
    <t>[kg/m³] densite fluide</t>
  </si>
  <si>
    <t xml:space="preserve">s </t>
  </si>
  <si>
    <t>[-] densite relative</t>
  </si>
  <si>
    <t xml:space="preserve">phi </t>
  </si>
  <si>
    <t>[°] internal grain friction angle</t>
  </si>
  <si>
    <t xml:space="preserve">T </t>
  </si>
  <si>
    <t>[°C] temperature eau</t>
  </si>
  <si>
    <t xml:space="preserve">nu </t>
  </si>
  <si>
    <t xml:space="preserve">[m²/s] viscosite cinematique </t>
  </si>
  <si>
    <t>Variables</t>
  </si>
  <si>
    <t xml:space="preserve">J </t>
  </si>
  <si>
    <t>[-] pente longitudinale</t>
  </si>
  <si>
    <t xml:space="preserve">D30 </t>
  </si>
  <si>
    <t>[m] D30 du lit</t>
  </si>
  <si>
    <t xml:space="preserve">D50 </t>
  </si>
  <si>
    <t>[m] D50 du lit</t>
  </si>
  <si>
    <t xml:space="preserve">Dm </t>
  </si>
  <si>
    <t>[m] Dm du lit</t>
  </si>
  <si>
    <t xml:space="preserve">D90 </t>
  </si>
  <si>
    <t>[m] D90 du lit</t>
  </si>
  <si>
    <t xml:space="preserve">beta </t>
  </si>
  <si>
    <t xml:space="preserve"> [°] pente des berges</t>
  </si>
  <si>
    <t xml:space="preserve">w0 </t>
  </si>
  <si>
    <t xml:space="preserve"> [m] largeur du canal</t>
  </si>
  <si>
    <t xml:space="preserve">Dx </t>
  </si>
  <si>
    <t>[-]</t>
  </si>
  <si>
    <t>Xi</t>
  </si>
  <si>
    <t>kst/kst'</t>
  </si>
  <si>
    <t>A1</t>
  </si>
  <si>
    <t>A2</t>
  </si>
  <si>
    <t>A3</t>
  </si>
  <si>
    <t>A4</t>
  </si>
  <si>
    <t>A5</t>
  </si>
  <si>
    <t>P1</t>
  </si>
  <si>
    <t>P2</t>
  </si>
  <si>
    <t>P3</t>
  </si>
  <si>
    <t>P4</t>
  </si>
  <si>
    <t>P5</t>
  </si>
  <si>
    <t>kst1-2</t>
  </si>
  <si>
    <t>h1-2</t>
  </si>
  <si>
    <t>h4-5</t>
  </si>
  <si>
    <t>h2-4</t>
  </si>
  <si>
    <t>kst2-4</t>
  </si>
  <si>
    <t>Q1</t>
  </si>
  <si>
    <t>Q2</t>
  </si>
  <si>
    <t>Q3</t>
  </si>
  <si>
    <t>Q4</t>
  </si>
  <si>
    <t>vb</t>
  </si>
  <si>
    <t>mesuré</t>
  </si>
  <si>
    <t>calculé</t>
  </si>
  <si>
    <t>q1</t>
  </si>
  <si>
    <t>q2</t>
  </si>
  <si>
    <t>q3</t>
  </si>
  <si>
    <t>q4</t>
  </si>
  <si>
    <t>Tronçon 1-2</t>
  </si>
  <si>
    <t>Tronçon 4-5</t>
  </si>
  <si>
    <t>h US1</t>
  </si>
  <si>
    <t>h US2</t>
  </si>
  <si>
    <t>h US3</t>
  </si>
  <si>
    <t>h US4</t>
  </si>
  <si>
    <t>h US5</t>
  </si>
  <si>
    <t>dz_12</t>
  </si>
  <si>
    <t>dx_12</t>
  </si>
  <si>
    <t>[m]</t>
  </si>
  <si>
    <t>dz_45</t>
  </si>
  <si>
    <t>dx_45</t>
  </si>
  <si>
    <t>Je12</t>
  </si>
  <si>
    <t>Je45</t>
  </si>
  <si>
    <t>--</t>
  </si>
  <si>
    <t>v US1</t>
  </si>
  <si>
    <t>v US2</t>
  </si>
  <si>
    <t>v US3</t>
  </si>
  <si>
    <t>v US4</t>
  </si>
  <si>
    <t>v US5</t>
  </si>
  <si>
    <t>A12</t>
  </si>
  <si>
    <t>A45</t>
  </si>
  <si>
    <t>P12</t>
  </si>
  <si>
    <t>P45</t>
  </si>
  <si>
    <t>KSt</t>
  </si>
  <si>
    <t>Rh</t>
  </si>
  <si>
    <t>Données</t>
  </si>
  <si>
    <t>U US1</t>
  </si>
  <si>
    <t>U US2</t>
  </si>
  <si>
    <t>U US3</t>
  </si>
  <si>
    <t>U US4</t>
  </si>
  <si>
    <t>U US5</t>
  </si>
  <si>
    <t>Hyp. 0.8*vmax</t>
  </si>
  <si>
    <t>x</t>
  </si>
  <si>
    <t>y</t>
  </si>
  <si>
    <t>f_red</t>
  </si>
  <si>
    <t>Correlation</t>
  </si>
  <si>
    <t>Froude</t>
  </si>
  <si>
    <t>A345</t>
  </si>
  <si>
    <t>h345</t>
  </si>
  <si>
    <t>v345</t>
  </si>
  <si>
    <t>U(4)/U(5)</t>
  </si>
  <si>
    <r>
      <t>R</t>
    </r>
    <r>
      <rPr>
        <vertAlign val="superscript"/>
        <sz val="11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</si>
</sst>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sz val="12"/>
      <color rgb="FF3F3F76"/>
      <name val="Times New Roman"/>
      <family val="2"/>
    </font>
    <font>
      <sz val="12"/>
      <color rgb="FF9C6500"/>
      <name val="Times New Roman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2" fillId="4" borderId="1" applyNumberFormat="0" applyAlignment="0" applyProtection="0"/>
    <xf numFmtId="0" fontId="3" fillId="3" borderId="1" applyNumberFormat="0" applyAlignment="0" applyProtection="0"/>
    <xf numFmtId="0" fontId="4" fillId="2" borderId="0" applyNumberFormat="0" applyBorder="0" applyAlignment="0" applyProtection="0"/>
  </cellStyleXfs>
  <cellXfs count="8">
    <xf numFmtId="0" fontId="0" fillId="0" borderId="0" xfId="0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>
      <alignment horizontal="center" vertical="center" textRotation="90"/>
    </xf>
  </cellXfs>
  <cellStyles count="5">
    <cellStyle name="Calculation 2" xfId="2"/>
    <cellStyle name="Input 2" xfId="3"/>
    <cellStyle name="Neutral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-25000"/>
              <a:t>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Tronçon 1-2</c:v>
                </c:pt>
              </c:strCache>
            </c:strRef>
          </c:tx>
          <c:invertIfNegative val="0"/>
          <c:cat>
            <c:numRef>
              <c:f>Sheet1!$F$26:$F$29</c:f>
              <c:numCache>
                <c:formatCode>General</c:formatCode>
                <c:ptCount val="4"/>
                <c:pt idx="0">
                  <c:v>5.46</c:v>
                </c:pt>
                <c:pt idx="1">
                  <c:v>6.9</c:v>
                </c:pt>
                <c:pt idx="2">
                  <c:v>8.7200000000000006</c:v>
                </c:pt>
                <c:pt idx="3">
                  <c:v>11.2</c:v>
                </c:pt>
              </c:numCache>
            </c:num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36.949080703710301</c:v>
                </c:pt>
                <c:pt idx="1">
                  <c:v>37.848250379543813</c:v>
                </c:pt>
                <c:pt idx="2">
                  <c:v>40.267794032280534</c:v>
                </c:pt>
                <c:pt idx="3">
                  <c:v>41.213761637326044</c:v>
                </c:pt>
              </c:numCache>
            </c:numRef>
          </c:val>
        </c:ser>
        <c:ser>
          <c:idx val="1"/>
          <c:order val="1"/>
          <c:tx>
            <c:strRef>
              <c:f>Sheet1!$J$25</c:f>
              <c:strCache>
                <c:ptCount val="1"/>
                <c:pt idx="0">
                  <c:v>Tronçon 4-5</c:v>
                </c:pt>
              </c:strCache>
            </c:strRef>
          </c:tx>
          <c:invertIfNegative val="0"/>
          <c:cat>
            <c:numRef>
              <c:f>Sheet1!$F$26:$F$29</c:f>
              <c:numCache>
                <c:formatCode>General</c:formatCode>
                <c:ptCount val="4"/>
                <c:pt idx="0">
                  <c:v>5.46</c:v>
                </c:pt>
                <c:pt idx="1">
                  <c:v>6.9</c:v>
                </c:pt>
                <c:pt idx="2">
                  <c:v>8.7200000000000006</c:v>
                </c:pt>
                <c:pt idx="3">
                  <c:v>11.2</c:v>
                </c:pt>
              </c:numCache>
            </c:numRef>
          </c:cat>
          <c:val>
            <c:numRef>
              <c:f>Sheet1!$J$26:$J$29</c:f>
              <c:numCache>
                <c:formatCode>General</c:formatCode>
                <c:ptCount val="4"/>
                <c:pt idx="0">
                  <c:v>46.683049365547497</c:v>
                </c:pt>
                <c:pt idx="1">
                  <c:v>46.330426265150699</c:v>
                </c:pt>
                <c:pt idx="2">
                  <c:v>48.951710136743614</c:v>
                </c:pt>
                <c:pt idx="3">
                  <c:v>52.419772871224431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94128"/>
        <c:axId val="253694688"/>
      </c:barChart>
      <c:catAx>
        <c:axId val="25369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[l/s]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694688"/>
        <c:crosses val="autoZero"/>
        <c:auto val="1"/>
        <c:lblAlgn val="ctr"/>
        <c:lblOffset val="100"/>
        <c:noMultiLvlLbl val="0"/>
      </c:catAx>
      <c:valAx>
        <c:axId val="25369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K</a:t>
                </a:r>
                <a:r>
                  <a:rPr lang="fr-CH" baseline="-25000"/>
                  <a:t>ST</a:t>
                </a:r>
                <a:r>
                  <a:rPr lang="fr-CH"/>
                  <a:t> [m</a:t>
                </a:r>
                <a:r>
                  <a:rPr lang="fr-CH" baseline="30000"/>
                  <a:t>1/3</a:t>
                </a:r>
                <a:r>
                  <a:rPr lang="fr-CH"/>
                  <a:t>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69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57742782152626E-2"/>
          <c:y val="5.1400554097404488E-2"/>
          <c:w val="0.746233814523186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Sheet1!$N$36</c:f>
              <c:strCache>
                <c:ptCount val="1"/>
                <c:pt idx="0">
                  <c:v>U US1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(Sheet1!$O$25,Sheet1!$Q$25,Sheet1!$S$25:$T$25,Sheet1!$S$25,Sheet1!$S$25,Sheet1!$T$25,Sheet1!$U$25)</c:f>
              <c:numCache>
                <c:formatCode>General</c:formatCode>
                <c:ptCount val="8"/>
                <c:pt idx="0">
                  <c:v>1.28</c:v>
                </c:pt>
                <c:pt idx="1">
                  <c:v>1.07</c:v>
                </c:pt>
                <c:pt idx="2">
                  <c:v>1.1200000000000001</c:v>
                </c:pt>
                <c:pt idx="3">
                  <c:v>1.21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1.21</c:v>
                </c:pt>
                <c:pt idx="7">
                  <c:v>0.88</c:v>
                </c:pt>
              </c:numCache>
            </c:numRef>
          </c:xVal>
          <c:yVal>
            <c:numRef>
              <c:f>(Sheet1!$O$36,Sheet1!$Q$36,Sheet1!$S$36,Sheet1!$U$36)</c:f>
              <c:numCache>
                <c:formatCode>General</c:formatCode>
                <c:ptCount val="4"/>
                <c:pt idx="0">
                  <c:v>0.32342117728389785</c:v>
                </c:pt>
                <c:pt idx="1">
                  <c:v>0.48733703099584047</c:v>
                </c:pt>
                <c:pt idx="2">
                  <c:v>0.69331876323490071</c:v>
                </c:pt>
                <c:pt idx="3">
                  <c:v>1.0404828088923033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Sheet1!$N$37</c:f>
              <c:strCache>
                <c:ptCount val="1"/>
                <c:pt idx="0">
                  <c:v>U US2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(Sheet1!$O$26,Sheet1!$Q$26,Sheet1!$S$26,Sheet1!$U$26)</c:f>
              <c:numCache>
                <c:formatCode>General</c:formatCode>
                <c:ptCount val="4"/>
                <c:pt idx="0">
                  <c:v>1.04</c:v>
                </c:pt>
                <c:pt idx="1">
                  <c:v>0.95</c:v>
                </c:pt>
                <c:pt idx="2">
                  <c:v>0.92</c:v>
                </c:pt>
                <c:pt idx="3">
                  <c:v>0.84</c:v>
                </c:pt>
              </c:numCache>
            </c:numRef>
          </c:xVal>
          <c:yVal>
            <c:numRef>
              <c:f>(Sheet1!$O$37,Sheet1!$Q$37,Sheet1!$S$37,Sheet1!$U$37)</c:f>
              <c:numCache>
                <c:formatCode>General</c:formatCode>
                <c:ptCount val="4"/>
                <c:pt idx="0">
                  <c:v>0.34836694597379392</c:v>
                </c:pt>
                <c:pt idx="1">
                  <c:v>0.51355666595755134</c:v>
                </c:pt>
                <c:pt idx="2">
                  <c:v>0.73940406917659418</c:v>
                </c:pt>
                <c:pt idx="3">
                  <c:v>1.0993159457186954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Sheet1!$N$38</c:f>
              <c:strCache>
                <c:ptCount val="1"/>
                <c:pt idx="0">
                  <c:v>U US3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(Sheet1!$O$27,Sheet1!$Q$27,Sheet1!$S$27,Sheet1!$U$27)</c:f>
              <c:numCache>
                <c:formatCode>General</c:formatCode>
                <c:ptCount val="4"/>
                <c:pt idx="0">
                  <c:v>1.07</c:v>
                </c:pt>
                <c:pt idx="1">
                  <c:v>1.01</c:v>
                </c:pt>
                <c:pt idx="2">
                  <c:v>0.97</c:v>
                </c:pt>
                <c:pt idx="3">
                  <c:v>0.79</c:v>
                </c:pt>
              </c:numCache>
            </c:numRef>
          </c:xVal>
          <c:yVal>
            <c:numRef>
              <c:f>(Sheet1!$O$38,Sheet1!$Q$38,Sheet1!$S$38,Sheet1!$U$38)</c:f>
              <c:numCache>
                <c:formatCode>General</c:formatCode>
                <c:ptCount val="4"/>
                <c:pt idx="0">
                  <c:v>0.51018499111771753</c:v>
                </c:pt>
                <c:pt idx="1">
                  <c:v>0.7296509605015431</c:v>
                </c:pt>
                <c:pt idx="2">
                  <c:v>1.0204016732840413</c:v>
                </c:pt>
                <c:pt idx="3">
                  <c:v>1.4700472337126789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Sheet1!$N$39</c:f>
              <c:strCache>
                <c:ptCount val="1"/>
                <c:pt idx="0">
                  <c:v>U US4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(Sheet1!$O$28,Sheet1!$Q$28,Sheet1!$S$28,Sheet1!$U$28)</c:f>
              <c:numCache>
                <c:formatCode>General</c:formatCode>
                <c:ptCount val="4"/>
                <c:pt idx="0">
                  <c:v>0.85</c:v>
                </c:pt>
                <c:pt idx="1">
                  <c:v>0.86</c:v>
                </c:pt>
                <c:pt idx="2">
                  <c:v>0.83</c:v>
                </c:pt>
                <c:pt idx="3">
                  <c:v>0.66</c:v>
                </c:pt>
              </c:numCache>
            </c:numRef>
          </c:xVal>
          <c:yVal>
            <c:numRef>
              <c:f>(Sheet1!$O$39,Sheet1!$Q$39,Sheet1!$S$39,Sheet1!$U$39)</c:f>
              <c:numCache>
                <c:formatCode>General</c:formatCode>
                <c:ptCount val="4"/>
                <c:pt idx="0">
                  <c:v>0.44307329851233024</c:v>
                </c:pt>
                <c:pt idx="1">
                  <c:v>0.64238358479419966</c:v>
                </c:pt>
                <c:pt idx="2">
                  <c:v>0.90835397169485321</c:v>
                </c:pt>
                <c:pt idx="3">
                  <c:v>1.3913170245373629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U US5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(Sheet1!$O$30,Sheet1!$Q$30,Sheet1!$S$30,Sheet1!$U$29)</c:f>
              <c:numCache>
                <c:formatCode>General</c:formatCode>
                <c:ptCount val="4"/>
                <c:pt idx="0">
                  <c:v>0.94</c:v>
                </c:pt>
                <c:pt idx="1">
                  <c:v>0.89</c:v>
                </c:pt>
                <c:pt idx="2">
                  <c:v>0.83</c:v>
                </c:pt>
                <c:pt idx="3">
                  <c:v>0.6</c:v>
                </c:pt>
              </c:numCache>
            </c:numRef>
          </c:xVal>
          <c:yVal>
            <c:numRef>
              <c:f>(Sheet1!$O$40,Sheet1!$Q$40,Sheet1!$S$40)</c:f>
              <c:numCache>
                <c:formatCode>General</c:formatCode>
                <c:ptCount val="3"/>
                <c:pt idx="0">
                  <c:v>0.36253227397397653</c:v>
                </c:pt>
                <c:pt idx="1">
                  <c:v>0.51998191495415125</c:v>
                </c:pt>
                <c:pt idx="2">
                  <c:v>0.75827086861495896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8512"/>
        <c:axId val="246179072"/>
      </c:scatterChart>
      <c:valAx>
        <c:axId val="246178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 mesuré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79072"/>
        <c:crosses val="autoZero"/>
        <c:crossBetween val="midCat"/>
      </c:valAx>
      <c:valAx>
        <c:axId val="24617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 calculé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7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16107251023147E-2"/>
          <c:y val="5.14004297536165E-2"/>
          <c:w val="0.7462338145231870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Sheet1!$N$36</c:f>
              <c:strCache>
                <c:ptCount val="1"/>
                <c:pt idx="0">
                  <c:v>U US1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(Sheet1!$O$25,Sheet1!$Q$25,Sheet1!$S$25:$T$25,Sheet1!$S$25,Sheet1!$S$25,Sheet1!$T$25,Sheet1!$U$25)</c:f>
              <c:numCache>
                <c:formatCode>General</c:formatCode>
                <c:ptCount val="8"/>
                <c:pt idx="0">
                  <c:v>1.28</c:v>
                </c:pt>
                <c:pt idx="1">
                  <c:v>1.07</c:v>
                </c:pt>
                <c:pt idx="2">
                  <c:v>1.1200000000000001</c:v>
                </c:pt>
                <c:pt idx="3">
                  <c:v>1.21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1.21</c:v>
                </c:pt>
                <c:pt idx="7">
                  <c:v>0.88</c:v>
                </c:pt>
              </c:numCache>
            </c:numRef>
          </c:xVal>
          <c:yVal>
            <c:numRef>
              <c:f>(Sheet1!$P$43,Sheet1!$R$43,Sheet1!$T$43)</c:f>
              <c:numCache>
                <c:formatCode>General</c:formatCode>
                <c:ptCount val="3"/>
                <c:pt idx="0">
                  <c:v>1.2671999999999999</c:v>
                </c:pt>
                <c:pt idx="1">
                  <c:v>1.0824</c:v>
                </c:pt>
                <c:pt idx="2">
                  <c:v>1.0648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Sheet1!$N$37</c:f>
              <c:strCache>
                <c:ptCount val="1"/>
                <c:pt idx="0">
                  <c:v>U US2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(Sheet1!$O$26,Sheet1!$Q$26,Sheet1!$S$26,Sheet1!$U$26)</c:f>
              <c:numCache>
                <c:formatCode>General</c:formatCode>
                <c:ptCount val="4"/>
                <c:pt idx="0">
                  <c:v>1.04</c:v>
                </c:pt>
                <c:pt idx="1">
                  <c:v>0.95</c:v>
                </c:pt>
                <c:pt idx="2">
                  <c:v>0.92</c:v>
                </c:pt>
                <c:pt idx="3">
                  <c:v>0.84</c:v>
                </c:pt>
              </c:numCache>
            </c:numRef>
          </c:xVal>
          <c:yVal>
            <c:numRef>
              <c:f>(Sheet1!$P$44,Sheet1!$R$44,Sheet1!$T$44,Sheet1!$V$44)</c:f>
              <c:numCache>
                <c:formatCode>General</c:formatCode>
                <c:ptCount val="4"/>
                <c:pt idx="0">
                  <c:v>1.0471999999999999</c:v>
                </c:pt>
                <c:pt idx="1">
                  <c:v>1.0031999999999999</c:v>
                </c:pt>
                <c:pt idx="2">
                  <c:v>0.92400000000000004</c:v>
                </c:pt>
                <c:pt idx="3">
                  <c:v>0.93280000000000007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Sheet1!$N$38</c:f>
              <c:strCache>
                <c:ptCount val="1"/>
                <c:pt idx="0">
                  <c:v>U US3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(Sheet1!$O$27,Sheet1!$Q$27,Sheet1!$S$27,Sheet1!$U$27)</c:f>
              <c:numCache>
                <c:formatCode>General</c:formatCode>
                <c:ptCount val="4"/>
                <c:pt idx="0">
                  <c:v>1.07</c:v>
                </c:pt>
                <c:pt idx="1">
                  <c:v>1.01</c:v>
                </c:pt>
                <c:pt idx="2">
                  <c:v>0.97</c:v>
                </c:pt>
                <c:pt idx="3">
                  <c:v>0.79</c:v>
                </c:pt>
              </c:numCache>
            </c:numRef>
          </c:xVal>
          <c:yVal>
            <c:numRef>
              <c:f>(Sheet1!$P$45,Sheet1!$R$45,Sheet1!$T$45,Sheet1!$V$45)</c:f>
              <c:numCache>
                <c:formatCode>General</c:formatCode>
                <c:ptCount val="4"/>
                <c:pt idx="0">
                  <c:v>1.0735999999999999</c:v>
                </c:pt>
                <c:pt idx="1">
                  <c:v>0.99439999999999995</c:v>
                </c:pt>
                <c:pt idx="2">
                  <c:v>0.93280000000000007</c:v>
                </c:pt>
                <c:pt idx="3">
                  <c:v>0.87119999999999997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Sheet1!$N$39</c:f>
              <c:strCache>
                <c:ptCount val="1"/>
                <c:pt idx="0">
                  <c:v>U US4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(Sheet1!$O$28,Sheet1!$Q$28,Sheet1!$S$28,Sheet1!$U$28)</c:f>
              <c:numCache>
                <c:formatCode>General</c:formatCode>
                <c:ptCount val="4"/>
                <c:pt idx="0">
                  <c:v>0.85</c:v>
                </c:pt>
                <c:pt idx="1">
                  <c:v>0.86</c:v>
                </c:pt>
                <c:pt idx="2">
                  <c:v>0.83</c:v>
                </c:pt>
                <c:pt idx="3">
                  <c:v>0.66</c:v>
                </c:pt>
              </c:numCache>
            </c:numRef>
          </c:xVal>
          <c:yVal>
            <c:numRef>
              <c:f>(Sheet1!$P$46,Sheet1!$R$46,Sheet1!$T$46,Sheet1!$V$46)</c:f>
              <c:numCache>
                <c:formatCode>General</c:formatCode>
                <c:ptCount val="4"/>
                <c:pt idx="0">
                  <c:v>0.90639999999999998</c:v>
                </c:pt>
                <c:pt idx="1">
                  <c:v>0.90639999999999998</c:v>
                </c:pt>
                <c:pt idx="2">
                  <c:v>0.85360000000000003</c:v>
                </c:pt>
                <c:pt idx="3">
                  <c:v>0.64239999999999997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U US5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(Sheet1!$O$30,Sheet1!$Q$30,Sheet1!$S$30,Sheet1!$U$29)</c:f>
              <c:numCache>
                <c:formatCode>General</c:formatCode>
                <c:ptCount val="4"/>
                <c:pt idx="0">
                  <c:v>0.94</c:v>
                </c:pt>
                <c:pt idx="1">
                  <c:v>0.89</c:v>
                </c:pt>
                <c:pt idx="2">
                  <c:v>0.83</c:v>
                </c:pt>
                <c:pt idx="3">
                  <c:v>0.6</c:v>
                </c:pt>
              </c:numCache>
            </c:numRef>
          </c:xVal>
          <c:yVal>
            <c:numRef>
              <c:f>(Sheet1!$P$48,Sheet1!$R$48,Sheet1!$T$48,Sheet1!$V$48)</c:f>
              <c:numCache>
                <c:formatCode>General</c:formatCode>
                <c:ptCount val="4"/>
                <c:pt idx="0">
                  <c:v>1.0031999999999999</c:v>
                </c:pt>
                <c:pt idx="1">
                  <c:v>0.85360000000000003</c:v>
                </c:pt>
                <c:pt idx="2">
                  <c:v>0.80959999999999999</c:v>
                </c:pt>
                <c:pt idx="3">
                  <c:v>0.6512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Sheet1!$R$50</c:f>
              <c:strCache>
                <c:ptCount val="1"/>
                <c:pt idx="0">
                  <c:v>Correlation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Sheet1!$R$52:$R$53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Sheet1!$S$52:$S$53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03808"/>
        <c:axId val="246304368"/>
      </c:scatterChart>
      <c:valAx>
        <c:axId val="246303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 ajusté [m/s]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304368"/>
        <c:crosses val="autoZero"/>
        <c:crossBetween val="midCat"/>
      </c:valAx>
      <c:valAx>
        <c:axId val="24630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 calculé [m/s]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30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Kst_Je!$A$10</c:f>
              <c:strCache>
                <c:ptCount val="1"/>
                <c:pt idx="0">
                  <c:v>Tronçon 1-2</c:v>
                </c:pt>
              </c:strCache>
            </c:strRef>
          </c:tx>
          <c:invertIfNegative val="0"/>
          <c:cat>
            <c:numRef>
              <c:f>Kst_Je!$B$11:$B$14</c:f>
              <c:numCache>
                <c:formatCode>0.00</c:formatCode>
                <c:ptCount val="4"/>
                <c:pt idx="0">
                  <c:v>5.4627413127413167</c:v>
                </c:pt>
                <c:pt idx="1">
                  <c:v>6.9047722342733184</c:v>
                </c:pt>
                <c:pt idx="2">
                  <c:v>8.724715909090909</c:v>
                </c:pt>
                <c:pt idx="3">
                  <c:v>11.205936073059416</c:v>
                </c:pt>
              </c:numCache>
            </c:numRef>
          </c:cat>
          <c:val>
            <c:numRef>
              <c:f>Kst_Je!$G$11:$G$14</c:f>
              <c:numCache>
                <c:formatCode>General</c:formatCode>
                <c:ptCount val="4"/>
                <c:pt idx="0">
                  <c:v>31.560830879136599</c:v>
                </c:pt>
                <c:pt idx="1">
                  <c:v>32.87207695240506</c:v>
                </c:pt>
                <c:pt idx="2">
                  <c:v>34.649495529604131</c:v>
                </c:pt>
                <c:pt idx="3">
                  <c:v>36.843217273848545</c:v>
                </c:pt>
              </c:numCache>
            </c:numRef>
          </c:val>
        </c:ser>
        <c:ser>
          <c:idx val="1"/>
          <c:order val="1"/>
          <c:tx>
            <c:strRef>
              <c:f>Kst_Je!$A$18</c:f>
              <c:strCache>
                <c:ptCount val="1"/>
                <c:pt idx="0">
                  <c:v>Tronçon 4-5</c:v>
                </c:pt>
              </c:strCache>
            </c:strRef>
          </c:tx>
          <c:invertIfNegative val="0"/>
          <c:cat>
            <c:numRef>
              <c:f>Kst_Je!$B$11:$B$14</c:f>
              <c:numCache>
                <c:formatCode>0.00</c:formatCode>
                <c:ptCount val="4"/>
                <c:pt idx="0">
                  <c:v>5.4627413127413167</c:v>
                </c:pt>
                <c:pt idx="1">
                  <c:v>6.9047722342733184</c:v>
                </c:pt>
                <c:pt idx="2">
                  <c:v>8.724715909090909</c:v>
                </c:pt>
                <c:pt idx="3">
                  <c:v>11.205936073059416</c:v>
                </c:pt>
              </c:numCache>
            </c:numRef>
          </c:cat>
          <c:val>
            <c:numRef>
              <c:f>Kst_Je!$G$19:$G$22</c:f>
              <c:numCache>
                <c:formatCode>General</c:formatCode>
                <c:ptCount val="4"/>
                <c:pt idx="0">
                  <c:v>26.286619688676204</c:v>
                </c:pt>
                <c:pt idx="1">
                  <c:v>25.767785024467877</c:v>
                </c:pt>
                <c:pt idx="2">
                  <c:v>26.013321100688163</c:v>
                </c:pt>
                <c:pt idx="3">
                  <c:v>27.711294236053764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50560"/>
        <c:axId val="253616304"/>
      </c:barChart>
      <c:catAx>
        <c:axId val="24645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[l/s]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3616304"/>
        <c:crosses val="autoZero"/>
        <c:auto val="1"/>
        <c:lblAlgn val="ctr"/>
        <c:lblOffset val="100"/>
        <c:noMultiLvlLbl val="0"/>
      </c:catAx>
      <c:valAx>
        <c:axId val="25361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  <a:r>
                  <a:rPr lang="en-US" baseline="-25000"/>
                  <a:t>st</a:t>
                </a:r>
                <a:r>
                  <a:rPr lang="en-US"/>
                  <a:t> [m</a:t>
                </a:r>
                <a:r>
                  <a:rPr lang="en-US" baseline="30000"/>
                  <a:t>1/3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45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409575</xdr:colOff>
      <xdr:row>0</xdr:row>
      <xdr:rowOff>0</xdr:rowOff>
    </xdr:from>
    <xdr:to>
      <xdr:col>37</xdr:col>
      <xdr:colOff>171450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552450</xdr:colOff>
      <xdr:row>32</xdr:row>
      <xdr:rowOff>47626</xdr:rowOff>
    </xdr:from>
    <xdr:to>
      <xdr:col>42</xdr:col>
      <xdr:colOff>371476</xdr:colOff>
      <xdr:row>48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36</xdr:row>
      <xdr:rowOff>19052</xdr:rowOff>
    </xdr:from>
    <xdr:to>
      <xdr:col>32</xdr:col>
      <xdr:colOff>438149</xdr:colOff>
      <xdr:row>55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9</xdr:row>
      <xdr:rowOff>95250</xdr:rowOff>
    </xdr:from>
    <xdr:to>
      <xdr:col>18</xdr:col>
      <xdr:colOff>533400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opLeftCell="F4" workbookViewId="0">
      <selection activeCell="M12" sqref="M12"/>
    </sheetView>
  </sheetViews>
  <sheetFormatPr defaultRowHeight="15" x14ac:dyDescent="0.25"/>
  <cols>
    <col min="1" max="2" width="9.140625" style="1"/>
    <col min="3" max="3" width="28.140625" style="1" bestFit="1" customWidth="1"/>
    <col min="4" max="7" width="9.140625" style="1"/>
    <col min="8" max="8" width="12" style="1" bestFit="1" customWidth="1"/>
    <col min="9" max="9" width="9.140625" style="1"/>
    <col min="10" max="10" width="12" style="1" bestFit="1" customWidth="1"/>
    <col min="11" max="14" width="9.140625" style="1"/>
    <col min="15" max="19" width="9.140625" style="1" customWidth="1"/>
    <col min="20" max="16384" width="9.140625" style="1"/>
  </cols>
  <sheetData>
    <row r="1" spans="1:19" x14ac:dyDescent="0.25">
      <c r="A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spans="1:19" x14ac:dyDescent="0.25">
      <c r="A2" s="1" t="s">
        <v>7</v>
      </c>
      <c r="B2" s="1">
        <v>9.81</v>
      </c>
      <c r="C2" s="1" t="s">
        <v>8</v>
      </c>
      <c r="H2" s="1">
        <v>6.4526033563218593E-2</v>
      </c>
      <c r="I2" s="1">
        <v>6.1237853108648703E-2</v>
      </c>
      <c r="J2" s="1">
        <v>4.6458994065195998E-2</v>
      </c>
      <c r="K2" s="1">
        <v>5.15315803740257E-2</v>
      </c>
      <c r="L2" s="1">
        <v>5.9531998198456698E-2</v>
      </c>
      <c r="N2" s="1" t="s">
        <v>62</v>
      </c>
      <c r="O2" s="1">
        <f t="shared" ref="O2:S5" si="0">H2*(w0+H2/(TAN(beta*PI()/180)))</f>
        <v>1.6890487378153803E-2</v>
      </c>
      <c r="P2" s="1">
        <f t="shared" si="0"/>
        <v>1.5680997798086897E-2</v>
      </c>
      <c r="Q2" s="1">
        <f t="shared" si="0"/>
        <v>1.070737361515379E-2</v>
      </c>
      <c r="R2" s="1">
        <f t="shared" si="0"/>
        <v>1.232920451555782E-2</v>
      </c>
      <c r="S2" s="1">
        <f t="shared" si="0"/>
        <v>1.5068289652836396E-2</v>
      </c>
    </row>
    <row r="3" spans="1:19" x14ac:dyDescent="0.25">
      <c r="A3" s="1" t="s">
        <v>9</v>
      </c>
      <c r="B3" s="1">
        <v>2680</v>
      </c>
      <c r="C3" s="1" t="s">
        <v>10</v>
      </c>
      <c r="H3" s="1">
        <v>5.6973917457391797E-2</v>
      </c>
      <c r="I3" s="1">
        <v>5.4869385228037998E-2</v>
      </c>
      <c r="J3" s="1">
        <v>4.23639678572049E-2</v>
      </c>
      <c r="K3" s="1">
        <v>4.6591723282166E-2</v>
      </c>
      <c r="L3" s="1">
        <v>5.4379634548765203E-2</v>
      </c>
      <c r="N3" s="1" t="s">
        <v>63</v>
      </c>
      <c r="O3" s="1">
        <f t="shared" si="0"/>
        <v>1.4168371773767905E-2</v>
      </c>
      <c r="P3" s="1">
        <f t="shared" si="0"/>
        <v>1.3445005569928758E-2</v>
      </c>
      <c r="Q3" s="1">
        <f t="shared" si="0"/>
        <v>9.4631167613719851E-3</v>
      </c>
      <c r="R3" s="1">
        <f t="shared" si="0"/>
        <v>1.0748674775812338E-2</v>
      </c>
      <c r="S3" s="1">
        <f t="shared" si="0"/>
        <v>1.3278869967779822E-2</v>
      </c>
    </row>
    <row r="4" spans="1:19" x14ac:dyDescent="0.25">
      <c r="A4" s="1" t="s">
        <v>11</v>
      </c>
      <c r="B4" s="1">
        <v>1000</v>
      </c>
      <c r="C4" s="1" t="s">
        <v>12</v>
      </c>
      <c r="H4" s="1">
        <v>5.23040100992598E-2</v>
      </c>
      <c r="I4" s="1">
        <v>4.9905684074417998E-2</v>
      </c>
      <c r="J4" s="1">
        <v>3.9230566905351899E-2</v>
      </c>
      <c r="K4" s="1">
        <v>4.28406713266326E-2</v>
      </c>
      <c r="L4" s="1">
        <v>4.89919107796528E-2</v>
      </c>
      <c r="N4" s="1" t="s">
        <v>64</v>
      </c>
      <c r="O4" s="1">
        <f t="shared" si="0"/>
        <v>1.2583989315943152E-2</v>
      </c>
      <c r="P4" s="1">
        <f t="shared" si="0"/>
        <v>1.1799659040025055E-2</v>
      </c>
      <c r="Q4" s="1">
        <f t="shared" si="0"/>
        <v>8.5502759722173444E-3</v>
      </c>
      <c r="R4" s="1">
        <f t="shared" si="0"/>
        <v>9.6049735906497888E-3</v>
      </c>
      <c r="S4" s="1">
        <f t="shared" si="0"/>
        <v>1.1506067647076153E-2</v>
      </c>
    </row>
    <row r="5" spans="1:19" x14ac:dyDescent="0.25">
      <c r="A5" s="1" t="s">
        <v>13</v>
      </c>
      <c r="B5" s="1">
        <v>2.68</v>
      </c>
      <c r="C5" s="1" t="s">
        <v>14</v>
      </c>
      <c r="H5" s="1">
        <v>4.6659982632211598E-2</v>
      </c>
      <c r="I5" s="1">
        <v>4.4791016334152903E-2</v>
      </c>
      <c r="J5" s="1">
        <v>3.5920249641944201E-2</v>
      </c>
      <c r="K5" s="1">
        <v>3.74767626752028E-2</v>
      </c>
      <c r="L5" s="1">
        <v>4.3188596977759598E-2</v>
      </c>
      <c r="N5" s="1" t="s">
        <v>65</v>
      </c>
      <c r="O5" s="1">
        <f t="shared" si="0"/>
        <v>1.0769938702773211E-2</v>
      </c>
      <c r="P5" s="1">
        <f t="shared" si="0"/>
        <v>1.0193553651887894E-2</v>
      </c>
      <c r="Q5" s="1">
        <f t="shared" si="0"/>
        <v>7.6228408285618412E-3</v>
      </c>
      <c r="R5" s="1">
        <f t="shared" si="0"/>
        <v>8.0541931676467258E-3</v>
      </c>
      <c r="S5" s="1">
        <f t="shared" si="0"/>
        <v>9.7090058179587196E-3</v>
      </c>
    </row>
    <row r="6" spans="1:19" x14ac:dyDescent="0.25">
      <c r="A6" s="1" t="s">
        <v>15</v>
      </c>
      <c r="B6" s="1">
        <v>50</v>
      </c>
      <c r="C6" s="1" t="s">
        <v>16</v>
      </c>
    </row>
    <row r="7" spans="1:19" x14ac:dyDescent="0.25">
      <c r="A7" s="1" t="s">
        <v>17</v>
      </c>
      <c r="B7" s="1">
        <v>20</v>
      </c>
      <c r="C7" s="1" t="s">
        <v>18</v>
      </c>
      <c r="H7" s="1" t="s">
        <v>51</v>
      </c>
      <c r="I7" s="1" t="s">
        <v>53</v>
      </c>
      <c r="J7" s="1" t="s">
        <v>52</v>
      </c>
      <c r="O7" s="1" t="s">
        <v>45</v>
      </c>
      <c r="P7" s="1" t="s">
        <v>46</v>
      </c>
      <c r="Q7" s="1" t="s">
        <v>47</v>
      </c>
      <c r="R7" s="1" t="s">
        <v>48</v>
      </c>
      <c r="S7" s="1" t="s">
        <v>49</v>
      </c>
    </row>
    <row r="8" spans="1:19" x14ac:dyDescent="0.25">
      <c r="A8" s="1" t="s">
        <v>19</v>
      </c>
      <c r="B8" s="1">
        <v>9.9999999999999995E-7</v>
      </c>
      <c r="C8" s="1" t="s">
        <v>20</v>
      </c>
      <c r="H8" s="1">
        <f>AVERAGE(H2:I2)</f>
        <v>6.2881943335933652E-2</v>
      </c>
      <c r="I8" s="1">
        <f>AVERAGE(I2,K2)</f>
        <v>5.6384716741337201E-2</v>
      </c>
      <c r="J8" s="1">
        <f>AVERAGE(K2:L2)</f>
        <v>5.5531789286241195E-2</v>
      </c>
      <c r="O8" s="1">
        <f t="shared" ref="O8:S11" si="1">w0+2*SQRT(H2^2+(H2/TAN(beta*PI()/180))^2)</f>
        <v>0.4081041342528744</v>
      </c>
      <c r="P8" s="1">
        <f t="shared" si="1"/>
        <v>0.39495141243459481</v>
      </c>
      <c r="Q8" s="1">
        <f t="shared" si="1"/>
        <v>0.33583597626078399</v>
      </c>
      <c r="R8" s="1">
        <f t="shared" si="1"/>
        <v>0.35612632149610279</v>
      </c>
      <c r="S8" s="1">
        <f t="shared" si="1"/>
        <v>0.38812799279382681</v>
      </c>
    </row>
    <row r="9" spans="1:19" x14ac:dyDescent="0.25">
      <c r="A9" s="1" t="s">
        <v>21</v>
      </c>
      <c r="H9" s="1">
        <f t="shared" ref="H9:H11" si="2">AVERAGE(H3:I3)</f>
        <v>5.5921651342714901E-2</v>
      </c>
      <c r="I9" s="1">
        <f t="shared" ref="I9:I11" si="3">AVERAGE(I3,K3)</f>
        <v>5.0730554255101999E-2</v>
      </c>
      <c r="J9" s="1">
        <f t="shared" ref="J9:J11" si="4">AVERAGE(K3:L3)</f>
        <v>5.0485678915465598E-2</v>
      </c>
      <c r="O9" s="1">
        <f t="shared" si="1"/>
        <v>0.37789566982956718</v>
      </c>
      <c r="P9" s="1">
        <f t="shared" si="1"/>
        <v>0.36947754091215201</v>
      </c>
      <c r="Q9" s="1">
        <f t="shared" si="1"/>
        <v>0.31945587142881959</v>
      </c>
      <c r="R9" s="1">
        <f t="shared" si="1"/>
        <v>0.33636689312866397</v>
      </c>
      <c r="S9" s="1">
        <f t="shared" si="1"/>
        <v>0.36751853819506086</v>
      </c>
    </row>
    <row r="10" spans="1:19" x14ac:dyDescent="0.25">
      <c r="A10" s="1" t="s">
        <v>22</v>
      </c>
      <c r="B10" s="1">
        <v>0.02</v>
      </c>
      <c r="C10" s="1" t="s">
        <v>23</v>
      </c>
      <c r="H10" s="1">
        <f t="shared" si="2"/>
        <v>5.1104847086838899E-2</v>
      </c>
      <c r="I10" s="1">
        <f t="shared" si="3"/>
        <v>4.6373177700525299E-2</v>
      </c>
      <c r="J10" s="1">
        <f t="shared" si="4"/>
        <v>4.5916291053142697E-2</v>
      </c>
      <c r="O10" s="1">
        <f t="shared" si="1"/>
        <v>0.35921604039703919</v>
      </c>
      <c r="P10" s="1">
        <f t="shared" si="1"/>
        <v>0.34962273629767204</v>
      </c>
      <c r="Q10" s="1">
        <f t="shared" si="1"/>
        <v>0.30692226762140762</v>
      </c>
      <c r="R10" s="1">
        <f t="shared" si="1"/>
        <v>0.32136268530653039</v>
      </c>
      <c r="S10" s="1">
        <f t="shared" si="1"/>
        <v>0.34596764311861122</v>
      </c>
    </row>
    <row r="11" spans="1:19" x14ac:dyDescent="0.25">
      <c r="A11" s="1" t="s">
        <v>24</v>
      </c>
      <c r="B11" s="1">
        <v>4.2300000000000003E-3</v>
      </c>
      <c r="C11" s="1" t="s">
        <v>25</v>
      </c>
      <c r="H11" s="1">
        <f t="shared" si="2"/>
        <v>4.5725499483182247E-2</v>
      </c>
      <c r="I11" s="1">
        <f t="shared" si="3"/>
        <v>4.1133889504677848E-2</v>
      </c>
      <c r="J11" s="1">
        <f t="shared" si="4"/>
        <v>4.0332679826481199E-2</v>
      </c>
      <c r="O11" s="1">
        <f t="shared" si="1"/>
        <v>0.33663993052884639</v>
      </c>
      <c r="P11" s="1">
        <f t="shared" si="1"/>
        <v>0.32916406533661163</v>
      </c>
      <c r="Q11" s="1">
        <f t="shared" si="1"/>
        <v>0.2936809985677768</v>
      </c>
      <c r="R11" s="1">
        <f t="shared" si="1"/>
        <v>0.2999070507008112</v>
      </c>
      <c r="S11" s="1">
        <f t="shared" si="1"/>
        <v>0.32275438791103839</v>
      </c>
    </row>
    <row r="12" spans="1:19" x14ac:dyDescent="0.25">
      <c r="A12" s="1" t="s">
        <v>26</v>
      </c>
      <c r="B12" s="1">
        <v>5.3299999999999997E-3</v>
      </c>
      <c r="C12" s="1" t="s">
        <v>27</v>
      </c>
    </row>
    <row r="13" spans="1:19" x14ac:dyDescent="0.25">
      <c r="A13" s="1" t="s">
        <v>28</v>
      </c>
      <c r="B13" s="1">
        <v>7.2399999999999999E-3</v>
      </c>
      <c r="C13" s="1" t="s">
        <v>29</v>
      </c>
      <c r="H13" s="1" t="s">
        <v>40</v>
      </c>
      <c r="O13" s="1" t="s">
        <v>50</v>
      </c>
    </row>
    <row r="14" spans="1:19" x14ac:dyDescent="0.25">
      <c r="A14" s="1" t="s">
        <v>30</v>
      </c>
      <c r="B14" s="1">
        <v>1.4030000000000001E-2</v>
      </c>
      <c r="C14" s="1" t="s">
        <v>31</v>
      </c>
      <c r="H14" s="1">
        <f t="shared" ref="H14:J17" si="5">H8*(w0+H8/(TAN(beta*PI()/180)))</f>
        <v>1.6281060798191947E-2</v>
      </c>
      <c r="I14" s="1">
        <f t="shared" si="5"/>
        <v>1.3964306280892395E-2</v>
      </c>
      <c r="J14" s="1">
        <f t="shared" si="5"/>
        <v>1.3671031376427837E-2</v>
      </c>
      <c r="O14" s="1">
        <f>$G$29/(SQRT(J)*O2*((O2/O8)^(2/3)))</f>
        <v>39.187424256599677</v>
      </c>
      <c r="P14" s="1">
        <f>$G$29/(SQRT(J)*P2*((P2/P8)^(2/3)))</f>
        <v>43.395295427500308</v>
      </c>
      <c r="Q14" s="1">
        <f>$G$29/(SQRT(J)*Q2*((Q2/Q8)^(2/3)))</f>
        <v>73.561330427570411</v>
      </c>
      <c r="R14" s="1">
        <f>$G$29/(SQRT(J)*R2*((R2/R8)^(2/3)))</f>
        <v>60.471022611651122</v>
      </c>
      <c r="S14" s="1">
        <f>$G$29/(SQRT(J)*S2*((S2/S8)^(2/3)))</f>
        <v>45.840189311914045</v>
      </c>
    </row>
    <row r="15" spans="1:19" x14ac:dyDescent="0.25">
      <c r="A15" s="1" t="s">
        <v>32</v>
      </c>
      <c r="B15" s="1">
        <v>30</v>
      </c>
      <c r="C15" s="1" t="s">
        <v>33</v>
      </c>
      <c r="H15" s="1">
        <f t="shared" si="5"/>
        <v>1.3804770834384342E-2</v>
      </c>
      <c r="I15" s="1">
        <f t="shared" si="5"/>
        <v>1.2067170277944236E-2</v>
      </c>
      <c r="J15" s="1">
        <f t="shared" si="5"/>
        <v>1.1987509475105325E-2</v>
      </c>
      <c r="O15" s="1">
        <f>$G$28/(SQRT(J)*O3*((O3/O9)^(2/3)))</f>
        <v>38.849269528735149</v>
      </c>
      <c r="P15" s="1">
        <f>$G$28/(SQRT(J)*P3*((P3/P9)^(2/3)))</f>
        <v>41.763017735808234</v>
      </c>
      <c r="Q15" s="1">
        <f>$G$28/(SQRT(J)*Q3*((Q3/Q9)^(2/3)))</f>
        <v>68.058923008300908</v>
      </c>
      <c r="R15" s="1">
        <f>$G$28/(SQRT(J)*R3*((R3/R9)^(2/3)))</f>
        <v>56.966400483669112</v>
      </c>
      <c r="S15" s="1">
        <f>$G$28/(SQRT(J)*S3*((S3/S9)^(2/3)))</f>
        <v>42.486646881314407</v>
      </c>
    </row>
    <row r="16" spans="1:19" x14ac:dyDescent="0.25">
      <c r="A16" s="1" t="s">
        <v>34</v>
      </c>
      <c r="B16" s="1">
        <v>0.15</v>
      </c>
      <c r="C16" s="1" t="s">
        <v>35</v>
      </c>
      <c r="H16" s="1">
        <f t="shared" si="5"/>
        <v>1.2189333502899849E-2</v>
      </c>
      <c r="I16" s="1">
        <f t="shared" si="5"/>
        <v>1.0680702743910309E-2</v>
      </c>
      <c r="J16" s="1">
        <f t="shared" si="5"/>
        <v>1.0539136393883956E-2</v>
      </c>
      <c r="O16" s="1">
        <f>$G$27/(SQRT(J)*O4*((O4/O10)^(2/3)))</f>
        <v>36.213792237542002</v>
      </c>
      <c r="P16" s="1">
        <f>$G$27/(SQRT(J)*P4*((P4/P10)^(2/3)))</f>
        <v>39.592972430845087</v>
      </c>
      <c r="Q16" s="1">
        <f>$G$27/(SQRT(J)*Q4*((Q4/Q10)^(2/3)))</f>
        <v>62.094452811838323</v>
      </c>
      <c r="R16" s="1">
        <f>$G$27/(SQRT(J)*R4*((R4/R10)^(2/3)))</f>
        <v>52.74372109602556</v>
      </c>
      <c r="S16" s="1">
        <f>$G$27/(SQRT(J)*S4*((S4/S10)^(2/3)))</f>
        <v>41.002739734191962</v>
      </c>
    </row>
    <row r="17" spans="1:41" x14ac:dyDescent="0.25">
      <c r="A17" s="1" t="s">
        <v>36</v>
      </c>
      <c r="B17" s="1">
        <v>135.63964319999999</v>
      </c>
      <c r="C17" s="1" t="s">
        <v>37</v>
      </c>
      <c r="H17" s="1">
        <f t="shared" si="5"/>
        <v>1.0480233648797316E-2</v>
      </c>
      <c r="I17" s="1">
        <f t="shared" si="5"/>
        <v>9.100707963485213E-3</v>
      </c>
      <c r="J17" s="1">
        <f t="shared" si="5"/>
        <v>8.8674724312766007E-3</v>
      </c>
      <c r="O17" s="1">
        <f>$G$26/(SQRT(J)*O5*((O5/O11)^(2/3)))</f>
        <v>35.57126783996712</v>
      </c>
      <c r="P17" s="1">
        <f>$G$26/(SQRT(J)*P5*((P5/P11)^(2/3)))</f>
        <v>38.406957190961862</v>
      </c>
      <c r="Q17" s="1">
        <f>$G$26/(SQRT(J)*Q5*((Q5/Q11)^(2/3)))</f>
        <v>57.774135804812332</v>
      </c>
      <c r="R17" s="1">
        <f>$G$26/(SQRT(J)*R5*((R5/R11)^(2/3)))</f>
        <v>53.452172346160751</v>
      </c>
      <c r="S17" s="1">
        <f>$G$26/(SQRT(J)*S5*((S5/S11)^(2/3)))</f>
        <v>41.111925042995864</v>
      </c>
    </row>
    <row r="18" spans="1:41" ht="18" x14ac:dyDescent="0.25">
      <c r="A18" s="1" t="s">
        <v>38</v>
      </c>
      <c r="B18" s="1">
        <v>0.89731711300000006</v>
      </c>
      <c r="C18" s="1" t="s">
        <v>39</v>
      </c>
      <c r="AO18" s="1" t="s">
        <v>108</v>
      </c>
    </row>
    <row r="19" spans="1:41" x14ac:dyDescent="0.25">
      <c r="A19" s="1" t="s">
        <v>73</v>
      </c>
      <c r="B19" s="1">
        <v>2.0399999999999863E-2</v>
      </c>
      <c r="C19" s="1" t="s">
        <v>75</v>
      </c>
      <c r="H19" s="1" t="s">
        <v>45</v>
      </c>
      <c r="AN19" s="1" t="s">
        <v>93</v>
      </c>
      <c r="AO19" s="1">
        <v>5.1000000000000004E-3</v>
      </c>
    </row>
    <row r="20" spans="1:41" x14ac:dyDescent="0.25">
      <c r="A20" s="1" t="s">
        <v>74</v>
      </c>
      <c r="B20" s="1">
        <v>0.59199999999999997</v>
      </c>
      <c r="C20" s="1" t="s">
        <v>75</v>
      </c>
      <c r="H20" s="1">
        <f t="shared" ref="H20:J23" si="6">w0+2*SQRT(H8^2+(H8/TAN(beta*PI()/180))^2)</f>
        <v>0.40152777334373457</v>
      </c>
      <c r="I20" s="1">
        <f t="shared" si="6"/>
        <v>0.37553886696534877</v>
      </c>
      <c r="J20" s="1">
        <f t="shared" si="6"/>
        <v>0.3721271571449648</v>
      </c>
      <c r="AN20" s="1" t="s">
        <v>94</v>
      </c>
      <c r="AO20" s="1">
        <v>0.93740000000000001</v>
      </c>
    </row>
    <row r="21" spans="1:41" x14ac:dyDescent="0.25">
      <c r="A21" s="1" t="s">
        <v>76</v>
      </c>
      <c r="B21" s="1">
        <v>1.4666666666667272E-3</v>
      </c>
      <c r="C21" s="1" t="s">
        <v>75</v>
      </c>
      <c r="H21" s="1">
        <f t="shared" si="6"/>
        <v>0.37368660537085963</v>
      </c>
      <c r="I21" s="1">
        <f t="shared" si="6"/>
        <v>0.35292221702040799</v>
      </c>
      <c r="J21" s="1">
        <f t="shared" si="6"/>
        <v>0.35194271566186242</v>
      </c>
      <c r="AN21" s="1" t="s">
        <v>95</v>
      </c>
      <c r="AO21" s="1">
        <v>0.96150000000000002</v>
      </c>
    </row>
    <row r="22" spans="1:41" x14ac:dyDescent="0.25">
      <c r="A22" s="1" t="s">
        <v>77</v>
      </c>
      <c r="B22" s="1">
        <v>0.27400000000000024</v>
      </c>
      <c r="C22" s="1" t="s">
        <v>75</v>
      </c>
      <c r="H22" s="1">
        <f t="shared" si="6"/>
        <v>0.35441938834735559</v>
      </c>
      <c r="I22" s="1">
        <f t="shared" si="6"/>
        <v>0.33549271080210119</v>
      </c>
      <c r="J22" s="1">
        <f t="shared" si="6"/>
        <v>0.33366516421257075</v>
      </c>
      <c r="AN22" s="1" t="s">
        <v>96</v>
      </c>
      <c r="AO22" s="1">
        <v>0.84960000000000002</v>
      </c>
    </row>
    <row r="23" spans="1:41" x14ac:dyDescent="0.25">
      <c r="H23" s="1">
        <f t="shared" si="6"/>
        <v>0.33290199793272901</v>
      </c>
      <c r="I23" s="1">
        <f t="shared" si="6"/>
        <v>0.31453555801871136</v>
      </c>
      <c r="J23" s="1">
        <f t="shared" si="6"/>
        <v>0.31133071930592482</v>
      </c>
      <c r="O23" s="1" t="s">
        <v>55</v>
      </c>
      <c r="P23" s="2">
        <f>5.46274131274132*10^-3</f>
        <v>5.4627413127413199E-3</v>
      </c>
      <c r="Q23" s="1" t="s">
        <v>56</v>
      </c>
      <c r="R23" s="3">
        <f>6.90477223427332*10^-3</f>
        <v>6.9047722342733204E-3</v>
      </c>
      <c r="S23" s="1" t="s">
        <v>57</v>
      </c>
      <c r="T23" s="3">
        <f>8.72471590909091*10^-3</f>
        <v>8.7247159090909111E-3</v>
      </c>
      <c r="U23" s="1" t="s">
        <v>58</v>
      </c>
      <c r="V23" s="1">
        <f>11.2059360730594*10^-3</f>
        <v>1.12059360730594E-2</v>
      </c>
      <c r="AN23" s="1" t="s">
        <v>97</v>
      </c>
      <c r="AO23" s="1">
        <v>0.99580000000000002</v>
      </c>
    </row>
    <row r="24" spans="1:41" x14ac:dyDescent="0.25">
      <c r="N24" s="1" t="s">
        <v>60</v>
      </c>
    </row>
    <row r="25" spans="1:41" x14ac:dyDescent="0.25">
      <c r="G25" s="1" t="s">
        <v>5</v>
      </c>
      <c r="H25" s="1" t="s">
        <v>66</v>
      </c>
      <c r="I25" s="1" t="s">
        <v>54</v>
      </c>
      <c r="J25" s="1" t="s">
        <v>67</v>
      </c>
      <c r="N25" s="1" t="s">
        <v>93</v>
      </c>
      <c r="O25" s="1">
        <v>1.28</v>
      </c>
      <c r="P25" s="1">
        <v>1.44</v>
      </c>
      <c r="Q25" s="1">
        <v>1.07</v>
      </c>
      <c r="R25" s="1">
        <v>1.23</v>
      </c>
      <c r="S25" s="1">
        <v>1.1200000000000001</v>
      </c>
      <c r="T25" s="1">
        <v>1.21</v>
      </c>
      <c r="U25" s="1">
        <v>0.88</v>
      </c>
      <c r="V25" s="1">
        <v>1.1399999999999999</v>
      </c>
    </row>
    <row r="26" spans="1:41" x14ac:dyDescent="0.25">
      <c r="F26" s="1">
        <v>5.46</v>
      </c>
      <c r="G26" s="1">
        <v>5.4599999999999996E-3</v>
      </c>
      <c r="H26" s="1">
        <f>$G$26/(SQRT(J)*H17*((H17/H23)^(2/3)))</f>
        <v>36.949080703710301</v>
      </c>
      <c r="I26" s="1">
        <f>$G$26/(SQRT(J)*I17*((I17/I23)^(2/3)))</f>
        <v>45.012401133192149</v>
      </c>
      <c r="J26" s="1">
        <f>$G$26/(SQRT(J)*J17*((J17/J23)^(2/3)))</f>
        <v>46.683049365547497</v>
      </c>
      <c r="N26" s="1" t="s">
        <v>94</v>
      </c>
      <c r="O26" s="1">
        <v>1.04</v>
      </c>
      <c r="P26" s="1">
        <v>1.19</v>
      </c>
      <c r="Q26" s="1">
        <v>0.95</v>
      </c>
      <c r="R26" s="1">
        <v>1.1399999999999999</v>
      </c>
      <c r="S26" s="1">
        <v>0.92</v>
      </c>
      <c r="T26" s="1">
        <v>1.05</v>
      </c>
      <c r="U26" s="1">
        <v>0.84</v>
      </c>
      <c r="V26" s="1">
        <v>1.06</v>
      </c>
    </row>
    <row r="27" spans="1:41" x14ac:dyDescent="0.25">
      <c r="F27" s="1">
        <v>6.9</v>
      </c>
      <c r="G27" s="1">
        <v>6.8999999999999999E-3</v>
      </c>
      <c r="H27" s="1">
        <f>$G$27/(SQRT(J)*H16*((H16/H22)^(2/3)))</f>
        <v>37.848250379543813</v>
      </c>
      <c r="I27" s="1">
        <f>$G$27/(SQRT(J)*I16*((I16/I22)^(2/3)))</f>
        <v>45.476786786529182</v>
      </c>
      <c r="J27" s="1">
        <f>$G$27/(SQRT(J)*J16*((J16/J22)^(2/3)))</f>
        <v>46.330426265150699</v>
      </c>
      <c r="N27" s="1" t="s">
        <v>95</v>
      </c>
      <c r="O27" s="1">
        <v>1.07</v>
      </c>
      <c r="P27" s="1">
        <v>1.22</v>
      </c>
      <c r="Q27" s="1">
        <v>1.01</v>
      </c>
      <c r="R27" s="1">
        <v>1.1299999999999999</v>
      </c>
      <c r="S27" s="1">
        <v>0.97</v>
      </c>
      <c r="T27" s="1">
        <v>1.06</v>
      </c>
      <c r="U27" s="1">
        <v>0.79</v>
      </c>
      <c r="V27" s="1">
        <v>0.99</v>
      </c>
    </row>
    <row r="28" spans="1:41" x14ac:dyDescent="0.25">
      <c r="F28" s="1">
        <v>8.7200000000000006</v>
      </c>
      <c r="G28" s="1">
        <v>8.7200000000000003E-3</v>
      </c>
      <c r="H28" s="1">
        <f>$G$28/(SQRT(J)*H15*((H15/H21)^(2/3)))</f>
        <v>40.267794032280534</v>
      </c>
      <c r="I28" s="1">
        <f>$G$28/(SQRT(J)*I15*((I15/I21)^(2/3)))</f>
        <v>48.504096344637325</v>
      </c>
      <c r="J28" s="1">
        <f>$G$28/(SQRT(J)*J15*((J15/J21)^(2/3)))</f>
        <v>48.951710136743614</v>
      </c>
      <c r="N28" s="1" t="s">
        <v>96</v>
      </c>
      <c r="O28" s="1">
        <v>0.85</v>
      </c>
      <c r="P28" s="1">
        <v>1.03</v>
      </c>
      <c r="Q28" s="1">
        <v>0.86</v>
      </c>
      <c r="R28" s="1">
        <v>1.03</v>
      </c>
      <c r="S28" s="1">
        <v>0.83</v>
      </c>
      <c r="T28" s="1">
        <v>0.97</v>
      </c>
      <c r="U28" s="1">
        <v>0.66</v>
      </c>
      <c r="V28" s="1">
        <v>0.73</v>
      </c>
    </row>
    <row r="29" spans="1:41" x14ac:dyDescent="0.25">
      <c r="F29" s="1">
        <v>11.2</v>
      </c>
      <c r="G29" s="1">
        <v>1.12E-2</v>
      </c>
      <c r="H29" s="1">
        <f>$G$29/(SQRT(J)*H14*((H14/H20)^(2/3)))</f>
        <v>41.213761637326044</v>
      </c>
      <c r="I29" s="1">
        <f>$G$29/(SQRT(J)*I14*((I14/I20)^(2/3)))</f>
        <v>50.906590373027861</v>
      </c>
      <c r="J29" s="1">
        <f>$G$29/(SQRT(J)*J14*((J14/J20)^(2/3)))</f>
        <v>52.419772871224431</v>
      </c>
      <c r="N29" s="1" t="s">
        <v>59</v>
      </c>
      <c r="O29" s="1">
        <v>0.86</v>
      </c>
      <c r="P29" s="1">
        <v>0.99</v>
      </c>
      <c r="Q29" s="1">
        <v>0.83</v>
      </c>
      <c r="R29" s="1">
        <v>0.95</v>
      </c>
      <c r="S29" s="1">
        <v>0.82</v>
      </c>
      <c r="T29" s="1">
        <v>0.9</v>
      </c>
      <c r="U29" s="1">
        <v>0.6</v>
      </c>
      <c r="V29" s="1">
        <v>0.74</v>
      </c>
    </row>
    <row r="30" spans="1:41" x14ac:dyDescent="0.25">
      <c r="N30" s="1" t="s">
        <v>97</v>
      </c>
      <c r="O30" s="1">
        <v>0.94</v>
      </c>
      <c r="P30" s="1">
        <v>1.1399999999999999</v>
      </c>
      <c r="Q30" s="1">
        <v>0.89</v>
      </c>
      <c r="R30" s="1">
        <v>0.97</v>
      </c>
      <c r="S30" s="1">
        <v>0.83</v>
      </c>
      <c r="T30" s="1">
        <v>0.92</v>
      </c>
      <c r="U30" s="1">
        <v>0.66</v>
      </c>
      <c r="V30" s="1">
        <v>0.74</v>
      </c>
    </row>
    <row r="32" spans="1:41" x14ac:dyDescent="0.25">
      <c r="N32" s="1" t="s">
        <v>107</v>
      </c>
      <c r="O32" s="1">
        <f>O28/O30</f>
        <v>0.9042553191489362</v>
      </c>
      <c r="P32" s="1">
        <f t="shared" ref="P32:V32" si="7">P28/P30</f>
        <v>0.90350877192982471</v>
      </c>
      <c r="Q32" s="1">
        <f t="shared" si="7"/>
        <v>0.96629213483146059</v>
      </c>
      <c r="R32" s="1">
        <f t="shared" si="7"/>
        <v>1.0618556701030928</v>
      </c>
      <c r="S32" s="1">
        <f t="shared" si="7"/>
        <v>1</v>
      </c>
      <c r="T32" s="1">
        <f t="shared" si="7"/>
        <v>1.0543478260869565</v>
      </c>
      <c r="U32" s="1">
        <f t="shared" si="7"/>
        <v>1</v>
      </c>
      <c r="V32" s="1">
        <f t="shared" si="7"/>
        <v>0.98648648648648651</v>
      </c>
    </row>
    <row r="33" spans="8:22" x14ac:dyDescent="0.25">
      <c r="H33" s="1">
        <f>AVERAGE(H26:H29)</f>
        <v>39.069721688215168</v>
      </c>
      <c r="I33" s="1">
        <f t="shared" ref="I33:J33" si="8">AVERAGE(I26:I29)</f>
        <v>47.474968659346629</v>
      </c>
      <c r="J33" s="1">
        <f t="shared" si="8"/>
        <v>48.596239659666566</v>
      </c>
    </row>
    <row r="35" spans="8:22" x14ac:dyDescent="0.25">
      <c r="N35" s="1" t="s">
        <v>61</v>
      </c>
    </row>
    <row r="36" spans="8:22" x14ac:dyDescent="0.25">
      <c r="N36" s="1" t="s">
        <v>93</v>
      </c>
      <c r="O36" s="1">
        <f>P23/O2</f>
        <v>0.32342117728389785</v>
      </c>
      <c r="Q36" s="1">
        <f>R23/O3</f>
        <v>0.48733703099584047</v>
      </c>
      <c r="S36" s="1">
        <f>T23/O4</f>
        <v>0.69331876323490071</v>
      </c>
      <c r="U36" s="1">
        <f>V23/O5</f>
        <v>1.0404828088923033</v>
      </c>
    </row>
    <row r="37" spans="8:22" x14ac:dyDescent="0.25">
      <c r="N37" s="1" t="s">
        <v>94</v>
      </c>
      <c r="O37" s="1">
        <f>P23/P2</f>
        <v>0.34836694597379392</v>
      </c>
      <c r="Q37" s="1">
        <f>R23/P3</f>
        <v>0.51355666595755134</v>
      </c>
      <c r="S37" s="1">
        <f>T23/P4</f>
        <v>0.73940406917659418</v>
      </c>
      <c r="U37" s="1">
        <f>V23/P5</f>
        <v>1.0993159457186954</v>
      </c>
    </row>
    <row r="38" spans="8:22" x14ac:dyDescent="0.25">
      <c r="N38" s="1" t="s">
        <v>95</v>
      </c>
      <c r="O38" s="1">
        <f>P23/Q2</f>
        <v>0.51018499111771753</v>
      </c>
      <c r="Q38" s="1">
        <f>R23/Q3</f>
        <v>0.7296509605015431</v>
      </c>
      <c r="S38" s="1">
        <f>T23/Q4</f>
        <v>1.0204016732840413</v>
      </c>
      <c r="U38" s="1">
        <f>V23/Q5</f>
        <v>1.4700472337126789</v>
      </c>
    </row>
    <row r="39" spans="8:22" x14ac:dyDescent="0.25">
      <c r="N39" s="1" t="s">
        <v>96</v>
      </c>
      <c r="O39" s="1">
        <f>P23/R2</f>
        <v>0.44307329851233024</v>
      </c>
      <c r="Q39" s="1">
        <f>R23/R3</f>
        <v>0.64238358479419966</v>
      </c>
      <c r="S39" s="1">
        <f>T23/R4</f>
        <v>0.90835397169485321</v>
      </c>
      <c r="U39" s="1">
        <f>V23/R5</f>
        <v>1.3913170245373629</v>
      </c>
    </row>
    <row r="40" spans="8:22" x14ac:dyDescent="0.25">
      <c r="N40" s="1" t="s">
        <v>97</v>
      </c>
      <c r="O40" s="1">
        <f>P23/S2</f>
        <v>0.36253227397397653</v>
      </c>
      <c r="Q40" s="1">
        <f>R23/S3</f>
        <v>0.51998191495415125</v>
      </c>
      <c r="S40" s="1">
        <f>T23/S4</f>
        <v>0.75827086861495896</v>
      </c>
      <c r="U40" s="1">
        <f>V23/S5</f>
        <v>1.1541795610351591</v>
      </c>
    </row>
    <row r="42" spans="8:22" x14ac:dyDescent="0.25">
      <c r="N42" s="1" t="s">
        <v>98</v>
      </c>
      <c r="U42" s="1" t="s">
        <v>101</v>
      </c>
      <c r="V42" s="1">
        <v>0.88</v>
      </c>
    </row>
    <row r="43" spans="8:22" x14ac:dyDescent="0.25">
      <c r="N43" s="1" t="s">
        <v>93</v>
      </c>
      <c r="P43" s="1">
        <f>$V$42*P25</f>
        <v>1.2671999999999999</v>
      </c>
      <c r="R43" s="1">
        <f>$V$42*R25</f>
        <v>1.0824</v>
      </c>
      <c r="T43" s="1">
        <f>$V$42*T25</f>
        <v>1.0648</v>
      </c>
      <c r="V43" s="1">
        <f>$V$42*V25</f>
        <v>1.0031999999999999</v>
      </c>
    </row>
    <row r="44" spans="8:22" x14ac:dyDescent="0.25">
      <c r="N44" s="1" t="s">
        <v>94</v>
      </c>
      <c r="P44" s="1">
        <f>$V$42*P26</f>
        <v>1.0471999999999999</v>
      </c>
      <c r="R44" s="1">
        <f>$V$42*R26</f>
        <v>1.0031999999999999</v>
      </c>
      <c r="T44" s="1">
        <f>$V$42*T26</f>
        <v>0.92400000000000004</v>
      </c>
      <c r="V44" s="1">
        <f>$V$42*V26</f>
        <v>0.93280000000000007</v>
      </c>
    </row>
    <row r="45" spans="8:22" x14ac:dyDescent="0.25">
      <c r="N45" s="1" t="s">
        <v>95</v>
      </c>
      <c r="P45" s="1">
        <f>$V$42*P27</f>
        <v>1.0735999999999999</v>
      </c>
      <c r="R45" s="1">
        <f>$V$42*R27</f>
        <v>0.99439999999999995</v>
      </c>
      <c r="T45" s="1">
        <f>$V$42*T27</f>
        <v>0.93280000000000007</v>
      </c>
      <c r="V45" s="1">
        <f>$V$42*V27</f>
        <v>0.87119999999999997</v>
      </c>
    </row>
    <row r="46" spans="8:22" x14ac:dyDescent="0.25">
      <c r="N46" s="1" t="s">
        <v>96</v>
      </c>
      <c r="P46" s="1">
        <f>$V$42*P28</f>
        <v>0.90639999999999998</v>
      </c>
      <c r="R46" s="1">
        <f>$V$42*R28</f>
        <v>0.90639999999999998</v>
      </c>
      <c r="T46" s="1">
        <f>$V$42*T28</f>
        <v>0.85360000000000003</v>
      </c>
      <c r="V46" s="1">
        <f>$V$42*V28</f>
        <v>0.64239999999999997</v>
      </c>
    </row>
    <row r="47" spans="8:22" x14ac:dyDescent="0.25">
      <c r="N47" s="1" t="s">
        <v>59</v>
      </c>
      <c r="P47" s="1">
        <f>$V$42*P29</f>
        <v>0.87119999999999997</v>
      </c>
      <c r="R47" s="1">
        <f>$V$42*R29</f>
        <v>0.83599999999999997</v>
      </c>
      <c r="T47" s="1">
        <f>$V$42*T29</f>
        <v>0.79200000000000004</v>
      </c>
      <c r="V47" s="1">
        <f>$V$42*V29</f>
        <v>0.6512</v>
      </c>
    </row>
    <row r="48" spans="8:22" x14ac:dyDescent="0.25">
      <c r="N48" s="1" t="s">
        <v>97</v>
      </c>
      <c r="P48" s="1">
        <f>$V$42*P30</f>
        <v>1.0031999999999999</v>
      </c>
      <c r="R48" s="1">
        <f>$V$42*R30</f>
        <v>0.85360000000000003</v>
      </c>
      <c r="T48" s="1">
        <f>$V$42*T30</f>
        <v>0.80959999999999999</v>
      </c>
      <c r="V48" s="1">
        <f>$V$42*V30</f>
        <v>0.6512</v>
      </c>
    </row>
    <row r="50" spans="18:19" x14ac:dyDescent="0.25">
      <c r="R50" s="1" t="s">
        <v>102</v>
      </c>
    </row>
    <row r="51" spans="18:19" x14ac:dyDescent="0.25">
      <c r="R51" s="1" t="s">
        <v>99</v>
      </c>
      <c r="S51" s="1" t="s">
        <v>100</v>
      </c>
    </row>
    <row r="52" spans="18:19" x14ac:dyDescent="0.25">
      <c r="R52" s="1">
        <v>0</v>
      </c>
      <c r="S52" s="1">
        <v>0</v>
      </c>
    </row>
    <row r="53" spans="18:19" x14ac:dyDescent="0.25">
      <c r="R53" s="1">
        <v>1.4</v>
      </c>
      <c r="S53" s="1">
        <v>1.4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L34" sqref="L34"/>
    </sheetView>
  </sheetViews>
  <sheetFormatPr defaultRowHeight="15" x14ac:dyDescent="0.25"/>
  <cols>
    <col min="1" max="13" width="9.140625" style="1"/>
    <col min="14" max="14" width="8.5703125" style="1" customWidth="1"/>
    <col min="15" max="16384" width="9.140625" style="1"/>
  </cols>
  <sheetData>
    <row r="1" spans="1:25" x14ac:dyDescent="0.25">
      <c r="A1" s="1" t="s">
        <v>92</v>
      </c>
      <c r="B1" s="4" t="s">
        <v>5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40</v>
      </c>
      <c r="N1" s="1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  <c r="T1" s="4" t="s">
        <v>47</v>
      </c>
      <c r="U1" s="4" t="s">
        <v>48</v>
      </c>
      <c r="V1" s="4" t="s">
        <v>49</v>
      </c>
      <c r="W1" s="4"/>
      <c r="X1" s="4"/>
      <c r="Y1" s="4"/>
    </row>
    <row r="2" spans="1:25" x14ac:dyDescent="0.25">
      <c r="B2" s="5" t="s">
        <v>80</v>
      </c>
      <c r="C2" s="1">
        <v>0.62534696646385501</v>
      </c>
      <c r="D2" s="1">
        <v>0.61865352109315297</v>
      </c>
      <c r="E2" s="1">
        <v>0.44628985303179602</v>
      </c>
      <c r="F2" s="1">
        <v>0.62829460326169595</v>
      </c>
      <c r="G2" s="1">
        <v>0.59888644704204697</v>
      </c>
    </row>
    <row r="3" spans="1:25" x14ac:dyDescent="0.25">
      <c r="B3" s="6">
        <v>5.4627413127413167</v>
      </c>
      <c r="C3" s="1">
        <v>4.6659982632211598E-2</v>
      </c>
      <c r="D3" s="1">
        <v>4.4791016334152903E-2</v>
      </c>
      <c r="E3" s="1">
        <v>3.5920249641944201E-2</v>
      </c>
      <c r="F3" s="1">
        <v>3.74767626752028E-2</v>
      </c>
      <c r="G3" s="1">
        <v>4.3188596977759598E-2</v>
      </c>
      <c r="H3" s="1">
        <f>$B$3*10^-3/M3</f>
        <v>0.50722120742754884</v>
      </c>
      <c r="I3" s="1">
        <f t="shared" ref="I3:L3" si="0">$B$3*10^-3/N3</f>
        <v>0.53590156085847362</v>
      </c>
      <c r="J3" s="1">
        <f t="shared" si="0"/>
        <v>0.71662801776905805</v>
      </c>
      <c r="K3" s="1">
        <f t="shared" si="0"/>
        <v>0.67824811238509441</v>
      </c>
      <c r="L3" s="1">
        <f t="shared" si="0"/>
        <v>0.56264682658206877</v>
      </c>
      <c r="M3" s="1">
        <f t="shared" ref="M3:Q6" si="1">C3*(w0+C3/TAN(RADIANS(beta)))</f>
        <v>1.0769938702773211E-2</v>
      </c>
      <c r="N3" s="1">
        <f t="shared" si="1"/>
        <v>1.0193553651887894E-2</v>
      </c>
      <c r="O3" s="1">
        <f t="shared" si="1"/>
        <v>7.6228408285618412E-3</v>
      </c>
      <c r="P3" s="1">
        <f t="shared" si="1"/>
        <v>8.0541931676467258E-3</v>
      </c>
      <c r="Q3" s="1">
        <f t="shared" si="1"/>
        <v>9.7090058179587196E-3</v>
      </c>
      <c r="R3" s="1">
        <f t="shared" ref="R3:V6" si="2">w0+2*SQRT(C3^2+(C3/TAN(RADIANS(beta)))^2)</f>
        <v>0.33663993052884639</v>
      </c>
      <c r="S3" s="1">
        <f t="shared" si="2"/>
        <v>0.32916406533661163</v>
      </c>
      <c r="T3" s="1">
        <f t="shared" si="2"/>
        <v>0.2936809985677768</v>
      </c>
      <c r="U3" s="1">
        <f t="shared" si="2"/>
        <v>0.2999070507008112</v>
      </c>
      <c r="V3" s="1">
        <f t="shared" si="2"/>
        <v>0.32275438791103839</v>
      </c>
    </row>
    <row r="4" spans="1:25" x14ac:dyDescent="0.25">
      <c r="B4" s="6">
        <v>6.9047722342733184</v>
      </c>
      <c r="C4" s="1">
        <v>5.23040100992598E-2</v>
      </c>
      <c r="D4" s="1">
        <v>4.9905684074417998E-2</v>
      </c>
      <c r="E4" s="1">
        <v>3.9230566905351899E-2</v>
      </c>
      <c r="F4" s="1">
        <v>4.28406713266326E-2</v>
      </c>
      <c r="G4" s="1">
        <v>4.89919107796528E-2</v>
      </c>
      <c r="H4" s="1">
        <f>$B$4*10^-3/M4</f>
        <v>0.54869501720931935</v>
      </c>
      <c r="I4" s="1">
        <f t="shared" ref="I4:L4" si="3">$B$4*10^-3/N4</f>
        <v>0.58516709769765152</v>
      </c>
      <c r="J4" s="1">
        <f t="shared" si="3"/>
        <v>0.807549634270191</v>
      </c>
      <c r="K4" s="1">
        <f t="shared" si="3"/>
        <v>0.71887467145093964</v>
      </c>
      <c r="L4" s="1">
        <f t="shared" si="3"/>
        <v>0.60009835210971618</v>
      </c>
      <c r="M4" s="1">
        <f t="shared" si="1"/>
        <v>1.2583989315943152E-2</v>
      </c>
      <c r="N4" s="1">
        <f t="shared" si="1"/>
        <v>1.1799659040025055E-2</v>
      </c>
      <c r="O4" s="1">
        <f t="shared" si="1"/>
        <v>8.5502759722173444E-3</v>
      </c>
      <c r="P4" s="1">
        <f t="shared" si="1"/>
        <v>9.6049735906497888E-3</v>
      </c>
      <c r="Q4" s="1">
        <f t="shared" si="1"/>
        <v>1.1506067647076153E-2</v>
      </c>
      <c r="R4" s="1">
        <f t="shared" si="2"/>
        <v>0.35921604039703919</v>
      </c>
      <c r="S4" s="1">
        <f t="shared" si="2"/>
        <v>0.34962273629767204</v>
      </c>
      <c r="T4" s="1">
        <f t="shared" si="2"/>
        <v>0.30692226762140762</v>
      </c>
      <c r="U4" s="1">
        <f t="shared" si="2"/>
        <v>0.32136268530653039</v>
      </c>
      <c r="V4" s="1">
        <f t="shared" si="2"/>
        <v>0.34596764311861122</v>
      </c>
    </row>
    <row r="5" spans="1:25" x14ac:dyDescent="0.25">
      <c r="B5" s="6">
        <v>8.724715909090909</v>
      </c>
      <c r="C5" s="1">
        <v>5.6973917457391797E-2</v>
      </c>
      <c r="D5" s="1">
        <v>5.4869385228037998E-2</v>
      </c>
      <c r="E5" s="1">
        <v>4.23639678572049E-2</v>
      </c>
      <c r="F5" s="1">
        <v>4.6591723282166E-2</v>
      </c>
      <c r="G5" s="1">
        <v>5.4379634548765203E-2</v>
      </c>
      <c r="H5" s="1">
        <f>$B$5*10^-3/M5</f>
        <v>0.61578818289087556</v>
      </c>
      <c r="I5" s="1">
        <f t="shared" ref="I5:L5" si="4">$B$5*10^-3/N5</f>
        <v>0.64891872775454262</v>
      </c>
      <c r="J5" s="1">
        <f t="shared" si="4"/>
        <v>0.92197064974457521</v>
      </c>
      <c r="K5" s="1">
        <f t="shared" si="4"/>
        <v>0.8117015437776639</v>
      </c>
      <c r="L5" s="1">
        <f t="shared" si="4"/>
        <v>0.6570375288153868</v>
      </c>
      <c r="M5" s="1">
        <f t="shared" si="1"/>
        <v>1.4168371773767905E-2</v>
      </c>
      <c r="N5" s="1">
        <f t="shared" si="1"/>
        <v>1.3445005569928758E-2</v>
      </c>
      <c r="O5" s="1">
        <f t="shared" si="1"/>
        <v>9.4631167613719851E-3</v>
      </c>
      <c r="P5" s="1">
        <f t="shared" si="1"/>
        <v>1.0748674775812338E-2</v>
      </c>
      <c r="Q5" s="1">
        <f t="shared" si="1"/>
        <v>1.3278869967779822E-2</v>
      </c>
      <c r="R5" s="1">
        <f t="shared" si="2"/>
        <v>0.37789566982956718</v>
      </c>
      <c r="S5" s="1">
        <f t="shared" si="2"/>
        <v>0.36947754091215201</v>
      </c>
      <c r="T5" s="1">
        <f t="shared" si="2"/>
        <v>0.31945587142881959</v>
      </c>
      <c r="U5" s="1">
        <f t="shared" si="2"/>
        <v>0.33636689312866397</v>
      </c>
      <c r="V5" s="1">
        <f t="shared" si="2"/>
        <v>0.36751853819506086</v>
      </c>
    </row>
    <row r="6" spans="1:25" x14ac:dyDescent="0.25">
      <c r="B6" s="6">
        <v>11.205936073059416</v>
      </c>
      <c r="C6" s="1">
        <v>6.4526033563218593E-2</v>
      </c>
      <c r="D6" s="1">
        <v>6.1237853108648703E-2</v>
      </c>
      <c r="E6" s="1">
        <v>4.6458994065195998E-2</v>
      </c>
      <c r="F6" s="1">
        <v>5.15315803740257E-2</v>
      </c>
      <c r="G6" s="1">
        <v>5.9531998198456698E-2</v>
      </c>
      <c r="H6" s="1">
        <f>$B$6*10^-3/M6</f>
        <v>0.66344657925935291</v>
      </c>
      <c r="I6" s="1">
        <f t="shared" ref="I6:L6" si="5">$B$6*10^-3/N6</f>
        <v>0.71461881554670936</v>
      </c>
      <c r="J6" s="1">
        <f t="shared" si="5"/>
        <v>1.0465625349245333</v>
      </c>
      <c r="K6" s="1">
        <f t="shared" si="5"/>
        <v>0.90889368076577948</v>
      </c>
      <c r="L6" s="1">
        <f t="shared" si="5"/>
        <v>0.74367670991445622</v>
      </c>
      <c r="M6" s="1">
        <f t="shared" si="1"/>
        <v>1.6890487378153803E-2</v>
      </c>
      <c r="N6" s="1">
        <f t="shared" si="1"/>
        <v>1.5680997798086897E-2</v>
      </c>
      <c r="O6" s="1">
        <f t="shared" si="1"/>
        <v>1.070737361515379E-2</v>
      </c>
      <c r="P6" s="1">
        <f t="shared" si="1"/>
        <v>1.232920451555782E-2</v>
      </c>
      <c r="Q6" s="1">
        <f t="shared" si="1"/>
        <v>1.5068289652836396E-2</v>
      </c>
      <c r="R6" s="1">
        <f t="shared" si="2"/>
        <v>0.4081041342528744</v>
      </c>
      <c r="S6" s="1">
        <f t="shared" si="2"/>
        <v>0.39495141243459481</v>
      </c>
      <c r="T6" s="1">
        <f t="shared" si="2"/>
        <v>0.33583597626078399</v>
      </c>
      <c r="U6" s="1">
        <f t="shared" si="2"/>
        <v>0.35612632149610279</v>
      </c>
      <c r="V6" s="1">
        <f t="shared" si="2"/>
        <v>0.38812799279382681</v>
      </c>
    </row>
    <row r="8" spans="1:25" x14ac:dyDescent="0.25">
      <c r="H8" s="1">
        <f>AVERAGE(H3:H6)</f>
        <v>0.58378774669677413</v>
      </c>
      <c r="I8" s="1">
        <f>AVERAGE(I3:I6)</f>
        <v>0.62115155046434434</v>
      </c>
      <c r="J8" s="1">
        <f t="shared" ref="J8:L8" si="6">AVERAGE(J3:J6)</f>
        <v>0.87317770917708948</v>
      </c>
      <c r="K8" s="1">
        <f t="shared" si="6"/>
        <v>0.77942950209486939</v>
      </c>
      <c r="L8" s="1">
        <f t="shared" si="6"/>
        <v>0.64086485435540708</v>
      </c>
    </row>
    <row r="10" spans="1:25" x14ac:dyDescent="0.25">
      <c r="A10" s="7" t="s">
        <v>66</v>
      </c>
      <c r="B10" s="4" t="s">
        <v>5</v>
      </c>
      <c r="C10" s="4" t="s">
        <v>78</v>
      </c>
      <c r="D10" s="1" t="s">
        <v>86</v>
      </c>
      <c r="E10" s="1" t="s">
        <v>88</v>
      </c>
      <c r="F10" s="1" t="s">
        <v>91</v>
      </c>
      <c r="G10" s="1" t="s">
        <v>90</v>
      </c>
    </row>
    <row r="11" spans="1:25" x14ac:dyDescent="0.25">
      <c r="A11" s="7"/>
      <c r="B11" s="6">
        <v>5.4627413127413167</v>
      </c>
      <c r="C11" s="1">
        <f>(dz_12+D3-C3+((v_1^2-v_2^2)/(2*9.81)))/dx_12</f>
        <v>2.7426316722208768E-2</v>
      </c>
      <c r="D11" s="1">
        <f>AVERAGE(M3:N3)</f>
        <v>1.0481746177330553E-2</v>
      </c>
      <c r="E11" s="1">
        <f>AVERAGE(R3:S3)</f>
        <v>0.33290199793272901</v>
      </c>
      <c r="F11" s="1">
        <f>D11/E11</f>
        <v>3.1485981587435971E-2</v>
      </c>
      <c r="G11" s="1">
        <f>(B11*10^-3)/(D11*(F11^(2/3))*SQRT(C11))</f>
        <v>31.560830879136599</v>
      </c>
    </row>
    <row r="12" spans="1:25" x14ac:dyDescent="0.25">
      <c r="A12" s="7"/>
      <c r="B12" s="6">
        <v>6.9047722342733184</v>
      </c>
      <c r="C12" s="1">
        <f>(dz_12+D4-C4+((v_1^2-v_2^2)/(2*9.81)))/dx_12</f>
        <v>2.6532127994534613E-2</v>
      </c>
      <c r="D12" s="1">
        <f t="shared" ref="D12:D14" si="7">AVERAGE(M4:N4)</f>
        <v>1.2191824177984104E-2</v>
      </c>
      <c r="E12" s="1">
        <f t="shared" ref="E12:E14" si="8">AVERAGE(R4:S4)</f>
        <v>0.35441938834735565</v>
      </c>
      <c r="F12" s="1">
        <f t="shared" ref="F12:F14" si="9">D12/E12</f>
        <v>3.4399427849684305E-2</v>
      </c>
      <c r="G12" s="1">
        <f t="shared" ref="G12:G14" si="10">B12*10^-3/(D12*(F12^(2/3))*SQRT(C12))</f>
        <v>32.87207695240506</v>
      </c>
    </row>
    <row r="13" spans="1:25" x14ac:dyDescent="0.25">
      <c r="A13" s="7"/>
      <c r="B13" s="6">
        <v>8.724715909090909</v>
      </c>
      <c r="C13" s="1">
        <f>(dz_12+D5-C5+((v_1^2-v_2^2)/(2*9.81)))/dx_12</f>
        <v>2.7028401297723794E-2</v>
      </c>
      <c r="D13" s="1">
        <f t="shared" si="7"/>
        <v>1.3806688671848331E-2</v>
      </c>
      <c r="E13" s="1">
        <f t="shared" si="8"/>
        <v>0.37368660537085963</v>
      </c>
      <c r="F13" s="1">
        <f t="shared" si="9"/>
        <v>3.6947239942266841E-2</v>
      </c>
      <c r="G13" s="1">
        <f t="shared" si="10"/>
        <v>34.649495529604131</v>
      </c>
    </row>
    <row r="14" spans="1:25" x14ac:dyDescent="0.25">
      <c r="A14" s="7"/>
      <c r="B14" s="6">
        <v>11.205936073059416</v>
      </c>
      <c r="C14" s="1">
        <f>(dz_12+D6-C6+((v_1^2-v_2^2)/(2*9.81)))/dx_12</f>
        <v>2.5028995511885813E-2</v>
      </c>
      <c r="D14" s="1">
        <f t="shared" si="7"/>
        <v>1.628574258812035E-2</v>
      </c>
      <c r="E14" s="1">
        <f t="shared" si="8"/>
        <v>0.40152777334373457</v>
      </c>
      <c r="F14" s="1">
        <f t="shared" si="9"/>
        <v>4.0559442383027056E-2</v>
      </c>
      <c r="G14" s="1">
        <f t="shared" si="10"/>
        <v>36.843217273848545</v>
      </c>
    </row>
    <row r="15" spans="1:25" x14ac:dyDescent="0.25">
      <c r="H15" s="1">
        <f>AVERAGE(G11:G14)</f>
        <v>33.981405158748586</v>
      </c>
    </row>
    <row r="18" spans="1:8" x14ac:dyDescent="0.25">
      <c r="A18" s="7" t="s">
        <v>67</v>
      </c>
      <c r="B18" s="4" t="s">
        <v>5</v>
      </c>
      <c r="C18" s="4" t="s">
        <v>79</v>
      </c>
      <c r="D18" s="1" t="s">
        <v>87</v>
      </c>
      <c r="E18" s="1" t="s">
        <v>89</v>
      </c>
      <c r="F18" s="1" t="s">
        <v>91</v>
      </c>
      <c r="G18" s="1" t="s">
        <v>90</v>
      </c>
    </row>
    <row r="19" spans="1:8" x14ac:dyDescent="0.25">
      <c r="A19" s="7"/>
      <c r="B19" s="6">
        <v>5.4627413127413167</v>
      </c>
      <c r="C19" s="1">
        <f>(dz_45+G3-F3+((v_4^2-v_5^2)/(2*9.81)))/dx_45</f>
        <v>6.2807349904395945E-2</v>
      </c>
      <c r="D19" s="1">
        <f>AVERAGE(P3:Q3)</f>
        <v>8.8815994928027227E-3</v>
      </c>
      <c r="E19" s="1">
        <f>AVERAGE(U3:V3)</f>
        <v>0.31133071930592482</v>
      </c>
      <c r="F19" s="1">
        <f>D19/E19</f>
        <v>2.85278610238116E-2</v>
      </c>
      <c r="G19" s="1">
        <f>(B19*10^-3)/(D19*(F19^(2/3))*SQRT(C19))</f>
        <v>26.286619688676204</v>
      </c>
    </row>
    <row r="20" spans="1:8" x14ac:dyDescent="0.25">
      <c r="A20" s="7"/>
      <c r="B20" s="6">
        <v>6.9047722342733184</v>
      </c>
      <c r="C20" s="1">
        <f>(dz_45+G4-F4+((v_4^2-v_5^2)/(2*9.81)))/dx_45</f>
        <v>6.4411018336744133E-2</v>
      </c>
      <c r="D20" s="1">
        <f t="shared" ref="D20:D22" si="11">AVERAGE(P4:Q4)</f>
        <v>1.055552061886297E-2</v>
      </c>
      <c r="E20" s="1">
        <f t="shared" ref="E20:E22" si="12">AVERAGE(U4:V4)</f>
        <v>0.33366516421257081</v>
      </c>
      <c r="F20" s="1">
        <f t="shared" ref="F20:F22" si="13">D20/E20</f>
        <v>3.1635069377929662E-2</v>
      </c>
      <c r="G20" s="1">
        <f t="shared" ref="G20:G22" si="14">B20*10^-3/(D20*(F20^(2/3))*SQRT(C20))</f>
        <v>25.767785024467877</v>
      </c>
    </row>
    <row r="21" spans="1:8" x14ac:dyDescent="0.25">
      <c r="A21" s="7"/>
      <c r="B21" s="6">
        <v>8.724715909090909</v>
      </c>
      <c r="C21" s="1">
        <f>(dz_45+G5-F5+((v_4^2-v_5^2)/(2*9.81)))/dx_45</f>
        <v>7.0384273130828082E-2</v>
      </c>
      <c r="D21" s="1">
        <f t="shared" si="11"/>
        <v>1.2013772371796079E-2</v>
      </c>
      <c r="E21" s="1">
        <f t="shared" si="12"/>
        <v>0.35194271566186242</v>
      </c>
      <c r="F21" s="1">
        <f t="shared" si="13"/>
        <v>3.4135590359365767E-2</v>
      </c>
      <c r="G21" s="1">
        <f t="shared" si="14"/>
        <v>26.013321100688163</v>
      </c>
    </row>
    <row r="22" spans="1:8" x14ac:dyDescent="0.25">
      <c r="A22" s="7"/>
      <c r="B22" s="6">
        <v>11.205936073059416</v>
      </c>
      <c r="C22" s="1">
        <f>(dz_45+G6-F6+((v_4^2-v_5^2)/(2*9.81)))/dx_45</f>
        <v>7.1159844509776235E-2</v>
      </c>
      <c r="D22" s="1">
        <f t="shared" si="11"/>
        <v>1.3698747084197108E-2</v>
      </c>
      <c r="E22" s="1">
        <f t="shared" si="12"/>
        <v>0.3721271571449648</v>
      </c>
      <c r="F22" s="1">
        <f t="shared" si="13"/>
        <v>3.6812005845788524E-2</v>
      </c>
      <c r="G22" s="1">
        <f t="shared" si="14"/>
        <v>27.711294236053764</v>
      </c>
    </row>
    <row r="23" spans="1:8" x14ac:dyDescent="0.25">
      <c r="H23" s="1">
        <f>AVERAGE(G19:G22)</f>
        <v>26.4447550124715</v>
      </c>
    </row>
    <row r="26" spans="1:8" x14ac:dyDescent="0.25">
      <c r="A26" s="1" t="s">
        <v>103</v>
      </c>
      <c r="B26" s="1" t="s">
        <v>5</v>
      </c>
      <c r="C26" s="1" t="s">
        <v>105</v>
      </c>
      <c r="D26" s="1" t="s">
        <v>104</v>
      </c>
    </row>
    <row r="27" spans="1:8" x14ac:dyDescent="0.25">
      <c r="B27" s="1">
        <f>B3*10^-3</f>
        <v>5.4627413127413165E-3</v>
      </c>
      <c r="C27" s="1">
        <f>AVERAGE(E3:G3)</f>
        <v>3.8861869764968866E-2</v>
      </c>
      <c r="D27" s="1">
        <f>C27*(w0+C27/TAN(RADIANS(30)))</f>
        <v>8.4451014008803307E-3</v>
      </c>
      <c r="E27" s="1">
        <f>SQRT((w0*B27^2)/(9.81*D27^3))</f>
        <v>0.87039113305092208</v>
      </c>
    </row>
    <row r="28" spans="1:8" x14ac:dyDescent="0.25">
      <c r="B28" s="1">
        <f t="shared" ref="B28:B30" si="15">B4*10^-3</f>
        <v>6.9047722342733186E-3</v>
      </c>
      <c r="C28" s="1">
        <f t="shared" ref="C28:C30" si="16">AVERAGE(E4:G4)</f>
        <v>4.3687716337212433E-2</v>
      </c>
      <c r="D28" s="1">
        <f>C28*(w0+C28/TAN(RADIANS(30)))</f>
        <v>9.8589783025227334E-3</v>
      </c>
      <c r="E28" s="1">
        <f>SQRT((w0*B28^2)/(9.81*D28^3))</f>
        <v>0.87219304014174603</v>
      </c>
    </row>
    <row r="29" spans="1:8" x14ac:dyDescent="0.25">
      <c r="B29" s="1">
        <f t="shared" si="15"/>
        <v>8.7247159090909094E-3</v>
      </c>
      <c r="C29" s="1">
        <f t="shared" si="16"/>
        <v>4.7778441896045375E-2</v>
      </c>
      <c r="D29" s="1">
        <f>C29*(w0+C29/TAN(RADIANS(30)))</f>
        <v>1.1120656378227867E-2</v>
      </c>
      <c r="E29" s="1">
        <f>SQRT((w0*B29^2)/(9.81*D29^3))</f>
        <v>0.91995543199701224</v>
      </c>
    </row>
    <row r="30" spans="1:8" x14ac:dyDescent="0.25">
      <c r="B30" s="1">
        <f t="shared" si="15"/>
        <v>1.1205936073059416E-2</v>
      </c>
      <c r="C30" s="1">
        <f t="shared" si="16"/>
        <v>5.2507524212559463E-2</v>
      </c>
      <c r="D30" s="1">
        <f>C30*(w0+C30/TAN(RADIANS(30)))</f>
        <v>1.2651462161739764E-2</v>
      </c>
      <c r="E30" s="1">
        <f>SQRT((w0*B30^2)/(9.81*D30^3))</f>
        <v>0.97375160169700536</v>
      </c>
    </row>
    <row r="32" spans="1:8" x14ac:dyDescent="0.25">
      <c r="D32" s="1" t="s">
        <v>106</v>
      </c>
    </row>
    <row r="33" spans="4:4" x14ac:dyDescent="0.25">
      <c r="D33" s="1">
        <f>AVERAGE(J3:L3)</f>
        <v>0.65250765224540708</v>
      </c>
    </row>
  </sheetData>
  <sortState ref="B3:G6">
    <sortCondition ref="B3:B6"/>
  </sortState>
  <mergeCells count="2">
    <mergeCell ref="A10:A14"/>
    <mergeCell ref="A18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Kst_Je</vt:lpstr>
      <vt:lpstr>beta</vt:lpstr>
      <vt:lpstr>dx_12</vt:lpstr>
      <vt:lpstr>dx_45</vt:lpstr>
      <vt:lpstr>dz_12</vt:lpstr>
      <vt:lpstr>dz_45</vt:lpstr>
      <vt:lpstr>J</vt:lpstr>
      <vt:lpstr>v_1</vt:lpstr>
      <vt:lpstr>v_2</vt:lpstr>
      <vt:lpstr>v_4</vt:lpstr>
      <vt:lpstr>v_5</vt:lpstr>
      <vt:lpstr>w0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Sakho Aidatou</dc:creator>
  <cp:lastModifiedBy>Schwindt Sebastian</cp:lastModifiedBy>
  <dcterms:created xsi:type="dcterms:W3CDTF">2015-12-07T15:22:58Z</dcterms:created>
  <dcterms:modified xsi:type="dcterms:W3CDTF">2016-01-28T15:12:50Z</dcterms:modified>
</cp:coreProperties>
</file>