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perCent\ConstrictionLateral\Kindsvater\"/>
    </mc:Choice>
  </mc:AlternateContent>
  <bookViews>
    <workbookView xWindow="0" yWindow="0" windowWidth="20490" windowHeight="7755"/>
  </bookViews>
  <sheets>
    <sheet name="summary" sheetId="1" r:id="rId1"/>
    <sheet name="calc" sheetId="3" r:id="rId2"/>
  </sheets>
  <definedNames>
    <definedName name="g">9.81</definedName>
    <definedName name="J">0.0204</definedName>
    <definedName name="m">2.1842</definedName>
    <definedName name="nu">10^-6</definedName>
    <definedName name="rhof">1000</definedName>
    <definedName name="rhos">2680</definedName>
    <definedName name="s">2.68</definedName>
    <definedName name="w">0.111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9" i="1" l="1"/>
  <c r="V38" i="1"/>
  <c r="V39" i="1"/>
  <c r="V40" i="1"/>
  <c r="V41" i="1"/>
  <c r="V43" i="1"/>
  <c r="V45" i="1"/>
  <c r="V46" i="1"/>
  <c r="V47" i="1"/>
  <c r="V51" i="1"/>
  <c r="V52" i="1"/>
  <c r="V53" i="1"/>
  <c r="V54" i="1"/>
  <c r="V56" i="1"/>
  <c r="V57" i="1"/>
  <c r="V58" i="1"/>
  <c r="V59" i="1"/>
  <c r="V60" i="1"/>
  <c r="V62" i="1"/>
  <c r="V63" i="1"/>
  <c r="V65" i="1"/>
  <c r="V66" i="1"/>
  <c r="V67" i="1"/>
  <c r="V68" i="1"/>
  <c r="V69" i="1"/>
  <c r="V71" i="1"/>
  <c r="V73" i="1"/>
  <c r="V74" i="1"/>
  <c r="V75" i="1"/>
  <c r="V78" i="1"/>
  <c r="V79" i="1"/>
  <c r="V80" i="1"/>
  <c r="V81" i="1"/>
  <c r="V82" i="1"/>
  <c r="V83" i="1"/>
  <c r="V85" i="1"/>
  <c r="V86" i="1"/>
  <c r="V87" i="1"/>
  <c r="V88" i="1"/>
  <c r="V89" i="1"/>
  <c r="V90" i="1"/>
  <c r="V91" i="1"/>
  <c r="V93" i="1"/>
  <c r="V94" i="1"/>
  <c r="V95" i="1"/>
  <c r="V96" i="1"/>
  <c r="V98" i="1"/>
  <c r="V101" i="1"/>
  <c r="V102" i="1"/>
  <c r="V105" i="1"/>
  <c r="V108" i="1"/>
  <c r="V110" i="1"/>
  <c r="V111" i="1"/>
  <c r="V112" i="1"/>
  <c r="V114" i="1"/>
  <c r="V115" i="1"/>
  <c r="V117" i="1"/>
  <c r="V118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13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I65" i="1" l="1"/>
  <c r="O14" i="1" l="1"/>
  <c r="O13" i="1"/>
  <c r="O46" i="1"/>
  <c r="O52" i="1"/>
  <c r="O59" i="1"/>
  <c r="O66" i="1"/>
  <c r="O67" i="1"/>
  <c r="O73" i="1"/>
  <c r="O78" i="1"/>
  <c r="O88" i="1"/>
  <c r="O94" i="1"/>
  <c r="O98" i="1"/>
  <c r="O102" i="1"/>
  <c r="O108" i="1"/>
  <c r="O115" i="1"/>
  <c r="O17" i="1"/>
  <c r="O16" i="1"/>
  <c r="O15" i="1"/>
  <c r="O21" i="1"/>
  <c r="O19" i="1"/>
  <c r="O26" i="1"/>
  <c r="O24" i="1"/>
  <c r="O28" i="1"/>
  <c r="O49" i="1"/>
  <c r="O51" i="1"/>
  <c r="O60" i="1"/>
  <c r="O65" i="1"/>
  <c r="O74" i="1"/>
  <c r="O75" i="1"/>
  <c r="O83" i="1"/>
  <c r="O85" i="1"/>
  <c r="O90" i="1"/>
  <c r="O95" i="1"/>
  <c r="O105" i="1"/>
  <c r="O110" i="1"/>
  <c r="O114" i="1"/>
  <c r="O20" i="1"/>
  <c r="O25" i="1"/>
  <c r="O29" i="1"/>
  <c r="O18" i="1"/>
  <c r="O30" i="1"/>
  <c r="O36" i="1"/>
  <c r="O35" i="1"/>
  <c r="O45" i="1"/>
  <c r="O57" i="1"/>
  <c r="O69" i="1"/>
  <c r="O81" i="1"/>
  <c r="O91" i="1"/>
  <c r="O96" i="1"/>
  <c r="O101" i="1"/>
  <c r="O112" i="1"/>
  <c r="O118" i="1"/>
  <c r="O23" i="1"/>
  <c r="O22" i="1"/>
  <c r="O27" i="1"/>
  <c r="O34" i="1"/>
  <c r="O31" i="1"/>
  <c r="O40" i="1"/>
  <c r="O32" i="1"/>
  <c r="O33" i="1"/>
  <c r="O38" i="1"/>
  <c r="O43" i="1"/>
  <c r="O47" i="1"/>
  <c r="O54" i="1"/>
  <c r="O58" i="1"/>
  <c r="O62" i="1"/>
  <c r="O71" i="1"/>
  <c r="O77" i="1"/>
  <c r="O79" i="1"/>
  <c r="O80" i="1"/>
  <c r="O89" i="1"/>
  <c r="O99" i="1"/>
  <c r="O104" i="1"/>
  <c r="O111" i="1"/>
  <c r="O117" i="1"/>
  <c r="O41" i="1"/>
  <c r="O53" i="1"/>
  <c r="O55" i="1"/>
  <c r="O56" i="1"/>
  <c r="O63" i="1"/>
  <c r="O68" i="1"/>
  <c r="O76" i="1"/>
  <c r="O82" i="1"/>
  <c r="O86" i="1"/>
  <c r="O93" i="1"/>
  <c r="O97" i="1"/>
  <c r="O106" i="1"/>
  <c r="O109" i="1"/>
  <c r="O116" i="1"/>
  <c r="O39" i="1"/>
  <c r="O42" i="1"/>
  <c r="O44" i="1"/>
  <c r="O37" i="1"/>
  <c r="O48" i="1"/>
  <c r="O50" i="1"/>
  <c r="O61" i="1"/>
  <c r="O64" i="1"/>
  <c r="O70" i="1"/>
  <c r="O72" i="1"/>
  <c r="O84" i="1"/>
  <c r="O87" i="1"/>
  <c r="O92" i="1"/>
  <c r="O100" i="1"/>
  <c r="O103" i="1"/>
  <c r="O107" i="1"/>
  <c r="O113" i="1"/>
  <c r="I66" i="1" l="1"/>
  <c r="I67" i="1"/>
  <c r="I73" i="1"/>
  <c r="I78" i="1"/>
  <c r="I88" i="1"/>
  <c r="I94" i="1"/>
  <c r="I98" i="1"/>
  <c r="I102" i="1"/>
  <c r="I108" i="1"/>
  <c r="I115" i="1"/>
  <c r="I59" i="1"/>
  <c r="I52" i="1"/>
  <c r="I13" i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</calcChain>
</file>

<file path=xl/sharedStrings.xml><?xml version="1.0" encoding="utf-8"?>
<sst xmlns="http://schemas.openxmlformats.org/spreadsheetml/2006/main" count="77" uniqueCount="48">
  <si>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</si>
  <si>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</si>
  <si>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</si>
  <si>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</si>
  <si>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</si>
  <si>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</si>
  <si>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</si>
  <si>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</si>
  <si>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</si>
  <si>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</si>
  <si>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</si>
  <si>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h [m]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</si>
  <si>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</si>
  <si>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</si>
  <si>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</si>
  <si>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</si>
  <si>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</si>
  <si>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yes</t>
  </si>
  <si>
    <t>Var. Name</t>
  </si>
  <si>
    <r>
      <t>Q</t>
    </r>
    <r>
      <rPr>
        <vertAlign val="subscript"/>
        <sz val="11"/>
        <color theme="1" tint="4.9989318521683403E-2"/>
        <rFont val="Times New Roman"/>
        <family val="1"/>
      </rPr>
      <t>s</t>
    </r>
  </si>
  <si>
    <t>b</t>
  </si>
  <si>
    <t>R²</t>
  </si>
  <si>
    <t>Remark</t>
  </si>
  <si>
    <t>p1</t>
  </si>
  <si>
    <t>p2</t>
  </si>
  <si>
    <t>Interpolation values of US4 (Exp. 00510)</t>
  </si>
  <si>
    <t>w4 [m]:</t>
  </si>
  <si>
    <t>α4 [deg]:</t>
  </si>
  <si>
    <t>Q [m³/s]</t>
  </si>
  <si>
    <t>u [m/s]</t>
  </si>
  <si>
    <t>Fr [-]</t>
  </si>
  <si>
    <t>MATLAB (Non-constricted) Q-h: h = p1*Q+p2</t>
  </si>
  <si>
    <t>[-]</t>
  </si>
  <si>
    <t>[m³/s]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</si>
  <si>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</si>
  <si>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>Fr</t>
  </si>
  <si>
    <t>b* x h*</t>
  </si>
  <si>
    <t>hnc/h0</t>
  </si>
  <si>
    <t>ζ</t>
  </si>
  <si>
    <t>dEc</t>
  </si>
  <si>
    <t>Qc</t>
  </si>
  <si>
    <t>A0</t>
  </si>
  <si>
    <t>A1</t>
  </si>
  <si>
    <t>u0</t>
  </si>
  <si>
    <t>[m²]</t>
  </si>
  <si>
    <t>[m/s]</t>
  </si>
  <si>
    <t>Deleted values Fr &gt; 1.0 (no hydr. jump!)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</si>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</sst>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2"/>
      <color rgb="FFFA7D00"/>
      <name val="Times New Roman"/>
      <family val="2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9" applyNumberFormat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2" borderId="9" xfId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84229528276572807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summary!$V$12</c:f>
              <c:strCache>
                <c:ptCount val="1"/>
                <c:pt idx="0">
                  <c:v>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summary!$M$13:$M$118</c:f>
              <c:numCache>
                <c:formatCode>General</c:formatCode>
                <c:ptCount val="106"/>
                <c:pt idx="0">
                  <c:v>0.2463513947867296</c:v>
                </c:pt>
                <c:pt idx="1">
                  <c:v>0.31132173214906056</c:v>
                </c:pt>
                <c:pt idx="2">
                  <c:v>0.52364102982514216</c:v>
                </c:pt>
                <c:pt idx="3">
                  <c:v>0.57436147556159112</c:v>
                </c:pt>
                <c:pt idx="4">
                  <c:v>0.63559193168158046</c:v>
                </c:pt>
                <c:pt idx="5">
                  <c:v>0.66455469396349387</c:v>
                </c:pt>
                <c:pt idx="6">
                  <c:v>0.50699067434744993</c:v>
                </c:pt>
                <c:pt idx="7">
                  <c:v>0.67667939012230838</c:v>
                </c:pt>
                <c:pt idx="8">
                  <c:v>0.45074157021438871</c:v>
                </c:pt>
                <c:pt idx="9">
                  <c:v>0.71275012458450648</c:v>
                </c:pt>
                <c:pt idx="10">
                  <c:v>0.65922578274672539</c:v>
                </c:pt>
                <c:pt idx="11">
                  <c:v>0.54438211224503352</c:v>
                </c:pt>
                <c:pt idx="12">
                  <c:v>0.67308852253277296</c:v>
                </c:pt>
                <c:pt idx="13">
                  <c:v>0.50431983808912673</c:v>
                </c:pt>
                <c:pt idx="14">
                  <c:v>0.69430344937038202</c:v>
                </c:pt>
                <c:pt idx="15">
                  <c:v>0.47905154556193524</c:v>
                </c:pt>
                <c:pt idx="16">
                  <c:v>0.6666412078088102</c:v>
                </c:pt>
                <c:pt idx="17">
                  <c:v>0.65431298640014002</c:v>
                </c:pt>
                <c:pt idx="18">
                  <c:v>0.72032669561470397</c:v>
                </c:pt>
                <c:pt idx="19">
                  <c:v>0.83915001588581706</c:v>
                </c:pt>
                <c:pt idx="20">
                  <c:v>0.78343890958422568</c:v>
                </c:pt>
                <c:pt idx="21">
                  <c:v>0.71886973041753344</c:v>
                </c:pt>
                <c:pt idx="22">
                  <c:v>0.68638105135862049</c:v>
                </c:pt>
                <c:pt idx="23">
                  <c:v>0.68421535150258017</c:v>
                </c:pt>
                <c:pt idx="25">
                  <c:v>0.72718029658232874</c:v>
                </c:pt>
                <c:pt idx="26">
                  <c:v>0.93812709596736532</c:v>
                </c:pt>
                <c:pt idx="27">
                  <c:v>0.68893151419506238</c:v>
                </c:pt>
                <c:pt idx="28">
                  <c:v>0.79792346766202327</c:v>
                </c:pt>
                <c:pt idx="30">
                  <c:v>0.74145995231129147</c:v>
                </c:pt>
                <c:pt idx="32">
                  <c:v>0.65743714357886984</c:v>
                </c:pt>
                <c:pt idx="33">
                  <c:v>0.31296592766903258</c:v>
                </c:pt>
                <c:pt idx="34">
                  <c:v>0.87144607348343506</c:v>
                </c:pt>
                <c:pt idx="36">
                  <c:v>0.61503980033806116</c:v>
                </c:pt>
                <c:pt idx="38">
                  <c:v>0.60265458092088442</c:v>
                </c:pt>
                <c:pt idx="39">
                  <c:v>0.32308344145633966</c:v>
                </c:pt>
                <c:pt idx="40">
                  <c:v>0.92692074279352543</c:v>
                </c:pt>
                <c:pt idx="41">
                  <c:v>0.8689007765358665</c:v>
                </c:pt>
                <c:pt idx="43">
                  <c:v>0.96252239091489045</c:v>
                </c:pt>
                <c:pt idx="44">
                  <c:v>0.67159971218741576</c:v>
                </c:pt>
                <c:pt idx="45">
                  <c:v>0.90070249793941093</c:v>
                </c:pt>
                <c:pt idx="46">
                  <c:v>0.33643434017049634</c:v>
                </c:pt>
                <c:pt idx="47">
                  <c:v>0.61472809120522565</c:v>
                </c:pt>
                <c:pt idx="49">
                  <c:v>0.77739678800841183</c:v>
                </c:pt>
                <c:pt idx="50">
                  <c:v>0.96127375850674357</c:v>
                </c:pt>
                <c:pt idx="52">
                  <c:v>0.62617921713539704</c:v>
                </c:pt>
                <c:pt idx="53">
                  <c:v>0.28319313513991945</c:v>
                </c:pt>
                <c:pt idx="54">
                  <c:v>0.30128338152703815</c:v>
                </c:pt>
                <c:pt idx="55">
                  <c:v>0.99083231483313394</c:v>
                </c:pt>
                <c:pt idx="56">
                  <c:v>0.70184198762472927</c:v>
                </c:pt>
                <c:pt idx="58">
                  <c:v>0.90807613905802143</c:v>
                </c:pt>
                <c:pt idx="60">
                  <c:v>0.27994267128515227</c:v>
                </c:pt>
                <c:pt idx="61">
                  <c:v>0.64506560747564501</c:v>
                </c:pt>
                <c:pt idx="62">
                  <c:v>0.5554880303117169</c:v>
                </c:pt>
                <c:pt idx="65">
                  <c:v>0.24046675922869995</c:v>
                </c:pt>
                <c:pt idx="66">
                  <c:v>0.765633001960352</c:v>
                </c:pt>
                <c:pt idx="67">
                  <c:v>0.8916002323817056</c:v>
                </c:pt>
                <c:pt idx="68">
                  <c:v>0.67858690128638111</c:v>
                </c:pt>
                <c:pt idx="69">
                  <c:v>0.97992947843598854</c:v>
                </c:pt>
                <c:pt idx="70">
                  <c:v>0.58020165448995431</c:v>
                </c:pt>
                <c:pt idx="72">
                  <c:v>0.55859975738074052</c:v>
                </c:pt>
                <c:pt idx="73">
                  <c:v>0.95827246690874701</c:v>
                </c:pt>
                <c:pt idx="74">
                  <c:v>0.94885726879060073</c:v>
                </c:pt>
                <c:pt idx="75">
                  <c:v>0.24516149760522266</c:v>
                </c:pt>
                <c:pt idx="76">
                  <c:v>0.86741067614983847</c:v>
                </c:pt>
                <c:pt idx="77">
                  <c:v>0.54380893586217982</c:v>
                </c:pt>
                <c:pt idx="78">
                  <c:v>0.67203872471089032</c:v>
                </c:pt>
                <c:pt idx="80">
                  <c:v>0.97843012665358253</c:v>
                </c:pt>
                <c:pt idx="81">
                  <c:v>0.22958870867178324</c:v>
                </c:pt>
                <c:pt idx="82">
                  <c:v>0.52743699354927309</c:v>
                </c:pt>
                <c:pt idx="83">
                  <c:v>0.67729336411482421</c:v>
                </c:pt>
                <c:pt idx="85">
                  <c:v>0.22285551534029668</c:v>
                </c:pt>
                <c:pt idx="88">
                  <c:v>0.66865491613374106</c:v>
                </c:pt>
                <c:pt idx="89">
                  <c:v>0.20681027303372285</c:v>
                </c:pt>
                <c:pt idx="92">
                  <c:v>0.54645371493685824</c:v>
                </c:pt>
                <c:pt idx="95">
                  <c:v>0.19912796936751975</c:v>
                </c:pt>
                <c:pt idx="97">
                  <c:v>0.52113604175640915</c:v>
                </c:pt>
                <c:pt idx="98">
                  <c:v>0.9669558368299046</c:v>
                </c:pt>
                <c:pt idx="99">
                  <c:v>0.68234966234129035</c:v>
                </c:pt>
                <c:pt idx="101">
                  <c:v>0.55565432118973301</c:v>
                </c:pt>
                <c:pt idx="102">
                  <c:v>0.18709283297788529</c:v>
                </c:pt>
                <c:pt idx="104">
                  <c:v>0.88408829892032903</c:v>
                </c:pt>
                <c:pt idx="105">
                  <c:v>0.68724899913589477</c:v>
                </c:pt>
              </c:numCache>
            </c:numRef>
          </c:xVal>
          <c:yVal>
            <c:numRef>
              <c:f>summary!$V$13:$V$118</c:f>
              <c:numCache>
                <c:formatCode>General</c:formatCode>
                <c:ptCount val="106"/>
                <c:pt idx="0">
                  <c:v>0.91036496954768864</c:v>
                </c:pt>
                <c:pt idx="1">
                  <c:v>0.83035239069697786</c:v>
                </c:pt>
                <c:pt idx="2">
                  <c:v>1.0249854252062469</c:v>
                </c:pt>
                <c:pt idx="3">
                  <c:v>1.0747427366456084</c:v>
                </c:pt>
                <c:pt idx="4">
                  <c:v>1.1176156594969997</c:v>
                </c:pt>
                <c:pt idx="5">
                  <c:v>1.1760529745562123</c:v>
                </c:pt>
                <c:pt idx="6">
                  <c:v>1.0178180216362522</c:v>
                </c:pt>
                <c:pt idx="7">
                  <c:v>1.1740934575442368</c:v>
                </c:pt>
                <c:pt idx="8">
                  <c:v>0.97030449012110109</c:v>
                </c:pt>
                <c:pt idx="9">
                  <c:v>1.227937460518741</c:v>
                </c:pt>
                <c:pt idx="10">
                  <c:v>1.1404913222132733</c:v>
                </c:pt>
                <c:pt idx="11">
                  <c:v>1.0606051066783904</c:v>
                </c:pt>
                <c:pt idx="12">
                  <c:v>1.1813509518349647</c:v>
                </c:pt>
                <c:pt idx="13">
                  <c:v>1.0321344261718619</c:v>
                </c:pt>
                <c:pt idx="14">
                  <c:v>1.2108667603496446</c:v>
                </c:pt>
                <c:pt idx="15">
                  <c:v>0.9979891981824569</c:v>
                </c:pt>
                <c:pt idx="16">
                  <c:v>1.1682410679401127</c:v>
                </c:pt>
                <c:pt idx="17">
                  <c:v>1.154010369495523</c:v>
                </c:pt>
                <c:pt idx="18">
                  <c:v>1.2495012776402008</c:v>
                </c:pt>
                <c:pt idx="19">
                  <c:v>1.4365852892743971</c:v>
                </c:pt>
                <c:pt idx="20">
                  <c:v>1.3337504582933717</c:v>
                </c:pt>
                <c:pt idx="21">
                  <c:v>1.2473678719262036</c:v>
                </c:pt>
                <c:pt idx="22">
                  <c:v>1.1998068165441393</c:v>
                </c:pt>
                <c:pt idx="23">
                  <c:v>1.1950172962746521</c:v>
                </c:pt>
                <c:pt idx="25">
                  <c:v>1.2520797268299613</c:v>
                </c:pt>
                <c:pt idx="26">
                  <c:v>1.9551990380994921</c:v>
                </c:pt>
                <c:pt idx="27">
                  <c:v>1.2030461710702567</c:v>
                </c:pt>
                <c:pt idx="28">
                  <c:v>1.3564342072584086</c:v>
                </c:pt>
                <c:pt idx="30">
                  <c:v>1.2732332474825592</c:v>
                </c:pt>
                <c:pt idx="32">
                  <c:v>1.1422811434254641</c:v>
                </c:pt>
                <c:pt idx="33">
                  <c:v>1.1614326691565322</c:v>
                </c:pt>
                <c:pt idx="34">
                  <c:v>1.5325600517904761</c:v>
                </c:pt>
                <c:pt idx="36">
                  <c:v>1.0788879337941233</c:v>
                </c:pt>
                <c:pt idx="38">
                  <c:v>1.0851455549415774</c:v>
                </c:pt>
                <c:pt idx="39">
                  <c:v>0.87512291830374378</c:v>
                </c:pt>
                <c:pt idx="40">
                  <c:v>1.7123302118983292</c:v>
                </c:pt>
                <c:pt idx="41">
                  <c:v>1.4972266691905562</c:v>
                </c:pt>
                <c:pt idx="43">
                  <c:v>1.7936340358171814</c:v>
                </c:pt>
                <c:pt idx="44">
                  <c:v>1.1696919202973137</c:v>
                </c:pt>
                <c:pt idx="45">
                  <c:v>1.5725564932182774</c:v>
                </c:pt>
                <c:pt idx="46">
                  <c:v>1.1131481105978633</c:v>
                </c:pt>
                <c:pt idx="47">
                  <c:v>1.1124052802335034</c:v>
                </c:pt>
                <c:pt idx="49">
                  <c:v>1.3246369596761258</c:v>
                </c:pt>
                <c:pt idx="50">
                  <c:v>1.7822868393798559</c:v>
                </c:pt>
                <c:pt idx="52">
                  <c:v>1.1373146257909161</c:v>
                </c:pt>
                <c:pt idx="53">
                  <c:v>0.89778487713373656</c:v>
                </c:pt>
                <c:pt idx="54">
                  <c:v>1.1100503254664185</c:v>
                </c:pt>
                <c:pt idx="55">
                  <c:v>1.8485683838757174</c:v>
                </c:pt>
                <c:pt idx="56">
                  <c:v>1.2239751415546511</c:v>
                </c:pt>
                <c:pt idx="58">
                  <c:v>1.5731328733927534</c:v>
                </c:pt>
                <c:pt idx="60">
                  <c:v>0.90790466889589583</c:v>
                </c:pt>
                <c:pt idx="61">
                  <c:v>1.1691939105518634</c:v>
                </c:pt>
                <c:pt idx="62">
                  <c:v>1.0550473821391422</c:v>
                </c:pt>
                <c:pt idx="65">
                  <c:v>0.89230013514448325</c:v>
                </c:pt>
                <c:pt idx="66">
                  <c:v>1.3081605424736098</c:v>
                </c:pt>
                <c:pt idx="67">
                  <c:v>1.5367283624915238</c:v>
                </c:pt>
                <c:pt idx="68">
                  <c:v>1.1928714888517993</c:v>
                </c:pt>
                <c:pt idx="69">
                  <c:v>1.8295993310067431</c:v>
                </c:pt>
                <c:pt idx="70">
                  <c:v>1.0897340078173015</c:v>
                </c:pt>
                <c:pt idx="72">
                  <c:v>1.0673929695375866</c:v>
                </c:pt>
                <c:pt idx="73">
                  <c:v>1.7078037235995793</c:v>
                </c:pt>
                <c:pt idx="74">
                  <c:v>1.7540154418329723</c:v>
                </c:pt>
                <c:pt idx="75">
                  <c:v>0.92757412468559453</c:v>
                </c:pt>
                <c:pt idx="76">
                  <c:v>1.4813946008912535</c:v>
                </c:pt>
                <c:pt idx="77">
                  <c:v>1.0516667583571189</c:v>
                </c:pt>
                <c:pt idx="78">
                  <c:v>1.1886764691463538</c:v>
                </c:pt>
                <c:pt idx="80">
                  <c:v>1.818711860233184</c:v>
                </c:pt>
                <c:pt idx="81">
                  <c:v>0.91641805915680097</c:v>
                </c:pt>
                <c:pt idx="82">
                  <c:v>1.0431589394838843</c:v>
                </c:pt>
                <c:pt idx="83">
                  <c:v>1.1687970534799512</c:v>
                </c:pt>
                <c:pt idx="85">
                  <c:v>0.9350292105574215</c:v>
                </c:pt>
                <c:pt idx="88">
                  <c:v>1.1831673099634121</c:v>
                </c:pt>
                <c:pt idx="89">
                  <c:v>0.93782425799184654</c:v>
                </c:pt>
                <c:pt idx="92">
                  <c:v>1.0679690763488714</c:v>
                </c:pt>
                <c:pt idx="95">
                  <c:v>0.95597163892995374</c:v>
                </c:pt>
                <c:pt idx="97">
                  <c:v>1.0434707724294683</c:v>
                </c:pt>
                <c:pt idx="98">
                  <c:v>1.6636529498343868</c:v>
                </c:pt>
                <c:pt idx="99">
                  <c:v>1.2025198397249179</c:v>
                </c:pt>
                <c:pt idx="101">
                  <c:v>1.0881694517548939</c:v>
                </c:pt>
                <c:pt idx="102">
                  <c:v>0.98852354710916923</c:v>
                </c:pt>
                <c:pt idx="104">
                  <c:v>1.4959250099402643</c:v>
                </c:pt>
                <c:pt idx="105">
                  <c:v>1.2110400262685204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3936"/>
        <c:axId val="178901136"/>
        <c:extLst/>
      </c:scatterChart>
      <c:valAx>
        <c:axId val="178903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 [-]</a:t>
                </a:r>
              </a:p>
            </c:rich>
          </c:tx>
          <c:layout>
            <c:manualLayout>
              <c:xMode val="edge"/>
              <c:yMode val="edge"/>
              <c:x val="0.47964418629781569"/>
              <c:y val="0.94644289693689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01136"/>
        <c:crosses val="autoZero"/>
        <c:crossBetween val="midCat"/>
        <c:majorUnit val="0.2"/>
        <c:minorUnit val="0.2"/>
      </c:valAx>
      <c:valAx>
        <c:axId val="17890113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 sz="1400" b="0" i="0" u="none" strike="noStrike" baseline="0">
                    <a:effectLst/>
                  </a:rPr>
                  <a:t>cK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80419261734773E-4"/>
              <c:y val="0.405185110186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0393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81036041954906979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summary!$V$12</c:f>
              <c:strCache>
                <c:ptCount val="1"/>
                <c:pt idx="0">
                  <c:v>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summary!$N$13:$N$118</c:f>
              <c:numCache>
                <c:formatCode>General</c:formatCode>
                <c:ptCount val="106"/>
                <c:pt idx="0">
                  <c:v>0.46585582217226257</c:v>
                </c:pt>
                <c:pt idx="1">
                  <c:v>0.54475762209225942</c:v>
                </c:pt>
                <c:pt idx="2">
                  <c:v>0.66567783378699441</c:v>
                </c:pt>
                <c:pt idx="3">
                  <c:v>0.70410784150575367</c:v>
                </c:pt>
                <c:pt idx="4">
                  <c:v>0.7781769915395681</c:v>
                </c:pt>
                <c:pt idx="5">
                  <c:v>0.73869859113129521</c:v>
                </c:pt>
                <c:pt idx="6">
                  <c:v>0.64581825566473727</c:v>
                </c:pt>
                <c:pt idx="7">
                  <c:v>0.7861020662032695</c:v>
                </c:pt>
                <c:pt idx="8">
                  <c:v>0.62835509926701516</c:v>
                </c:pt>
                <c:pt idx="9">
                  <c:v>0.78813021225463209</c:v>
                </c:pt>
                <c:pt idx="10">
                  <c:v>0.77567493838383716</c:v>
                </c:pt>
                <c:pt idx="11">
                  <c:v>0.6720837926311074</c:v>
                </c:pt>
                <c:pt idx="12">
                  <c:v>0.76138286243677966</c:v>
                </c:pt>
                <c:pt idx="13">
                  <c:v>0.6395437858025943</c:v>
                </c:pt>
                <c:pt idx="14">
                  <c:v>0.76566398026633131</c:v>
                </c:pt>
                <c:pt idx="15">
                  <c:v>0.62353199423912498</c:v>
                </c:pt>
                <c:pt idx="16">
                  <c:v>0.75068946701770956</c:v>
                </c:pt>
                <c:pt idx="17">
                  <c:v>0.73637502231728336</c:v>
                </c:pt>
                <c:pt idx="18">
                  <c:v>0.76513423527111912</c:v>
                </c:pt>
                <c:pt idx="19">
                  <c:v>0.88549519652861386</c:v>
                </c:pt>
                <c:pt idx="20">
                  <c:v>0.8212093601703202</c:v>
                </c:pt>
                <c:pt idx="21">
                  <c:v>0.77061924012334126</c:v>
                </c:pt>
                <c:pt idx="22">
                  <c:v>0.74096947119087653</c:v>
                </c:pt>
                <c:pt idx="23">
                  <c:v>0.74283767626094621</c:v>
                </c:pt>
                <c:pt idx="24">
                  <c:v>0.99357122329521552</c:v>
                </c:pt>
                <c:pt idx="25">
                  <c:v>0.77640859416279828</c:v>
                </c:pt>
                <c:pt idx="26">
                  <c:v>0.9014615015807933</c:v>
                </c:pt>
                <c:pt idx="27">
                  <c:v>0.74366809527926681</c:v>
                </c:pt>
                <c:pt idx="28">
                  <c:v>0.80147522092946788</c:v>
                </c:pt>
                <c:pt idx="29">
                  <c:v>0.92830630223696919</c:v>
                </c:pt>
                <c:pt idx="30">
                  <c:v>0.76973577674211346</c:v>
                </c:pt>
                <c:pt idx="31">
                  <c:v>0.9186674992744559</c:v>
                </c:pt>
                <c:pt idx="32">
                  <c:v>0.7827460561767221</c:v>
                </c:pt>
                <c:pt idx="33">
                  <c:v>0.54040137661262311</c:v>
                </c:pt>
                <c:pt idx="34">
                  <c:v>0.90419675218595019</c:v>
                </c:pt>
                <c:pt idx="35">
                  <c:v>1.104053339323102</c:v>
                </c:pt>
                <c:pt idx="36">
                  <c:v>0.75491891208375728</c:v>
                </c:pt>
                <c:pt idx="37">
                  <c:v>1.0095157800961365</c:v>
                </c:pt>
                <c:pt idx="38">
                  <c:v>0.74645101088921084</c:v>
                </c:pt>
                <c:pt idx="39">
                  <c:v>0.54741732970042278</c:v>
                </c:pt>
                <c:pt idx="40">
                  <c:v>0.93047149090396586</c:v>
                </c:pt>
                <c:pt idx="41">
                  <c:v>0.89500694118541146</c:v>
                </c:pt>
                <c:pt idx="42">
                  <c:v>1.0277899207425347</c:v>
                </c:pt>
                <c:pt idx="43">
                  <c:v>0.92445546426643399</c:v>
                </c:pt>
                <c:pt idx="44">
                  <c:v>0.76853874290251334</c:v>
                </c:pt>
                <c:pt idx="45">
                  <c:v>0.89291005279525104</c:v>
                </c:pt>
                <c:pt idx="46">
                  <c:v>0.54553234553734042</c:v>
                </c:pt>
                <c:pt idx="47">
                  <c:v>0.73401047062736924</c:v>
                </c:pt>
                <c:pt idx="48">
                  <c:v>0.98912620731091849</c:v>
                </c:pt>
                <c:pt idx="49">
                  <c:v>0.82632369401736294</c:v>
                </c:pt>
                <c:pt idx="50">
                  <c:v>0.91991485094318737</c:v>
                </c:pt>
                <c:pt idx="51">
                  <c:v>0.98127291340340228</c:v>
                </c:pt>
                <c:pt idx="52">
                  <c:v>0.73510770142491777</c:v>
                </c:pt>
                <c:pt idx="53">
                  <c:v>0.49754944868520246</c:v>
                </c:pt>
                <c:pt idx="54">
                  <c:v>0.51232655387902037</c:v>
                </c:pt>
                <c:pt idx="55">
                  <c:v>0.9259404871394078</c:v>
                </c:pt>
                <c:pt idx="56">
                  <c:v>0.77537559868032602</c:v>
                </c:pt>
                <c:pt idx="57">
                  <c:v>0.98103486430178299</c:v>
                </c:pt>
                <c:pt idx="58">
                  <c:v>0.88382724730306383</c:v>
                </c:pt>
                <c:pt idx="59">
                  <c:v>0.9617793762484379</c:v>
                </c:pt>
                <c:pt idx="60">
                  <c:v>0.4924761637838046</c:v>
                </c:pt>
                <c:pt idx="61">
                  <c:v>0.74023499399782999</c:v>
                </c:pt>
                <c:pt idx="62">
                  <c:v>0.68654221953233829</c:v>
                </c:pt>
                <c:pt idx="63">
                  <c:v>0.93869097879008523</c:v>
                </c:pt>
                <c:pt idx="64">
                  <c:v>0.98170698596180828</c:v>
                </c:pt>
                <c:pt idx="65">
                  <c:v>0.45547024351107995</c:v>
                </c:pt>
                <c:pt idx="66">
                  <c:v>0.80129581153058027</c:v>
                </c:pt>
                <c:pt idx="67">
                  <c:v>0.86554242477073207</c:v>
                </c:pt>
                <c:pt idx="68">
                  <c:v>0.75316160115119113</c:v>
                </c:pt>
                <c:pt idx="69">
                  <c:v>0.90734961663802893</c:v>
                </c:pt>
                <c:pt idx="70">
                  <c:v>0.69601311518421793</c:v>
                </c:pt>
                <c:pt idx="71">
                  <c:v>0.97375567708972799</c:v>
                </c:pt>
                <c:pt idx="72">
                  <c:v>0.68249266466952241</c:v>
                </c:pt>
                <c:pt idx="73">
                  <c:v>0.8960277234301629</c:v>
                </c:pt>
                <c:pt idx="74">
                  <c:v>0.890998090578484</c:v>
                </c:pt>
                <c:pt idx="75">
                  <c:v>0.45802418935194411</c:v>
                </c:pt>
                <c:pt idx="76">
                  <c:v>0.84398541504355173</c:v>
                </c:pt>
                <c:pt idx="77">
                  <c:v>0.66760840511068154</c:v>
                </c:pt>
                <c:pt idx="78">
                  <c:v>0.7408049001306396</c:v>
                </c:pt>
                <c:pt idx="79">
                  <c:v>0.96376509975410485</c:v>
                </c:pt>
                <c:pt idx="80">
                  <c:v>0.89525133573323279</c:v>
                </c:pt>
                <c:pt idx="81">
                  <c:v>0.44073157048582118</c:v>
                </c:pt>
                <c:pt idx="82">
                  <c:v>0.65357772673518033</c:v>
                </c:pt>
                <c:pt idx="83">
                  <c:v>0.73930764441106023</c:v>
                </c:pt>
                <c:pt idx="84">
                  <c:v>0.9110992889684566</c:v>
                </c:pt>
                <c:pt idx="85">
                  <c:v>0.4328492687799857</c:v>
                </c:pt>
                <c:pt idx="86">
                  <c:v>0.92178682969730319</c:v>
                </c:pt>
                <c:pt idx="87">
                  <c:v>0.92780854437013238</c:v>
                </c:pt>
                <c:pt idx="88">
                  <c:v>0.72977314534854176</c:v>
                </c:pt>
                <c:pt idx="89">
                  <c:v>0.41623918078019606</c:v>
                </c:pt>
                <c:pt idx="90">
                  <c:v>0.91584187314864562</c:v>
                </c:pt>
                <c:pt idx="91">
                  <c:v>0.90974403697929573</c:v>
                </c:pt>
                <c:pt idx="92">
                  <c:v>0.66041150791641967</c:v>
                </c:pt>
                <c:pt idx="93">
                  <c:v>0.9401884916637554</c:v>
                </c:pt>
                <c:pt idx="94">
                  <c:v>0.91797119860062804</c:v>
                </c:pt>
                <c:pt idx="95">
                  <c:v>0.40846586509152116</c:v>
                </c:pt>
                <c:pt idx="96">
                  <c:v>0.93659239678967476</c:v>
                </c:pt>
                <c:pt idx="97">
                  <c:v>0.64405960768611881</c:v>
                </c:pt>
                <c:pt idx="98">
                  <c:v>0.875529752116467</c:v>
                </c:pt>
                <c:pt idx="99">
                  <c:v>0.73406006360716547</c:v>
                </c:pt>
                <c:pt idx="100">
                  <c:v>0.95491873440004549</c:v>
                </c:pt>
                <c:pt idx="101">
                  <c:v>0.66028798505835318</c:v>
                </c:pt>
                <c:pt idx="102">
                  <c:v>0.39504298536539112</c:v>
                </c:pt>
                <c:pt idx="103">
                  <c:v>0.92953040632528416</c:v>
                </c:pt>
                <c:pt idx="104">
                  <c:v>0.83033363728832188</c:v>
                </c:pt>
                <c:pt idx="105">
                  <c:v>0.73248620488867244</c:v>
                </c:pt>
              </c:numCache>
            </c:numRef>
          </c:xVal>
          <c:yVal>
            <c:numRef>
              <c:f>summary!$V$13:$V$118</c:f>
              <c:numCache>
                <c:formatCode>General</c:formatCode>
                <c:ptCount val="106"/>
                <c:pt idx="0">
                  <c:v>0.91036496954768864</c:v>
                </c:pt>
                <c:pt idx="1">
                  <c:v>0.83035239069697786</c:v>
                </c:pt>
                <c:pt idx="2">
                  <c:v>1.0249854252062469</c:v>
                </c:pt>
                <c:pt idx="3">
                  <c:v>1.0747427366456084</c:v>
                </c:pt>
                <c:pt idx="4">
                  <c:v>1.1176156594969997</c:v>
                </c:pt>
                <c:pt idx="5">
                  <c:v>1.1760529745562123</c:v>
                </c:pt>
                <c:pt idx="6">
                  <c:v>1.0178180216362522</c:v>
                </c:pt>
                <c:pt idx="7">
                  <c:v>1.1740934575442368</c:v>
                </c:pt>
                <c:pt idx="8">
                  <c:v>0.97030449012110109</c:v>
                </c:pt>
                <c:pt idx="9">
                  <c:v>1.227937460518741</c:v>
                </c:pt>
                <c:pt idx="10">
                  <c:v>1.1404913222132733</c:v>
                </c:pt>
                <c:pt idx="11">
                  <c:v>1.0606051066783904</c:v>
                </c:pt>
                <c:pt idx="12">
                  <c:v>1.1813509518349647</c:v>
                </c:pt>
                <c:pt idx="13">
                  <c:v>1.0321344261718619</c:v>
                </c:pt>
                <c:pt idx="14">
                  <c:v>1.2108667603496446</c:v>
                </c:pt>
                <c:pt idx="15">
                  <c:v>0.9979891981824569</c:v>
                </c:pt>
                <c:pt idx="16">
                  <c:v>1.1682410679401127</c:v>
                </c:pt>
                <c:pt idx="17">
                  <c:v>1.154010369495523</c:v>
                </c:pt>
                <c:pt idx="18">
                  <c:v>1.2495012776402008</c:v>
                </c:pt>
                <c:pt idx="19">
                  <c:v>1.4365852892743971</c:v>
                </c:pt>
                <c:pt idx="20">
                  <c:v>1.3337504582933717</c:v>
                </c:pt>
                <c:pt idx="21">
                  <c:v>1.2473678719262036</c:v>
                </c:pt>
                <c:pt idx="22">
                  <c:v>1.1998068165441393</c:v>
                </c:pt>
                <c:pt idx="23">
                  <c:v>1.1950172962746521</c:v>
                </c:pt>
                <c:pt idx="25">
                  <c:v>1.2520797268299613</c:v>
                </c:pt>
                <c:pt idx="26">
                  <c:v>1.9551990380994921</c:v>
                </c:pt>
                <c:pt idx="27">
                  <c:v>1.2030461710702567</c:v>
                </c:pt>
                <c:pt idx="28">
                  <c:v>1.3564342072584086</c:v>
                </c:pt>
                <c:pt idx="30">
                  <c:v>1.2732332474825592</c:v>
                </c:pt>
                <c:pt idx="32">
                  <c:v>1.1422811434254641</c:v>
                </c:pt>
                <c:pt idx="33">
                  <c:v>1.1614326691565322</c:v>
                </c:pt>
                <c:pt idx="34">
                  <c:v>1.5325600517904761</c:v>
                </c:pt>
                <c:pt idx="36">
                  <c:v>1.0788879337941233</c:v>
                </c:pt>
                <c:pt idx="38">
                  <c:v>1.0851455549415774</c:v>
                </c:pt>
                <c:pt idx="39">
                  <c:v>0.87512291830374378</c:v>
                </c:pt>
                <c:pt idx="40">
                  <c:v>1.7123302118983292</c:v>
                </c:pt>
                <c:pt idx="41">
                  <c:v>1.4972266691905562</c:v>
                </c:pt>
                <c:pt idx="43">
                  <c:v>1.7936340358171814</c:v>
                </c:pt>
                <c:pt idx="44">
                  <c:v>1.1696919202973137</c:v>
                </c:pt>
                <c:pt idx="45">
                  <c:v>1.5725564932182774</c:v>
                </c:pt>
                <c:pt idx="46">
                  <c:v>1.1131481105978633</c:v>
                </c:pt>
                <c:pt idx="47">
                  <c:v>1.1124052802335034</c:v>
                </c:pt>
                <c:pt idx="49">
                  <c:v>1.3246369596761258</c:v>
                </c:pt>
                <c:pt idx="50">
                  <c:v>1.7822868393798559</c:v>
                </c:pt>
                <c:pt idx="52">
                  <c:v>1.1373146257909161</c:v>
                </c:pt>
                <c:pt idx="53">
                  <c:v>0.89778487713373656</c:v>
                </c:pt>
                <c:pt idx="54">
                  <c:v>1.1100503254664185</c:v>
                </c:pt>
                <c:pt idx="55">
                  <c:v>1.8485683838757174</c:v>
                </c:pt>
                <c:pt idx="56">
                  <c:v>1.2239751415546511</c:v>
                </c:pt>
                <c:pt idx="58">
                  <c:v>1.5731328733927534</c:v>
                </c:pt>
                <c:pt idx="60">
                  <c:v>0.90790466889589583</c:v>
                </c:pt>
                <c:pt idx="61">
                  <c:v>1.1691939105518634</c:v>
                </c:pt>
                <c:pt idx="62">
                  <c:v>1.0550473821391422</c:v>
                </c:pt>
                <c:pt idx="65">
                  <c:v>0.89230013514448325</c:v>
                </c:pt>
                <c:pt idx="66">
                  <c:v>1.3081605424736098</c:v>
                </c:pt>
                <c:pt idx="67">
                  <c:v>1.5367283624915238</c:v>
                </c:pt>
                <c:pt idx="68">
                  <c:v>1.1928714888517993</c:v>
                </c:pt>
                <c:pt idx="69">
                  <c:v>1.8295993310067431</c:v>
                </c:pt>
                <c:pt idx="70">
                  <c:v>1.0897340078173015</c:v>
                </c:pt>
                <c:pt idx="72">
                  <c:v>1.0673929695375866</c:v>
                </c:pt>
                <c:pt idx="73">
                  <c:v>1.7078037235995793</c:v>
                </c:pt>
                <c:pt idx="74">
                  <c:v>1.7540154418329723</c:v>
                </c:pt>
                <c:pt idx="75">
                  <c:v>0.92757412468559453</c:v>
                </c:pt>
                <c:pt idx="76">
                  <c:v>1.4813946008912535</c:v>
                </c:pt>
                <c:pt idx="77">
                  <c:v>1.0516667583571189</c:v>
                </c:pt>
                <c:pt idx="78">
                  <c:v>1.1886764691463538</c:v>
                </c:pt>
                <c:pt idx="80">
                  <c:v>1.818711860233184</c:v>
                </c:pt>
                <c:pt idx="81">
                  <c:v>0.91641805915680097</c:v>
                </c:pt>
                <c:pt idx="82">
                  <c:v>1.0431589394838843</c:v>
                </c:pt>
                <c:pt idx="83">
                  <c:v>1.1687970534799512</c:v>
                </c:pt>
                <c:pt idx="85">
                  <c:v>0.9350292105574215</c:v>
                </c:pt>
                <c:pt idx="88">
                  <c:v>1.1831673099634121</c:v>
                </c:pt>
                <c:pt idx="89">
                  <c:v>0.93782425799184654</c:v>
                </c:pt>
                <c:pt idx="92">
                  <c:v>1.0679690763488714</c:v>
                </c:pt>
                <c:pt idx="95">
                  <c:v>0.95597163892995374</c:v>
                </c:pt>
                <c:pt idx="97">
                  <c:v>1.0434707724294683</c:v>
                </c:pt>
                <c:pt idx="98">
                  <c:v>1.6636529498343868</c:v>
                </c:pt>
                <c:pt idx="99">
                  <c:v>1.2025198397249179</c:v>
                </c:pt>
                <c:pt idx="101">
                  <c:v>1.0881694517548939</c:v>
                </c:pt>
                <c:pt idx="102">
                  <c:v>0.98852354710916923</c:v>
                </c:pt>
                <c:pt idx="104">
                  <c:v>1.4959250099402643</c:v>
                </c:pt>
                <c:pt idx="105">
                  <c:v>1.2110400262685204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51184"/>
        <c:axId val="391846032"/>
        <c:extLst/>
      </c:scatterChart>
      <c:valAx>
        <c:axId val="3963511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h*  [-]</a:t>
                </a:r>
              </a:p>
            </c:rich>
          </c:tx>
          <c:layout>
            <c:manualLayout>
              <c:xMode val="edge"/>
              <c:yMode val="edge"/>
              <c:x val="0.46908958119035438"/>
              <c:y val="0.92299413436091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1846032"/>
        <c:crosses val="autoZero"/>
        <c:crossBetween val="midCat"/>
        <c:majorUnit val="0.2"/>
        <c:minorUnit val="0.2"/>
      </c:valAx>
      <c:valAx>
        <c:axId val="39184603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cK [-]</a:t>
                </a:r>
              </a:p>
            </c:rich>
          </c:tx>
          <c:layout>
            <c:manualLayout>
              <c:xMode val="edge"/>
              <c:yMode val="edge"/>
              <c:x val="3.8275753715163969E-4"/>
              <c:y val="0.38947253282104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6351184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81036041954906979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summary!$V$12</c:f>
              <c:strCache>
                <c:ptCount val="1"/>
                <c:pt idx="0">
                  <c:v>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summary!$L$13:$L$118</c:f>
              <c:numCache>
                <c:formatCode>General</c:formatCode>
                <c:ptCount val="106"/>
                <c:pt idx="0">
                  <c:v>0.30409666058510293</c:v>
                </c:pt>
                <c:pt idx="1">
                  <c:v>0.32282101646606709</c:v>
                </c:pt>
                <c:pt idx="2">
                  <c:v>0.45044278911411584</c:v>
                </c:pt>
                <c:pt idx="3">
                  <c:v>0.45854940387358523</c:v>
                </c:pt>
                <c:pt idx="4">
                  <c:v>0.48471993779152461</c:v>
                </c:pt>
                <c:pt idx="5">
                  <c:v>0.49519221568533051</c:v>
                </c:pt>
                <c:pt idx="6">
                  <c:v>0.4353540185581346</c:v>
                </c:pt>
                <c:pt idx="7">
                  <c:v>0.53814321404478382</c:v>
                </c:pt>
                <c:pt idx="8">
                  <c:v>0.46274074072673549</c:v>
                </c:pt>
                <c:pt idx="9">
                  <c:v>0.57534424287455455</c:v>
                </c:pt>
                <c:pt idx="10">
                  <c:v>0.59191432902607999</c:v>
                </c:pt>
                <c:pt idx="11">
                  <c:v>0.44128595329145776</c:v>
                </c:pt>
                <c:pt idx="12">
                  <c:v>0.51877458516860198</c:v>
                </c:pt>
                <c:pt idx="13">
                  <c:v>0.42441533133624604</c:v>
                </c:pt>
                <c:pt idx="14">
                  <c:v>0.56130330757351132</c:v>
                </c:pt>
                <c:pt idx="15">
                  <c:v>0.42346657149040323</c:v>
                </c:pt>
                <c:pt idx="16">
                  <c:v>0.5108420319318604</c:v>
                </c:pt>
                <c:pt idx="17">
                  <c:v>0.50069884311137614</c:v>
                </c:pt>
                <c:pt idx="18">
                  <c:v>0.53738806869525191</c:v>
                </c:pt>
                <c:pt idx="19">
                  <c:v>0.63847119232481808</c:v>
                </c:pt>
                <c:pt idx="20">
                  <c:v>0.60933437541869317</c:v>
                </c:pt>
                <c:pt idx="21">
                  <c:v>0.54895291842446425</c:v>
                </c:pt>
                <c:pt idx="22">
                  <c:v>0.47382764370279862</c:v>
                </c:pt>
                <c:pt idx="23">
                  <c:v>0.4819775669161146</c:v>
                </c:pt>
                <c:pt idx="24">
                  <c:v>0.72211989054450032</c:v>
                </c:pt>
                <c:pt idx="25">
                  <c:v>0.58940727066618182</c:v>
                </c:pt>
                <c:pt idx="26">
                  <c:v>0.7140966921598576</c:v>
                </c:pt>
                <c:pt idx="27">
                  <c:v>0.52545971995151031</c:v>
                </c:pt>
                <c:pt idx="28">
                  <c:v>0.62295850843136402</c:v>
                </c:pt>
                <c:pt idx="29">
                  <c:v>0.67399508849149803</c:v>
                </c:pt>
                <c:pt idx="30">
                  <c:v>0.55743339340425579</c:v>
                </c:pt>
                <c:pt idx="31">
                  <c:v>0.65993698132458611</c:v>
                </c:pt>
                <c:pt idx="32">
                  <c:v>0.54996046171294677</c:v>
                </c:pt>
                <c:pt idx="33">
                  <c:v>0.32330262328084347</c:v>
                </c:pt>
                <c:pt idx="34">
                  <c:v>0.64643346529912327</c:v>
                </c:pt>
                <c:pt idx="35">
                  <c:v>0.75569899337899893</c:v>
                </c:pt>
                <c:pt idx="36">
                  <c:v>0.48436926517434487</c:v>
                </c:pt>
                <c:pt idx="37">
                  <c:v>0.75516280652390411</c:v>
                </c:pt>
                <c:pt idx="38">
                  <c:v>0.48398283680956067</c:v>
                </c:pt>
                <c:pt idx="39">
                  <c:v>0.32253482204782791</c:v>
                </c:pt>
                <c:pt idx="40">
                  <c:v>0.70908629735342721</c:v>
                </c:pt>
                <c:pt idx="41">
                  <c:v>0.64190632757233279</c:v>
                </c:pt>
                <c:pt idx="42">
                  <c:v>0.70589750017502384</c:v>
                </c:pt>
                <c:pt idx="43">
                  <c:v>0.69286712831978592</c:v>
                </c:pt>
                <c:pt idx="44">
                  <c:v>0.53537345385325252</c:v>
                </c:pt>
                <c:pt idx="45">
                  <c:v>0.62968796762456436</c:v>
                </c:pt>
                <c:pt idx="46">
                  <c:v>0.31477256037204449</c:v>
                </c:pt>
                <c:pt idx="47">
                  <c:v>0.47174024635416123</c:v>
                </c:pt>
                <c:pt idx="48">
                  <c:v>0.73560717460024039</c:v>
                </c:pt>
                <c:pt idx="49">
                  <c:v>0.62853904043402686</c:v>
                </c:pt>
                <c:pt idx="50">
                  <c:v>0.68989589639413196</c:v>
                </c:pt>
                <c:pt idx="51">
                  <c:v>0.73268387161679638</c:v>
                </c:pt>
                <c:pt idx="52">
                  <c:v>0.46758170321085607</c:v>
                </c:pt>
                <c:pt idx="53">
                  <c:v>0.31102939491572851</c:v>
                </c:pt>
                <c:pt idx="54">
                  <c:v>0.31087000058580566</c:v>
                </c:pt>
                <c:pt idx="55">
                  <c:v>0.68308813053849926</c:v>
                </c:pt>
                <c:pt idx="56">
                  <c:v>0.52726357982637428</c:v>
                </c:pt>
                <c:pt idx="57">
                  <c:v>0.72557914770879828</c:v>
                </c:pt>
                <c:pt idx="58">
                  <c:v>0.61991899593834432</c:v>
                </c:pt>
                <c:pt idx="59">
                  <c:v>0.72351838762154619</c:v>
                </c:pt>
                <c:pt idx="60">
                  <c:v>0.30887379233950996</c:v>
                </c:pt>
                <c:pt idx="61">
                  <c:v>0.46295944643231307</c:v>
                </c:pt>
                <c:pt idx="62">
                  <c:v>0.46257439031166997</c:v>
                </c:pt>
                <c:pt idx="63">
                  <c:v>0.67839027275644281</c:v>
                </c:pt>
                <c:pt idx="64">
                  <c:v>0.61497580404580066</c:v>
                </c:pt>
                <c:pt idx="65">
                  <c:v>0.30580538150222364</c:v>
                </c:pt>
                <c:pt idx="66">
                  <c:v>0.61135572663368565</c:v>
                </c:pt>
                <c:pt idx="67">
                  <c:v>0.6110025051181589</c:v>
                </c:pt>
                <c:pt idx="68">
                  <c:v>0.51884794702857318</c:v>
                </c:pt>
                <c:pt idx="69">
                  <c:v>0.67090046258628588</c:v>
                </c:pt>
                <c:pt idx="70">
                  <c:v>0.45733949934448576</c:v>
                </c:pt>
                <c:pt idx="71">
                  <c:v>0.71303044338374211</c:v>
                </c:pt>
                <c:pt idx="72">
                  <c:v>0.45678048066250138</c:v>
                </c:pt>
                <c:pt idx="73">
                  <c:v>0.66992798826049171</c:v>
                </c:pt>
                <c:pt idx="74">
                  <c:v>0.71200859706666186</c:v>
                </c:pt>
                <c:pt idx="75">
                  <c:v>0.30384201565818991</c:v>
                </c:pt>
                <c:pt idx="76">
                  <c:v>0.60096770992396231</c:v>
                </c:pt>
                <c:pt idx="77">
                  <c:v>0.45005622565330899</c:v>
                </c:pt>
                <c:pt idx="78">
                  <c:v>0.50921076707023871</c:v>
                </c:pt>
                <c:pt idx="79">
                  <c:v>0.70045578438404676</c:v>
                </c:pt>
                <c:pt idx="80">
                  <c:v>0.65840788050822985</c:v>
                </c:pt>
                <c:pt idx="81">
                  <c:v>0.29895425130413267</c:v>
                </c:pt>
                <c:pt idx="82">
                  <c:v>0.44454977400727869</c:v>
                </c:pt>
                <c:pt idx="83">
                  <c:v>0.50355997094769189</c:v>
                </c:pt>
                <c:pt idx="84">
                  <c:v>0.65082712183770686</c:v>
                </c:pt>
                <c:pt idx="85">
                  <c:v>0.29581781890335412</c:v>
                </c:pt>
                <c:pt idx="86">
                  <c:v>0.59075756741773722</c:v>
                </c:pt>
                <c:pt idx="87">
                  <c:v>0.69012617131175802</c:v>
                </c:pt>
                <c:pt idx="88">
                  <c:v>0.49634127552666457</c:v>
                </c:pt>
                <c:pt idx="89">
                  <c:v>0.29185278641740747</c:v>
                </c:pt>
                <c:pt idx="90">
                  <c:v>0.68291795096665586</c:v>
                </c:pt>
                <c:pt idx="91">
                  <c:v>0.58343539484030493</c:v>
                </c:pt>
                <c:pt idx="92">
                  <c:v>0.43739658488095312</c:v>
                </c:pt>
                <c:pt idx="93">
                  <c:v>0.64140419975804486</c:v>
                </c:pt>
                <c:pt idx="94">
                  <c:v>0.67977014384026002</c:v>
                </c:pt>
                <c:pt idx="95">
                  <c:v>0.29044799795253229</c:v>
                </c:pt>
                <c:pt idx="96">
                  <c:v>0.63851151076467716</c:v>
                </c:pt>
                <c:pt idx="97">
                  <c:v>0.43515298096900012</c:v>
                </c:pt>
                <c:pt idx="98">
                  <c:v>0.58002829018795055</c:v>
                </c:pt>
                <c:pt idx="99">
                  <c:v>0.49109601779940837</c:v>
                </c:pt>
                <c:pt idx="100">
                  <c:v>0.66573970120299031</c:v>
                </c:pt>
                <c:pt idx="101">
                  <c:v>0.42652560545608115</c:v>
                </c:pt>
                <c:pt idx="102">
                  <c:v>0.28429737925181259</c:v>
                </c:pt>
                <c:pt idx="103">
                  <c:v>0.6250988491144851</c:v>
                </c:pt>
                <c:pt idx="104">
                  <c:v>0.56815545207810558</c:v>
                </c:pt>
                <c:pt idx="105">
                  <c:v>0.48275512681950727</c:v>
                </c:pt>
              </c:numCache>
            </c:numRef>
          </c:xVal>
          <c:yVal>
            <c:numRef>
              <c:f>summary!$V$13:$V$118</c:f>
              <c:numCache>
                <c:formatCode>General</c:formatCode>
                <c:ptCount val="106"/>
                <c:pt idx="0">
                  <c:v>0.91036496954768864</c:v>
                </c:pt>
                <c:pt idx="1">
                  <c:v>0.83035239069697786</c:v>
                </c:pt>
                <c:pt idx="2">
                  <c:v>1.0249854252062469</c:v>
                </c:pt>
                <c:pt idx="3">
                  <c:v>1.0747427366456084</c:v>
                </c:pt>
                <c:pt idx="4">
                  <c:v>1.1176156594969997</c:v>
                </c:pt>
                <c:pt idx="5">
                  <c:v>1.1760529745562123</c:v>
                </c:pt>
                <c:pt idx="6">
                  <c:v>1.0178180216362522</c:v>
                </c:pt>
                <c:pt idx="7">
                  <c:v>1.1740934575442368</c:v>
                </c:pt>
                <c:pt idx="8">
                  <c:v>0.97030449012110109</c:v>
                </c:pt>
                <c:pt idx="9">
                  <c:v>1.227937460518741</c:v>
                </c:pt>
                <c:pt idx="10">
                  <c:v>1.1404913222132733</c:v>
                </c:pt>
                <c:pt idx="11">
                  <c:v>1.0606051066783904</c:v>
                </c:pt>
                <c:pt idx="12">
                  <c:v>1.1813509518349647</c:v>
                </c:pt>
                <c:pt idx="13">
                  <c:v>1.0321344261718619</c:v>
                </c:pt>
                <c:pt idx="14">
                  <c:v>1.2108667603496446</c:v>
                </c:pt>
                <c:pt idx="15">
                  <c:v>0.9979891981824569</c:v>
                </c:pt>
                <c:pt idx="16">
                  <c:v>1.1682410679401127</c:v>
                </c:pt>
                <c:pt idx="17">
                  <c:v>1.154010369495523</c:v>
                </c:pt>
                <c:pt idx="18">
                  <c:v>1.2495012776402008</c:v>
                </c:pt>
                <c:pt idx="19">
                  <c:v>1.4365852892743971</c:v>
                </c:pt>
                <c:pt idx="20">
                  <c:v>1.3337504582933717</c:v>
                </c:pt>
                <c:pt idx="21">
                  <c:v>1.2473678719262036</c:v>
                </c:pt>
                <c:pt idx="22">
                  <c:v>1.1998068165441393</c:v>
                </c:pt>
                <c:pt idx="23">
                  <c:v>1.1950172962746521</c:v>
                </c:pt>
                <c:pt idx="25">
                  <c:v>1.2520797268299613</c:v>
                </c:pt>
                <c:pt idx="26">
                  <c:v>1.9551990380994921</c:v>
                </c:pt>
                <c:pt idx="27">
                  <c:v>1.2030461710702567</c:v>
                </c:pt>
                <c:pt idx="28">
                  <c:v>1.3564342072584086</c:v>
                </c:pt>
                <c:pt idx="30">
                  <c:v>1.2732332474825592</c:v>
                </c:pt>
                <c:pt idx="32">
                  <c:v>1.1422811434254641</c:v>
                </c:pt>
                <c:pt idx="33">
                  <c:v>1.1614326691565322</c:v>
                </c:pt>
                <c:pt idx="34">
                  <c:v>1.5325600517904761</c:v>
                </c:pt>
                <c:pt idx="36">
                  <c:v>1.0788879337941233</c:v>
                </c:pt>
                <c:pt idx="38">
                  <c:v>1.0851455549415774</c:v>
                </c:pt>
                <c:pt idx="39">
                  <c:v>0.87512291830374378</c:v>
                </c:pt>
                <c:pt idx="40">
                  <c:v>1.7123302118983292</c:v>
                </c:pt>
                <c:pt idx="41">
                  <c:v>1.4972266691905562</c:v>
                </c:pt>
                <c:pt idx="43">
                  <c:v>1.7936340358171814</c:v>
                </c:pt>
                <c:pt idx="44">
                  <c:v>1.1696919202973137</c:v>
                </c:pt>
                <c:pt idx="45">
                  <c:v>1.5725564932182774</c:v>
                </c:pt>
                <c:pt idx="46">
                  <c:v>1.1131481105978633</c:v>
                </c:pt>
                <c:pt idx="47">
                  <c:v>1.1124052802335034</c:v>
                </c:pt>
                <c:pt idx="49">
                  <c:v>1.3246369596761258</c:v>
                </c:pt>
                <c:pt idx="50">
                  <c:v>1.7822868393798559</c:v>
                </c:pt>
                <c:pt idx="52">
                  <c:v>1.1373146257909161</c:v>
                </c:pt>
                <c:pt idx="53">
                  <c:v>0.89778487713373656</c:v>
                </c:pt>
                <c:pt idx="54">
                  <c:v>1.1100503254664185</c:v>
                </c:pt>
                <c:pt idx="55">
                  <c:v>1.8485683838757174</c:v>
                </c:pt>
                <c:pt idx="56">
                  <c:v>1.2239751415546511</c:v>
                </c:pt>
                <c:pt idx="58">
                  <c:v>1.5731328733927534</c:v>
                </c:pt>
                <c:pt idx="60">
                  <c:v>0.90790466889589583</c:v>
                </c:pt>
                <c:pt idx="61">
                  <c:v>1.1691939105518634</c:v>
                </c:pt>
                <c:pt idx="62">
                  <c:v>1.0550473821391422</c:v>
                </c:pt>
                <c:pt idx="65">
                  <c:v>0.89230013514448325</c:v>
                </c:pt>
                <c:pt idx="66">
                  <c:v>1.3081605424736098</c:v>
                </c:pt>
                <c:pt idx="67">
                  <c:v>1.5367283624915238</c:v>
                </c:pt>
                <c:pt idx="68">
                  <c:v>1.1928714888517993</c:v>
                </c:pt>
                <c:pt idx="69">
                  <c:v>1.8295993310067431</c:v>
                </c:pt>
                <c:pt idx="70">
                  <c:v>1.0897340078173015</c:v>
                </c:pt>
                <c:pt idx="72">
                  <c:v>1.0673929695375866</c:v>
                </c:pt>
                <c:pt idx="73">
                  <c:v>1.7078037235995793</c:v>
                </c:pt>
                <c:pt idx="74">
                  <c:v>1.7540154418329723</c:v>
                </c:pt>
                <c:pt idx="75">
                  <c:v>0.92757412468559453</c:v>
                </c:pt>
                <c:pt idx="76">
                  <c:v>1.4813946008912535</c:v>
                </c:pt>
                <c:pt idx="77">
                  <c:v>1.0516667583571189</c:v>
                </c:pt>
                <c:pt idx="78">
                  <c:v>1.1886764691463538</c:v>
                </c:pt>
                <c:pt idx="80">
                  <c:v>1.818711860233184</c:v>
                </c:pt>
                <c:pt idx="81">
                  <c:v>0.91641805915680097</c:v>
                </c:pt>
                <c:pt idx="82">
                  <c:v>1.0431589394838843</c:v>
                </c:pt>
                <c:pt idx="83">
                  <c:v>1.1687970534799512</c:v>
                </c:pt>
                <c:pt idx="85">
                  <c:v>0.9350292105574215</c:v>
                </c:pt>
                <c:pt idx="88">
                  <c:v>1.1831673099634121</c:v>
                </c:pt>
                <c:pt idx="89">
                  <c:v>0.93782425799184654</c:v>
                </c:pt>
                <c:pt idx="92">
                  <c:v>1.0679690763488714</c:v>
                </c:pt>
                <c:pt idx="95">
                  <c:v>0.95597163892995374</c:v>
                </c:pt>
                <c:pt idx="97">
                  <c:v>1.0434707724294683</c:v>
                </c:pt>
                <c:pt idx="98">
                  <c:v>1.6636529498343868</c:v>
                </c:pt>
                <c:pt idx="99">
                  <c:v>1.2025198397249179</c:v>
                </c:pt>
                <c:pt idx="101">
                  <c:v>1.0881694517548939</c:v>
                </c:pt>
                <c:pt idx="102">
                  <c:v>0.98852354710916923</c:v>
                </c:pt>
                <c:pt idx="104">
                  <c:v>1.4959250099402643</c:v>
                </c:pt>
                <c:pt idx="105">
                  <c:v>1.2110400262685204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33920"/>
        <c:axId val="241634480"/>
        <c:extLst/>
      </c:scatterChart>
      <c:valAx>
        <c:axId val="2416339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b*  [-]</a:t>
                </a:r>
              </a:p>
            </c:rich>
          </c:tx>
          <c:layout>
            <c:manualLayout>
              <c:xMode val="edge"/>
              <c:yMode val="edge"/>
              <c:x val="0.46908958119035438"/>
              <c:y val="0.92299413436091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1634480"/>
        <c:crosses val="autoZero"/>
        <c:crossBetween val="midCat"/>
        <c:majorUnit val="0.2"/>
        <c:minorUnit val="0.2"/>
      </c:valAx>
      <c:valAx>
        <c:axId val="241634480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 sz="1400" b="0" i="0" u="none" strike="noStrike" baseline="0">
                    <a:effectLst/>
                  </a:rPr>
                  <a:t>cK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3.8275753715163969E-4"/>
              <c:y val="0.38352327623218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163392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85166</xdr:colOff>
      <xdr:row>29</xdr:row>
      <xdr:rowOff>143997</xdr:rowOff>
    </xdr:from>
    <xdr:to>
      <xdr:col>33</xdr:col>
      <xdr:colOff>123265</xdr:colOff>
      <xdr:row>53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112060</xdr:colOff>
      <xdr:row>4</xdr:row>
      <xdr:rowOff>156882</xdr:rowOff>
    </xdr:from>
    <xdr:to>
      <xdr:col>33</xdr:col>
      <xdr:colOff>145676</xdr:colOff>
      <xdr:row>27</xdr:row>
      <xdr:rowOff>22411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5</xdr:row>
      <xdr:rowOff>0</xdr:rowOff>
    </xdr:from>
    <xdr:to>
      <xdr:col>44</xdr:col>
      <xdr:colOff>33616</xdr:colOff>
      <xdr:row>27</xdr:row>
      <xdr:rowOff>56029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V118" totalsRowShown="0" headerRowDxfId="22" dataDxfId="21">
  <sortState ref="B13:W118">
    <sortCondition ref="E13:E118"/>
    <sortCondition ref="D13:D118"/>
    <sortCondition ref="K13:K118"/>
  </sortState>
  <tableColumns count="21">
    <tableColumn id="1" name="Exp." dataDxfId="20"/>
    <tableColumn id="2" name="File" dataDxfId="19"/>
    <tableColumn id="3" name="Q " dataDxfId="18"/>
    <tableColumn id="4" name="Qs" dataDxfId="17"/>
    <tableColumn id="5" name="h US 1" dataDxfId="16"/>
    <tableColumn id="6" name="h US 2" dataDxfId="15"/>
    <tableColumn id="7" name="h US 3" dataDxfId="14"/>
    <tableColumn id="8" name="h US 4" dataDxfId="13"/>
    <tableColumn id="9" name="h US 5" dataDxfId="12"/>
    <tableColumn id="10" name="b" dataDxfId="11"/>
    <tableColumn id="11" name="b/wnc,max" dataDxfId="10"/>
    <tableColumn id="14" name="Fr" dataDxfId="9"/>
    <tableColumn id="15" name="hnc/h0" dataDxfId="8"/>
    <tableColumn id="18" name="b* x h*" dataDxfId="7">
      <calculatedColumnFormula>Table2[[#This Row],[b/wnc,max]]*Table2[[#This Row],[hnc/h0]]</calculatedColumnFormula>
    </tableColumn>
    <tableColumn id="20" name="ζ" dataDxfId="6"/>
    <tableColumn id="21" name="dEc" dataDxfId="5"/>
    <tableColumn id="13" name="A0" dataDxfId="4">
      <calculatedColumnFormula>Table2[[#This Row],[h US 4]]*(w+Table2[[#This Row],[h US 4]]*m)</calculatedColumnFormula>
    </tableColumn>
    <tableColumn id="16" name="A1" dataDxfId="3">
      <calculatedColumnFormula>Table2[[#This Row],[h US 5]]*(w+Table2[[#This Row],[h US 5]]*m)</calculatedColumnFormula>
    </tableColumn>
    <tableColumn id="17" name="u0" dataDxfId="2">
      <calculatedColumnFormula>Table2[[#This Row],[Q ]]/Table2[[#This Row],[A0]]</calculatedColumnFormula>
    </tableColumn>
    <tableColumn id="12" name="Qc" dataDxfId="1">
      <calculatedColumnFormula>Table2[[#This Row],[A1]]*SQRT(2*g*(Table2[[#This Row],[h US 4]]-Table2[[#This Row],[h US 5]])+Table2[[#This Row],[u0]]^2/(2*g)*(1-Table2[[#This Row],[ζ]]))</calculatedColumnFormula>
    </tableColumn>
    <tableColumn id="22" name="cK" dataDxfId="0">
      <calculatedColumnFormula>Table2[[#This Row],[Q ]]/Table2[[#This Row],[Qc]]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19"/>
  <sheetViews>
    <sheetView tabSelected="1" topLeftCell="M1" zoomScale="85" zoomScaleNormal="85" workbookViewId="0">
      <selection activeCell="AM39" sqref="AM39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10.85546875" style="2" customWidth="1"/>
    <col min="13" max="16384" width="9.140625" style="1"/>
  </cols>
  <sheetData>
    <row r="1" spans="2:22" x14ac:dyDescent="0.25">
      <c r="B1" s="8"/>
    </row>
    <row r="2" spans="2:22" x14ac:dyDescent="0.25">
      <c r="B2" s="40" t="s">
        <v>31</v>
      </c>
      <c r="C2" s="41"/>
      <c r="D2" s="41"/>
      <c r="E2" s="41"/>
      <c r="F2" s="41"/>
      <c r="G2" s="41"/>
      <c r="H2" s="41"/>
      <c r="I2" s="41"/>
      <c r="J2" s="42"/>
      <c r="K2" s="25"/>
      <c r="L2" s="25"/>
    </row>
    <row r="3" spans="2:22" ht="16.5" x14ac:dyDescent="0.3">
      <c r="B3" s="14" t="s">
        <v>18</v>
      </c>
      <c r="C3" s="15" t="s">
        <v>22</v>
      </c>
      <c r="D3" s="15" t="s">
        <v>0</v>
      </c>
      <c r="E3" s="15" t="s">
        <v>13</v>
      </c>
      <c r="F3" s="15" t="s">
        <v>6</v>
      </c>
      <c r="G3" s="15" t="s">
        <v>7</v>
      </c>
      <c r="H3" s="15" t="s">
        <v>8</v>
      </c>
      <c r="I3" s="15" t="s">
        <v>9</v>
      </c>
      <c r="J3" s="16" t="s">
        <v>10</v>
      </c>
    </row>
    <row r="4" spans="2:22" x14ac:dyDescent="0.25">
      <c r="B4" s="17" t="s">
        <v>23</v>
      </c>
      <c r="C4" s="18" t="s">
        <v>12</v>
      </c>
      <c r="D4" s="43" t="s">
        <v>15</v>
      </c>
      <c r="E4" s="43" t="s">
        <v>16</v>
      </c>
      <c r="F4" s="19">
        <v>3.0870000000000002</v>
      </c>
      <c r="G4" s="19">
        <v>2.609</v>
      </c>
      <c r="H4" s="19">
        <v>2.3610000000000002</v>
      </c>
      <c r="I4" s="19">
        <v>2.375</v>
      </c>
      <c r="J4" s="20">
        <v>3.0192706668443399</v>
      </c>
      <c r="M4" s="25"/>
      <c r="N4" s="25"/>
      <c r="O4" s="25"/>
    </row>
    <row r="5" spans="2:22" x14ac:dyDescent="0.25">
      <c r="B5" s="17" t="s">
        <v>24</v>
      </c>
      <c r="C5" s="18" t="s">
        <v>12</v>
      </c>
      <c r="D5" s="43"/>
      <c r="E5" s="43"/>
      <c r="F5" s="19">
        <v>1.9179999999999999E-2</v>
      </c>
      <c r="G5" s="19">
        <v>2.23E-2</v>
      </c>
      <c r="H5" s="19">
        <v>2.8616047063460569E-2</v>
      </c>
      <c r="I5" s="19">
        <v>3.2370000000000003E-2</v>
      </c>
      <c r="J5" s="20">
        <v>2.4905773033800434E-2</v>
      </c>
      <c r="L5" s="38" t="s">
        <v>46</v>
      </c>
      <c r="M5" s="38"/>
      <c r="N5" s="38"/>
      <c r="O5" s="38"/>
    </row>
    <row r="6" spans="2:22" x14ac:dyDescent="0.25">
      <c r="B6" s="17" t="s">
        <v>21</v>
      </c>
      <c r="C6" s="18" t="s">
        <v>12</v>
      </c>
      <c r="D6" s="43"/>
      <c r="E6" s="43"/>
      <c r="F6" s="19">
        <v>0.99129999999999996</v>
      </c>
      <c r="G6" s="19">
        <v>0.98919999999999997</v>
      </c>
      <c r="H6" s="19">
        <v>0.98500683478948781</v>
      </c>
      <c r="I6" s="19">
        <v>0.99087694708191831</v>
      </c>
      <c r="J6" s="20">
        <v>0.99053262931534902</v>
      </c>
      <c r="K6" s="7"/>
      <c r="L6" s="7"/>
    </row>
    <row r="7" spans="2:22" x14ac:dyDescent="0.25">
      <c r="B7" s="17" t="s">
        <v>23</v>
      </c>
      <c r="C7" s="18" t="s">
        <v>12</v>
      </c>
      <c r="D7" s="44" t="s">
        <v>15</v>
      </c>
      <c r="E7" s="44" t="s">
        <v>17</v>
      </c>
      <c r="F7" s="19">
        <v>3.09281134464648</v>
      </c>
      <c r="G7" s="19">
        <v>2.6298665560360299</v>
      </c>
      <c r="H7" s="19">
        <v>2.4078861903550002</v>
      </c>
      <c r="I7" s="19">
        <v>2.4857961922222902</v>
      </c>
      <c r="J7" s="20">
        <v>3.01109500475342</v>
      </c>
      <c r="K7" s="7"/>
      <c r="L7" s="7"/>
    </row>
    <row r="8" spans="2:22" x14ac:dyDescent="0.25">
      <c r="B8" s="17" t="s">
        <v>24</v>
      </c>
      <c r="C8" s="18" t="s">
        <v>12</v>
      </c>
      <c r="D8" s="44"/>
      <c r="E8" s="44"/>
      <c r="F8" s="19">
        <v>1.9614499358065186E-2</v>
      </c>
      <c r="G8" s="19">
        <v>2.2255618974757727E-2</v>
      </c>
      <c r="H8" s="19">
        <v>2.8526623179723067E-2</v>
      </c>
      <c r="I8" s="19">
        <v>3.2102408966351914E-2</v>
      </c>
      <c r="J8" s="20">
        <v>2.5637339924671595E-2</v>
      </c>
      <c r="L8" s="4"/>
    </row>
    <row r="9" spans="2:22" x14ac:dyDescent="0.25">
      <c r="B9" s="21" t="s">
        <v>21</v>
      </c>
      <c r="C9" s="22" t="s">
        <v>12</v>
      </c>
      <c r="D9" s="45"/>
      <c r="E9" s="45"/>
      <c r="F9" s="23">
        <v>0.96169560156974332</v>
      </c>
      <c r="G9" s="23">
        <v>0.97847608280963083</v>
      </c>
      <c r="H9" s="23">
        <v>0.9804648095371592</v>
      </c>
      <c r="I9" s="23">
        <v>0.97429517753487749</v>
      </c>
      <c r="J9" s="24">
        <v>0.98732183949295171</v>
      </c>
      <c r="K9" s="7"/>
      <c r="L9" s="7"/>
    </row>
    <row r="10" spans="2:22" x14ac:dyDescent="0.25">
      <c r="B10" s="39" t="s">
        <v>14</v>
      </c>
      <c r="C10" s="39"/>
      <c r="D10" s="39"/>
      <c r="E10" s="39"/>
      <c r="F10" s="39"/>
      <c r="G10" s="39"/>
      <c r="H10" s="39"/>
      <c r="I10" s="39"/>
      <c r="J10" s="39"/>
      <c r="L10" s="30"/>
    </row>
    <row r="11" spans="2:22" x14ac:dyDescent="0.25">
      <c r="B11" s="5" t="s">
        <v>3</v>
      </c>
      <c r="C11" s="6" t="s">
        <v>3</v>
      </c>
      <c r="D11" s="6" t="s">
        <v>33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32</v>
      </c>
      <c r="M11" s="6" t="s">
        <v>32</v>
      </c>
      <c r="N11" s="6" t="s">
        <v>32</v>
      </c>
      <c r="O11" s="6" t="s">
        <v>32</v>
      </c>
      <c r="P11" s="6" t="s">
        <v>32</v>
      </c>
      <c r="Q11" s="6" t="s">
        <v>5</v>
      </c>
      <c r="R11" s="6" t="s">
        <v>44</v>
      </c>
      <c r="S11" s="6" t="s">
        <v>44</v>
      </c>
      <c r="T11" s="6" t="s">
        <v>45</v>
      </c>
      <c r="U11" s="6" t="s">
        <v>33</v>
      </c>
      <c r="V11" s="6" t="s">
        <v>32</v>
      </c>
    </row>
    <row r="12" spans="2:22" ht="16.5" x14ac:dyDescent="0.3">
      <c r="B12" s="9" t="s">
        <v>1</v>
      </c>
      <c r="C12" s="10" t="s">
        <v>2</v>
      </c>
      <c r="D12" s="10" t="s">
        <v>0</v>
      </c>
      <c r="E12" s="10" t="s">
        <v>19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20</v>
      </c>
      <c r="L12" s="10" t="s">
        <v>34</v>
      </c>
      <c r="M12" s="10" t="s">
        <v>35</v>
      </c>
      <c r="N12" s="10" t="s">
        <v>37</v>
      </c>
      <c r="O12" s="10" t="s">
        <v>36</v>
      </c>
      <c r="P12" s="10" t="s">
        <v>38</v>
      </c>
      <c r="Q12" s="10" t="s">
        <v>39</v>
      </c>
      <c r="R12" s="10" t="s">
        <v>41</v>
      </c>
      <c r="S12" s="10" t="s">
        <v>42</v>
      </c>
      <c r="T12" s="10" t="s">
        <v>43</v>
      </c>
      <c r="U12" s="10" t="s">
        <v>40</v>
      </c>
      <c r="V12" s="10" t="s">
        <v>47</v>
      </c>
    </row>
    <row r="13" spans="2:22" x14ac:dyDescent="0.25">
      <c r="B13" s="9">
        <v>1210</v>
      </c>
      <c r="C13" s="10">
        <v>7</v>
      </c>
      <c r="D13" s="10">
        <v>7.0320910973084867E-3</v>
      </c>
      <c r="E13" s="10">
        <v>6.2240663900411399E-4</v>
      </c>
      <c r="F13" s="11">
        <v>7.2613609631038481E-2</v>
      </c>
      <c r="G13" s="11">
        <v>9.2852500592478071E-2</v>
      </c>
      <c r="H13" s="11">
        <v>0.10156025766662644</v>
      </c>
      <c r="I13" s="11">
        <f>Table2[[#This Row],[h US 3]]+0.009746865/2</f>
        <v>0.10643369016662643</v>
      </c>
      <c r="J13" s="11">
        <v>3.483244191587314E-2</v>
      </c>
      <c r="K13" s="10">
        <v>0.1</v>
      </c>
      <c r="L13" s="29">
        <v>0.30409666058510293</v>
      </c>
      <c r="M13" s="10">
        <v>0.2463513947867296</v>
      </c>
      <c r="N13" s="29">
        <v>0.46585582217226257</v>
      </c>
      <c r="O13" s="31">
        <f>Table2[[#This Row],[b/wnc,max]]*Table2[[#This Row],[hnc/h0]]</f>
        <v>0.14166519983671261</v>
      </c>
      <c r="P13" s="10">
        <v>0.84389580620894811</v>
      </c>
      <c r="Q13" s="10">
        <v>1.813396736917209E-2</v>
      </c>
      <c r="R13" s="10">
        <f>Table2[[#This Row],[h US 4]]*(w+Table2[[#This Row],[h US 4]]*m)</f>
        <v>3.6557042033604215E-2</v>
      </c>
      <c r="S13" s="10">
        <f>Table2[[#This Row],[h US 5]]*(w+Table2[[#This Row],[h US 5]]*m)</f>
        <v>6.5164887499166079E-3</v>
      </c>
      <c r="T13" s="10">
        <f>Table2[[#This Row],[Q ]]/Table2[[#This Row],[A0]]</f>
        <v>0.19235941165164291</v>
      </c>
      <c r="U13" s="33">
        <f>Table2[[#This Row],[A1]]*SQRT(2*g*(Table2[[#This Row],[h US 4]]-Table2[[#This Row],[h US 5]])+Table2[[#This Row],[u0]]^2/(2*g)*(1-Table2[[#This Row],[ζ]]))</f>
        <v>7.7244746146178647E-3</v>
      </c>
      <c r="V13" s="34">
        <f>Table2[[#This Row],[Q ]]/Table2[[#This Row],[Qc]]</f>
        <v>0.91036496954768864</v>
      </c>
    </row>
    <row r="14" spans="2:22" x14ac:dyDescent="0.25">
      <c r="B14" s="9">
        <v>1210</v>
      </c>
      <c r="C14" s="10">
        <v>3</v>
      </c>
      <c r="D14" s="10">
        <v>5.3093126385809312E-3</v>
      </c>
      <c r="E14" s="10">
        <v>2.222222222222096E-4</v>
      </c>
      <c r="F14" s="11">
        <v>3.5803593929110783E-2</v>
      </c>
      <c r="G14" s="11">
        <v>6.7992988104922658E-2</v>
      </c>
      <c r="H14" s="11">
        <v>7.5011678417826078E-2</v>
      </c>
      <c r="I14" s="11">
        <v>8.3156758656572002E-2</v>
      </c>
      <c r="J14" s="11">
        <v>3.5103368082010547E-2</v>
      </c>
      <c r="K14" s="10">
        <v>0.1</v>
      </c>
      <c r="L14" s="29">
        <v>0.32282101646606709</v>
      </c>
      <c r="M14" s="10">
        <v>0.31132173214906056</v>
      </c>
      <c r="N14" s="29">
        <v>0.54475762209225942</v>
      </c>
      <c r="O14" s="31">
        <f>Table2[[#This Row],[b/wnc,max]]*Table2[[#This Row],[hnc/h0]]</f>
        <v>0.17585920929146084</v>
      </c>
      <c r="P14" s="10">
        <v>1.3322141122980189</v>
      </c>
      <c r="Q14" s="10">
        <v>2.1375789111636311E-2</v>
      </c>
      <c r="R14" s="10">
        <f>Table2[[#This Row],[h US 4]]*(w+Table2[[#This Row],[h US 4]]*m)</f>
        <v>2.4334244798605468E-2</v>
      </c>
      <c r="S14" s="10">
        <f>Table2[[#This Row],[h US 5]]*(w+Table2[[#This Row],[h US 5]]*m)</f>
        <v>6.5879465547245501E-3</v>
      </c>
      <c r="T14" s="10">
        <f>Table2[[#This Row],[Q ]]/Table2[[#This Row],[A0]]</f>
        <v>0.21818275777702351</v>
      </c>
      <c r="U14" s="10">
        <f>Table2[[#This Row],[A1]]*SQRT(2*g*(Table2[[#This Row],[h US 4]]-Table2[[#This Row],[h US 5]])+Table2[[#This Row],[u0]]^2/(2*g)*(1-Table2[[#This Row],[ζ]]))</f>
        <v>6.3940475129172832E-3</v>
      </c>
      <c r="V14" s="34">
        <f>Table2[[#This Row],[Q ]]/Table2[[#This Row],[Qc]]</f>
        <v>0.83035239069697786</v>
      </c>
    </row>
    <row r="15" spans="2:22" x14ac:dyDescent="0.25">
      <c r="B15" s="9">
        <v>1204</v>
      </c>
      <c r="C15" s="10">
        <v>2</v>
      </c>
      <c r="D15" s="10">
        <v>7.4080906148867448E-3</v>
      </c>
      <c r="E15" s="10">
        <v>3.4035656401944802E-3</v>
      </c>
      <c r="F15" s="11">
        <v>4.2137139114546765E-2</v>
      </c>
      <c r="G15" s="11">
        <v>4.7436094584768822E-2</v>
      </c>
      <c r="H15" s="11">
        <v>6.4126902101382638E-2</v>
      </c>
      <c r="I15" s="11">
        <v>7.5888680446343032E-2</v>
      </c>
      <c r="J15" s="11">
        <v>4.3975656715648966E-2</v>
      </c>
      <c r="K15" s="10">
        <v>0.15</v>
      </c>
      <c r="L15" s="29">
        <v>0.45044278911411584</v>
      </c>
      <c r="M15" s="10">
        <v>0.52364102982514216</v>
      </c>
      <c r="N15" s="29">
        <v>0.66567783378699441</v>
      </c>
      <c r="O15" s="31">
        <f>Table2[[#This Row],[b/wnc,max]]*Table2[[#This Row],[hnc/h0]]</f>
        <v>0.29984978010245655</v>
      </c>
      <c r="P15" s="10">
        <v>0.37774538989177081</v>
      </c>
      <c r="Q15" s="10">
        <v>8.5150666658005553E-3</v>
      </c>
      <c r="R15" s="10">
        <f>Table2[[#This Row],[h US 4]]*(w+Table2[[#This Row],[h US 4]]*m)</f>
        <v>2.1002651882541627E-2</v>
      </c>
      <c r="S15" s="10">
        <f>Table2[[#This Row],[h US 5]]*(w+Table2[[#This Row],[h US 5]]*m)</f>
        <v>9.1052313768363122E-3</v>
      </c>
      <c r="T15" s="10">
        <f>Table2[[#This Row],[Q ]]/Table2[[#This Row],[A0]]</f>
        <v>0.35272167802032139</v>
      </c>
      <c r="U15" s="10">
        <f>Table2[[#This Row],[A1]]*SQRT(2*g*(Table2[[#This Row],[h US 4]]-Table2[[#This Row],[h US 5]])+Table2[[#This Row],[u0]]^2/(2*g)*(1-Table2[[#This Row],[ζ]]))</f>
        <v>7.2275082481256681E-3</v>
      </c>
      <c r="V15" s="34">
        <f>Table2[[#This Row],[Q ]]/Table2[[#This Row],[Qc]]</f>
        <v>1.0249854252062469</v>
      </c>
    </row>
    <row r="16" spans="2:22" x14ac:dyDescent="0.25">
      <c r="B16" s="9">
        <v>1210</v>
      </c>
      <c r="C16" s="10">
        <v>8</v>
      </c>
      <c r="D16" s="10">
        <v>6.8763485477178364E-3</v>
      </c>
      <c r="E16" s="10">
        <v>2.0746887966804979E-3</v>
      </c>
      <c r="F16" s="10">
        <v>4.0000341620390463E-2</v>
      </c>
      <c r="G16" s="10">
        <v>4.2127423064160098E-2</v>
      </c>
      <c r="H16" s="10">
        <v>5.4246017824591548E-2</v>
      </c>
      <c r="I16" s="11">
        <v>6.9869424969697891E-2</v>
      </c>
      <c r="J16" s="10">
        <v>4.2709400703113062E-2</v>
      </c>
      <c r="K16" s="10">
        <v>0.15</v>
      </c>
      <c r="L16" s="29">
        <v>0.45854940387358523</v>
      </c>
      <c r="M16" s="10">
        <v>0.57436147556159112</v>
      </c>
      <c r="N16" s="29">
        <v>0.70410784150575367</v>
      </c>
      <c r="O16" s="31">
        <f>Table2[[#This Row],[b/wnc,max]]*Table2[[#This Row],[hnc/h0]]</f>
        <v>0.32286823098518019</v>
      </c>
      <c r="P16" s="10">
        <v>0.3139885808799886</v>
      </c>
      <c r="Q16" s="10">
        <v>6.6055416590493909E-3</v>
      </c>
      <c r="R16" s="10">
        <f>Table2[[#This Row],[h US 4]]*(w+Table2[[#This Row],[h US 4]]*m)</f>
        <v>1.841819513452778E-2</v>
      </c>
      <c r="S16" s="10">
        <f>Table2[[#This Row],[h US 5]]*(w+Table2[[#This Row],[h US 5]]*m)</f>
        <v>8.7249272086144924E-3</v>
      </c>
      <c r="T16" s="10">
        <f>Table2[[#This Row],[Q ]]/Table2[[#This Row],[A0]]</f>
        <v>0.37334540640342379</v>
      </c>
      <c r="U16" s="10">
        <f>Table2[[#This Row],[A1]]*SQRT(2*g*(Table2[[#This Row],[h US 4]]-Table2[[#This Row],[h US 5]])+Table2[[#This Row],[u0]]^2/(2*g)*(1-Table2[[#This Row],[ζ]]))</f>
        <v>6.3981344681422877E-3</v>
      </c>
      <c r="V16" s="34">
        <f>Table2[[#This Row],[Q ]]/Table2[[#This Row],[Qc]]</f>
        <v>1.0747427366456084</v>
      </c>
    </row>
    <row r="17" spans="2:22" x14ac:dyDescent="0.25">
      <c r="B17" s="9">
        <v>1210</v>
      </c>
      <c r="C17" s="10">
        <v>2</v>
      </c>
      <c r="D17" s="10">
        <v>5.2811203319502089E-3</v>
      </c>
      <c r="E17" s="10">
        <v>8.3160083160078438E-4</v>
      </c>
      <c r="F17" s="11">
        <v>3.4975272052493837E-2</v>
      </c>
      <c r="G17" s="11">
        <v>3.5829699669946362E-2</v>
      </c>
      <c r="H17" s="11">
        <v>4.3933811995620388E-2</v>
      </c>
      <c r="I17" s="11">
        <v>5.8123278212963758E-2</v>
      </c>
      <c r="J17" s="11">
        <v>3.922088863924697E-2</v>
      </c>
      <c r="K17" s="10">
        <v>0.15</v>
      </c>
      <c r="L17" s="29">
        <v>0.48471993779152461</v>
      </c>
      <c r="M17" s="10">
        <v>0.63559193168158046</v>
      </c>
      <c r="N17" s="29">
        <v>0.7781769915395681</v>
      </c>
      <c r="O17" s="31">
        <f>Table2[[#This Row],[b/wnc,max]]*Table2[[#This Row],[hnc/h0]]</f>
        <v>0.37719790292985522</v>
      </c>
      <c r="P17" s="10">
        <v>0.40388979664648333</v>
      </c>
      <c r="Q17" s="10">
        <v>6.44140315419078E-3</v>
      </c>
      <c r="R17" s="10">
        <f>Table2[[#This Row],[h US 4]]*(w+Table2[[#This Row],[h US 4]]*m)</f>
        <v>1.383060053169697E-2</v>
      </c>
      <c r="S17" s="10">
        <f>Table2[[#This Row],[h US 5]]*(w+Table2[[#This Row],[h US 5]]*m)</f>
        <v>7.7134256773219757E-3</v>
      </c>
      <c r="T17" s="10">
        <f>Table2[[#This Row],[Q ]]/Table2[[#This Row],[A0]]</f>
        <v>0.38184316869299623</v>
      </c>
      <c r="U17" s="10">
        <f>Table2[[#This Row],[A1]]*SQRT(2*g*(Table2[[#This Row],[h US 4]]-Table2[[#This Row],[h US 5]])+Table2[[#This Row],[u0]]^2/(2*g)*(1-Table2[[#This Row],[ζ]]))</f>
        <v>4.7253456830830907E-3</v>
      </c>
      <c r="V17" s="34">
        <f>Table2[[#This Row],[Q ]]/Table2[[#This Row],[Qc]]</f>
        <v>1.1176156594969997</v>
      </c>
    </row>
    <row r="18" spans="2:22" x14ac:dyDescent="0.25">
      <c r="B18" s="9">
        <v>1204</v>
      </c>
      <c r="C18" s="10">
        <v>19</v>
      </c>
      <c r="D18" s="10">
        <v>8.337994350282556E-3</v>
      </c>
      <c r="E18" s="10">
        <v>6.3739376770538241E-3</v>
      </c>
      <c r="F18" s="11">
        <v>4.5041137174025359E-2</v>
      </c>
      <c r="G18" s="11">
        <v>4.4412558585027517E-2</v>
      </c>
      <c r="H18" s="11">
        <v>5.5566504280408172E-2</v>
      </c>
      <c r="I18" s="11">
        <v>7.1516264153352799E-2</v>
      </c>
      <c r="J18" s="11">
        <v>4.787227907937406E-2</v>
      </c>
      <c r="K18" s="10">
        <v>0.17</v>
      </c>
      <c r="L18" s="29">
        <v>0.49519221568533051</v>
      </c>
      <c r="M18" s="10">
        <v>0.66455469396349387</v>
      </c>
      <c r="N18" s="29">
        <v>0.73869859113129521</v>
      </c>
      <c r="O18" s="31">
        <f>Table2[[#This Row],[b/wnc,max]]*Table2[[#This Row],[hnc/h0]]</f>
        <v>0.3657977920659381</v>
      </c>
      <c r="P18" s="10">
        <v>0.16334860937501361</v>
      </c>
      <c r="Q18" s="10">
        <v>4.0729488332138172E-3</v>
      </c>
      <c r="R18" s="10">
        <f>Table2[[#This Row],[h US 4]]*(w+Table2[[#This Row],[h US 4]]*m)</f>
        <v>1.9109562304209314E-2</v>
      </c>
      <c r="S18" s="10">
        <f>Table2[[#This Row],[h US 5]]*(w+Table2[[#This Row],[h US 5]]*m)</f>
        <v>1.0319474476520962E-2</v>
      </c>
      <c r="T18" s="10">
        <f>Table2[[#This Row],[Q ]]/Table2[[#This Row],[A0]]</f>
        <v>0.43632576285883451</v>
      </c>
      <c r="U18" s="10">
        <f>Table2[[#This Row],[A1]]*SQRT(2*g*(Table2[[#This Row],[h US 4]]-Table2[[#This Row],[h US 5]])+Table2[[#This Row],[u0]]^2/(2*g)*(1-Table2[[#This Row],[ζ]]))</f>
        <v>7.0898118797998256E-3</v>
      </c>
      <c r="V18" s="34">
        <f>Table2[[#This Row],[Q ]]/Table2[[#This Row],[Qc]]</f>
        <v>1.1760529745562123</v>
      </c>
    </row>
    <row r="19" spans="2:22" x14ac:dyDescent="0.25">
      <c r="B19" s="9">
        <v>1204</v>
      </c>
      <c r="C19" s="10">
        <v>15</v>
      </c>
      <c r="D19" s="10">
        <v>8.45054945054949E-3</v>
      </c>
      <c r="E19" s="10">
        <v>3.8532110091742495E-3</v>
      </c>
      <c r="F19" s="11">
        <v>4.5524434165255694E-2</v>
      </c>
      <c r="G19" s="11">
        <v>5.4651432103043893E-2</v>
      </c>
      <c r="H19" s="11">
        <v>7.2258181871945493E-2</v>
      </c>
      <c r="I19" s="11">
        <v>8.2234827131124441E-2</v>
      </c>
      <c r="J19" s="11">
        <v>4.6512737648248113E-2</v>
      </c>
      <c r="K19" s="10">
        <v>0.15</v>
      </c>
      <c r="L19" s="29">
        <v>0.4353540185581346</v>
      </c>
      <c r="M19" s="10">
        <v>0.50699067434744993</v>
      </c>
      <c r="N19" s="29">
        <v>0.64581825566473727</v>
      </c>
      <c r="O19" s="31">
        <f>Table2[[#This Row],[b/wnc,max]]*Table2[[#This Row],[hnc/h0]]</f>
        <v>0.28115957286184817</v>
      </c>
      <c r="P19" s="10">
        <v>0.35194096379231832</v>
      </c>
      <c r="Q19" s="10">
        <v>8.8700686361386991E-3</v>
      </c>
      <c r="R19" s="10">
        <f>Table2[[#This Row],[h US 4]]*(w+Table2[[#This Row],[h US 4]]*m)</f>
        <v>2.3898864201449922E-2</v>
      </c>
      <c r="S19" s="10">
        <f>Table2[[#This Row],[h US 5]]*(w+Table2[[#This Row],[h US 5]]*m)</f>
        <v>9.8882880894681589E-3</v>
      </c>
      <c r="T19" s="10">
        <f>Table2[[#This Row],[Q ]]/Table2[[#This Row],[A0]]</f>
        <v>0.35359627885733597</v>
      </c>
      <c r="U19" s="10">
        <f>Table2[[#This Row],[A1]]*SQRT(2*g*(Table2[[#This Row],[h US 4]]-Table2[[#This Row],[h US 5]])+Table2[[#This Row],[u0]]^2/(2*g)*(1-Table2[[#This Row],[ζ]]))</f>
        <v>8.3026133070077893E-3</v>
      </c>
      <c r="V19" s="34">
        <f>Table2[[#This Row],[Q ]]/Table2[[#This Row],[Qc]]</f>
        <v>1.0178180216362522</v>
      </c>
    </row>
    <row r="20" spans="2:22" x14ac:dyDescent="0.25">
      <c r="B20" s="9">
        <v>1204</v>
      </c>
      <c r="C20" s="10">
        <v>31</v>
      </c>
      <c r="D20" s="10">
        <v>5.8631578947368418E-3</v>
      </c>
      <c r="E20" s="10">
        <v>1.6611295681063123E-3</v>
      </c>
      <c r="F20" s="11">
        <v>3.6494162604161169E-2</v>
      </c>
      <c r="G20" s="11">
        <v>3.796084420537825E-2</v>
      </c>
      <c r="H20" s="11">
        <v>4.3428233678134476E-2</v>
      </c>
      <c r="I20" s="11">
        <v>5.9377816879337804E-2</v>
      </c>
      <c r="J20" s="11">
        <v>4.1376473207415637E-2</v>
      </c>
      <c r="K20" s="10">
        <v>0.17</v>
      </c>
      <c r="L20" s="29">
        <v>0.53814321404478382</v>
      </c>
      <c r="M20" s="10">
        <v>0.67667939012230838</v>
      </c>
      <c r="N20" s="29">
        <v>0.7861020662032695</v>
      </c>
      <c r="O20" s="31">
        <f>Table2[[#This Row],[b/wnc,max]]*Table2[[#This Row],[hnc/h0]]</f>
        <v>0.4230354924738729</v>
      </c>
      <c r="P20" s="10">
        <v>0.29840537446587573</v>
      </c>
      <c r="Q20" s="10">
        <v>5.3417160417782578E-3</v>
      </c>
      <c r="R20" s="10">
        <f>Table2[[#This Row],[h US 4]]*(w+Table2[[#This Row],[h US 4]]*m)</f>
        <v>1.4291826518619852E-2</v>
      </c>
      <c r="S20" s="10">
        <f>Table2[[#This Row],[h US 5]]*(w+Table2[[#This Row],[h US 5]]*m)</f>
        <v>8.3321663051535745E-3</v>
      </c>
      <c r="T20" s="10">
        <f>Table2[[#This Row],[Q ]]/Table2[[#This Row],[A0]]</f>
        <v>0.4102455264971297</v>
      </c>
      <c r="U20" s="10">
        <f>Table2[[#This Row],[A1]]*SQRT(2*g*(Table2[[#This Row],[h US 4]]-Table2[[#This Row],[h US 5]])+Table2[[#This Row],[u0]]^2/(2*g)*(1-Table2[[#This Row],[ζ]]))</f>
        <v>4.9937744368326259E-3</v>
      </c>
      <c r="V20" s="34">
        <f>Table2[[#This Row],[Q ]]/Table2[[#This Row],[Qc]]</f>
        <v>1.1740934575442368</v>
      </c>
    </row>
    <row r="21" spans="2:22" x14ac:dyDescent="0.25">
      <c r="B21" s="9">
        <v>1210</v>
      </c>
      <c r="C21" s="10">
        <v>6</v>
      </c>
      <c r="D21" s="10">
        <v>6.6087301587301533E-3</v>
      </c>
      <c r="E21" s="10">
        <v>1.5025041736227141E-3</v>
      </c>
      <c r="F21" s="10">
        <v>3.8974909713430136E-2</v>
      </c>
      <c r="G21" s="10">
        <v>4.14922059416361E-2</v>
      </c>
      <c r="H21" s="10">
        <v>5.1176542935079491E-2</v>
      </c>
      <c r="I21" s="11">
        <v>7.7233980096539798E-2</v>
      </c>
      <c r="J21" s="10">
        <v>4.0122620907050766E-2</v>
      </c>
      <c r="K21" s="10">
        <v>0.15</v>
      </c>
      <c r="L21" s="29">
        <v>0.46274074072673549</v>
      </c>
      <c r="M21" s="10">
        <v>0.45074157021438871</v>
      </c>
      <c r="N21" s="29">
        <v>0.62835509926701516</v>
      </c>
      <c r="O21" s="31">
        <f>Table2[[#This Row],[b/wnc,max]]*Table2[[#This Row],[hnc/h0]]</f>
        <v>0.29076550407424001</v>
      </c>
      <c r="P21" s="10">
        <v>0.53525739440389186</v>
      </c>
      <c r="Q21" s="10">
        <v>1.0835223204820995E-2</v>
      </c>
      <c r="R21" s="10">
        <f>Table2[[#This Row],[h US 4]]*(w+Table2[[#This Row],[h US 4]]*m)</f>
        <v>2.1601916304763342E-2</v>
      </c>
      <c r="S21" s="10">
        <f>Table2[[#This Row],[h US 5]]*(w+Table2[[#This Row],[h US 5]]*m)</f>
        <v>7.9697900488811067E-3</v>
      </c>
      <c r="T21" s="10">
        <f>Table2[[#This Row],[Q ]]/Table2[[#This Row],[A0]]</f>
        <v>0.30593258790068045</v>
      </c>
      <c r="U21" s="10">
        <f>Table2[[#This Row],[A1]]*SQRT(2*g*(Table2[[#This Row],[h US 4]]-Table2[[#This Row],[h US 5]])+Table2[[#This Row],[u0]]^2/(2*g)*(1-Table2[[#This Row],[ζ]]))</f>
        <v>6.8109858565174068E-3</v>
      </c>
      <c r="V21" s="34">
        <f>Table2[[#This Row],[Q ]]/Table2[[#This Row],[Qc]]</f>
        <v>0.97030449012110109</v>
      </c>
    </row>
    <row r="22" spans="2:22" x14ac:dyDescent="0.25">
      <c r="B22" s="9">
        <v>1205</v>
      </c>
      <c r="C22" s="10">
        <v>6</v>
      </c>
      <c r="D22" s="10">
        <v>6.6870588235294175E-3</v>
      </c>
      <c r="E22" s="10">
        <v>3.62E-3</v>
      </c>
      <c r="F22" s="11">
        <v>4.006380645938825E-2</v>
      </c>
      <c r="G22" s="11">
        <v>4.0392565745539774E-2</v>
      </c>
      <c r="H22" s="11">
        <v>4.6881600484876967E-2</v>
      </c>
      <c r="I22" s="11">
        <v>6.182363468551505E-2</v>
      </c>
      <c r="J22" s="11">
        <v>4.3900699865022645E-2</v>
      </c>
      <c r="K22" s="10">
        <v>0.187</v>
      </c>
      <c r="L22" s="29">
        <v>0.57534424287455455</v>
      </c>
      <c r="M22" s="10">
        <v>0.71275012458450648</v>
      </c>
      <c r="N22" s="29">
        <v>0.78813021225463209</v>
      </c>
      <c r="O22" s="31">
        <f>Table2[[#This Row],[b/wnc,max]]*Table2[[#This Row],[hnc/h0]]</f>
        <v>0.45344618025620326</v>
      </c>
      <c r="P22" s="10">
        <v>0.20241220785448685</v>
      </c>
      <c r="Q22" s="10">
        <v>4.1450235747008436E-3</v>
      </c>
      <c r="R22" s="10">
        <f>Table2[[#This Row],[h US 4]]*(w+Table2[[#This Row],[h US 4]]*m)</f>
        <v>1.5210789266163309E-2</v>
      </c>
      <c r="S22" s="10">
        <f>Table2[[#This Row],[h US 5]]*(w+Table2[[#This Row],[h US 5]]*m)</f>
        <v>9.0825239831343798E-3</v>
      </c>
      <c r="T22" s="10">
        <f>Table2[[#This Row],[Q ]]/Table2[[#This Row],[A0]]</f>
        <v>0.4396260250876598</v>
      </c>
      <c r="U22" s="10">
        <f>Table2[[#This Row],[A1]]*SQRT(2*g*(Table2[[#This Row],[h US 4]]-Table2[[#This Row],[h US 5]])+Table2[[#This Row],[u0]]^2/(2*g)*(1-Table2[[#This Row],[ζ]]))</f>
        <v>5.4457649827740215E-3</v>
      </c>
      <c r="V22" s="34">
        <f>Table2[[#This Row],[Q ]]/Table2[[#This Row],[Qc]]</f>
        <v>1.227937460518741</v>
      </c>
    </row>
    <row r="23" spans="2:22" x14ac:dyDescent="0.25">
      <c r="B23" s="9">
        <v>1205</v>
      </c>
      <c r="C23" s="10">
        <v>3</v>
      </c>
      <c r="D23" s="10">
        <v>5.8652406417112326E-3</v>
      </c>
      <c r="E23" s="10">
        <v>1.2499999999999796E-3</v>
      </c>
      <c r="F23" s="11">
        <v>3.9655748519410276E-2</v>
      </c>
      <c r="G23" s="11">
        <v>3.8863377795802942E-2</v>
      </c>
      <c r="H23" s="11">
        <v>4.4583489414947115E-2</v>
      </c>
      <c r="I23" s="11">
        <v>6.0182686728605848E-2</v>
      </c>
      <c r="J23" s="11">
        <v>4.2567024760310768E-2</v>
      </c>
      <c r="K23" s="10">
        <v>0.187</v>
      </c>
      <c r="L23" s="29">
        <v>0.59191432902607999</v>
      </c>
      <c r="M23" s="10">
        <v>0.65922578274672539</v>
      </c>
      <c r="N23" s="29">
        <v>0.77567493838383716</v>
      </c>
      <c r="O23" s="31">
        <f>Table2[[#This Row],[b/wnc,max]]*Table2[[#This Row],[hnc/h0]]</f>
        <v>0.45913311069581492</v>
      </c>
      <c r="P23" s="10">
        <v>0.36816220669124167</v>
      </c>
      <c r="Q23" s="10">
        <v>6.5929270352246168E-3</v>
      </c>
      <c r="R23" s="10">
        <f>Table2[[#This Row],[h US 4]]*(w+Table2[[#This Row],[h US 4]]*m)</f>
        <v>1.459135404564337E-2</v>
      </c>
      <c r="S23" s="10">
        <f>Table2[[#This Row],[h US 5]]*(w+Table2[[#This Row],[h US 5]]*m)</f>
        <v>8.6826044264415678E-3</v>
      </c>
      <c r="T23" s="10">
        <f>Table2[[#This Row],[Q ]]/Table2[[#This Row],[A0]]</f>
        <v>0.40196685128495346</v>
      </c>
      <c r="U23" s="10">
        <f>Table2[[#This Row],[A1]]*SQRT(2*g*(Table2[[#This Row],[h US 4]]-Table2[[#This Row],[h US 5]])+Table2[[#This Row],[u0]]^2/(2*g)*(1-Table2[[#This Row],[ζ]]))</f>
        <v>5.142731494290515E-3</v>
      </c>
      <c r="V23" s="34">
        <f>Table2[[#This Row],[Q ]]/Table2[[#This Row],[Qc]]</f>
        <v>1.1404913222132733</v>
      </c>
    </row>
    <row r="24" spans="2:22" x14ac:dyDescent="0.25">
      <c r="B24" s="9">
        <v>1204</v>
      </c>
      <c r="C24" s="10">
        <v>14</v>
      </c>
      <c r="D24" s="10">
        <v>8.0322175732217456E-3</v>
      </c>
      <c r="E24" s="10">
        <v>5.0420168067226417E-3</v>
      </c>
      <c r="F24" s="11">
        <v>4.3890647112112983E-2</v>
      </c>
      <c r="G24" s="11">
        <v>4.9111263216571943E-2</v>
      </c>
      <c r="H24" s="11">
        <v>6.5559861009200318E-2</v>
      </c>
      <c r="I24" s="11">
        <v>7.7473769485090063E-2</v>
      </c>
      <c r="J24" s="11">
        <v>4.5198647524100077E-2</v>
      </c>
      <c r="K24" s="10">
        <v>0.15</v>
      </c>
      <c r="L24" s="29">
        <v>0.44128595329145776</v>
      </c>
      <c r="M24" s="10">
        <v>0.54438211224503352</v>
      </c>
      <c r="N24" s="29">
        <v>0.6720837926311074</v>
      </c>
      <c r="O24" s="31">
        <f>Table2[[#This Row],[b/wnc,max]]*Table2[[#This Row],[hnc/h0]]</f>
        <v>0.29658113712295664</v>
      </c>
      <c r="P24" s="10">
        <v>0.2752758834737975</v>
      </c>
      <c r="Q24" s="10">
        <v>6.6563701167606966E-3</v>
      </c>
      <c r="R24" s="10">
        <f>Table2[[#This Row],[h US 4]]*(w+Table2[[#This Row],[h US 4]]*m)</f>
        <v>2.1709560798608502E-2</v>
      </c>
      <c r="S24" s="10">
        <f>Table2[[#This Row],[h US 5]]*(w+Table2[[#This Row],[h US 5]]*m)</f>
        <v>9.4791907985318294E-3</v>
      </c>
      <c r="T24" s="10">
        <f>Table2[[#This Row],[Q ]]/Table2[[#This Row],[A0]]</f>
        <v>0.36998526353129074</v>
      </c>
      <c r="U24" s="10">
        <f>Table2[[#This Row],[A1]]*SQRT(2*g*(Table2[[#This Row],[h US 4]]-Table2[[#This Row],[h US 5]])+Table2[[#This Row],[u0]]^2/(2*g)*(1-Table2[[#This Row],[ζ]]))</f>
        <v>7.5732405233999815E-3</v>
      </c>
      <c r="V24" s="34">
        <f>Table2[[#This Row],[Q ]]/Table2[[#This Row],[Qc]]</f>
        <v>1.0606051066783904</v>
      </c>
    </row>
    <row r="25" spans="2:22" x14ac:dyDescent="0.25">
      <c r="B25" s="9">
        <v>1204</v>
      </c>
      <c r="C25" s="10">
        <v>28</v>
      </c>
      <c r="D25" s="10">
        <v>6.9284463894967278E-3</v>
      </c>
      <c r="E25" s="10">
        <v>3.2894736842105261E-3</v>
      </c>
      <c r="F25" s="11">
        <v>4.0965916697251054E-2</v>
      </c>
      <c r="G25" s="11">
        <v>4.1464137923170254E-2</v>
      </c>
      <c r="H25" s="11">
        <v>5.0062381462082341E-2</v>
      </c>
      <c r="I25" s="11">
        <v>6.4783589246434861E-2</v>
      </c>
      <c r="J25" s="11">
        <v>4.3898731608163044E-2</v>
      </c>
      <c r="K25" s="10">
        <v>0.17</v>
      </c>
      <c r="L25" s="29">
        <v>0.51877458516860198</v>
      </c>
      <c r="M25" s="10">
        <v>0.67308852253277296</v>
      </c>
      <c r="N25" s="29">
        <v>0.76138286243677966</v>
      </c>
      <c r="O25" s="31">
        <f>Table2[[#This Row],[b/wnc,max]]*Table2[[#This Row],[hnc/h0]]</f>
        <v>0.39498607861512314</v>
      </c>
      <c r="P25" s="10">
        <v>0.20601464276626402</v>
      </c>
      <c r="Q25" s="10">
        <v>4.365303995968961E-3</v>
      </c>
      <c r="R25" s="10">
        <f>Table2[[#This Row],[h US 4]]*(w+Table2[[#This Row],[h US 4]]*m)</f>
        <v>1.6357876732502729E-2</v>
      </c>
      <c r="S25" s="10">
        <f>Table2[[#This Row],[h US 5]]*(w+Table2[[#This Row],[h US 5]]*m)</f>
        <v>9.0819280510167442E-3</v>
      </c>
      <c r="T25" s="10">
        <f>Table2[[#This Row],[Q ]]/Table2[[#This Row],[A0]]</f>
        <v>0.42355413864502733</v>
      </c>
      <c r="U25" s="10">
        <f>Table2[[#This Row],[A1]]*SQRT(2*g*(Table2[[#This Row],[h US 4]]-Table2[[#This Row],[h US 5]])+Table2[[#This Row],[u0]]^2/(2*g)*(1-Table2[[#This Row],[ζ]]))</f>
        <v>5.8648502197716388E-3</v>
      </c>
      <c r="V25" s="34">
        <f>Table2[[#This Row],[Q ]]/Table2[[#This Row],[Qc]]</f>
        <v>1.1813509518349647</v>
      </c>
    </row>
    <row r="26" spans="2:22" x14ac:dyDescent="0.25">
      <c r="B26" s="9">
        <v>1210</v>
      </c>
      <c r="C26" s="10">
        <v>14</v>
      </c>
      <c r="D26" s="10">
        <v>9.2526315789473422E-3</v>
      </c>
      <c r="E26" s="10">
        <v>4.4052863436123352E-3</v>
      </c>
      <c r="F26" s="10">
        <v>4.7394664878999404E-2</v>
      </c>
      <c r="G26" s="10">
        <v>5.6907307133102353E-2</v>
      </c>
      <c r="H26" s="10">
        <v>7.6198542542753614E-2</v>
      </c>
      <c r="I26" s="11">
        <v>8.6159175550715533E-2</v>
      </c>
      <c r="J26" s="10">
        <v>4.7827906106217143E-2</v>
      </c>
      <c r="K26" s="10">
        <v>0.15</v>
      </c>
      <c r="L26" s="29">
        <v>0.42441533133624604</v>
      </c>
      <c r="M26" s="10">
        <v>0.50431983808912673</v>
      </c>
      <c r="N26" s="29">
        <v>0.6395437858025943</v>
      </c>
      <c r="O26" s="31">
        <f>Table2[[#This Row],[b/wnc,max]]*Table2[[#This Row],[hnc/h0]]</f>
        <v>0.2714321877554452</v>
      </c>
      <c r="P26" s="10">
        <v>0.28928007299886604</v>
      </c>
      <c r="Q26" s="10">
        <v>7.8099122876434598E-3</v>
      </c>
      <c r="R26" s="10">
        <f>Table2[[#This Row],[h US 4]]*(w+Table2[[#This Row],[h US 4]]*m)</f>
        <v>2.5777866479804314E-2</v>
      </c>
      <c r="S26" s="10">
        <f>Table2[[#This Row],[h US 5]]*(w+Table2[[#This Row],[h US 5]]*m)</f>
        <v>1.0305273867381793E-2</v>
      </c>
      <c r="T26" s="10">
        <f>Table2[[#This Row],[Q ]]/Table2[[#This Row],[A0]]</f>
        <v>0.35893705889881627</v>
      </c>
      <c r="U26" s="10">
        <f>Table2[[#This Row],[A1]]*SQRT(2*g*(Table2[[#This Row],[h US 4]]-Table2[[#This Row],[h US 5]])+Table2[[#This Row],[u0]]^2/(2*g)*(1-Table2[[#This Row],[ζ]]))</f>
        <v>8.9645605691740342E-3</v>
      </c>
      <c r="V26" s="34">
        <f>Table2[[#This Row],[Q ]]/Table2[[#This Row],[Qc]]</f>
        <v>1.0321344261718619</v>
      </c>
    </row>
    <row r="27" spans="2:22" x14ac:dyDescent="0.25">
      <c r="B27" s="9">
        <v>1205</v>
      </c>
      <c r="C27" s="10">
        <v>9</v>
      </c>
      <c r="D27" s="10">
        <v>7.4214175654853899E-3</v>
      </c>
      <c r="E27" s="10">
        <v>4.7000000000000002E-3</v>
      </c>
      <c r="F27" s="11">
        <v>4.1865250775087376E-2</v>
      </c>
      <c r="G27" s="11">
        <v>4.2416580074764572E-2</v>
      </c>
      <c r="H27" s="11">
        <v>5.0277345999457296E-2</v>
      </c>
      <c r="I27" s="11">
        <v>6.6021834374321006E-2</v>
      </c>
      <c r="J27" s="11">
        <v>4.5362598311994753E-2</v>
      </c>
      <c r="K27" s="10">
        <v>0.187</v>
      </c>
      <c r="L27" s="29">
        <v>0.56130330757351132</v>
      </c>
      <c r="M27" s="10">
        <v>0.69430344937038202</v>
      </c>
      <c r="N27" s="29">
        <v>0.76566398026633131</v>
      </c>
      <c r="O27" s="31">
        <f>Table2[[#This Row],[b/wnc,max]]*Table2[[#This Row],[hnc/h0]]</f>
        <v>0.42976972461339147</v>
      </c>
      <c r="P27" s="10">
        <v>0.16108401063269581</v>
      </c>
      <c r="Q27" s="10">
        <v>3.6369933908761386E-3</v>
      </c>
      <c r="R27" s="10">
        <f>Table2[[#This Row],[h US 4]]*(w+Table2[[#This Row],[h US 4]]*m)</f>
        <v>1.6849095021376666E-2</v>
      </c>
      <c r="S27" s="10">
        <f>Table2[[#This Row],[h US 5]]*(w+Table2[[#This Row],[h US 5]]*m)</f>
        <v>9.5298194368405517E-3</v>
      </c>
      <c r="T27" s="10">
        <f>Table2[[#This Row],[Q ]]/Table2[[#This Row],[A0]]</f>
        <v>0.4404638680041712</v>
      </c>
      <c r="U27" s="10">
        <f>Table2[[#This Row],[A1]]*SQRT(2*g*(Table2[[#This Row],[h US 4]]-Table2[[#This Row],[h US 5]])+Table2[[#This Row],[u0]]^2/(2*g)*(1-Table2[[#This Row],[ζ]]))</f>
        <v>6.1290125458084372E-3</v>
      </c>
      <c r="V27" s="34">
        <f>Table2[[#This Row],[Q ]]/Table2[[#This Row],[Qc]]</f>
        <v>1.2108667603496446</v>
      </c>
    </row>
    <row r="28" spans="2:22" x14ac:dyDescent="0.25">
      <c r="B28" s="9">
        <v>1210</v>
      </c>
      <c r="C28" s="10">
        <v>16</v>
      </c>
      <c r="D28" s="10">
        <v>9.3241525423728502E-3</v>
      </c>
      <c r="E28" s="10">
        <v>6.382978723404255E-3</v>
      </c>
      <c r="F28" s="10">
        <v>4.8063591077293216E-2</v>
      </c>
      <c r="G28" s="10">
        <v>6.2043225299011344E-2</v>
      </c>
      <c r="H28" s="10">
        <v>7.9448090157468315E-2</v>
      </c>
      <c r="I28" s="11">
        <v>8.865680087408967E-2</v>
      </c>
      <c r="J28" s="10">
        <v>4.8391201206137054E-2</v>
      </c>
      <c r="K28" s="10">
        <v>0.15</v>
      </c>
      <c r="L28" s="29">
        <v>0.42346657149040323</v>
      </c>
      <c r="M28" s="10">
        <v>0.47905154556193524</v>
      </c>
      <c r="N28" s="29">
        <v>0.62353199423912498</v>
      </c>
      <c r="O28" s="31">
        <f>Table2[[#This Row],[b/wnc,max]]*Table2[[#This Row],[hnc/h0]]</f>
        <v>0.26404495581501614</v>
      </c>
      <c r="P28" s="10">
        <v>0.36989907918421028</v>
      </c>
      <c r="Q28" s="10">
        <v>1.0041807041815558E-2</v>
      </c>
      <c r="R28" s="10">
        <f>Table2[[#This Row],[h US 4]]*(w+Table2[[#This Row],[h US 4]]*m)</f>
        <v>2.7008778799934123E-2</v>
      </c>
      <c r="S28" s="10">
        <f>Table2[[#This Row],[h US 5]]*(w+Table2[[#This Row],[h US 5]]*m)</f>
        <v>1.048618272106553E-2</v>
      </c>
      <c r="T28" s="10">
        <f>Table2[[#This Row],[Q ]]/Table2[[#This Row],[A0]]</f>
        <v>0.34522673577509522</v>
      </c>
      <c r="U28" s="10">
        <f>Table2[[#This Row],[A1]]*SQRT(2*g*(Table2[[#This Row],[h US 4]]-Table2[[#This Row],[h US 5]])+Table2[[#This Row],[u0]]^2/(2*g)*(1-Table2[[#This Row],[ζ]]))</f>
        <v>9.3429393417825014E-3</v>
      </c>
      <c r="V28" s="34">
        <f>Table2[[#This Row],[Q ]]/Table2[[#This Row],[Qc]]</f>
        <v>0.9979891981824569</v>
      </c>
    </row>
    <row r="29" spans="2:22" x14ac:dyDescent="0.25">
      <c r="B29" s="9">
        <v>1204</v>
      </c>
      <c r="C29" s="10">
        <v>4</v>
      </c>
      <c r="D29" s="10">
        <v>7.3880597014925461E-3</v>
      </c>
      <c r="E29" s="10">
        <v>4.0598290598290723E-3</v>
      </c>
      <c r="F29" s="11">
        <v>4.1753046478635827E-2</v>
      </c>
      <c r="G29" s="11">
        <v>4.2048152354179767E-2</v>
      </c>
      <c r="H29" s="11">
        <v>5.2740507993982423E-2</v>
      </c>
      <c r="I29" s="11">
        <v>6.7228357207045314E-2</v>
      </c>
      <c r="J29" s="11">
        <v>4.5859053930372061E-2</v>
      </c>
      <c r="K29" s="10">
        <v>0.17</v>
      </c>
      <c r="L29" s="29">
        <v>0.5108420319318604</v>
      </c>
      <c r="M29" s="10">
        <v>0.6666412078088102</v>
      </c>
      <c r="N29" s="29">
        <v>0.75068946701770956</v>
      </c>
      <c r="O29" s="31">
        <f>Table2[[#This Row],[b/wnc,max]]*Table2[[#This Row],[hnc/h0]]</f>
        <v>0.38348373268117203</v>
      </c>
      <c r="P29" s="10">
        <v>0.22064074988683177</v>
      </c>
      <c r="Q29" s="10">
        <v>4.9615374275203024E-3</v>
      </c>
      <c r="R29" s="10">
        <f>Table2[[#This Row],[h US 4]]*(w+Table2[[#This Row],[h US 4]]*m)</f>
        <v>1.7334171576248232E-2</v>
      </c>
      <c r="S29" s="10">
        <f>Table2[[#This Row],[h US 5]]*(w+Table2[[#This Row],[h US 5]]*m)</f>
        <v>9.6838429718538576E-3</v>
      </c>
      <c r="T29" s="10">
        <f>Table2[[#This Row],[Q ]]/Table2[[#This Row],[A0]]</f>
        <v>0.42621360178618933</v>
      </c>
      <c r="U29" s="10">
        <f>Table2[[#This Row],[A1]]*SQRT(2*g*(Table2[[#This Row],[h US 4]]-Table2[[#This Row],[h US 5]])+Table2[[#This Row],[u0]]^2/(2*g)*(1-Table2[[#This Row],[ζ]]))</f>
        <v>6.3240883275225502E-3</v>
      </c>
      <c r="V29" s="34">
        <f>Table2[[#This Row],[Q ]]/Table2[[#This Row],[Qc]]</f>
        <v>1.1682410679401127</v>
      </c>
    </row>
    <row r="30" spans="2:22" x14ac:dyDescent="0.25">
      <c r="B30" s="9">
        <v>1204</v>
      </c>
      <c r="C30" s="10">
        <v>9</v>
      </c>
      <c r="D30" s="10">
        <v>7.9969740634006237E-3</v>
      </c>
      <c r="E30" s="10">
        <v>5.3468208092485384E-3</v>
      </c>
      <c r="F30" s="11">
        <v>4.3813253730715415E-2</v>
      </c>
      <c r="G30" s="11">
        <v>4.3883434610470638E-2</v>
      </c>
      <c r="H30" s="11">
        <v>5.5083932127573579E-2</v>
      </c>
      <c r="I30" s="11">
        <v>7.0590738505598494E-2</v>
      </c>
      <c r="J30" s="11">
        <v>4.7629339072968804E-2</v>
      </c>
      <c r="K30" s="10">
        <v>0.17</v>
      </c>
      <c r="L30" s="29">
        <v>0.50069884311137614</v>
      </c>
      <c r="M30" s="10">
        <v>0.65431298640014002</v>
      </c>
      <c r="N30" s="29">
        <v>0.73637502231728336</v>
      </c>
      <c r="O30" s="31">
        <f>Table2[[#This Row],[b/wnc,max]]*Table2[[#This Row],[hnc/h0]]</f>
        <v>0.36870212177037753</v>
      </c>
      <c r="P30" s="10">
        <v>0.215384085365603</v>
      </c>
      <c r="Q30" s="10">
        <v>5.1889920257808669E-3</v>
      </c>
      <c r="R30" s="10">
        <f>Table2[[#This Row],[h US 4]]*(w+Table2[[#This Row],[h US 4]]*m)</f>
        <v>1.8719554944874466E-2</v>
      </c>
      <c r="S30" s="10">
        <f>Table2[[#This Row],[h US 5]]*(w+Table2[[#This Row],[h US 5]]*m)</f>
        <v>1.0241832154000432E-2</v>
      </c>
      <c r="T30" s="10">
        <f>Table2[[#This Row],[Q ]]/Table2[[#This Row],[A0]]</f>
        <v>0.42719894179910761</v>
      </c>
      <c r="U30" s="10">
        <f>Table2[[#This Row],[A1]]*SQRT(2*g*(Table2[[#This Row],[h US 4]]-Table2[[#This Row],[h US 5]])+Table2[[#This Row],[u0]]^2/(2*g)*(1-Table2[[#This Row],[ζ]]))</f>
        <v>6.9297246149499598E-3</v>
      </c>
      <c r="V30" s="34">
        <f>Table2[[#This Row],[Q ]]/Table2[[#This Row],[Qc]]</f>
        <v>1.154010369495523</v>
      </c>
    </row>
    <row r="31" spans="2:22" x14ac:dyDescent="0.25">
      <c r="B31" s="9">
        <v>1205</v>
      </c>
      <c r="C31" s="10">
        <v>19</v>
      </c>
      <c r="D31" s="10">
        <v>8.76055979643766E-3</v>
      </c>
      <c r="E31" s="10">
        <v>9.0399999999999994E-3</v>
      </c>
      <c r="F31" s="11">
        <v>4.6689490288708599E-2</v>
      </c>
      <c r="G31" s="11">
        <v>4.5796005991103513E-2</v>
      </c>
      <c r="H31" s="11">
        <v>5.6418750110201123E-2</v>
      </c>
      <c r="I31" s="11">
        <v>7.0418199403900164E-2</v>
      </c>
      <c r="J31" s="11">
        <v>4.9044755855938142E-2</v>
      </c>
      <c r="K31" s="10">
        <v>0.187</v>
      </c>
      <c r="L31" s="29">
        <v>0.53738806869525191</v>
      </c>
      <c r="M31" s="10">
        <v>0.72032669561470397</v>
      </c>
      <c r="N31" s="29">
        <v>0.76513423527111912</v>
      </c>
      <c r="O31" s="31">
        <f>Table2[[#This Row],[b/wnc,max]]*Table2[[#This Row],[hnc/h0]]</f>
        <v>0.4111740089849652</v>
      </c>
      <c r="P31" s="10">
        <v>9.4230921042225566E-2</v>
      </c>
      <c r="Q31" s="10">
        <v>2.4426926643085524E-3</v>
      </c>
      <c r="R31" s="10">
        <f>Table2[[#This Row],[h US 4]]*(w+Table2[[#This Row],[h US 4]]*m)</f>
        <v>1.8647262489510159E-2</v>
      </c>
      <c r="S31" s="10">
        <f>Table2[[#This Row],[h US 5]]*(w+Table2[[#This Row],[h US 5]]*m)</f>
        <v>1.0697816537723904E-2</v>
      </c>
      <c r="T31" s="10">
        <f>Table2[[#This Row],[Q ]]/Table2[[#This Row],[A0]]</f>
        <v>0.46980406916917855</v>
      </c>
      <c r="U31" s="10">
        <f>Table2[[#This Row],[A1]]*SQRT(2*g*(Table2[[#This Row],[h US 4]]-Table2[[#This Row],[h US 5]])+Table2[[#This Row],[u0]]^2/(2*g)*(1-Table2[[#This Row],[ζ]]))</f>
        <v>7.0112451689387546E-3</v>
      </c>
      <c r="V31" s="34">
        <f>Table2[[#This Row],[Q ]]/Table2[[#This Row],[Qc]]</f>
        <v>1.2495012776402008</v>
      </c>
    </row>
    <row r="32" spans="2:22" x14ac:dyDescent="0.25">
      <c r="B32" s="9">
        <v>1210</v>
      </c>
      <c r="C32" s="10">
        <v>4</v>
      </c>
      <c r="D32" s="10">
        <v>5.6235537190082651E-3</v>
      </c>
      <c r="E32" s="10">
        <v>2.4896265560166919E-3</v>
      </c>
      <c r="F32" s="11">
        <v>3.5227121278267277E-2</v>
      </c>
      <c r="G32" s="11">
        <v>3.7581816480630088E-2</v>
      </c>
      <c r="H32" s="11">
        <v>4.0613285683701761E-2</v>
      </c>
      <c r="I32" s="11">
        <v>5.2040279347050175E-2</v>
      </c>
      <c r="J32" s="11">
        <v>4.0925850948092077E-2</v>
      </c>
      <c r="K32" s="10">
        <v>0.2</v>
      </c>
      <c r="L32" s="29">
        <v>0.63847119232481808</v>
      </c>
      <c r="M32" s="10">
        <v>0.83915001588581706</v>
      </c>
      <c r="N32" s="29">
        <v>0.88549519652861386</v>
      </c>
      <c r="O32" s="31">
        <f>Table2[[#This Row],[b/wnc,max]]*Table2[[#This Row],[hnc/h0]]</f>
        <v>0.56536317392552315</v>
      </c>
      <c r="P32" s="10">
        <v>0.17189282618912546</v>
      </c>
      <c r="Q32" s="10">
        <v>2.9410180583198334E-3</v>
      </c>
      <c r="R32" s="10">
        <f>Table2[[#This Row],[h US 4]]*(w+Table2[[#This Row],[h US 4]]*m)</f>
        <v>1.1691701078807007E-2</v>
      </c>
      <c r="S32" s="10">
        <f>Table2[[#This Row],[h US 5]]*(w+Table2[[#This Row],[h US 5]]*m)</f>
        <v>8.2011412426961673E-3</v>
      </c>
      <c r="T32" s="10">
        <f>Table2[[#This Row],[Q ]]/Table2[[#This Row],[A0]]</f>
        <v>0.48098678550735574</v>
      </c>
      <c r="U32" s="10">
        <f>Table2[[#This Row],[A1]]*SQRT(2*g*(Table2[[#This Row],[h US 4]]-Table2[[#This Row],[h US 5]])+Table2[[#This Row],[u0]]^2/(2*g)*(1-Table2[[#This Row],[ζ]]))</f>
        <v>3.9145282643459744E-3</v>
      </c>
      <c r="V32" s="34">
        <f>Table2[[#This Row],[Q ]]/Table2[[#This Row],[Qc]]</f>
        <v>1.4365852892743971</v>
      </c>
    </row>
    <row r="33" spans="2:22" x14ac:dyDescent="0.25">
      <c r="B33" s="9">
        <v>1210</v>
      </c>
      <c r="C33" s="10">
        <v>10</v>
      </c>
      <c r="D33" s="10">
        <v>6.9764705882352854E-3</v>
      </c>
      <c r="E33" s="10">
        <v>4.2194092827004216E-3</v>
      </c>
      <c r="F33" s="11">
        <v>4.0265314660950888E-2</v>
      </c>
      <c r="G33" s="11">
        <v>4.1376921802750932E-2</v>
      </c>
      <c r="H33" s="11">
        <v>4.4545094464170175E-2</v>
      </c>
      <c r="I33" s="11">
        <v>6.0209363638382203E-2</v>
      </c>
      <c r="J33" s="11">
        <v>4.5167800333182559E-2</v>
      </c>
      <c r="K33" s="10">
        <v>0.2</v>
      </c>
      <c r="L33" s="29">
        <v>0.60933437541869317</v>
      </c>
      <c r="M33" s="10">
        <v>0.78343890958422568</v>
      </c>
      <c r="N33" s="29">
        <v>0.8212093601703202</v>
      </c>
      <c r="O33" s="31">
        <f>Table2[[#This Row],[b/wnc,max]]*Table2[[#This Row],[hnc/h0]]</f>
        <v>0.50039109256736669</v>
      </c>
      <c r="P33" s="10">
        <v>0.14130909845184317</v>
      </c>
      <c r="Q33" s="10">
        <v>3.0138898915180248E-3</v>
      </c>
      <c r="R33" s="10">
        <f>Table2[[#This Row],[h US 4]]*(w+Table2[[#This Row],[h US 4]]*m)</f>
        <v>1.4601330151264221E-2</v>
      </c>
      <c r="S33" s="10">
        <f>Table2[[#This Row],[h US 5]]*(w+Table2[[#This Row],[h US 5]]*m)</f>
        <v>9.4696781912937834E-3</v>
      </c>
      <c r="T33" s="10">
        <f>Table2[[#This Row],[Q ]]/Table2[[#This Row],[A0]]</f>
        <v>0.4777969209627963</v>
      </c>
      <c r="U33" s="10">
        <f>Table2[[#This Row],[A1]]*SQRT(2*g*(Table2[[#This Row],[h US 4]]-Table2[[#This Row],[h US 5]])+Table2[[#This Row],[u0]]^2/(2*g)*(1-Table2[[#This Row],[ζ]]))</f>
        <v>5.2307165443543123E-3</v>
      </c>
      <c r="V33" s="34">
        <f>Table2[[#This Row],[Q ]]/Table2[[#This Row],[Qc]]</f>
        <v>1.3337504582933717</v>
      </c>
    </row>
    <row r="34" spans="2:22" x14ac:dyDescent="0.25">
      <c r="B34" s="9">
        <v>1205</v>
      </c>
      <c r="C34" s="10">
        <v>13</v>
      </c>
      <c r="D34" s="10">
        <v>8.098412698412721E-3</v>
      </c>
      <c r="E34" s="10">
        <v>4.7703180212014433E-3</v>
      </c>
      <c r="F34" s="11">
        <v>4.4087935087979715E-2</v>
      </c>
      <c r="G34" s="11">
        <v>4.395998157071946E-2</v>
      </c>
      <c r="H34" s="11">
        <v>5.328044968325317E-2</v>
      </c>
      <c r="I34" s="11">
        <v>6.7781090447145712E-2</v>
      </c>
      <c r="J34" s="11">
        <v>4.7087514767705077E-2</v>
      </c>
      <c r="K34" s="10">
        <v>0.187</v>
      </c>
      <c r="L34" s="29">
        <v>0.54895291842446425</v>
      </c>
      <c r="M34" s="10">
        <v>0.71886973041753344</v>
      </c>
      <c r="N34" s="29">
        <v>0.77061924012334126</v>
      </c>
      <c r="O34" s="31">
        <f>Table2[[#This Row],[b/wnc,max]]*Table2[[#This Row],[hnc/h0]]</f>
        <v>0.42303368085975118</v>
      </c>
      <c r="P34" s="10">
        <v>0.10552141502372561</v>
      </c>
      <c r="Q34" s="10">
        <v>2.5690834603982193E-3</v>
      </c>
      <c r="R34" s="10">
        <f>Table2[[#This Row],[h US 4]]*(w+Table2[[#This Row],[h US 4]]*m)</f>
        <v>1.7558519164171473E-2</v>
      </c>
      <c r="S34" s="10">
        <f>Table2[[#This Row],[h US 5]]*(w+Table2[[#This Row],[h US 5]]*m)</f>
        <v>1.006959674467014E-2</v>
      </c>
      <c r="T34" s="10">
        <f>Table2[[#This Row],[Q ]]/Table2[[#This Row],[A0]]</f>
        <v>0.46122412845256916</v>
      </c>
      <c r="U34" s="10">
        <f>Table2[[#This Row],[A1]]*SQRT(2*g*(Table2[[#This Row],[h US 4]]-Table2[[#This Row],[h US 5]])+Table2[[#This Row],[u0]]^2/(2*g)*(1-Table2[[#This Row],[ζ]]))</f>
        <v>6.4924012239525094E-3</v>
      </c>
      <c r="V34" s="34">
        <f>Table2[[#This Row],[Q ]]/Table2[[#This Row],[Qc]]</f>
        <v>1.2473678719262036</v>
      </c>
    </row>
    <row r="35" spans="2:22" x14ac:dyDescent="0.25">
      <c r="B35" s="9">
        <v>1204</v>
      </c>
      <c r="C35" s="10">
        <v>24</v>
      </c>
      <c r="D35" s="10">
        <v>9.7361158432709219E-3</v>
      </c>
      <c r="E35" s="10">
        <v>1.3993174061433428E-2</v>
      </c>
      <c r="F35" s="11">
        <v>4.9798877552893778E-2</v>
      </c>
      <c r="G35" s="11">
        <v>4.8635349218362593E-2</v>
      </c>
      <c r="H35" s="11">
        <v>6.075257751346929E-2</v>
      </c>
      <c r="I35" s="11">
        <v>7.5987487805804152E-2</v>
      </c>
      <c r="J35" s="11">
        <v>5.2349821743625444E-2</v>
      </c>
      <c r="K35" s="10">
        <v>0.17</v>
      </c>
      <c r="L35" s="29">
        <v>0.47382764370279862</v>
      </c>
      <c r="M35" s="10">
        <v>0.68638105135862049</v>
      </c>
      <c r="N35" s="29">
        <v>0.74096947119087653</v>
      </c>
      <c r="O35" s="31">
        <f>Table2[[#This Row],[b/wnc,max]]*Table2[[#This Row],[hnc/h0]]</f>
        <v>0.35109181859008176</v>
      </c>
      <c r="P35" s="10">
        <v>0.13677959303664955</v>
      </c>
      <c r="Q35" s="10">
        <v>3.8267548761573185E-3</v>
      </c>
      <c r="R35" s="10">
        <f>Table2[[#This Row],[h US 4]]*(w+Table2[[#This Row],[h US 4]]*m)</f>
        <v>2.1046396659938189E-2</v>
      </c>
      <c r="S35" s="10">
        <f>Table2[[#This Row],[h US 5]]*(w+Table2[[#This Row],[h US 5]]*m)</f>
        <v>1.1796638693420904E-2</v>
      </c>
      <c r="T35" s="10">
        <f>Table2[[#This Row],[Q ]]/Table2[[#This Row],[A0]]</f>
        <v>0.46260250629047661</v>
      </c>
      <c r="U35" s="10">
        <f>Table2[[#This Row],[A1]]*SQRT(2*g*(Table2[[#This Row],[h US 4]]-Table2[[#This Row],[h US 5]])+Table2[[#This Row],[u0]]^2/(2*g)*(1-Table2[[#This Row],[ζ]]))</f>
        <v>8.1147362300493676E-3</v>
      </c>
      <c r="V35" s="34">
        <f>Table2[[#This Row],[Q ]]/Table2[[#This Row],[Qc]]</f>
        <v>1.1998068165441393</v>
      </c>
    </row>
    <row r="36" spans="2:22" x14ac:dyDescent="0.25">
      <c r="B36" s="9">
        <v>1204</v>
      </c>
      <c r="C36" s="10">
        <v>23</v>
      </c>
      <c r="D36" s="10">
        <v>9.1881528662421229E-3</v>
      </c>
      <c r="E36" s="10">
        <v>8.9285714285714281E-3</v>
      </c>
      <c r="F36" s="10">
        <v>4.8162614629039487E-2</v>
      </c>
      <c r="G36" s="10">
        <v>4.7047652195476033E-2</v>
      </c>
      <c r="H36" s="10">
        <v>5.914925848563473E-2</v>
      </c>
      <c r="I36" s="11">
        <v>7.3962705622799635E-2</v>
      </c>
      <c r="J36" s="10">
        <v>5.1005375981315382E-2</v>
      </c>
      <c r="K36" s="10">
        <v>0.17</v>
      </c>
      <c r="L36" s="29">
        <v>0.4819775669161146</v>
      </c>
      <c r="M36" s="10">
        <v>0.68421535150258017</v>
      </c>
      <c r="N36" s="29">
        <v>0.74283767626094621</v>
      </c>
      <c r="O36" s="31">
        <f>Table2[[#This Row],[b/wnc,max]]*Table2[[#This Row],[hnc/h0]]</f>
        <v>0.35803109581787129</v>
      </c>
      <c r="P36" s="10">
        <v>0.15295124174576369</v>
      </c>
      <c r="Q36" s="10">
        <v>4.1084835289278698E-3</v>
      </c>
      <c r="R36" s="10">
        <f>Table2[[#This Row],[h US 4]]*(w+Table2[[#This Row],[h US 4]]*m)</f>
        <v>2.015848672202547E-2</v>
      </c>
      <c r="S36" s="10">
        <f>Table2[[#This Row],[h US 5]]*(w+Table2[[#This Row],[h US 5]]*m)</f>
        <v>1.1343898703327637E-2</v>
      </c>
      <c r="T36" s="10">
        <f>Table2[[#This Row],[Q ]]/Table2[[#This Row],[A0]]</f>
        <v>0.45579576448082321</v>
      </c>
      <c r="U36" s="10">
        <f>Table2[[#This Row],[A1]]*SQRT(2*g*(Table2[[#This Row],[h US 4]]-Table2[[#This Row],[h US 5]])+Table2[[#This Row],[u0]]^2/(2*g)*(1-Table2[[#This Row],[ζ]]))</f>
        <v>7.6887195648843564E-3</v>
      </c>
      <c r="V36" s="34">
        <f>Table2[[#This Row],[Q ]]/Table2[[#This Row],[Qc]]</f>
        <v>1.1950172962746521</v>
      </c>
    </row>
    <row r="37" spans="2:22" x14ac:dyDescent="0.25">
      <c r="B37" s="9">
        <v>1210</v>
      </c>
      <c r="C37" s="10">
        <v>5</v>
      </c>
      <c r="D37" s="10">
        <v>6.5988235294117603E-3</v>
      </c>
      <c r="E37" s="10">
        <v>5.5118110236220697E-3</v>
      </c>
      <c r="F37" s="10">
        <v>3.9807778657675097E-2</v>
      </c>
      <c r="G37" s="10">
        <v>4.0128811593071946E-2</v>
      </c>
      <c r="H37" s="10">
        <v>4.2879508108227514E-2</v>
      </c>
      <c r="I37" s="11">
        <v>4.8819589609328105E-2</v>
      </c>
      <c r="J37" s="10">
        <v>4.6317214325774729E-2</v>
      </c>
      <c r="K37" s="10">
        <v>0.23400000000000001</v>
      </c>
      <c r="L37" s="29">
        <v>0.72211989054450032</v>
      </c>
      <c r="M37" s="35"/>
      <c r="N37" s="29">
        <v>0.99357122329521552</v>
      </c>
      <c r="O37" s="31">
        <f>Table2[[#This Row],[b/wnc,max]]*Table2[[#This Row],[hnc/h0]]</f>
        <v>0.71747754301410627</v>
      </c>
      <c r="P37" s="10">
        <v>0.15735629496227618</v>
      </c>
      <c r="Q37" s="10">
        <v>3.1806628060182221E-3</v>
      </c>
      <c r="R37" s="10">
        <f>Table2[[#This Row],[h US 4]]*(w+Table2[[#This Row],[h US 4]]*m)</f>
        <v>1.062469260499845E-2</v>
      </c>
      <c r="S37" s="10">
        <f>Table2[[#This Row],[h US 5]]*(w+Table2[[#This Row],[h US 5]]*m)</f>
        <v>9.8269408519226324E-3</v>
      </c>
      <c r="T37" s="10">
        <f>Table2[[#This Row],[Q ]]/Table2[[#This Row],[A0]]</f>
        <v>0.62108371270029061</v>
      </c>
      <c r="U37" s="10">
        <f>Table2[[#This Row],[A1]]*SQRT(2*g*(Table2[[#This Row],[h US 4]]-Table2[[#This Row],[h US 5]])+Table2[[#This Row],[u0]]^2/(2*g)*(1-Table2[[#This Row],[ζ]]))</f>
        <v>2.5181457978709228E-3</v>
      </c>
      <c r="V37" s="36"/>
    </row>
    <row r="38" spans="2:22" x14ac:dyDescent="0.25">
      <c r="B38" s="9">
        <v>1210</v>
      </c>
      <c r="C38" s="10">
        <v>11</v>
      </c>
      <c r="D38" s="10">
        <v>7.9787735849056445E-3</v>
      </c>
      <c r="E38" s="10">
        <v>6.1320754716981665E-3</v>
      </c>
      <c r="F38" s="10">
        <v>4.3983658707433274E-2</v>
      </c>
      <c r="G38" s="10">
        <v>4.4053884490776414E-2</v>
      </c>
      <c r="H38" s="10">
        <v>5.040915585481013E-2</v>
      </c>
      <c r="I38" s="11">
        <v>6.689263147365955E-2</v>
      </c>
      <c r="J38" s="10">
        <v>4.7560925393308029E-2</v>
      </c>
      <c r="K38" s="10">
        <v>0.2</v>
      </c>
      <c r="L38" s="29">
        <v>0.58940727066618182</v>
      </c>
      <c r="M38" s="10">
        <v>0.72718029658232874</v>
      </c>
      <c r="N38" s="29">
        <v>0.77640859416279828</v>
      </c>
      <c r="O38" s="31">
        <f>Table2[[#This Row],[b/wnc,max]]*Table2[[#This Row],[hnc/h0]]</f>
        <v>0.45762087040726218</v>
      </c>
      <c r="P38" s="10">
        <v>0.13458775352528898</v>
      </c>
      <c r="Q38" s="10">
        <v>3.2362595215986965E-3</v>
      </c>
      <c r="R38" s="10">
        <f>Table2[[#This Row],[h US 4]]*(w+Table2[[#This Row],[h US 4]]*m)</f>
        <v>1.7198556152113593E-2</v>
      </c>
      <c r="S38" s="10">
        <f>Table2[[#This Row],[h US 5]]*(w+Table2[[#This Row],[h US 5]]*m)</f>
        <v>1.0220014034382947E-2</v>
      </c>
      <c r="T38" s="10">
        <f>Table2[[#This Row],[Q ]]/Table2[[#This Row],[A0]]</f>
        <v>0.46392112886319847</v>
      </c>
      <c r="U38" s="10">
        <f>Table2[[#This Row],[A1]]*SQRT(2*g*(Table2[[#This Row],[h US 4]]-Table2[[#This Row],[h US 5]])+Table2[[#This Row],[u0]]^2/(2*g)*(1-Table2[[#This Row],[ζ]]))</f>
        <v>6.3724165593723424E-3</v>
      </c>
      <c r="V38" s="34">
        <f>Table2[[#This Row],[Q ]]/Table2[[#This Row],[Qc]]</f>
        <v>1.2520797268299613</v>
      </c>
    </row>
    <row r="39" spans="2:22" x14ac:dyDescent="0.25">
      <c r="B39" s="9">
        <v>1210</v>
      </c>
      <c r="C39" s="10">
        <v>9</v>
      </c>
      <c r="D39" s="10">
        <v>6.9276699029126188E-3</v>
      </c>
      <c r="E39" s="10">
        <v>3.9408866995074452E-3</v>
      </c>
      <c r="F39" s="11">
        <v>4.0320055431817707E-2</v>
      </c>
      <c r="G39" s="11">
        <v>4.1351198220696536E-2</v>
      </c>
      <c r="H39" s="11">
        <v>4.4120492473629085E-2</v>
      </c>
      <c r="I39" s="11">
        <v>5.4714687588424411E-2</v>
      </c>
      <c r="J39" s="11">
        <v>5.0108966312100919E-2</v>
      </c>
      <c r="K39" s="10">
        <v>0.23400000000000001</v>
      </c>
      <c r="L39" s="29">
        <v>0.7140966921598576</v>
      </c>
      <c r="M39" s="10">
        <v>0.93812709596736532</v>
      </c>
      <c r="N39" s="29">
        <v>0.9014615015807933</v>
      </c>
      <c r="O39" s="31">
        <f>Table2[[#This Row],[b/wnc,max]]*Table2[[#This Row],[hnc/h0]]</f>
        <v>0.64373067638830272</v>
      </c>
      <c r="P39" s="10">
        <v>0.1858385906663669</v>
      </c>
      <c r="Q39" s="10">
        <v>3.9373687043464745E-3</v>
      </c>
      <c r="R39" s="10">
        <f>Table2[[#This Row],[h US 4]]*(w+Table2[[#This Row],[h US 4]]*m)</f>
        <v>1.2612163392493854E-2</v>
      </c>
      <c r="S39" s="10">
        <f>Table2[[#This Row],[h US 5]]*(w+Table2[[#This Row],[h US 5]]*m)</f>
        <v>1.1046421616974281E-2</v>
      </c>
      <c r="T39" s="10">
        <f>Table2[[#This Row],[Q ]]/Table2[[#This Row],[A0]]</f>
        <v>0.54928482032159764</v>
      </c>
      <c r="U39" s="10">
        <f>Table2[[#This Row],[A1]]*SQRT(2*g*(Table2[[#This Row],[h US 4]]-Table2[[#This Row],[h US 5]])+Table2[[#This Row],[u0]]^2/(2*g)*(1-Table2[[#This Row],[ζ]]))</f>
        <v>3.543204434903214E-3</v>
      </c>
      <c r="V39" s="34">
        <f>Table2[[#This Row],[Q ]]/Table2[[#This Row],[Qc]]</f>
        <v>1.9551990380994921</v>
      </c>
    </row>
    <row r="40" spans="2:22" x14ac:dyDescent="0.25">
      <c r="B40" s="9">
        <v>1205</v>
      </c>
      <c r="C40" s="10">
        <v>21</v>
      </c>
      <c r="D40" s="10">
        <v>9.4740540540540538E-3</v>
      </c>
      <c r="E40" s="10">
        <v>7.8590785907858458E-3</v>
      </c>
      <c r="F40" s="10">
        <v>4.9151992778943922E-2</v>
      </c>
      <c r="G40" s="10">
        <v>4.7744709027190087E-2</v>
      </c>
      <c r="H40" s="10">
        <v>6.1028549202353712E-2</v>
      </c>
      <c r="I40" s="11">
        <v>7.4835772587404717E-2</v>
      </c>
      <c r="J40" s="10">
        <v>5.1625767714430199E-2</v>
      </c>
      <c r="K40" s="10">
        <v>0.187</v>
      </c>
      <c r="L40" s="29">
        <v>0.52545971995151031</v>
      </c>
      <c r="M40" s="10">
        <v>0.68893151419506238</v>
      </c>
      <c r="N40" s="29">
        <v>0.74366809527926681</v>
      </c>
      <c r="O40" s="31">
        <f>Table2[[#This Row],[b/wnc,max]]*Table2[[#This Row],[hnc/h0]]</f>
        <v>0.3907676290823166</v>
      </c>
      <c r="P40" s="10">
        <v>0.13738415317831446</v>
      </c>
      <c r="Q40" s="10">
        <v>3.7719850108259081E-3</v>
      </c>
      <c r="R40" s="10">
        <f>Table2[[#This Row],[h US 4]]*(w+Table2[[#This Row],[h US 4]]*m)</f>
        <v>2.0539148839291876E-2</v>
      </c>
      <c r="S40" s="10">
        <f>Table2[[#This Row],[h US 5]]*(w+Table2[[#This Row],[h US 5]]*m)</f>
        <v>1.1551833504635971E-2</v>
      </c>
      <c r="T40" s="10">
        <f>Table2[[#This Row],[Q ]]/Table2[[#This Row],[A0]]</f>
        <v>0.46126809480682884</v>
      </c>
      <c r="U40" s="10">
        <f>Table2[[#This Row],[A1]]*SQRT(2*g*(Table2[[#This Row],[h US 4]]-Table2[[#This Row],[h US 5]])+Table2[[#This Row],[u0]]^2/(2*g)*(1-Table2[[#This Row],[ζ]]))</f>
        <v>7.8750544092798403E-3</v>
      </c>
      <c r="V40" s="34">
        <f>Table2[[#This Row],[Q ]]/Table2[[#This Row],[Qc]]</f>
        <v>1.2030461710702567</v>
      </c>
    </row>
    <row r="41" spans="2:22" x14ac:dyDescent="0.25">
      <c r="B41" s="9">
        <v>1210</v>
      </c>
      <c r="C41" s="10">
        <v>13</v>
      </c>
      <c r="D41" s="10">
        <v>9.2278969957081281E-3</v>
      </c>
      <c r="E41" s="10">
        <v>8.1896551724139396E-3</v>
      </c>
      <c r="F41" s="11">
        <v>4.7911790163497087E-2</v>
      </c>
      <c r="G41" s="11">
        <v>4.6908788700324194E-2</v>
      </c>
      <c r="H41" s="11">
        <v>5.2945487563585442E-2</v>
      </c>
      <c r="I41" s="11">
        <v>6.8674712259565243E-2</v>
      </c>
      <c r="J41" s="11">
        <v>5.2222555790492772E-2</v>
      </c>
      <c r="K41" s="10">
        <v>0.22</v>
      </c>
      <c r="L41" s="29">
        <v>0.62295850843136402</v>
      </c>
      <c r="M41" s="10">
        <v>0.79792346766202327</v>
      </c>
      <c r="N41" s="29">
        <v>0.80147522092946788</v>
      </c>
      <c r="O41" s="31">
        <f>Table2[[#This Row],[b/wnc,max]]*Table2[[#This Row],[hnc/h0]]</f>
        <v>0.49928580817491924</v>
      </c>
      <c r="P41" s="10">
        <v>9.4396987838315113E-2</v>
      </c>
      <c r="Q41" s="10">
        <v>2.5435840011394338E-3</v>
      </c>
      <c r="R41" s="10">
        <f>Table2[[#This Row],[h US 4]]*(w+Table2[[#This Row],[h US 4]]*m)</f>
        <v>1.7924052275024561E-2</v>
      </c>
      <c r="S41" s="10">
        <f>Table2[[#This Row],[h US 5]]*(w+Table2[[#This Row],[h US 5]]*m)</f>
        <v>1.1753443739719186E-2</v>
      </c>
      <c r="T41" s="10">
        <f>Table2[[#This Row],[Q ]]/Table2[[#This Row],[A0]]</f>
        <v>0.51483318917599419</v>
      </c>
      <c r="U41" s="10">
        <f>Table2[[#This Row],[A1]]*SQRT(2*g*(Table2[[#This Row],[h US 4]]-Table2[[#This Row],[h US 5]])+Table2[[#This Row],[u0]]^2/(2*g)*(1-Table2[[#This Row],[ζ]]))</f>
        <v>6.803055353756764E-3</v>
      </c>
      <c r="V41" s="34">
        <f>Table2[[#This Row],[Q ]]/Table2[[#This Row],[Qc]]</f>
        <v>1.3564342072584086</v>
      </c>
    </row>
    <row r="42" spans="2:22" x14ac:dyDescent="0.25">
      <c r="B42" s="9">
        <v>1210</v>
      </c>
      <c r="C42" s="10">
        <v>12</v>
      </c>
      <c r="D42" s="10">
        <v>8.6886718749999755E-3</v>
      </c>
      <c r="E42" s="10">
        <v>1.6326530612244899E-2</v>
      </c>
      <c r="F42" s="10">
        <v>4.5867430575209762E-2</v>
      </c>
      <c r="G42" s="10">
        <v>4.5324212728285643E-2</v>
      </c>
      <c r="H42" s="10">
        <v>4.8359932344669364E-2</v>
      </c>
      <c r="I42" s="11">
        <v>5.7848014496176034E-2</v>
      </c>
      <c r="J42" s="10">
        <v>5.1853124856862616E-2</v>
      </c>
      <c r="K42" s="10">
        <v>0.23400000000000001</v>
      </c>
      <c r="L42" s="29">
        <v>0.67399508849149803</v>
      </c>
      <c r="M42" s="35"/>
      <c r="N42" s="29">
        <v>0.92830630223696919</v>
      </c>
      <c r="O42" s="31">
        <f>Table2[[#This Row],[b/wnc,max]]*Table2[[#This Row],[hnc/h0]]</f>
        <v>0.62567388832342141</v>
      </c>
      <c r="P42" s="10">
        <v>7.5690906214333081E-2</v>
      </c>
      <c r="Q42" s="10">
        <v>1.9496882153592875E-3</v>
      </c>
      <c r="R42" s="10">
        <f>Table2[[#This Row],[h US 4]]*(w+Table2[[#This Row],[h US 4]]*m)</f>
        <v>1.3730320721662918E-2</v>
      </c>
      <c r="S42" s="10">
        <f>Table2[[#This Row],[h US 5]]*(w+Table2[[#This Row],[h US 5]]*m)</f>
        <v>1.1628457089831538E-2</v>
      </c>
      <c r="T42" s="10">
        <f>Table2[[#This Row],[Q ]]/Table2[[#This Row],[A0]]</f>
        <v>0.6328090982821315</v>
      </c>
      <c r="U42" s="10">
        <f>Table2[[#This Row],[A1]]*SQRT(2*g*(Table2[[#This Row],[h US 4]]-Table2[[#This Row],[h US 5]])+Table2[[#This Row],[u0]]^2/(2*g)*(1-Table2[[#This Row],[ζ]]))</f>
        <v>4.2960033119610243E-3</v>
      </c>
      <c r="V42" s="36"/>
    </row>
    <row r="43" spans="2:22" x14ac:dyDescent="0.25">
      <c r="B43" s="9">
        <v>1210</v>
      </c>
      <c r="C43" s="10">
        <v>17</v>
      </c>
      <c r="D43" s="10">
        <v>9.7367491166077628E-3</v>
      </c>
      <c r="E43" s="10">
        <v>1.0638297872340425E-2</v>
      </c>
      <c r="F43" s="11">
        <v>4.9846004026114277E-2</v>
      </c>
      <c r="G43" s="11">
        <v>4.8180159423242844E-2</v>
      </c>
      <c r="H43" s="11">
        <v>5.704769766293568E-2</v>
      </c>
      <c r="I43" s="11">
        <v>7.3149754170649103E-2</v>
      </c>
      <c r="J43" s="11">
        <v>5.2572677622495019E-2</v>
      </c>
      <c r="K43" s="10">
        <v>0.2</v>
      </c>
      <c r="L43" s="29">
        <v>0.55743339340425579</v>
      </c>
      <c r="M43" s="10">
        <v>0.74145995231129147</v>
      </c>
      <c r="N43" s="29">
        <v>0.76973577674211346</v>
      </c>
      <c r="O43" s="31">
        <f>Table2[[#This Row],[b/wnc,max]]*Table2[[#This Row],[hnc/h0]]</f>
        <v>0.42907642605401697</v>
      </c>
      <c r="P43" s="10">
        <v>9.3390941351625914E-2</v>
      </c>
      <c r="Q43" s="10">
        <v>2.6129629634798063E-3</v>
      </c>
      <c r="R43" s="10">
        <f>Table2[[#This Row],[h US 4]]*(w+Table2[[#This Row],[h US 4]]*m)</f>
        <v>1.9807029083183547E-2</v>
      </c>
      <c r="S43" s="10">
        <f>Table2[[#This Row],[h US 5]]*(w+Table2[[#This Row],[h US 5]]*m)</f>
        <v>1.1872447961742381E-2</v>
      </c>
      <c r="T43" s="10">
        <f>Table2[[#This Row],[Q ]]/Table2[[#This Row],[A0]]</f>
        <v>0.49158049274913235</v>
      </c>
      <c r="U43" s="10">
        <f>Table2[[#This Row],[A1]]*SQRT(2*g*(Table2[[#This Row],[h US 4]]-Table2[[#This Row],[h US 5]])+Table2[[#This Row],[u0]]^2/(2*g)*(1-Table2[[#This Row],[ζ]]))</f>
        <v>7.6472626958644808E-3</v>
      </c>
      <c r="V43" s="34">
        <f>Table2[[#This Row],[Q ]]/Table2[[#This Row],[Qc]]</f>
        <v>1.2732332474825592</v>
      </c>
    </row>
    <row r="44" spans="2:22" x14ac:dyDescent="0.25">
      <c r="B44" s="9">
        <v>1210</v>
      </c>
      <c r="C44" s="10">
        <v>15</v>
      </c>
      <c r="D44" s="10">
        <v>9.3566765578634963E-3</v>
      </c>
      <c r="E44" s="10">
        <v>1.8452380952380918E-2</v>
      </c>
      <c r="F44" s="11">
        <v>4.8900863513841084E-2</v>
      </c>
      <c r="G44" s="11">
        <v>4.7296952392808379E-2</v>
      </c>
      <c r="H44" s="11">
        <v>5.0473899897243539E-2</v>
      </c>
      <c r="I44" s="11">
        <v>6.0262499728647917E-2</v>
      </c>
      <c r="J44" s="11">
        <v>5.4226010484751536E-2</v>
      </c>
      <c r="K44" s="10">
        <v>0.23400000000000001</v>
      </c>
      <c r="L44" s="29">
        <v>0.65993698132458611</v>
      </c>
      <c r="M44" s="35"/>
      <c r="N44" s="29">
        <v>0.9186674992744559</v>
      </c>
      <c r="O44" s="31">
        <f>Table2[[#This Row],[b/wnc,max]]*Table2[[#This Row],[hnc/h0]]</f>
        <v>0.60626265631219078</v>
      </c>
      <c r="P44" s="10">
        <v>7.6531574843215433E-2</v>
      </c>
      <c r="Q44" s="10">
        <v>2.0828019795929888E-3</v>
      </c>
      <c r="R44" s="10">
        <f>Table2[[#This Row],[h US 4]]*(w+Table2[[#This Row],[h US 4]]*m)</f>
        <v>1.4621210203477541E-2</v>
      </c>
      <c r="S44" s="10">
        <f>Table2[[#This Row],[h US 5]]*(w+Table2[[#This Row],[h US 5]]*m)</f>
        <v>1.2441640361243804E-2</v>
      </c>
      <c r="T44" s="10">
        <f>Table2[[#This Row],[Q ]]/Table2[[#This Row],[A0]]</f>
        <v>0.63993858426562278</v>
      </c>
      <c r="U44" s="10">
        <f>Table2[[#This Row],[A1]]*SQRT(2*g*(Table2[[#This Row],[h US 4]]-Table2[[#This Row],[h US 5]])+Table2[[#This Row],[u0]]^2/(2*g)*(1-Table2[[#This Row],[ζ]]))</f>
        <v>4.6170247146261828E-3</v>
      </c>
      <c r="V44" s="36"/>
    </row>
    <row r="45" spans="2:22" x14ac:dyDescent="0.25">
      <c r="B45" s="12">
        <v>512</v>
      </c>
      <c r="C45" s="13">
        <v>7</v>
      </c>
      <c r="D45" s="13">
        <v>5.3823076923076914E-3</v>
      </c>
      <c r="E45" s="13"/>
      <c r="F45" s="26">
        <v>3.6286688984398671E-2</v>
      </c>
      <c r="G45" s="26">
        <v>3.6976920091717248E-2</v>
      </c>
      <c r="H45" s="26">
        <v>4.3124370811212842E-2</v>
      </c>
      <c r="I45" s="26">
        <v>5.7685350712308792E-2</v>
      </c>
      <c r="J45" s="26">
        <v>4.0124437313999062E-2</v>
      </c>
      <c r="K45" s="27">
        <v>0.17</v>
      </c>
      <c r="L45" s="29">
        <v>0.54996046171294677</v>
      </c>
      <c r="M45" s="10">
        <v>0.65743714357886984</v>
      </c>
      <c r="N45" s="29">
        <v>0.7827460561767221</v>
      </c>
      <c r="O45" s="31">
        <f>Table2[[#This Row],[b/wnc,max]]*Table2[[#This Row],[hnc/h0]]</f>
        <v>0.43047938245893824</v>
      </c>
      <c r="P45" s="10">
        <v>0.37346580151498832</v>
      </c>
      <c r="Q45" s="10">
        <v>6.2180374628344106E-3</v>
      </c>
      <c r="R45" s="10">
        <f>Table2[[#This Row],[h US 4]]*(w+Table2[[#This Row],[h US 4]]*m)</f>
        <v>1.3671217164979347E-2</v>
      </c>
      <c r="S45" s="10">
        <f>Table2[[#This Row],[h US 5]]*(w+Table2[[#This Row],[h US 5]]*m)</f>
        <v>7.970310041914697E-3</v>
      </c>
      <c r="T45" s="10">
        <f>Table2[[#This Row],[Q ]]/Table2[[#This Row],[A0]]</f>
        <v>0.39369630570240616</v>
      </c>
      <c r="U45" s="10">
        <f>Table2[[#This Row],[A1]]*SQRT(2*g*(Table2[[#This Row],[h US 4]]-Table2[[#This Row],[h US 5]])+Table2[[#This Row],[u0]]^2/(2*g)*(1-Table2[[#This Row],[ζ]]))</f>
        <v>4.7118940230136937E-3</v>
      </c>
      <c r="V45" s="34">
        <f>Table2[[#This Row],[Q ]]/Table2[[#This Row],[Qc]]</f>
        <v>1.1422811434254641</v>
      </c>
    </row>
    <row r="46" spans="2:22" x14ac:dyDescent="0.25">
      <c r="B46" s="12">
        <v>512</v>
      </c>
      <c r="C46" s="13">
        <v>4</v>
      </c>
      <c r="D46" s="13">
        <v>5.4007042253521138E-3</v>
      </c>
      <c r="E46" s="13"/>
      <c r="F46" s="26">
        <v>3.3412563858777597E-2</v>
      </c>
      <c r="G46" s="26">
        <v>6.0351389080111097E-2</v>
      </c>
      <c r="H46" s="26">
        <v>6.5435174415444303E-2</v>
      </c>
      <c r="I46" s="26">
        <v>8.3635376390999994E-2</v>
      </c>
      <c r="J46" s="26">
        <v>2.6029712857333302E-2</v>
      </c>
      <c r="K46" s="27">
        <v>0.1</v>
      </c>
      <c r="L46" s="29">
        <v>0.32330262328084347</v>
      </c>
      <c r="M46" s="10">
        <v>0.31296592766903258</v>
      </c>
      <c r="N46" s="29">
        <v>0.54040137661262311</v>
      </c>
      <c r="O46" s="31">
        <f>Table2[[#This Row],[b/wnc,max]]*Table2[[#This Row],[hnc/h0]]</f>
        <v>0.1747131826834401</v>
      </c>
      <c r="P46" s="10"/>
      <c r="Q46" s="10"/>
      <c r="R46" s="10">
        <f>Table2[[#This Row],[h US 4]]*(w+Table2[[#This Row],[h US 4]]*m)</f>
        <v>2.4561735340634112E-2</v>
      </c>
      <c r="S46" s="10">
        <f>Table2[[#This Row],[h US 5]]*(w+Table2[[#This Row],[h US 5]]*m)</f>
        <v>4.3691939942888097E-3</v>
      </c>
      <c r="T46" s="10">
        <f>Table2[[#This Row],[Q ]]/Table2[[#This Row],[A0]]</f>
        <v>0.21988284420675153</v>
      </c>
      <c r="U46" s="10">
        <f>Table2[[#This Row],[A1]]*SQRT(2*g*(Table2[[#This Row],[h US 4]]-Table2[[#This Row],[h US 5]])+Table2[[#This Row],[u0]]^2/(2*g)*(1-Table2[[#This Row],[ζ]]))</f>
        <v>4.6500364323954048E-3</v>
      </c>
      <c r="V46" s="34">
        <f>Table2[[#This Row],[Q ]]/Table2[[#This Row],[Qc]]</f>
        <v>1.1614326691565322</v>
      </c>
    </row>
    <row r="47" spans="2:22" x14ac:dyDescent="0.25">
      <c r="B47" s="12">
        <v>512</v>
      </c>
      <c r="C47" s="13">
        <v>6</v>
      </c>
      <c r="D47" s="13">
        <v>5.4084745762711843E-3</v>
      </c>
      <c r="E47" s="13"/>
      <c r="F47" s="26">
        <v>3.7118528735900262E-2</v>
      </c>
      <c r="G47" s="26">
        <v>3.6752882654426611E-2</v>
      </c>
      <c r="H47" s="26">
        <v>4.3039127406967366E-2</v>
      </c>
      <c r="I47" s="26">
        <v>5.0005849953932889E-2</v>
      </c>
      <c r="J47" s="26">
        <v>4.1333291047854104E-2</v>
      </c>
      <c r="K47" s="27">
        <v>0.2</v>
      </c>
      <c r="L47" s="29">
        <v>0.64643346529912327</v>
      </c>
      <c r="M47" s="10">
        <v>0.87144607348343506</v>
      </c>
      <c r="N47" s="29">
        <v>0.90419675218595019</v>
      </c>
      <c r="O47" s="31">
        <f>Table2[[#This Row],[b/wnc,max]]*Table2[[#This Row],[hnc/h0]]</f>
        <v>0.5845030398277764</v>
      </c>
      <c r="P47" s="10">
        <v>0.20462563352712779</v>
      </c>
      <c r="Q47" s="10">
        <v>3.4261330640501849E-3</v>
      </c>
      <c r="R47" s="10">
        <f>Table2[[#This Row],[h US 4]]*(w+Table2[[#This Row],[h US 4]]*m)</f>
        <v>1.1012427166572181E-2</v>
      </c>
      <c r="S47" s="10">
        <f>Table2[[#This Row],[h US 5]]*(w+Table2[[#This Row],[h US 5]]*m)</f>
        <v>8.3195720267825856E-3</v>
      </c>
      <c r="T47" s="10">
        <f>Table2[[#This Row],[Q ]]/Table2[[#This Row],[A0]]</f>
        <v>0.4911246625710643</v>
      </c>
      <c r="U47" s="10">
        <f>Table2[[#This Row],[A1]]*SQRT(2*g*(Table2[[#This Row],[h US 4]]-Table2[[#This Row],[h US 5]])+Table2[[#This Row],[u0]]^2/(2*g)*(1-Table2[[#This Row],[ζ]]))</f>
        <v>3.5290457753694628E-3</v>
      </c>
      <c r="V47" s="34">
        <f>Table2[[#This Row],[Q ]]/Table2[[#This Row],[Qc]]</f>
        <v>1.5325600517904761</v>
      </c>
    </row>
    <row r="48" spans="2:22" x14ac:dyDescent="0.25">
      <c r="B48" s="12">
        <v>510</v>
      </c>
      <c r="C48" s="13">
        <v>3</v>
      </c>
      <c r="D48" s="13">
        <v>5.4327868852459054E-3</v>
      </c>
      <c r="E48" s="13"/>
      <c r="F48" s="26">
        <v>3.5152642955035673E-2</v>
      </c>
      <c r="G48" s="26">
        <v>3.5218672333098555E-2</v>
      </c>
      <c r="H48" s="26">
        <v>4.0640689404503175E-2</v>
      </c>
      <c r="I48" s="26">
        <v>4.1006052189666797E-2</v>
      </c>
      <c r="J48" s="26">
        <v>4.1516843873856409E-2</v>
      </c>
      <c r="K48" s="27">
        <v>0.23400000000000001</v>
      </c>
      <c r="L48" s="29">
        <v>0.75569899337899893</v>
      </c>
      <c r="M48" s="35"/>
      <c r="N48" s="29">
        <v>1.104053339323102</v>
      </c>
      <c r="O48" s="31">
        <f>Table2[[#This Row],[b/wnc,max]]*Table2[[#This Row],[hnc/h0]]</f>
        <v>0.83433199716319051</v>
      </c>
      <c r="P48" s="10">
        <v>0.25385346533702358</v>
      </c>
      <c r="Q48" s="10">
        <v>4.2724748241405701E-3</v>
      </c>
      <c r="R48" s="10">
        <f>Table2[[#This Row],[h US 4]]*(w+Table2[[#This Row],[h US 4]]*m)</f>
        <v>8.224396046857034E-3</v>
      </c>
      <c r="S48" s="10">
        <f>Table2[[#This Row],[h US 5]]*(w+Table2[[#This Row],[h US 5]]*m)</f>
        <v>8.3731623420007419E-3</v>
      </c>
      <c r="T48" s="10">
        <f>Table2[[#This Row],[Q ]]/Table2[[#This Row],[A0]]</f>
        <v>0.66056970679592375</v>
      </c>
      <c r="U48" s="10">
        <f>Table2[[#This Row],[A1]]*SQRT(2*g*(Table2[[#This Row],[h US 4]]-Table2[[#This Row],[h US 5]])+Table2[[#This Row],[u0]]^2/(2*g)*(1-Table2[[#This Row],[ζ]]))</f>
        <v>6.7883064071366231E-4</v>
      </c>
      <c r="V48" s="36"/>
    </row>
    <row r="49" spans="2:22" x14ac:dyDescent="0.25">
      <c r="B49" s="12">
        <v>512</v>
      </c>
      <c r="C49" s="13">
        <v>3</v>
      </c>
      <c r="D49" s="13">
        <v>5.4359999999999973E-3</v>
      </c>
      <c r="E49" s="13"/>
      <c r="F49" s="26">
        <v>3.9488366634977554E-2</v>
      </c>
      <c r="G49" s="26">
        <v>3.7914275190243908E-2</v>
      </c>
      <c r="H49" s="26">
        <v>4.5766538784027276E-2</v>
      </c>
      <c r="I49" s="26">
        <v>5.9980614176183444E-2</v>
      </c>
      <c r="J49" s="26">
        <v>4.0890890464461628E-2</v>
      </c>
      <c r="K49" s="27">
        <v>0.15</v>
      </c>
      <c r="L49" s="29">
        <v>0.48436926517434487</v>
      </c>
      <c r="M49" s="10">
        <v>0.61503980033806116</v>
      </c>
      <c r="N49" s="29">
        <v>0.75491891208375728</v>
      </c>
      <c r="O49" s="31">
        <f>Table2[[#This Row],[b/wnc,max]]*Table2[[#This Row],[hnc/h0]]</f>
        <v>0.36565951871222535</v>
      </c>
      <c r="P49" s="10">
        <v>0.46248193934121318</v>
      </c>
      <c r="Q49" s="10">
        <v>7.7891070654257967E-3</v>
      </c>
      <c r="R49" s="10">
        <f>Table2[[#This Row],[h US 4]]*(w+Table2[[#This Row],[h US 4]]*m)</f>
        <v>1.4515887892435313E-2</v>
      </c>
      <c r="S49" s="10">
        <f>Table2[[#This Row],[h US 5]]*(w+Table2[[#This Row],[h US 5]]*m)</f>
        <v>8.191013046320729E-3</v>
      </c>
      <c r="T49" s="10">
        <f>Table2[[#This Row],[Q ]]/Table2[[#This Row],[A0]]</f>
        <v>0.37448622091059741</v>
      </c>
      <c r="U49" s="10">
        <f>Table2[[#This Row],[A1]]*SQRT(2*g*(Table2[[#This Row],[h US 4]]-Table2[[#This Row],[h US 5]])+Table2[[#This Row],[u0]]^2/(2*g)*(1-Table2[[#This Row],[ζ]]))</f>
        <v>5.0385214531811712E-3</v>
      </c>
      <c r="V49" s="37">
        <f>Table2[[#This Row],[Q ]]/Table2[[#This Row],[Qc]]</f>
        <v>1.0788879337941233</v>
      </c>
    </row>
    <row r="50" spans="2:22" x14ac:dyDescent="0.25">
      <c r="B50" s="12">
        <v>512</v>
      </c>
      <c r="C50" s="13">
        <v>2</v>
      </c>
      <c r="D50" s="13">
        <v>5.4535714285714292E-3</v>
      </c>
      <c r="E50" s="13"/>
      <c r="F50" s="26">
        <v>3.8815244717938999E-2</v>
      </c>
      <c r="G50" s="26">
        <v>3.6719036637194571E-2</v>
      </c>
      <c r="H50" s="26">
        <v>4.144858354757669E-2</v>
      </c>
      <c r="I50" s="26">
        <v>4.4895020995651097E-2</v>
      </c>
      <c r="J50" s="26">
        <v>4.1747334326690935E-2</v>
      </c>
      <c r="K50" s="27">
        <v>0.23400000000000001</v>
      </c>
      <c r="L50" s="29">
        <v>0.75516280652390411</v>
      </c>
      <c r="M50" s="35"/>
      <c r="N50" s="29">
        <v>1.0095157800961365</v>
      </c>
      <c r="O50" s="31">
        <f>Table2[[#This Row],[b/wnc,max]]*Table2[[#This Row],[hnc/h0]]</f>
        <v>0.76234876972756682</v>
      </c>
      <c r="P50" s="10">
        <v>0.18211021230510416</v>
      </c>
      <c r="Q50" s="10">
        <v>3.0785323693411108E-3</v>
      </c>
      <c r="R50" s="10">
        <f>Table2[[#This Row],[h US 4]]*(w+Table2[[#This Row],[h US 4]]*m)</f>
        <v>9.385739838976009E-3</v>
      </c>
      <c r="S50" s="10">
        <f>Table2[[#This Row],[h US 5]]*(w+Table2[[#This Row],[h US 5]]*m)</f>
        <v>8.4406650709191351E-3</v>
      </c>
      <c r="T50" s="10">
        <f>Table2[[#This Row],[Q ]]/Table2[[#This Row],[A0]]</f>
        <v>0.58104864636503895</v>
      </c>
      <c r="U50" s="10">
        <f>Table2[[#This Row],[A1]]*SQRT(2*g*(Table2[[#This Row],[h US 4]]-Table2[[#This Row],[h US 5]])+Table2[[#This Row],[u0]]^2/(2*g)*(1-Table2[[#This Row],[ζ]]))</f>
        <v>2.324353144368246E-3</v>
      </c>
      <c r="V50" s="36"/>
    </row>
    <row r="51" spans="2:22" x14ac:dyDescent="0.25">
      <c r="B51" s="12">
        <v>510</v>
      </c>
      <c r="C51" s="13">
        <v>4</v>
      </c>
      <c r="D51" s="13">
        <v>5.4593749999999972E-3</v>
      </c>
      <c r="E51" s="13"/>
      <c r="F51" s="26">
        <v>3.4279686923052236E-2</v>
      </c>
      <c r="G51" s="26">
        <v>3.5126871937568541E-2</v>
      </c>
      <c r="H51" s="26">
        <v>4.5093674229808409E-2</v>
      </c>
      <c r="I51" s="26">
        <v>6.0735419958763803E-2</v>
      </c>
      <c r="J51" s="26">
        <v>3.9150000759661872E-2</v>
      </c>
      <c r="K51" s="27">
        <v>0.15</v>
      </c>
      <c r="L51" s="29">
        <v>0.48398283680956067</v>
      </c>
      <c r="M51" s="10">
        <v>0.60265458092088442</v>
      </c>
      <c r="N51" s="29">
        <v>0.74645101088921084</v>
      </c>
      <c r="O51" s="31">
        <f>Table2[[#This Row],[b/wnc,max]]*Table2[[#This Row],[hnc/h0]]</f>
        <v>0.36126947778952451</v>
      </c>
      <c r="P51" s="10">
        <v>0.40509694471690677</v>
      </c>
      <c r="Q51" s="10">
        <v>6.8564690719064153E-3</v>
      </c>
      <c r="R51" s="10">
        <f>Table2[[#This Row],[h US 4]]*(w+Table2[[#This Row],[h US 4]]*m)</f>
        <v>1.4798689436517508E-2</v>
      </c>
      <c r="S51" s="10">
        <f>Table2[[#This Row],[h US 5]]*(w+Table2[[#This Row],[h US 5]]*m)</f>
        <v>7.6934226987420157E-3</v>
      </c>
      <c r="T51" s="10">
        <f>Table2[[#This Row],[Q ]]/Table2[[#This Row],[A0]]</f>
        <v>0.36890935669805641</v>
      </c>
      <c r="U51" s="10">
        <f>Table2[[#This Row],[A1]]*SQRT(2*g*(Table2[[#This Row],[h US 4]]-Table2[[#This Row],[h US 5]])+Table2[[#This Row],[u0]]^2/(2*g)*(1-Table2[[#This Row],[ζ]]))</f>
        <v>5.0310071078841787E-3</v>
      </c>
      <c r="V51" s="34">
        <f>Table2[[#This Row],[Q ]]/Table2[[#This Row],[Qc]]</f>
        <v>1.0851455549415774</v>
      </c>
    </row>
    <row r="52" spans="2:22" x14ac:dyDescent="0.25">
      <c r="B52" s="12">
        <v>510</v>
      </c>
      <c r="C52" s="13">
        <v>5</v>
      </c>
      <c r="D52" s="13">
        <v>5.4703125000000021E-3</v>
      </c>
      <c r="E52" s="13"/>
      <c r="F52" s="13">
        <v>3.874918594283501E-2</v>
      </c>
      <c r="G52" s="13">
        <v>7.1064881819363601E-2</v>
      </c>
      <c r="H52" s="13">
        <v>7.8015466119467955E-2</v>
      </c>
      <c r="I52" s="26">
        <f>H52+0.0097/2</f>
        <v>8.2865466119467962E-2</v>
      </c>
      <c r="J52" s="13">
        <v>3.4439457955850884E-2</v>
      </c>
      <c r="K52" s="27">
        <v>0.1</v>
      </c>
      <c r="L52" s="29">
        <v>0.32253482204782791</v>
      </c>
      <c r="M52" s="10">
        <v>0.32308344145633966</v>
      </c>
      <c r="N52" s="29">
        <v>0.54741732970042278</v>
      </c>
      <c r="O52" s="31">
        <f>Table2[[#This Row],[b/wnc,max]]*Table2[[#This Row],[hnc/h0]]</f>
        <v>0.17656115102082301</v>
      </c>
      <c r="P52" s="10">
        <v>1.0581090060936416</v>
      </c>
      <c r="Q52" s="10">
        <v>1.7950329605851169E-2</v>
      </c>
      <c r="R52" s="10">
        <f>Table2[[#This Row],[h US 4]]*(w+Table2[[#This Row],[h US 4]]*m)</f>
        <v>2.419628115418556E-2</v>
      </c>
      <c r="S52" s="10">
        <f>Table2[[#This Row],[h US 5]]*(w+Table2[[#This Row],[h US 5]]*m)</f>
        <v>6.4134076095678271E-3</v>
      </c>
      <c r="T52" s="10">
        <f>Table2[[#This Row],[Q ]]/Table2[[#This Row],[A0]]</f>
        <v>0.22608071319479306</v>
      </c>
      <c r="U52" s="10">
        <f>Table2[[#This Row],[A1]]*SQRT(2*g*(Table2[[#This Row],[h US 4]]-Table2[[#This Row],[h US 5]])+Table2[[#This Row],[u0]]^2/(2*g)*(1-Table2[[#This Row],[ζ]]))</f>
        <v>6.2509075989040982E-3</v>
      </c>
      <c r="V52" s="34">
        <f>Table2[[#This Row],[Q ]]/Table2[[#This Row],[Qc]]</f>
        <v>0.87512291830374378</v>
      </c>
    </row>
    <row r="53" spans="2:22" x14ac:dyDescent="0.25">
      <c r="B53" s="12">
        <v>512</v>
      </c>
      <c r="C53" s="13">
        <v>5</v>
      </c>
      <c r="D53" s="13">
        <v>5.4905797101449244E-3</v>
      </c>
      <c r="E53" s="13"/>
      <c r="F53" s="26">
        <v>3.7306997194143071E-2</v>
      </c>
      <c r="G53" s="26">
        <v>3.7183800033431871E-2</v>
      </c>
      <c r="H53" s="26">
        <v>4.2588799386887158E-2</v>
      </c>
      <c r="I53" s="26">
        <v>4.8803351048915679E-2</v>
      </c>
      <c r="J53" s="26">
        <v>4.2263613639469698E-2</v>
      </c>
      <c r="K53" s="27">
        <v>0.22</v>
      </c>
      <c r="L53" s="29">
        <v>0.70908629735342721</v>
      </c>
      <c r="M53" s="10">
        <v>0.92692074279352543</v>
      </c>
      <c r="N53" s="29">
        <v>0.93047149090396586</v>
      </c>
      <c r="O53" s="31">
        <f>Table2[[#This Row],[b/wnc,max]]*Table2[[#This Row],[hnc/h0]]</f>
        <v>0.65978458427801623</v>
      </c>
      <c r="P53" s="10">
        <v>0.19689263088117714</v>
      </c>
      <c r="Q53" s="10">
        <v>3.354417376041619E-3</v>
      </c>
      <c r="R53" s="10">
        <f>Table2[[#This Row],[h US 4]]*(w+Table2[[#This Row],[h US 4]]*m)</f>
        <v>1.061942760859484E-2</v>
      </c>
      <c r="S53" s="10">
        <f>Table2[[#This Row],[h US 5]]*(w+Table2[[#This Row],[h US 5]]*m)</f>
        <v>8.5927076312888612E-3</v>
      </c>
      <c r="T53" s="10">
        <f>Table2[[#This Row],[Q ]]/Table2[[#This Row],[A0]]</f>
        <v>0.5170316058938168</v>
      </c>
      <c r="U53" s="10">
        <f>Table2[[#This Row],[A1]]*SQRT(2*g*(Table2[[#This Row],[h US 4]]-Table2[[#This Row],[h US 5]])+Table2[[#This Row],[u0]]^2/(2*g)*(1-Table2[[#This Row],[ζ]]))</f>
        <v>3.2064958452481776E-3</v>
      </c>
      <c r="V53" s="34">
        <f>Table2[[#This Row],[Q ]]/Table2[[#This Row],[Qc]]</f>
        <v>1.7123302118983292</v>
      </c>
    </row>
    <row r="54" spans="2:22" x14ac:dyDescent="0.25">
      <c r="B54" s="12">
        <v>510</v>
      </c>
      <c r="C54" s="13">
        <v>7</v>
      </c>
      <c r="D54" s="13">
        <v>5.6147540983606569E-3</v>
      </c>
      <c r="E54" s="13"/>
      <c r="F54" s="13">
        <v>3.489188917244912E-2</v>
      </c>
      <c r="G54" s="13">
        <v>3.5606098704600908E-2</v>
      </c>
      <c r="H54" s="13">
        <v>4.0704323497290425E-2</v>
      </c>
      <c r="I54" s="26">
        <v>5.1066688849442356E-2</v>
      </c>
      <c r="J54" s="13">
        <v>4.0999447131509846E-2</v>
      </c>
      <c r="K54" s="27">
        <v>0.2</v>
      </c>
      <c r="L54" s="29">
        <v>0.64190632757233279</v>
      </c>
      <c r="M54" s="10">
        <v>0.8689007765358665</v>
      </c>
      <c r="N54" s="29">
        <v>0.89500694118541146</v>
      </c>
      <c r="O54" s="31">
        <f>Table2[[#This Row],[b/wnc,max]]*Table2[[#This Row],[hnc/h0]]</f>
        <v>0.5745106187680743</v>
      </c>
      <c r="P54" s="10">
        <v>0.15692758729829753</v>
      </c>
      <c r="Q54" s="10">
        <v>2.7426211119301585E-3</v>
      </c>
      <c r="R54" s="10">
        <f>Table2[[#This Row],[h US 4]]*(w+Table2[[#This Row],[h US 4]]*m)</f>
        <v>1.1364373878370051E-2</v>
      </c>
      <c r="S54" s="10">
        <f>Table2[[#This Row],[h US 5]]*(w+Table2[[#This Row],[h US 5]]*m)</f>
        <v>8.2224798110860156E-3</v>
      </c>
      <c r="T54" s="10">
        <f>Table2[[#This Row],[Q ]]/Table2[[#This Row],[A0]]</f>
        <v>0.4940662951125962</v>
      </c>
      <c r="U54" s="10">
        <f>Table2[[#This Row],[A1]]*SQRT(2*g*(Table2[[#This Row],[h US 4]]-Table2[[#This Row],[h US 5]])+Table2[[#This Row],[u0]]^2/(2*g)*(1-Table2[[#This Row],[ζ]]))</f>
        <v>3.7501029162111802E-3</v>
      </c>
      <c r="V54" s="34">
        <f>Table2[[#This Row],[Q ]]/Table2[[#This Row],[Qc]]</f>
        <v>1.4972266691905562</v>
      </c>
    </row>
    <row r="55" spans="2:22" x14ac:dyDescent="0.25">
      <c r="B55" s="12">
        <v>510</v>
      </c>
      <c r="C55" s="13">
        <v>6</v>
      </c>
      <c r="D55" s="13">
        <v>5.6230769230769225E-3</v>
      </c>
      <c r="E55" s="13"/>
      <c r="F55" s="13">
        <v>3.4333875514839171E-2</v>
      </c>
      <c r="G55" s="13">
        <v>3.5068007731594568E-2</v>
      </c>
      <c r="H55" s="13">
        <v>4.0216967353015477E-2</v>
      </c>
      <c r="I55" s="26">
        <v>4.4488476457595003E-2</v>
      </c>
      <c r="J55" s="13">
        <v>4.1405834155636853E-2</v>
      </c>
      <c r="K55" s="27">
        <v>0.22</v>
      </c>
      <c r="L55" s="29">
        <v>0.70589750017502384</v>
      </c>
      <c r="M55" s="35"/>
      <c r="N55" s="29">
        <v>1.0277899207425347</v>
      </c>
      <c r="O55" s="31">
        <f>Table2[[#This Row],[b/wnc,max]]*Table2[[#This Row],[hnc/h0]]</f>
        <v>0.72551433575724111</v>
      </c>
      <c r="P55" s="10">
        <v>0.15460030145398401</v>
      </c>
      <c r="Q55" s="10">
        <v>2.7064849600389558E-3</v>
      </c>
      <c r="R55" s="10">
        <f>Table2[[#This Row],[h US 4]]*(w+Table2[[#This Row],[h US 4]]*m)</f>
        <v>9.261243121639829E-3</v>
      </c>
      <c r="S55" s="10">
        <f>Table2[[#This Row],[h US 5]]*(w+Table2[[#This Row],[h US 5]]*m)</f>
        <v>8.3407342149351572E-3</v>
      </c>
      <c r="T55" s="10">
        <f>Table2[[#This Row],[Q ]]/Table2[[#This Row],[A0]]</f>
        <v>0.60716221885353983</v>
      </c>
      <c r="U55" s="10">
        <f>Table2[[#This Row],[A1]]*SQRT(2*g*(Table2[[#This Row],[h US 4]]-Table2[[#This Row],[h US 5]])+Table2[[#This Row],[u0]]^2/(2*g)*(1-Table2[[#This Row],[ζ]]))</f>
        <v>2.3049103409906674E-3</v>
      </c>
      <c r="V55" s="36"/>
    </row>
    <row r="56" spans="2:22" x14ac:dyDescent="0.25">
      <c r="B56" s="12">
        <v>512</v>
      </c>
      <c r="C56" s="13">
        <v>10</v>
      </c>
      <c r="D56" s="13">
        <v>6.1771739130434778E-3</v>
      </c>
      <c r="E56" s="13"/>
      <c r="F56" s="26">
        <v>3.820821938340721E-2</v>
      </c>
      <c r="G56" s="26">
        <v>3.9016782096422037E-2</v>
      </c>
      <c r="H56" s="26">
        <v>4.3128544228884021E-2</v>
      </c>
      <c r="I56" s="26">
        <v>5.0884861263495985E-2</v>
      </c>
      <c r="J56" s="26">
        <v>4.4500098653436217E-2</v>
      </c>
      <c r="K56" s="27">
        <v>0.22</v>
      </c>
      <c r="L56" s="29">
        <v>0.69286712831978592</v>
      </c>
      <c r="M56" s="10">
        <v>0.96252239091489045</v>
      </c>
      <c r="N56" s="29">
        <v>0.92445546426643399</v>
      </c>
      <c r="O56" s="31">
        <f>Table2[[#This Row],[b/wnc,max]]*Table2[[#This Row],[hnc/h0]]</f>
        <v>0.64052480278581858</v>
      </c>
      <c r="P56" s="10">
        <v>0.15185472407181616</v>
      </c>
      <c r="Q56" s="10">
        <v>2.9482391598607202E-3</v>
      </c>
      <c r="R56" s="10">
        <f>Table2[[#This Row],[h US 4]]*(w+Table2[[#This Row],[h US 4]]*m)</f>
        <v>1.1303701181147848E-2</v>
      </c>
      <c r="S56" s="10">
        <f>Table2[[#This Row],[h US 5]]*(w+Table2[[#This Row],[h US 5]]*m)</f>
        <v>9.2647921781690273E-3</v>
      </c>
      <c r="T56" s="10">
        <f>Table2[[#This Row],[Q ]]/Table2[[#This Row],[A0]]</f>
        <v>0.54647356773245925</v>
      </c>
      <c r="U56" s="10">
        <f>Table2[[#This Row],[A1]]*SQRT(2*g*(Table2[[#This Row],[h US 4]]-Table2[[#This Row],[h US 5]])+Table2[[#This Row],[u0]]^2/(2*g)*(1-Table2[[#This Row],[ζ]]))</f>
        <v>3.4439432959517584E-3</v>
      </c>
      <c r="V56" s="34">
        <f>Table2[[#This Row],[Q ]]/Table2[[#This Row],[Qc]]</f>
        <v>1.7936340358171814</v>
      </c>
    </row>
    <row r="57" spans="2:22" x14ac:dyDescent="0.25">
      <c r="B57" s="12">
        <v>512</v>
      </c>
      <c r="C57" s="13">
        <v>8</v>
      </c>
      <c r="D57" s="13">
        <v>6.1785123966942102E-3</v>
      </c>
      <c r="E57" s="13"/>
      <c r="F57" s="26">
        <v>3.8187527441114692E-2</v>
      </c>
      <c r="G57" s="26">
        <v>3.9195338296924738E-2</v>
      </c>
      <c r="H57" s="26">
        <v>4.6309426139134129E-2</v>
      </c>
      <c r="I57" s="26">
        <v>6.1212225638071875E-2</v>
      </c>
      <c r="J57" s="26">
        <v>4.2230347536885308E-2</v>
      </c>
      <c r="K57" s="27">
        <v>0.17</v>
      </c>
      <c r="L57" s="29">
        <v>0.53537345385325252</v>
      </c>
      <c r="M57" s="10">
        <v>0.67159971218741576</v>
      </c>
      <c r="N57" s="29">
        <v>0.76853874290251334</v>
      </c>
      <c r="O57" s="31">
        <f>Table2[[#This Row],[b/wnc,max]]*Table2[[#This Row],[hnc/h0]]</f>
        <v>0.41145524120775545</v>
      </c>
      <c r="P57" s="10">
        <v>0.26992729745702554</v>
      </c>
      <c r="Q57" s="10">
        <v>5.2418163663458806E-3</v>
      </c>
      <c r="R57" s="10">
        <f>Table2[[#This Row],[h US 4]]*(w+Table2[[#This Row],[h US 4]]*m)</f>
        <v>1.4978615896704125E-2</v>
      </c>
      <c r="S57" s="10">
        <f>Table2[[#This Row],[h US 5]]*(w+Table2[[#This Row],[h US 5]]*m)</f>
        <v>8.5828757777849617E-3</v>
      </c>
      <c r="T57" s="10">
        <f>Table2[[#This Row],[Q ]]/Table2[[#This Row],[A0]]</f>
        <v>0.41248887342479501</v>
      </c>
      <c r="U57" s="10">
        <f>Table2[[#This Row],[A1]]*SQRT(2*g*(Table2[[#This Row],[h US 4]]-Table2[[#This Row],[h US 5]])+Table2[[#This Row],[u0]]^2/(2*g)*(1-Table2[[#This Row],[ζ]]))</f>
        <v>5.2821707062178803E-3</v>
      </c>
      <c r="V57" s="34">
        <f>Table2[[#This Row],[Q ]]/Table2[[#This Row],[Qc]]</f>
        <v>1.1696919202973137</v>
      </c>
    </row>
    <row r="58" spans="2:22" x14ac:dyDescent="0.25">
      <c r="B58" s="12">
        <v>512</v>
      </c>
      <c r="C58" s="13">
        <v>9</v>
      </c>
      <c r="D58" s="13">
        <v>6.1862903225806416E-3</v>
      </c>
      <c r="E58" s="13"/>
      <c r="F58" s="26">
        <v>3.8111327650794752E-2</v>
      </c>
      <c r="G58" s="26">
        <v>3.8935346184960161E-2</v>
      </c>
      <c r="H58" s="26">
        <v>4.3349258979825861E-2</v>
      </c>
      <c r="I58" s="26">
        <v>5.2706808898388212E-2</v>
      </c>
      <c r="J58" s="26">
        <v>4.3471558779391926E-2</v>
      </c>
      <c r="K58" s="27">
        <v>0.2</v>
      </c>
      <c r="L58" s="29">
        <v>0.62968796762456436</v>
      </c>
      <c r="M58" s="10">
        <v>0.90070249793941093</v>
      </c>
      <c r="N58" s="29">
        <v>0.89291005279525104</v>
      </c>
      <c r="O58" s="31">
        <f>Table2[[#This Row],[b/wnc,max]]*Table2[[#This Row],[hnc/h0]]</f>
        <v>0.56225471641618407</v>
      </c>
      <c r="P58" s="10">
        <v>0.13539426527469545</v>
      </c>
      <c r="Q58" s="10">
        <v>2.6328074636425211E-3</v>
      </c>
      <c r="R58" s="10">
        <f>Table2[[#This Row],[h US 4]]*(w+Table2[[#This Row],[h US 4]]*m)</f>
        <v>1.1918180215346595E-2</v>
      </c>
      <c r="S58" s="10">
        <f>Table2[[#This Row],[h US 5]]*(w+Table2[[#This Row],[h US 5]]*m)</f>
        <v>8.9529926869959635E-3</v>
      </c>
      <c r="T58" s="10">
        <f>Table2[[#This Row],[Q ]]/Table2[[#This Row],[A0]]</f>
        <v>0.51906333104568991</v>
      </c>
      <c r="U58" s="10">
        <f>Table2[[#This Row],[A1]]*SQRT(2*g*(Table2[[#This Row],[h US 4]]-Table2[[#This Row],[h US 5]])+Table2[[#This Row],[u0]]^2/(2*g)*(1-Table2[[#This Row],[ζ]]))</f>
        <v>3.933906571407326E-3</v>
      </c>
      <c r="V58" s="34">
        <f>Table2[[#This Row],[Q ]]/Table2[[#This Row],[Qc]]</f>
        <v>1.5725564932182774</v>
      </c>
    </row>
    <row r="59" spans="2:22" x14ac:dyDescent="0.25">
      <c r="B59" s="12">
        <v>512</v>
      </c>
      <c r="C59" s="13">
        <v>13</v>
      </c>
      <c r="D59" s="13">
        <v>6.1931034482758645E-3</v>
      </c>
      <c r="E59" s="13"/>
      <c r="F59" s="26">
        <v>4.6998287455806309E-2</v>
      </c>
      <c r="G59" s="26">
        <v>7.3902266825410873E-2</v>
      </c>
      <c r="H59" s="26">
        <v>8.1425063042520979E-2</v>
      </c>
      <c r="I59" s="26">
        <f>H59+0.009746865/2</f>
        <v>8.6298495542520975E-2</v>
      </c>
      <c r="J59" s="26">
        <v>2.9953364438795496E-2</v>
      </c>
      <c r="K59" s="27">
        <v>0.1</v>
      </c>
      <c r="L59" s="29">
        <v>0.31477256037204449</v>
      </c>
      <c r="M59" s="10">
        <v>0.33643434017049634</v>
      </c>
      <c r="N59" s="29">
        <v>0.54553234553734042</v>
      </c>
      <c r="O59" s="31">
        <f>Table2[[#This Row],[b/wnc,max]]*Table2[[#This Row],[hnc/h0]]</f>
        <v>0.17171861317055553</v>
      </c>
      <c r="P59" s="10"/>
      <c r="Q59" s="10"/>
      <c r="R59" s="10">
        <f>Table2[[#This Row],[h US 4]]*(w+Table2[[#This Row],[h US 4]]*m)</f>
        <v>2.5845810338345498E-2</v>
      </c>
      <c r="S59" s="10">
        <f>Table2[[#This Row],[h US 5]]*(w+Table2[[#This Row],[h US 5]]*m)</f>
        <v>5.2844965195025448E-3</v>
      </c>
      <c r="T59" s="10">
        <f>Table2[[#This Row],[Q ]]/Table2[[#This Row],[A0]]</f>
        <v>0.23961730613985122</v>
      </c>
      <c r="U59" s="10">
        <f>Table2[[#This Row],[A1]]*SQRT(2*g*(Table2[[#This Row],[h US 4]]-Table2[[#This Row],[h US 5]])+Table2[[#This Row],[u0]]^2/(2*g)*(1-Table2[[#This Row],[ζ]]))</f>
        <v>5.5635933702924724E-3</v>
      </c>
      <c r="V59" s="34">
        <f>Table2[[#This Row],[Q ]]/Table2[[#This Row],[Qc]]</f>
        <v>1.1131481105978633</v>
      </c>
    </row>
    <row r="60" spans="2:22" x14ac:dyDescent="0.25">
      <c r="B60" s="12">
        <v>512</v>
      </c>
      <c r="C60" s="13">
        <v>12</v>
      </c>
      <c r="D60" s="13">
        <v>6.2197530864197522E-3</v>
      </c>
      <c r="E60" s="13"/>
      <c r="F60" s="26">
        <v>3.8237636448726818E-2</v>
      </c>
      <c r="G60" s="26">
        <v>3.8973940152600951E-2</v>
      </c>
      <c r="H60" s="26">
        <v>4.9603311398619607E-2</v>
      </c>
      <c r="I60" s="26">
        <v>6.4225124118398536E-2</v>
      </c>
      <c r="J60" s="26">
        <v>4.1105385465142648E-2</v>
      </c>
      <c r="K60" s="27">
        <v>0.15</v>
      </c>
      <c r="L60" s="29">
        <v>0.47174024635416123</v>
      </c>
      <c r="M60" s="10">
        <v>0.61472809120522565</v>
      </c>
      <c r="N60" s="29">
        <v>0.73401047062736924</v>
      </c>
      <c r="O60" s="31">
        <f>Table2[[#This Row],[b/wnc,max]]*Table2[[#This Row],[hnc/h0]]</f>
        <v>0.34626228024028899</v>
      </c>
      <c r="P60" s="10">
        <v>0.29366493148692968</v>
      </c>
      <c r="Q60" s="10">
        <v>5.743399311824729E-3</v>
      </c>
      <c r="R60" s="10">
        <f>Table2[[#This Row],[h US 4]]*(w+Table2[[#This Row],[h US 4]]*m)</f>
        <v>1.6138522335019598E-2</v>
      </c>
      <c r="S60" s="10">
        <f>Table2[[#This Row],[h US 5]]*(w+Table2[[#This Row],[h US 5]]*m)</f>
        <v>8.2532372450693867E-3</v>
      </c>
      <c r="T60" s="10">
        <f>Table2[[#This Row],[Q ]]/Table2[[#This Row],[A0]]</f>
        <v>0.38539792908569281</v>
      </c>
      <c r="U60" s="10">
        <f>Table2[[#This Row],[A1]]*SQRT(2*g*(Table2[[#This Row],[h US 4]]-Table2[[#This Row],[h US 5]])+Table2[[#This Row],[u0]]^2/(2*g)*(1-Table2[[#This Row],[ζ]]))</f>
        <v>5.591265339116489E-3</v>
      </c>
      <c r="V60" s="34">
        <f>Table2[[#This Row],[Q ]]/Table2[[#This Row],[Qc]]</f>
        <v>1.1124052802335034</v>
      </c>
    </row>
    <row r="61" spans="2:22" x14ac:dyDescent="0.25">
      <c r="B61" s="12">
        <v>512</v>
      </c>
      <c r="C61" s="13">
        <v>11</v>
      </c>
      <c r="D61" s="13">
        <v>6.2323232323232289E-3</v>
      </c>
      <c r="E61" s="13"/>
      <c r="F61" s="26">
        <v>3.8030432184002087E-2</v>
      </c>
      <c r="G61" s="26">
        <v>3.8919918953902989E-2</v>
      </c>
      <c r="H61" s="26">
        <v>4.3241739250327066E-2</v>
      </c>
      <c r="I61" s="26">
        <v>4.7690342575201695E-2</v>
      </c>
      <c r="J61" s="26">
        <v>4.4767911597156061E-2</v>
      </c>
      <c r="K61" s="27">
        <v>0.23400000000000001</v>
      </c>
      <c r="L61" s="29">
        <v>0.73560717460024039</v>
      </c>
      <c r="M61" s="35"/>
      <c r="N61" s="29">
        <v>0.98912620731091849</v>
      </c>
      <c r="O61" s="31">
        <f>Table2[[#This Row],[b/wnc,max]]*Table2[[#This Row],[hnc/h0]]</f>
        <v>0.72760833468303643</v>
      </c>
      <c r="P61" s="10">
        <v>0.15627611048129916</v>
      </c>
      <c r="Q61" s="10">
        <v>3.0629661610607557E-3</v>
      </c>
      <c r="R61" s="10">
        <f>Table2[[#This Row],[h US 4]]*(w+Table2[[#This Row],[h US 4]]*m)</f>
        <v>1.0261304304071546E-2</v>
      </c>
      <c r="S61" s="10">
        <f>Table2[[#This Row],[h US 5]]*(w+Table2[[#This Row],[h US 5]]*m)</f>
        <v>9.3467373652214615E-3</v>
      </c>
      <c r="T61" s="10">
        <f>Table2[[#This Row],[Q ]]/Table2[[#This Row],[A0]]</f>
        <v>0.60736170058326089</v>
      </c>
      <c r="U61" s="10">
        <f>Table2[[#This Row],[A1]]*SQRT(2*g*(Table2[[#This Row],[h US 4]]-Table2[[#This Row],[h US 5]])+Table2[[#This Row],[u0]]^2/(2*g)*(1-Table2[[#This Row],[ζ]]))</f>
        <v>2.5288321458999691E-3</v>
      </c>
      <c r="V61" s="36"/>
    </row>
    <row r="62" spans="2:22" x14ac:dyDescent="0.25">
      <c r="B62" s="12">
        <v>510</v>
      </c>
      <c r="C62" s="13">
        <v>8</v>
      </c>
      <c r="D62" s="13">
        <v>6.241176470588237E-3</v>
      </c>
      <c r="E62" s="13"/>
      <c r="F62" s="13">
        <v>3.6578879660872046E-2</v>
      </c>
      <c r="G62" s="13">
        <v>3.6870247431556709E-2</v>
      </c>
      <c r="H62" s="13">
        <v>4.1925870096909949E-2</v>
      </c>
      <c r="I62" s="26">
        <v>5.711175228221816E-2</v>
      </c>
      <c r="J62" s="13">
        <v>4.2938875525490784E-2</v>
      </c>
      <c r="K62" s="27">
        <v>0.2</v>
      </c>
      <c r="L62" s="29">
        <v>0.62853904043402686</v>
      </c>
      <c r="M62" s="10">
        <v>0.77739678800841183</v>
      </c>
      <c r="N62" s="29">
        <v>0.82632369401736294</v>
      </c>
      <c r="O62" s="31">
        <f>Table2[[#This Row],[b/wnc,max]]*Table2[[#This Row],[hnc/h0]]</f>
        <v>0.51937670172557371</v>
      </c>
      <c r="P62" s="10">
        <v>0.17571036534483145</v>
      </c>
      <c r="Q62" s="10">
        <v>3.4490700787922404E-3</v>
      </c>
      <c r="R62" s="10">
        <f>Table2[[#This Row],[h US 4]]*(w+Table2[[#This Row],[h US 4]]*m)</f>
        <v>1.3463723765036031E-2</v>
      </c>
      <c r="S62" s="10">
        <f>Table2[[#This Row],[h US 5]]*(w+Table2[[#This Row],[h US 5]]*m)</f>
        <v>8.79332744929936E-3</v>
      </c>
      <c r="T62" s="10">
        <f>Table2[[#This Row],[Q ]]/Table2[[#This Row],[A0]]</f>
        <v>0.46355500005102301</v>
      </c>
      <c r="U62" s="10">
        <f>Table2[[#This Row],[A1]]*SQRT(2*g*(Table2[[#This Row],[h US 4]]-Table2[[#This Row],[h US 5]])+Table2[[#This Row],[u0]]^2/(2*g)*(1-Table2[[#This Row],[ζ]]))</f>
        <v>4.7116128120977437E-3</v>
      </c>
      <c r="V62" s="34">
        <f>Table2[[#This Row],[Q ]]/Table2[[#This Row],[Qc]]</f>
        <v>1.3246369596761258</v>
      </c>
    </row>
    <row r="63" spans="2:22" x14ac:dyDescent="0.25">
      <c r="B63" s="12">
        <v>510</v>
      </c>
      <c r="C63" s="13">
        <v>9</v>
      </c>
      <c r="D63" s="13">
        <v>6.3064516129032284E-3</v>
      </c>
      <c r="E63" s="13"/>
      <c r="F63" s="13">
        <v>3.7136721886782395E-2</v>
      </c>
      <c r="G63" s="13">
        <v>3.7440307471632579E-2</v>
      </c>
      <c r="H63" s="13">
        <v>4.2362825648509198E-2</v>
      </c>
      <c r="I63" s="26">
        <v>5.1469788244096197E-2</v>
      </c>
      <c r="J63" s="13">
        <v>4.4891677307854871E-2</v>
      </c>
      <c r="K63" s="27">
        <v>0.22</v>
      </c>
      <c r="L63" s="29">
        <v>0.68989589639413196</v>
      </c>
      <c r="M63" s="10">
        <v>0.96127375850674357</v>
      </c>
      <c r="N63" s="29">
        <v>0.91991485094318737</v>
      </c>
      <c r="O63" s="31">
        <f>Table2[[#This Row],[b/wnc,max]]*Table2[[#This Row],[hnc/h0]]</f>
        <v>0.63464548069772453</v>
      </c>
      <c r="P63" s="10">
        <v>0.14568575219094343</v>
      </c>
      <c r="Q63" s="10">
        <v>2.8913739242212031E-3</v>
      </c>
      <c r="R63" s="10">
        <f>Table2[[#This Row],[h US 4]]*(w+Table2[[#This Row],[h US 4]]*m)</f>
        <v>1.149939612144741E-2</v>
      </c>
      <c r="S63" s="10">
        <f>Table2[[#This Row],[h US 5]]*(w+Table2[[#This Row],[h US 5]]*m)</f>
        <v>9.3847129519736509E-3</v>
      </c>
      <c r="T63" s="10">
        <f>Table2[[#This Row],[Q ]]/Table2[[#This Row],[A0]]</f>
        <v>0.548415894739127</v>
      </c>
      <c r="U63" s="10">
        <f>Table2[[#This Row],[A1]]*SQRT(2*g*(Table2[[#This Row],[h US 4]]-Table2[[#This Row],[h US 5]])+Table2[[#This Row],[u0]]^2/(2*g)*(1-Table2[[#This Row],[ζ]]))</f>
        <v>3.538404410312287E-3</v>
      </c>
      <c r="V63" s="34">
        <f>Table2[[#This Row],[Q ]]/Table2[[#This Row],[Qc]]</f>
        <v>1.7822868393798559</v>
      </c>
    </row>
    <row r="64" spans="2:22" x14ac:dyDescent="0.25">
      <c r="B64" s="12">
        <v>510</v>
      </c>
      <c r="C64" s="13">
        <v>10</v>
      </c>
      <c r="D64" s="13">
        <v>6.3523076923076944E-3</v>
      </c>
      <c r="E64" s="13"/>
      <c r="F64" s="13">
        <v>3.7752137590287581E-2</v>
      </c>
      <c r="G64" s="13">
        <v>3.8098147493524866E-2</v>
      </c>
      <c r="H64" s="13">
        <v>4.2695920284638589E-2</v>
      </c>
      <c r="I64" s="26">
        <v>4.8362417958357801E-2</v>
      </c>
      <c r="J64" s="13">
        <v>4.5232523165049908E-2</v>
      </c>
      <c r="K64" s="27">
        <v>0.23400000000000001</v>
      </c>
      <c r="L64" s="29">
        <v>0.73268387161679638</v>
      </c>
      <c r="M64" s="35"/>
      <c r="N64" s="29">
        <v>0.98127291340340228</v>
      </c>
      <c r="O64" s="31">
        <f>Table2[[#This Row],[b/wnc,max]]*Table2[[#This Row],[hnc/h0]]</f>
        <v>0.71896283730509813</v>
      </c>
      <c r="P64" s="10">
        <v>0.15143411312089192</v>
      </c>
      <c r="Q64" s="10">
        <v>3.0284598661965033E-3</v>
      </c>
      <c r="R64" s="10">
        <f>Table2[[#This Row],[h US 4]]*(w+Table2[[#This Row],[h US 4]]*m)</f>
        <v>1.0476905038252967E-2</v>
      </c>
      <c r="S64" s="10">
        <f>Table2[[#This Row],[h US 5]]*(w+Table2[[#This Row],[h US 5]]*m)</f>
        <v>9.4896421032497954E-3</v>
      </c>
      <c r="T64" s="10">
        <f>Table2[[#This Row],[Q ]]/Table2[[#This Row],[A0]]</f>
        <v>0.60631528768413345</v>
      </c>
      <c r="U64" s="10">
        <f>Table2[[#This Row],[A1]]*SQRT(2*g*(Table2[[#This Row],[h US 4]]-Table2[[#This Row],[h US 5]])+Table2[[#This Row],[u0]]^2/(2*g)*(1-Table2[[#This Row],[ζ]]))</f>
        <v>2.6385307944523659E-3</v>
      </c>
      <c r="V64" s="36"/>
    </row>
    <row r="65" spans="2:22" x14ac:dyDescent="0.25">
      <c r="B65" s="12">
        <v>510</v>
      </c>
      <c r="C65" s="13">
        <v>11</v>
      </c>
      <c r="D65" s="13">
        <v>6.487096774193549E-3</v>
      </c>
      <c r="E65" s="13"/>
      <c r="F65" s="13">
        <v>3.8301887862937971E-2</v>
      </c>
      <c r="G65" s="13">
        <v>3.8343949690357489E-2</v>
      </c>
      <c r="H65" s="13">
        <v>4.9779605170541273E-2</v>
      </c>
      <c r="I65" s="26">
        <f>0.064993</f>
        <v>6.4992999999999995E-2</v>
      </c>
      <c r="J65" s="13">
        <v>4.1309450144718943E-2</v>
      </c>
      <c r="K65" s="27">
        <v>0.15</v>
      </c>
      <c r="L65" s="29">
        <v>0.46758170321085607</v>
      </c>
      <c r="M65" s="10">
        <v>0.62617921713539704</v>
      </c>
      <c r="N65" s="29">
        <v>0.73510770142491777</v>
      </c>
      <c r="O65" s="31">
        <f>Table2[[#This Row],[b/wnc,max]]*Table2[[#This Row],[hnc/h0]]</f>
        <v>0.34372291107568048</v>
      </c>
      <c r="P65" s="10">
        <v>0.22399265031942375</v>
      </c>
      <c r="Q65" s="10">
        <v>4.5786474022235131E-3</v>
      </c>
      <c r="R65" s="10">
        <f>Table2[[#This Row],[h US 4]]*(w+Table2[[#This Row],[h US 4]]*m)</f>
        <v>1.6440480485025798E-2</v>
      </c>
      <c r="S65" s="10">
        <f>Table2[[#This Row],[h US 5]]*(w+Table2[[#This Row],[h US 5]]*m)</f>
        <v>8.312622206227754E-3</v>
      </c>
      <c r="T65" s="10">
        <f>Table2[[#This Row],[Q ]]/Table2[[#This Row],[A0]]</f>
        <v>0.39458072895753143</v>
      </c>
      <c r="U65" s="10">
        <f>Table2[[#This Row],[A1]]*SQRT(2*g*(Table2[[#This Row],[h US 4]]-Table2[[#This Row],[h US 5]])+Table2[[#This Row],[u0]]^2/(2*g)*(1-Table2[[#This Row],[ζ]]))</f>
        <v>5.70387175816214E-3</v>
      </c>
      <c r="V65" s="34">
        <f>Table2[[#This Row],[Q ]]/Table2[[#This Row],[Qc]]</f>
        <v>1.1373146257909161</v>
      </c>
    </row>
    <row r="66" spans="2:22" x14ac:dyDescent="0.25">
      <c r="B66" s="12">
        <v>510</v>
      </c>
      <c r="C66" s="13">
        <v>12</v>
      </c>
      <c r="D66" s="13">
        <v>6.5545454545454579E-3</v>
      </c>
      <c r="E66" s="13"/>
      <c r="F66" s="13">
        <v>5.7491387699848677E-2</v>
      </c>
      <c r="G66" s="13">
        <v>8.4406814280725495E-2</v>
      </c>
      <c r="H66" s="13">
        <v>9.1472861483887113E-2</v>
      </c>
      <c r="I66" s="26">
        <f>H66+0.009746865/2</f>
        <v>9.634629398388711E-2</v>
      </c>
      <c r="J66" s="13">
        <v>3.5443267362213066E-2</v>
      </c>
      <c r="K66" s="27">
        <v>0.1</v>
      </c>
      <c r="L66" s="29">
        <v>0.31102939491572851</v>
      </c>
      <c r="M66" s="10">
        <v>0.28319313513991945</v>
      </c>
      <c r="N66" s="29">
        <v>0.49754944868520246</v>
      </c>
      <c r="O66" s="31">
        <f>Table2[[#This Row],[b/wnc,max]]*Table2[[#This Row],[hnc/h0]]</f>
        <v>0.15475250396521284</v>
      </c>
      <c r="P66" s="10">
        <v>0.87536524641015745</v>
      </c>
      <c r="Q66" s="10">
        <v>1.8085300295350881E-2</v>
      </c>
      <c r="R66" s="10">
        <f>Table2[[#This Row],[h US 4]]*(w+Table2[[#This Row],[h US 4]]*m)</f>
        <v>3.096951182179861E-2</v>
      </c>
      <c r="S66" s="10">
        <f>Table2[[#This Row],[h US 5]]*(w+Table2[[#This Row],[h US 5]]*m)</f>
        <v>6.6780497619054633E-3</v>
      </c>
      <c r="T66" s="10">
        <f>Table2[[#This Row],[Q ]]/Table2[[#This Row],[A0]]</f>
        <v>0.21164510090636587</v>
      </c>
      <c r="U66" s="10">
        <f>Table2[[#This Row],[A1]]*SQRT(2*g*(Table2[[#This Row],[h US 4]]-Table2[[#This Row],[h US 5]])+Table2[[#This Row],[u0]]^2/(2*g)*(1-Table2[[#This Row],[ζ]]))</f>
        <v>7.3007973530045045E-3</v>
      </c>
      <c r="V66" s="34">
        <f>Table2[[#This Row],[Q ]]/Table2[[#This Row],[Qc]]</f>
        <v>0.89778487713373656</v>
      </c>
    </row>
    <row r="67" spans="2:22" x14ac:dyDescent="0.25">
      <c r="B67" s="12">
        <v>512</v>
      </c>
      <c r="C67" s="13">
        <v>14</v>
      </c>
      <c r="D67" s="13">
        <v>6.570129870129871E-3</v>
      </c>
      <c r="E67" s="13"/>
      <c r="F67" s="26">
        <v>5.7463081698805041E-2</v>
      </c>
      <c r="G67" s="26">
        <v>8.1361934852466927E-2</v>
      </c>
      <c r="H67" s="26">
        <v>8.8766176999699936E-2</v>
      </c>
      <c r="I67" s="26">
        <f>H67+0.009746865/2</f>
        <v>9.3639609499699933E-2</v>
      </c>
      <c r="J67" s="26">
        <v>2.997873879521383E-2</v>
      </c>
      <c r="K67" s="27">
        <v>0.1</v>
      </c>
      <c r="L67" s="29">
        <v>0.31087000058580566</v>
      </c>
      <c r="M67" s="10">
        <v>0.30128338152703815</v>
      </c>
      <c r="N67" s="29">
        <v>0.51232655387902037</v>
      </c>
      <c r="O67" s="31">
        <f>Table2[[#This Row],[b/wnc,max]]*Table2[[#This Row],[hnc/h0]]</f>
        <v>0.15926695610449487</v>
      </c>
      <c r="P67" s="10"/>
      <c r="Q67" s="10"/>
      <c r="R67" s="10">
        <f>Table2[[#This Row],[h US 4]]*(w+Table2[[#This Row],[h US 4]]*m)</f>
        <v>2.954588453424789E-2</v>
      </c>
      <c r="S67" s="10">
        <f>Table2[[#This Row],[h US 5]]*(w+Table2[[#This Row],[h US 5]]*m)</f>
        <v>5.2906346702023084E-3</v>
      </c>
      <c r="T67" s="10">
        <f>Table2[[#This Row],[Q ]]/Table2[[#This Row],[A0]]</f>
        <v>0.22237039011352508</v>
      </c>
      <c r="U67" s="10">
        <f>Table2[[#This Row],[A1]]*SQRT(2*g*(Table2[[#This Row],[h US 4]]-Table2[[#This Row],[h US 5]])+Table2[[#This Row],[u0]]^2/(2*g)*(1-Table2[[#This Row],[ζ]]))</f>
        <v>5.9187675724244743E-3</v>
      </c>
      <c r="V67" s="34">
        <f>Table2[[#This Row],[Q ]]/Table2[[#This Row],[Qc]]</f>
        <v>1.1100503254664185</v>
      </c>
    </row>
    <row r="68" spans="2:22" x14ac:dyDescent="0.25">
      <c r="B68" s="12">
        <v>512</v>
      </c>
      <c r="C68" s="13">
        <v>17</v>
      </c>
      <c r="D68" s="13">
        <v>6.6068965517241396E-3</v>
      </c>
      <c r="E68" s="13"/>
      <c r="F68" s="26">
        <v>3.8090476861971145E-2</v>
      </c>
      <c r="G68" s="26">
        <v>3.9877182743121506E-2</v>
      </c>
      <c r="H68" s="26">
        <v>4.3997986392525473E-2</v>
      </c>
      <c r="I68" s="26">
        <v>5.1905473383959295E-2</v>
      </c>
      <c r="J68" s="26">
        <v>4.5561421309531856E-2</v>
      </c>
      <c r="K68" s="27">
        <v>0.22</v>
      </c>
      <c r="L68" s="29">
        <v>0.68308813053849926</v>
      </c>
      <c r="M68" s="10">
        <v>0.99083231483313394</v>
      </c>
      <c r="N68" s="29">
        <v>0.9259404871394078</v>
      </c>
      <c r="O68" s="31">
        <f>Table2[[#This Row],[b/wnc,max]]*Table2[[#This Row],[hnc/h0]]</f>
        <v>0.63249895634996534</v>
      </c>
      <c r="P68" s="10">
        <v>0.12304851880865565</v>
      </c>
      <c r="Q68" s="10">
        <v>2.563029524681841E-3</v>
      </c>
      <c r="R68" s="10">
        <f>Table2[[#This Row],[h US 4]]*(w+Table2[[#This Row],[h US 4]]*m)</f>
        <v>1.1646131498445914E-2</v>
      </c>
      <c r="S68" s="10">
        <f>Table2[[#This Row],[h US 5]]*(w+Table2[[#This Row],[h US 5]]*m)</f>
        <v>9.5913742900307301E-3</v>
      </c>
      <c r="T68" s="10">
        <f>Table2[[#This Row],[Q ]]/Table2[[#This Row],[A0]]</f>
        <v>0.56730396291728102</v>
      </c>
      <c r="U68" s="10">
        <f>Table2[[#This Row],[A1]]*SQRT(2*g*(Table2[[#This Row],[h US 4]]-Table2[[#This Row],[h US 5]])+Table2[[#This Row],[u0]]^2/(2*g)*(1-Table2[[#This Row],[ζ]]))</f>
        <v>3.5740612083130451E-3</v>
      </c>
      <c r="V68" s="34">
        <f>Table2[[#This Row],[Q ]]/Table2[[#This Row],[Qc]]</f>
        <v>1.8485683838757174</v>
      </c>
    </row>
    <row r="69" spans="2:22" x14ac:dyDescent="0.25">
      <c r="B69" s="12">
        <v>512</v>
      </c>
      <c r="C69" s="13">
        <v>19</v>
      </c>
      <c r="D69" s="13">
        <v>6.6402298850574736E-3</v>
      </c>
      <c r="E69" s="13"/>
      <c r="F69" s="26">
        <v>3.8271176032878197E-2</v>
      </c>
      <c r="G69" s="26">
        <v>3.9813922005109456E-2</v>
      </c>
      <c r="H69" s="26">
        <v>4.7281533254235127E-2</v>
      </c>
      <c r="I69" s="26">
        <v>6.2086743584587607E-2</v>
      </c>
      <c r="J69" s="26">
        <v>4.2471136774255354E-2</v>
      </c>
      <c r="K69" s="27">
        <v>0.17</v>
      </c>
      <c r="L69" s="29">
        <v>0.52726357982637428</v>
      </c>
      <c r="M69" s="10">
        <v>0.70184198762472927</v>
      </c>
      <c r="N69" s="29">
        <v>0.77537559868032602</v>
      </c>
      <c r="O69" s="31">
        <f>Table2[[#This Row],[b/wnc,max]]*Table2[[#This Row],[hnc/h0]]</f>
        <v>0.40882731387020682</v>
      </c>
      <c r="P69" s="10">
        <v>0.1526063748114582</v>
      </c>
      <c r="Q69" s="10">
        <v>3.1950651807651394E-3</v>
      </c>
      <c r="R69" s="10">
        <f>Table2[[#This Row],[h US 4]]*(w+Table2[[#This Row],[h US 4]]*m)</f>
        <v>1.5311203474636327E-2</v>
      </c>
      <c r="S69" s="10">
        <f>Table2[[#This Row],[h US 5]]*(w+Table2[[#This Row],[h US 5]]*m)</f>
        <v>8.6541505916662761E-3</v>
      </c>
      <c r="T69" s="10">
        <f>Table2[[#This Row],[Q ]]/Table2[[#This Row],[A0]]</f>
        <v>0.4336843864727748</v>
      </c>
      <c r="U69" s="10">
        <f>Table2[[#This Row],[A1]]*SQRT(2*g*(Table2[[#This Row],[h US 4]]-Table2[[#This Row],[h US 5]])+Table2[[#This Row],[u0]]^2/(2*g)*(1-Table2[[#This Row],[ζ]]))</f>
        <v>5.4251345959716816E-3</v>
      </c>
      <c r="V69" s="34">
        <f>Table2[[#This Row],[Q ]]/Table2[[#This Row],[Qc]]</f>
        <v>1.2239751415546511</v>
      </c>
    </row>
    <row r="70" spans="2:22" x14ac:dyDescent="0.25">
      <c r="B70" s="12">
        <v>512</v>
      </c>
      <c r="C70" s="13">
        <v>16</v>
      </c>
      <c r="D70" s="13">
        <v>6.647945205479457E-3</v>
      </c>
      <c r="E70" s="13"/>
      <c r="F70" s="26">
        <v>3.8911574501800966E-2</v>
      </c>
      <c r="G70" s="26">
        <v>4.0253307985250779E-2</v>
      </c>
      <c r="H70" s="26">
        <v>4.452670988789343E-2</v>
      </c>
      <c r="I70" s="26">
        <v>4.9089865829884741E-2</v>
      </c>
      <c r="J70" s="26">
        <v>4.6584623702641194E-2</v>
      </c>
      <c r="K70" s="27">
        <v>0.23400000000000001</v>
      </c>
      <c r="L70" s="29">
        <v>0.72557914770879828</v>
      </c>
      <c r="M70" s="35"/>
      <c r="N70" s="29">
        <v>0.98103486430178299</v>
      </c>
      <c r="O70" s="31">
        <f>Table2[[#This Row],[b/wnc,max]]*Table2[[#This Row],[hnc/h0]]</f>
        <v>0.71181844071270428</v>
      </c>
      <c r="P70" s="10">
        <v>0.1527376997586623</v>
      </c>
      <c r="Q70" s="10">
        <v>3.2015972499536676E-3</v>
      </c>
      <c r="R70" s="10">
        <f>Table2[[#This Row],[h US 4]]*(w+Table2[[#This Row],[h US 4]]*m)</f>
        <v>1.0712492871098897E-2</v>
      </c>
      <c r="S70" s="10">
        <f>Table2[[#This Row],[h US 5]]*(w+Table2[[#This Row],[h US 5]]*m)</f>
        <v>9.9108849859147058E-3</v>
      </c>
      <c r="T70" s="10">
        <f>Table2[[#This Row],[Q ]]/Table2[[#This Row],[A0]]</f>
        <v>0.62057872854364893</v>
      </c>
      <c r="U70" s="10">
        <f>Table2[[#This Row],[A1]]*SQRT(2*g*(Table2[[#This Row],[h US 4]]-Table2[[#This Row],[h US 5]])+Table2[[#This Row],[u0]]^2/(2*g)*(1-Table2[[#This Row],[ζ]]))</f>
        <v>2.5419754932897538E-3</v>
      </c>
      <c r="V70" s="36"/>
    </row>
    <row r="71" spans="2:22" x14ac:dyDescent="0.25">
      <c r="B71" s="12">
        <v>512</v>
      </c>
      <c r="C71" s="13">
        <v>18</v>
      </c>
      <c r="D71" s="13">
        <v>6.6594594594594639E-3</v>
      </c>
      <c r="E71" s="13"/>
      <c r="F71" s="26">
        <v>3.8687540700749139E-2</v>
      </c>
      <c r="G71" s="26">
        <v>4.0244169952898062E-2</v>
      </c>
      <c r="H71" s="26">
        <v>4.4536077170916309E-2</v>
      </c>
      <c r="I71" s="26">
        <v>5.4519948738006266E-2</v>
      </c>
      <c r="J71" s="26">
        <v>4.4621110328379475E-2</v>
      </c>
      <c r="K71" s="27">
        <v>0.2</v>
      </c>
      <c r="L71" s="29">
        <v>0.61991899593834432</v>
      </c>
      <c r="M71" s="10">
        <v>0.90807613905802143</v>
      </c>
      <c r="N71" s="29">
        <v>0.88382724730306383</v>
      </c>
      <c r="O71" s="31">
        <f>Table2[[#This Row],[b/wnc,max]]*Table2[[#This Row],[hnc/h0]]</f>
        <v>0.54790129973106605</v>
      </c>
      <c r="P71" s="10">
        <v>0.10187530895932606</v>
      </c>
      <c r="Q71" s="10">
        <v>2.1392114232223827E-3</v>
      </c>
      <c r="R71" s="10">
        <f>Table2[[#This Row],[h US 4]]*(w+Table2[[#This Row],[h US 4]]*m)</f>
        <v>1.2544084580783087E-2</v>
      </c>
      <c r="S71" s="10">
        <f>Table2[[#This Row],[h US 5]]*(w+Table2[[#This Row],[h US 5]]*m)</f>
        <v>9.3017804306188209E-3</v>
      </c>
      <c r="T71" s="10">
        <f>Table2[[#This Row],[Q ]]/Table2[[#This Row],[A0]]</f>
        <v>0.53088445127844752</v>
      </c>
      <c r="U71" s="10">
        <f>Table2[[#This Row],[A1]]*SQRT(2*g*(Table2[[#This Row],[h US 4]]-Table2[[#This Row],[h US 5]])+Table2[[#This Row],[u0]]^2/(2*g)*(1-Table2[[#This Row],[ζ]]))</f>
        <v>4.2332466456549865E-3</v>
      </c>
      <c r="V71" s="34">
        <f>Table2[[#This Row],[Q ]]/Table2[[#This Row],[Qc]]</f>
        <v>1.5731328733927534</v>
      </c>
    </row>
    <row r="72" spans="2:22" x14ac:dyDescent="0.25">
      <c r="B72" s="12">
        <v>510</v>
      </c>
      <c r="C72" s="13">
        <v>15</v>
      </c>
      <c r="D72" s="13">
        <v>6.7347826086956554E-3</v>
      </c>
      <c r="E72" s="13"/>
      <c r="F72" s="13">
        <v>3.9791545856329519E-2</v>
      </c>
      <c r="G72" s="13">
        <v>3.9462951798800071E-2</v>
      </c>
      <c r="H72" s="13">
        <v>4.4052197189123225E-2</v>
      </c>
      <c r="I72" s="26">
        <v>5.0287113541888799E-2</v>
      </c>
      <c r="J72" s="13">
        <v>4.6815828841957306E-2</v>
      </c>
      <c r="K72" s="27">
        <v>0.23400000000000001</v>
      </c>
      <c r="L72" s="29">
        <v>0.72351838762154619</v>
      </c>
      <c r="M72" s="35"/>
      <c r="N72" s="29">
        <v>0.9617793762484379</v>
      </c>
      <c r="O72" s="31">
        <f>Table2[[#This Row],[b/wnc,max]]*Table2[[#This Row],[hnc/h0]]</f>
        <v>0.69586506355092625</v>
      </c>
      <c r="P72" s="10">
        <v>0.14233991692880446</v>
      </c>
      <c r="Q72" s="10">
        <v>3.0231269856024392E-3</v>
      </c>
      <c r="R72" s="10">
        <f>Table2[[#This Row],[h US 4]]*(w+Table2[[#This Row],[h US 4]]*m)</f>
        <v>1.1105260995717929E-2</v>
      </c>
      <c r="S72" s="10">
        <f>Table2[[#This Row],[h US 5]]*(w+Table2[[#This Row],[h US 5]]*m)</f>
        <v>9.9837158228915143E-3</v>
      </c>
      <c r="T72" s="10">
        <f>Table2[[#This Row],[Q ]]/Table2[[#This Row],[A0]]</f>
        <v>0.60644973686728443</v>
      </c>
      <c r="U72" s="10">
        <f>Table2[[#This Row],[A1]]*SQRT(2*g*(Table2[[#This Row],[h US 4]]-Table2[[#This Row],[h US 5]])+Table2[[#This Row],[u0]]^2/(2*g)*(1-Table2[[#This Row],[ζ]]))</f>
        <v>2.896716877231283E-3</v>
      </c>
      <c r="V72" s="36"/>
    </row>
    <row r="73" spans="2:22" x14ac:dyDescent="0.25">
      <c r="B73" s="12">
        <v>510</v>
      </c>
      <c r="C73" s="13">
        <v>13</v>
      </c>
      <c r="D73" s="13">
        <v>6.7666666666666708E-3</v>
      </c>
      <c r="E73" s="13"/>
      <c r="F73" s="13">
        <v>6.1051131566550489E-2</v>
      </c>
      <c r="G73" s="13">
        <v>8.6730783549225934E-2</v>
      </c>
      <c r="H73" s="13">
        <v>9.348835005035043E-2</v>
      </c>
      <c r="I73" s="26">
        <f>H73+0.009746865/2</f>
        <v>9.8361782550350427E-2</v>
      </c>
      <c r="J73" s="13">
        <v>3.5578725032111271E-2</v>
      </c>
      <c r="K73" s="27">
        <v>0.1</v>
      </c>
      <c r="L73" s="29">
        <v>0.30887379233950996</v>
      </c>
      <c r="M73" s="10">
        <v>0.27994267128515227</v>
      </c>
      <c r="N73" s="29">
        <v>0.4924761637838046</v>
      </c>
      <c r="O73" s="31">
        <f>Table2[[#This Row],[b/wnc,max]]*Table2[[#This Row],[hnc/h0]]</f>
        <v>0.15211298034471735</v>
      </c>
      <c r="P73" s="10">
        <v>0.8099859068442814</v>
      </c>
      <c r="Q73" s="10">
        <v>1.7285100814178778E-2</v>
      </c>
      <c r="R73" s="10">
        <f>Table2[[#This Row],[h US 4]]*(w+Table2[[#This Row],[h US 4]]*m)</f>
        <v>3.2050380813139802E-2</v>
      </c>
      <c r="S73" s="10">
        <f>Table2[[#This Row],[h US 5]]*(w+Table2[[#This Row],[h US 5]]*m)</f>
        <v>6.7140986017040416E-3</v>
      </c>
      <c r="T73" s="10">
        <f>Table2[[#This Row],[Q ]]/Table2[[#This Row],[A0]]</f>
        <v>0.21112593657210207</v>
      </c>
      <c r="U73" s="10">
        <f>Table2[[#This Row],[A1]]*SQRT(2*g*(Table2[[#This Row],[h US 4]]-Table2[[#This Row],[h US 5]])+Table2[[#This Row],[u0]]^2/(2*g)*(1-Table2[[#This Row],[ζ]]))</f>
        <v>7.4530585627405393E-3</v>
      </c>
      <c r="V73" s="34">
        <f>Table2[[#This Row],[Q ]]/Table2[[#This Row],[Qc]]</f>
        <v>0.90790466889589583</v>
      </c>
    </row>
    <row r="74" spans="2:22" x14ac:dyDescent="0.25">
      <c r="B74" s="12">
        <v>512</v>
      </c>
      <c r="C74" s="13">
        <v>15</v>
      </c>
      <c r="D74" s="13">
        <v>6.7898876404494353E-3</v>
      </c>
      <c r="E74" s="13"/>
      <c r="F74" s="26">
        <v>3.905173714737678E-2</v>
      </c>
      <c r="G74" s="26">
        <v>3.9967680653976816E-2</v>
      </c>
      <c r="H74" s="26">
        <v>5.0921958542418592E-2</v>
      </c>
      <c r="I74" s="26">
        <v>6.5514307671611621E-2</v>
      </c>
      <c r="J74" s="26">
        <v>4.1737420143436961E-2</v>
      </c>
      <c r="K74" s="27">
        <v>0.15</v>
      </c>
      <c r="L74" s="29">
        <v>0.46295944643231307</v>
      </c>
      <c r="M74" s="10">
        <v>0.64506560747564501</v>
      </c>
      <c r="N74" s="29">
        <v>0.74023499399782999</v>
      </c>
      <c r="O74" s="31">
        <f>Table2[[#This Row],[b/wnc,max]]*Table2[[#This Row],[hnc/h0]]</f>
        <v>0.34269878305106194</v>
      </c>
      <c r="P74" s="10">
        <v>0.15184840755929555</v>
      </c>
      <c r="Q74" s="10">
        <v>3.2516064799972301E-3</v>
      </c>
      <c r="R74" s="10">
        <f>Table2[[#This Row],[h US 4]]*(w+Table2[[#This Row],[h US 4]]*m)</f>
        <v>1.6646946505615077E-2</v>
      </c>
      <c r="S74" s="10">
        <f>Table2[[#This Row],[h US 5]]*(w+Table2[[#This Row],[h US 5]]*m)</f>
        <v>8.4377567710313822E-3</v>
      </c>
      <c r="T74" s="10">
        <f>Table2[[#This Row],[Q ]]/Table2[[#This Row],[A0]]</f>
        <v>0.4078758610871478</v>
      </c>
      <c r="U74" s="10">
        <f>Table2[[#This Row],[A1]]*SQRT(2*g*(Table2[[#This Row],[h US 4]]-Table2[[#This Row],[h US 5]])+Table2[[#This Row],[u0]]^2/(2*g)*(1-Table2[[#This Row],[ζ]]))</f>
        <v>5.8073238144428808E-3</v>
      </c>
      <c r="V74" s="34">
        <f>Table2[[#This Row],[Q ]]/Table2[[#This Row],[Qc]]</f>
        <v>1.1691939105518634</v>
      </c>
    </row>
    <row r="75" spans="2:22" x14ac:dyDescent="0.25">
      <c r="B75" s="12">
        <v>510</v>
      </c>
      <c r="C75" s="13">
        <v>14</v>
      </c>
      <c r="D75" s="13">
        <v>6.8153846153846138E-3</v>
      </c>
      <c r="E75" s="13"/>
      <c r="F75" s="13">
        <v>3.9488046091578188E-2</v>
      </c>
      <c r="G75" s="13">
        <v>3.9585025114185844E-2</v>
      </c>
      <c r="H75" s="13">
        <v>5.1051838231920069E-2</v>
      </c>
      <c r="I75" s="26">
        <v>7.0726223501031596E-2</v>
      </c>
      <c r="J75" s="13">
        <v>4.2383342729399386E-2</v>
      </c>
      <c r="K75" s="27">
        <v>0.15</v>
      </c>
      <c r="L75" s="29">
        <v>0.46257439031166997</v>
      </c>
      <c r="M75" s="10">
        <v>0.5554880303117169</v>
      </c>
      <c r="N75" s="29">
        <v>0.68654221953233829</v>
      </c>
      <c r="O75" s="31">
        <f>Table2[[#This Row],[b/wnc,max]]*Table2[[#This Row],[hnc/h0]]</f>
        <v>0.31757684862339208</v>
      </c>
      <c r="P75" s="10">
        <v>0.33760168757457959</v>
      </c>
      <c r="Q75" s="10">
        <v>7.2564116859548458E-3</v>
      </c>
      <c r="R75" s="10">
        <f>Table2[[#This Row],[h US 4]]*(w+Table2[[#This Row],[h US 4]]*m)</f>
        <v>1.877641318888049E-2</v>
      </c>
      <c r="S75" s="10">
        <f>Table2[[#This Row],[h US 5]]*(w+Table2[[#This Row],[h US 5]]*m)</f>
        <v>8.6281337786758422E-3</v>
      </c>
      <c r="T75" s="10">
        <f>Table2[[#This Row],[Q ]]/Table2[[#This Row],[A0]]</f>
        <v>0.36297585416477346</v>
      </c>
      <c r="U75" s="10">
        <f>Table2[[#This Row],[A1]]*SQRT(2*g*(Table2[[#This Row],[h US 4]]-Table2[[#This Row],[h US 5]])+Table2[[#This Row],[u0]]^2/(2*g)*(1-Table2[[#This Row],[ζ]]))</f>
        <v>6.4597900821915738E-3</v>
      </c>
      <c r="V75" s="34">
        <f>Table2[[#This Row],[Q ]]/Table2[[#This Row],[Qc]]</f>
        <v>1.0550473821391422</v>
      </c>
    </row>
    <row r="76" spans="2:22" x14ac:dyDescent="0.25">
      <c r="B76" s="12">
        <v>510</v>
      </c>
      <c r="C76" s="13">
        <v>16</v>
      </c>
      <c r="D76" s="13">
        <v>6.8177419354838731E-3</v>
      </c>
      <c r="E76" s="13"/>
      <c r="F76" s="26">
        <v>3.9455741904913917E-2</v>
      </c>
      <c r="G76" s="26">
        <v>3.9581653826213141E-2</v>
      </c>
      <c r="H76" s="26">
        <v>4.4046558750058855E-2</v>
      </c>
      <c r="I76" s="26">
        <v>5.1733891338092759E-2</v>
      </c>
      <c r="J76" s="26">
        <v>4.6224205774353523E-2</v>
      </c>
      <c r="K76" s="27">
        <v>0.22</v>
      </c>
      <c r="L76" s="29">
        <v>0.67839027275644281</v>
      </c>
      <c r="M76" s="35"/>
      <c r="N76" s="29">
        <v>0.93869097879008523</v>
      </c>
      <c r="O76" s="31">
        <f>Table2[[#This Row],[b/wnc,max]]*Table2[[#This Row],[hnc/h0]]</f>
        <v>0.63679882913541819</v>
      </c>
      <c r="P76" s="10">
        <v>0.11500855902122598</v>
      </c>
      <c r="Q76" s="10">
        <v>2.4728490052755934E-3</v>
      </c>
      <c r="R76" s="10">
        <f>Table2[[#This Row],[h US 4]]*(w+Table2[[#This Row],[h US 4]]*m)</f>
        <v>1.1588245017982684E-2</v>
      </c>
      <c r="S76" s="10">
        <f>Table2[[#This Row],[h US 5]]*(w+Table2[[#This Row],[h US 5]]*m)</f>
        <v>9.7978171800351295E-3</v>
      </c>
      <c r="T76" s="10">
        <f>Table2[[#This Row],[Q ]]/Table2[[#This Row],[A0]]</f>
        <v>0.58833256674363332</v>
      </c>
      <c r="U76" s="10">
        <f>Table2[[#This Row],[A1]]*SQRT(2*g*(Table2[[#This Row],[h US 4]]-Table2[[#This Row],[h US 5]])+Table2[[#This Row],[u0]]^2/(2*g)*(1-Table2[[#This Row],[ζ]]))</f>
        <v>3.4461725786342312E-3</v>
      </c>
      <c r="V76" s="36"/>
    </row>
    <row r="77" spans="2:22" x14ac:dyDescent="0.25">
      <c r="B77" s="12">
        <v>510</v>
      </c>
      <c r="C77" s="13">
        <v>17</v>
      </c>
      <c r="D77" s="13">
        <v>6.9046153846153875E-3</v>
      </c>
      <c r="E77" s="13"/>
      <c r="F77" s="26">
        <v>3.9672927094117176E-2</v>
      </c>
      <c r="G77" s="26">
        <v>3.9366806206059889E-2</v>
      </c>
      <c r="H77" s="26">
        <v>4.4293512383469957E-2</v>
      </c>
      <c r="I77" s="26">
        <v>4.9677207390636628E-2</v>
      </c>
      <c r="J77" s="26">
        <v>4.3967440892503658E-2</v>
      </c>
      <c r="K77" s="27">
        <v>0.2</v>
      </c>
      <c r="L77" s="29">
        <v>0.61497580404580066</v>
      </c>
      <c r="M77" s="35"/>
      <c r="N77" s="29">
        <v>0.98170698596180828</v>
      </c>
      <c r="O77" s="31">
        <f>Table2[[#This Row],[b/wnc,max]]*Table2[[#This Row],[hnc/h0]]</f>
        <v>0.6037260430292426</v>
      </c>
      <c r="P77" s="10">
        <v>3.7659896564369147E-2</v>
      </c>
      <c r="Q77" s="10">
        <v>8.2000689956596151E-4</v>
      </c>
      <c r="R77" s="10">
        <f>Table2[[#This Row],[h US 4]]*(w+Table2[[#This Row],[h US 4]]*m)</f>
        <v>1.0904393241492484E-2</v>
      </c>
      <c r="S77" s="10">
        <f>Table2[[#This Row],[h US 5]]*(w+Table2[[#This Row],[h US 5]]*m)</f>
        <v>9.1027412815002269E-3</v>
      </c>
      <c r="T77" s="10">
        <f>Table2[[#This Row],[Q ]]/Table2[[#This Row],[A0]]</f>
        <v>0.6331957433763965</v>
      </c>
      <c r="U77" s="10">
        <f>Table2[[#This Row],[A1]]*SQRT(2*g*(Table2[[#This Row],[h US 4]]-Table2[[#This Row],[h US 5]])+Table2[[#This Row],[u0]]^2/(2*g)*(1-Table2[[#This Row],[ζ]]))</f>
        <v>3.303318767667061E-3</v>
      </c>
      <c r="V77" s="36"/>
    </row>
    <row r="78" spans="2:22" x14ac:dyDescent="0.25">
      <c r="B78" s="12">
        <v>510</v>
      </c>
      <c r="C78" s="13">
        <v>22</v>
      </c>
      <c r="D78" s="13">
        <v>7.0737704918032839E-3</v>
      </c>
      <c r="E78" s="13"/>
      <c r="F78" s="26">
        <v>7.418787371277441E-2</v>
      </c>
      <c r="G78" s="26">
        <v>9.3343567175918143E-2</v>
      </c>
      <c r="H78" s="26">
        <v>0.10308138039621649</v>
      </c>
      <c r="I78" s="26">
        <f>H78+0.009746865/2</f>
        <v>0.10795481289621649</v>
      </c>
      <c r="J78" s="26">
        <v>3.5297823965012104E-2</v>
      </c>
      <c r="K78" s="27">
        <v>0.1</v>
      </c>
      <c r="L78" s="29">
        <v>0.30580538150222364</v>
      </c>
      <c r="M78" s="10">
        <v>0.24046675922869995</v>
      </c>
      <c r="N78" s="29">
        <v>0.45547024351107995</v>
      </c>
      <c r="O78" s="31">
        <f>Table2[[#This Row],[b/wnc,max]]*Table2[[#This Row],[hnc/h0]]</f>
        <v>0.1392852515798165</v>
      </c>
      <c r="P78" s="10">
        <v>0.92482973902827825</v>
      </c>
      <c r="Q78" s="10">
        <v>2.0621350188371974E-2</v>
      </c>
      <c r="R78" s="10">
        <f>Table2[[#This Row],[h US 4]]*(w+Table2[[#This Row],[h US 4]]*m)</f>
        <v>3.7438178794171849E-2</v>
      </c>
      <c r="S78" s="10">
        <f>Table2[[#This Row],[h US 5]]*(w+Table2[[#This Row],[h US 5]]*m)</f>
        <v>6.6394326940279989E-3</v>
      </c>
      <c r="T78" s="10">
        <f>Table2[[#This Row],[Q ]]/Table2[[#This Row],[A0]]</f>
        <v>0.18894536859534647</v>
      </c>
      <c r="U78" s="10">
        <f>Table2[[#This Row],[A1]]*SQRT(2*g*(Table2[[#This Row],[h US 4]]-Table2[[#This Row],[h US 5]])+Table2[[#This Row],[u0]]^2/(2*g)*(1-Table2[[#This Row],[ζ]]))</f>
        <v>7.927568553665951E-3</v>
      </c>
      <c r="V78" s="34">
        <f>Table2[[#This Row],[Q ]]/Table2[[#This Row],[Qc]]</f>
        <v>0.89230013514448325</v>
      </c>
    </row>
    <row r="79" spans="2:22" x14ac:dyDescent="0.25">
      <c r="B79" s="12">
        <v>510</v>
      </c>
      <c r="C79" s="13">
        <v>18</v>
      </c>
      <c r="D79" s="13">
        <v>7.0866666666666699E-3</v>
      </c>
      <c r="E79" s="13"/>
      <c r="F79" s="26">
        <v>4.0582349029428838E-2</v>
      </c>
      <c r="G79" s="26">
        <v>3.981308900303903E-2</v>
      </c>
      <c r="H79" s="26">
        <v>4.5116616253147654E-2</v>
      </c>
      <c r="I79" s="26">
        <v>6.1401585563455388E-2</v>
      </c>
      <c r="J79" s="26">
        <v>4.4580897888666156E-2</v>
      </c>
      <c r="K79" s="27">
        <v>0.2</v>
      </c>
      <c r="L79" s="29">
        <v>0.61135572663368565</v>
      </c>
      <c r="M79" s="10">
        <v>0.765633001960352</v>
      </c>
      <c r="N79" s="29">
        <v>0.80129581153058027</v>
      </c>
      <c r="O79" s="31">
        <f>Table2[[#This Row],[b/wnc,max]]*Table2[[#This Row],[hnc/h0]]</f>
        <v>0.48987678310680671</v>
      </c>
      <c r="P79" s="10">
        <v>0.11008015370324646</v>
      </c>
      <c r="Q79" s="10">
        <v>2.4588565952237927E-3</v>
      </c>
      <c r="R79" s="10">
        <f>Table2[[#This Row],[h US 4]]*(w+Table2[[#This Row],[h US 4]]*m)</f>
        <v>1.5050347914484122E-2</v>
      </c>
      <c r="S79" s="10">
        <f>Table2[[#This Row],[h US 5]]*(w+Table2[[#This Row],[h US 5]]*m)</f>
        <v>9.2894820580595935E-3</v>
      </c>
      <c r="T79" s="10">
        <f>Table2[[#This Row],[Q ]]/Table2[[#This Row],[A0]]</f>
        <v>0.47086397649629202</v>
      </c>
      <c r="U79" s="10">
        <f>Table2[[#This Row],[A1]]*SQRT(2*g*(Table2[[#This Row],[h US 4]]-Table2[[#This Row],[h US 5]])+Table2[[#This Row],[u0]]^2/(2*g)*(1-Table2[[#This Row],[ζ]]))</f>
        <v>5.4172759661948238E-3</v>
      </c>
      <c r="V79" s="34">
        <f>Table2[[#This Row],[Q ]]/Table2[[#This Row],[Qc]]</f>
        <v>1.3081605424736098</v>
      </c>
    </row>
    <row r="80" spans="2:22" x14ac:dyDescent="0.25">
      <c r="B80" s="12">
        <v>512</v>
      </c>
      <c r="C80" s="13">
        <v>21</v>
      </c>
      <c r="D80" s="13">
        <v>7.1045454545454554E-3</v>
      </c>
      <c r="E80" s="13"/>
      <c r="F80" s="26">
        <v>4.0422467263206863E-2</v>
      </c>
      <c r="G80" s="26">
        <v>4.1450507112800891E-2</v>
      </c>
      <c r="H80" s="26">
        <v>4.5719500895109122E-2</v>
      </c>
      <c r="I80" s="26">
        <v>5.6892988772432734E-2</v>
      </c>
      <c r="J80" s="26">
        <v>4.6155935163825747E-2</v>
      </c>
      <c r="K80" s="27">
        <v>0.2</v>
      </c>
      <c r="L80" s="29">
        <v>0.6110025051181589</v>
      </c>
      <c r="M80" s="10">
        <v>0.8916002323817056</v>
      </c>
      <c r="N80" s="29">
        <v>0.86554242477073207</v>
      </c>
      <c r="O80" s="31">
        <f>Table2[[#This Row],[b/wnc,max]]*Table2[[#This Row],[hnc/h0]]</f>
        <v>0.52884858982096283</v>
      </c>
      <c r="P80" s="10">
        <v>9.7381137222032468E-2</v>
      </c>
      <c r="Q80" s="10">
        <v>2.1805240465398081E-3</v>
      </c>
      <c r="R80" s="10">
        <f>Table2[[#This Row],[h US 4]]*(w+Table2[[#This Row],[h US 4]]*m)</f>
        <v>1.3384966898643309E-2</v>
      </c>
      <c r="S80" s="10">
        <f>Table2[[#This Row],[h US 5]]*(w+Table2[[#This Row],[h US 5]]*m)</f>
        <v>9.7764637235053017E-3</v>
      </c>
      <c r="T80" s="10">
        <f>Table2[[#This Row],[Q ]]/Table2[[#This Row],[A0]]</f>
        <v>0.53078543326585048</v>
      </c>
      <c r="U80" s="10">
        <f>Table2[[#This Row],[A1]]*SQRT(2*g*(Table2[[#This Row],[h US 4]]-Table2[[#This Row],[h US 5]])+Table2[[#This Row],[u0]]^2/(2*g)*(1-Table2[[#This Row],[ζ]]))</f>
        <v>4.6231628360309139E-3</v>
      </c>
      <c r="V80" s="34">
        <f>Table2[[#This Row],[Q ]]/Table2[[#This Row],[Qc]]</f>
        <v>1.5367283624915238</v>
      </c>
    </row>
    <row r="81" spans="2:22" x14ac:dyDescent="0.25">
      <c r="B81" s="12">
        <v>512</v>
      </c>
      <c r="C81" s="13">
        <v>20</v>
      </c>
      <c r="D81" s="13">
        <v>7.1346153846153859E-3</v>
      </c>
      <c r="E81" s="13"/>
      <c r="F81" s="26">
        <v>4.029662915203485E-2</v>
      </c>
      <c r="G81" s="26">
        <v>4.1263081578059115E-2</v>
      </c>
      <c r="H81" s="26">
        <v>5.0654495655996015E-2</v>
      </c>
      <c r="I81" s="26">
        <v>6.5476932789835643E-2</v>
      </c>
      <c r="J81" s="26">
        <v>4.4184132508604944E-2</v>
      </c>
      <c r="K81" s="27">
        <v>0.17</v>
      </c>
      <c r="L81" s="29">
        <v>0.51884794702857318</v>
      </c>
      <c r="M81" s="10">
        <v>0.67858690128638111</v>
      </c>
      <c r="N81" s="29">
        <v>0.75316160115119113</v>
      </c>
      <c r="O81" s="31">
        <f>Table2[[#This Row],[b/wnc,max]]*Table2[[#This Row],[hnc/h0]]</f>
        <v>0.39077635053804854</v>
      </c>
      <c r="P81" s="10">
        <v>0.16937421604137279</v>
      </c>
      <c r="Q81" s="10">
        <v>3.8081030955104574E-3</v>
      </c>
      <c r="R81" s="10">
        <f>Table2[[#This Row],[h US 4]]*(w+Table2[[#This Row],[h US 4]]*m)</f>
        <v>1.6632104526418477E-2</v>
      </c>
      <c r="S81" s="10">
        <f>Table2[[#This Row],[h US 5]]*(w+Table2[[#This Row],[h US 5]]*m)</f>
        <v>9.1685159991031617E-3</v>
      </c>
      <c r="T81" s="10">
        <f>Table2[[#This Row],[Q ]]/Table2[[#This Row],[A0]]</f>
        <v>0.42896648306188462</v>
      </c>
      <c r="U81" s="10">
        <f>Table2[[#This Row],[A1]]*SQRT(2*g*(Table2[[#This Row],[h US 4]]-Table2[[#This Row],[h US 5]])+Table2[[#This Row],[u0]]^2/(2*g)*(1-Table2[[#This Row],[ζ]]))</f>
        <v>5.9810427621862471E-3</v>
      </c>
      <c r="V81" s="34">
        <f>Table2[[#This Row],[Q ]]/Table2[[#This Row],[Qc]]</f>
        <v>1.1928714888517993</v>
      </c>
    </row>
    <row r="82" spans="2:22" x14ac:dyDescent="0.25">
      <c r="B82" s="12">
        <v>512</v>
      </c>
      <c r="C82" s="13">
        <v>22</v>
      </c>
      <c r="D82" s="13">
        <v>7.1600000000000006E-3</v>
      </c>
      <c r="E82" s="13"/>
      <c r="F82" s="26">
        <v>4.0858652383299505E-2</v>
      </c>
      <c r="G82" s="26">
        <v>4.1310873797020455E-2</v>
      </c>
      <c r="H82" s="26">
        <v>4.6012067448584722E-2</v>
      </c>
      <c r="I82" s="26">
        <v>5.441673098727641E-2</v>
      </c>
      <c r="J82" s="26">
        <v>4.7807614044150397E-2</v>
      </c>
      <c r="K82" s="27">
        <v>0.22</v>
      </c>
      <c r="L82" s="29">
        <v>0.67090046258628588</v>
      </c>
      <c r="M82" s="10">
        <v>0.97992947843598854</v>
      </c>
      <c r="N82" s="29">
        <v>0.90734961663802893</v>
      </c>
      <c r="O82" s="31">
        <f>Table2[[#This Row],[b/wnc,max]]*Table2[[#This Row],[hnc/h0]]</f>
        <v>0.60874127752994278</v>
      </c>
      <c r="P82" s="10">
        <v>0.11857376591480324</v>
      </c>
      <c r="Q82" s="10">
        <v>2.6750906941965334E-3</v>
      </c>
      <c r="R82" s="10">
        <f>Table2[[#This Row],[h US 4]]*(w+Table2[[#This Row],[h US 4]]*m)</f>
        <v>1.2508067830880022E-2</v>
      </c>
      <c r="S82" s="10">
        <f>Table2[[#This Row],[h US 5]]*(w+Table2[[#This Row],[h US 5]]*m)</f>
        <v>1.0298782698431083E-2</v>
      </c>
      <c r="T82" s="10">
        <f>Table2[[#This Row],[Q ]]/Table2[[#This Row],[A0]]</f>
        <v>0.57243053817819345</v>
      </c>
      <c r="U82" s="10">
        <f>Table2[[#This Row],[A1]]*SQRT(2*g*(Table2[[#This Row],[h US 4]]-Table2[[#This Row],[h US 5]])+Table2[[#This Row],[u0]]^2/(2*g)*(1-Table2[[#This Row],[ζ]]))</f>
        <v>3.9134251301131528E-3</v>
      </c>
      <c r="V82" s="34">
        <f>Table2[[#This Row],[Q ]]/Table2[[#This Row],[Qc]]</f>
        <v>1.8295993310067431</v>
      </c>
    </row>
    <row r="83" spans="2:22" x14ac:dyDescent="0.25">
      <c r="B83" s="12">
        <v>512</v>
      </c>
      <c r="C83" s="13">
        <v>24</v>
      </c>
      <c r="D83" s="13">
        <v>7.1662790697674429E-3</v>
      </c>
      <c r="E83" s="13"/>
      <c r="F83" s="13">
        <v>4.0470581811825911E-2</v>
      </c>
      <c r="G83" s="13">
        <v>4.227512583573808E-2</v>
      </c>
      <c r="H83" s="13">
        <v>5.613589070267077E-2</v>
      </c>
      <c r="I83" s="26">
        <v>7.0961181209387644E-2</v>
      </c>
      <c r="J83" s="13">
        <v>4.3163279287818018E-2</v>
      </c>
      <c r="K83" s="27">
        <v>0.15</v>
      </c>
      <c r="L83" s="29">
        <v>0.45733949934448576</v>
      </c>
      <c r="M83" s="10">
        <v>0.58020165448995431</v>
      </c>
      <c r="N83" s="29">
        <v>0.69601311518421793</v>
      </c>
      <c r="O83" s="31">
        <f>Table2[[#This Row],[b/wnc,max]]*Table2[[#This Row],[hnc/h0]]</f>
        <v>0.31831428963554614</v>
      </c>
      <c r="P83" s="10">
        <v>0.25703524788898785</v>
      </c>
      <c r="Q83" s="10">
        <v>5.8037585286661343E-3</v>
      </c>
      <c r="R83" s="10">
        <f>Table2[[#This Row],[h US 4]]*(w+Table2[[#This Row],[h US 4]]*m)</f>
        <v>1.8875206709261062E-2</v>
      </c>
      <c r="S83" s="10">
        <f>Table2[[#This Row],[h US 5]]*(w+Table2[[#This Row],[h US 5]]*m)</f>
        <v>8.8604386093535208E-3</v>
      </c>
      <c r="T83" s="10">
        <f>Table2[[#This Row],[Q ]]/Table2[[#This Row],[A0]]</f>
        <v>0.37966625638337143</v>
      </c>
      <c r="U83" s="10">
        <f>Table2[[#This Row],[A1]]*SQRT(2*g*(Table2[[#This Row],[h US 4]]-Table2[[#This Row],[h US 5]])+Table2[[#This Row],[u0]]^2/(2*g)*(1-Table2[[#This Row],[ζ]]))</f>
        <v>6.5761727342264426E-3</v>
      </c>
      <c r="V83" s="34">
        <f>Table2[[#This Row],[Q ]]/Table2[[#This Row],[Qc]]</f>
        <v>1.0897340078173015</v>
      </c>
    </row>
    <row r="84" spans="2:22" x14ac:dyDescent="0.25">
      <c r="B84" s="12">
        <v>512</v>
      </c>
      <c r="C84" s="13">
        <v>23</v>
      </c>
      <c r="D84" s="13">
        <v>7.1845070422535242E-3</v>
      </c>
      <c r="E84" s="13"/>
      <c r="F84" s="13">
        <v>4.0594442345582044E-2</v>
      </c>
      <c r="G84" s="13">
        <v>4.1467611192322125E-2</v>
      </c>
      <c r="H84" s="13">
        <v>4.5833109386894125E-2</v>
      </c>
      <c r="I84" s="26">
        <v>5.0765510680352142E-2</v>
      </c>
      <c r="J84" s="13">
        <v>4.8281252894498007E-2</v>
      </c>
      <c r="K84" s="27">
        <v>0.23400000000000001</v>
      </c>
      <c r="L84" s="29">
        <v>0.71303044338374211</v>
      </c>
      <c r="M84" s="35"/>
      <c r="N84" s="29">
        <v>0.97375567708972799</v>
      </c>
      <c r="O84" s="31">
        <f>Table2[[#This Row],[b/wnc,max]]*Table2[[#This Row],[hnc/h0]]</f>
        <v>0.69431744218272473</v>
      </c>
      <c r="P84" s="10">
        <v>0.13836075268271075</v>
      </c>
      <c r="Q84" s="10">
        <v>3.131778472985047E-3</v>
      </c>
      <c r="R84" s="10">
        <f>Table2[[#This Row],[h US 4]]*(w+Table2[[#This Row],[h US 4]]*m)</f>
        <v>1.1263954483941109E-2</v>
      </c>
      <c r="S84" s="10">
        <f>Table2[[#This Row],[h US 5]]*(w+Table2[[#This Row],[h US 5]]*m)</f>
        <v>1.0450762655405932E-2</v>
      </c>
      <c r="T84" s="10">
        <f>Table2[[#This Row],[Q ]]/Table2[[#This Row],[A0]]</f>
        <v>0.63783168269157986</v>
      </c>
      <c r="U84" s="10">
        <f>Table2[[#This Row],[A1]]*SQRT(2*g*(Table2[[#This Row],[h US 4]]-Table2[[#This Row],[h US 5]])+Table2[[#This Row],[u0]]^2/(2*g)*(1-Table2[[#This Row],[ζ]]))</f>
        <v>2.6971797358009788E-3</v>
      </c>
      <c r="V84" s="36"/>
    </row>
    <row r="85" spans="2:22" x14ac:dyDescent="0.25">
      <c r="B85" s="12">
        <v>510</v>
      </c>
      <c r="C85" s="13">
        <v>21</v>
      </c>
      <c r="D85" s="13">
        <v>7.2042253521126809E-3</v>
      </c>
      <c r="E85" s="13"/>
      <c r="F85" s="26">
        <v>4.1187471405596268E-2</v>
      </c>
      <c r="G85" s="26">
        <v>4.2267474936951703E-2</v>
      </c>
      <c r="H85" s="26">
        <v>5.5455932386382911E-2</v>
      </c>
      <c r="I85" s="26">
        <v>7.2498999289943897E-2</v>
      </c>
      <c r="J85" s="26">
        <v>4.3150661583109602E-2</v>
      </c>
      <c r="K85" s="27">
        <v>0.15</v>
      </c>
      <c r="L85" s="29">
        <v>0.45678048066250138</v>
      </c>
      <c r="M85" s="10">
        <v>0.55859975738074052</v>
      </c>
      <c r="N85" s="29">
        <v>0.68249266466952241</v>
      </c>
      <c r="O85" s="31">
        <f>Table2[[#This Row],[b/wnc,max]]*Table2[[#This Row],[hnc/h0]]</f>
        <v>0.31174932741637584</v>
      </c>
      <c r="P85" s="10">
        <v>0.28912109456827906</v>
      </c>
      <c r="Q85" s="10">
        <v>6.5614647234613147E-3</v>
      </c>
      <c r="R85" s="10">
        <f>Table2[[#This Row],[h US 4]]*(w+Table2[[#This Row],[h US 4]]*m)</f>
        <v>1.9527773239489916E-2</v>
      </c>
      <c r="S85" s="10">
        <f>Table2[[#This Row],[h US 5]]*(w+Table2[[#This Row],[h US 5]]*m)</f>
        <v>8.8566592672553283E-3</v>
      </c>
      <c r="T85" s="10">
        <f>Table2[[#This Row],[Q ]]/Table2[[#This Row],[A0]]</f>
        <v>0.36892200988610324</v>
      </c>
      <c r="U85" s="10">
        <f>Table2[[#This Row],[A1]]*SQRT(2*g*(Table2[[#This Row],[h US 4]]-Table2[[#This Row],[h US 5]])+Table2[[#This Row],[u0]]^2/(2*g)*(1-Table2[[#This Row],[ζ]]))</f>
        <v>6.7493655642435774E-3</v>
      </c>
      <c r="V85" s="34">
        <f>Table2[[#This Row],[Q ]]/Table2[[#This Row],[Qc]]</f>
        <v>1.0673929695375866</v>
      </c>
    </row>
    <row r="86" spans="2:22" x14ac:dyDescent="0.25">
      <c r="B86" s="12">
        <v>510</v>
      </c>
      <c r="C86" s="13">
        <v>19</v>
      </c>
      <c r="D86" s="13">
        <v>7.2050000000000005E-3</v>
      </c>
      <c r="E86" s="13"/>
      <c r="F86" s="26">
        <v>4.0766788609022823E-2</v>
      </c>
      <c r="G86" s="26">
        <v>4.0550963450441888E-2</v>
      </c>
      <c r="H86" s="26">
        <v>4.4778688628925437E-2</v>
      </c>
      <c r="I86" s="26">
        <v>5.5223598228159802E-2</v>
      </c>
      <c r="J86" s="26">
        <v>4.6941357298575938E-2</v>
      </c>
      <c r="K86" s="27">
        <v>0.22</v>
      </c>
      <c r="L86" s="29">
        <v>0.66992798826049171</v>
      </c>
      <c r="M86" s="10">
        <v>0.95827246690874701</v>
      </c>
      <c r="N86" s="29">
        <v>0.8960277234301629</v>
      </c>
      <c r="O86" s="31">
        <f>Table2[[#This Row],[b/wnc,max]]*Table2[[#This Row],[hnc/h0]]</f>
        <v>0.60027405018319724</v>
      </c>
      <c r="P86" s="10">
        <v>9.335464397911683E-2</v>
      </c>
      <c r="Q86" s="10">
        <v>2.1188574144036677E-3</v>
      </c>
      <c r="R86" s="10">
        <f>Table2[[#This Row],[h US 4]]*(w+Table2[[#This Row],[h US 4]]*m)</f>
        <v>1.2790855762449219E-2</v>
      </c>
      <c r="S86" s="10">
        <f>Table2[[#This Row],[h US 5]]*(w+Table2[[#This Row],[h US 5]]*m)</f>
        <v>1.0023355757018066E-2</v>
      </c>
      <c r="T86" s="10">
        <f>Table2[[#This Row],[Q ]]/Table2[[#This Row],[A0]]</f>
        <v>0.56329303791792373</v>
      </c>
      <c r="U86" s="10">
        <f>Table2[[#This Row],[A1]]*SQRT(2*g*(Table2[[#This Row],[h US 4]]-Table2[[#This Row],[h US 5]])+Table2[[#This Row],[u0]]^2/(2*g)*(1-Table2[[#This Row],[ζ]]))</f>
        <v>4.2188688901637055E-3</v>
      </c>
      <c r="V86" s="34">
        <f>Table2[[#This Row],[Q ]]/Table2[[#This Row],[Qc]]</f>
        <v>1.7078037235995793</v>
      </c>
    </row>
    <row r="87" spans="2:22" x14ac:dyDescent="0.25">
      <c r="B87" s="12">
        <v>510</v>
      </c>
      <c r="C87" s="13">
        <v>20</v>
      </c>
      <c r="D87" s="13">
        <v>7.2290322580645184E-3</v>
      </c>
      <c r="E87" s="13"/>
      <c r="F87" s="26">
        <v>4.1090628330067845E-2</v>
      </c>
      <c r="G87" s="26">
        <v>4.0952013416589536E-2</v>
      </c>
      <c r="H87" s="26">
        <v>4.4853174074565835E-2</v>
      </c>
      <c r="I87" s="26">
        <v>5.5599391442847958E-2</v>
      </c>
      <c r="J87" s="26">
        <v>4.847155629031033E-2</v>
      </c>
      <c r="K87" s="27">
        <v>0.23400000000000001</v>
      </c>
      <c r="L87" s="29">
        <v>0.71200859706666186</v>
      </c>
      <c r="M87" s="10">
        <v>0.94885726879060073</v>
      </c>
      <c r="N87" s="29">
        <v>0.890998090578484</v>
      </c>
      <c r="O87" s="31">
        <f>Table2[[#This Row],[b/wnc,max]]*Table2[[#This Row],[hnc/h0]]</f>
        <v>0.63439830046186085</v>
      </c>
      <c r="P87" s="10">
        <v>0.13052257708426043</v>
      </c>
      <c r="Q87" s="10">
        <v>2.9719168190880472E-3</v>
      </c>
      <c r="R87" s="10">
        <f>Table2[[#This Row],[h US 4]]*(w+Table2[[#This Row],[h US 4]]*m)</f>
        <v>1.2923533154753924E-2</v>
      </c>
      <c r="S87" s="10">
        <f>Table2[[#This Row],[h US 5]]*(w+Table2[[#This Row],[h US 5]]*m)</f>
        <v>1.0512102670521403E-2</v>
      </c>
      <c r="T87" s="10">
        <f>Table2[[#This Row],[Q ]]/Table2[[#This Row],[A0]]</f>
        <v>0.55936965313586229</v>
      </c>
      <c r="U87" s="10">
        <f>Table2[[#This Row],[A1]]*SQRT(2*g*(Table2[[#This Row],[h US 4]]-Table2[[#This Row],[h US 5]])+Table2[[#This Row],[u0]]^2/(2*g)*(1-Table2[[#This Row],[ζ]]))</f>
        <v>4.121418823149055E-3</v>
      </c>
      <c r="V87" s="34">
        <f>Table2[[#This Row],[Q ]]/Table2[[#This Row],[Qc]]</f>
        <v>1.7540154418329723</v>
      </c>
    </row>
    <row r="88" spans="2:22" x14ac:dyDescent="0.25">
      <c r="B88" s="12">
        <v>512</v>
      </c>
      <c r="C88" s="13">
        <v>25</v>
      </c>
      <c r="D88" s="13">
        <v>7.2735294117647099E-3</v>
      </c>
      <c r="E88" s="13"/>
      <c r="F88" s="13">
        <v>7.2779861605711482E-2</v>
      </c>
      <c r="G88" s="13">
        <v>9.407591771428217E-2</v>
      </c>
      <c r="H88" s="13">
        <v>0.10351523671675709</v>
      </c>
      <c r="I88" s="26">
        <f>H88+0.009746865/2</f>
        <v>0.10838866921675709</v>
      </c>
      <c r="J88" s="13">
        <v>3.4876299303958629E-2</v>
      </c>
      <c r="K88" s="27">
        <v>0.1</v>
      </c>
      <c r="L88" s="29">
        <v>0.30384201565818991</v>
      </c>
      <c r="M88" s="10">
        <v>0.24516149760522266</v>
      </c>
      <c r="N88" s="29">
        <v>0.45802418935194411</v>
      </c>
      <c r="O88" s="31">
        <f>Table2[[#This Row],[b/wnc,max]]*Table2[[#This Row],[hnc/h0]]</f>
        <v>0.13916699291290313</v>
      </c>
      <c r="P88" s="10">
        <v>0.7045336933643439</v>
      </c>
      <c r="Q88" s="10">
        <v>1.6136007611982514E-2</v>
      </c>
      <c r="R88" s="10">
        <f>Table2[[#This Row],[h US 4]]*(w+Table2[[#This Row],[h US 4]]*m)</f>
        <v>3.7691350198024769E-2</v>
      </c>
      <c r="S88" s="10">
        <f>Table2[[#This Row],[h US 5]]*(w+Table2[[#This Row],[h US 5]]*m)</f>
        <v>6.5280345508462786E-3</v>
      </c>
      <c r="T88" s="10">
        <f>Table2[[#This Row],[Q ]]/Table2[[#This Row],[A0]]</f>
        <v>0.19297609062956525</v>
      </c>
      <c r="U88" s="10">
        <f>Table2[[#This Row],[A1]]*SQRT(2*g*(Table2[[#This Row],[h US 4]]-Table2[[#This Row],[h US 5]])+Table2[[#This Row],[u0]]^2/(2*g)*(1-Table2[[#This Row],[ζ]]))</f>
        <v>7.8414535487717554E-3</v>
      </c>
      <c r="V88" s="34">
        <f>Table2[[#This Row],[Q ]]/Table2[[#This Row],[Qc]]</f>
        <v>0.92757412468559453</v>
      </c>
    </row>
    <row r="89" spans="2:22" x14ac:dyDescent="0.25">
      <c r="B89" s="12">
        <v>512</v>
      </c>
      <c r="C89" s="13">
        <v>30</v>
      </c>
      <c r="D89" s="13">
        <v>7.6212500000000022E-3</v>
      </c>
      <c r="E89" s="13"/>
      <c r="F89" s="13">
        <v>4.2694176539674646E-2</v>
      </c>
      <c r="G89" s="13">
        <v>4.3069679135163005E-2</v>
      </c>
      <c r="H89" s="13">
        <v>4.7502374295651087E-2</v>
      </c>
      <c r="I89" s="26">
        <v>5.9800166982027302E-2</v>
      </c>
      <c r="J89" s="13">
        <v>4.7485880896938122E-2</v>
      </c>
      <c r="K89" s="27">
        <v>0.2</v>
      </c>
      <c r="L89" s="29">
        <v>0.60096770992396231</v>
      </c>
      <c r="M89" s="10">
        <v>0.86741067614983847</v>
      </c>
      <c r="N89" s="29">
        <v>0.84398541504355173</v>
      </c>
      <c r="O89" s="31">
        <f>Table2[[#This Row],[b/wnc,max]]*Table2[[#This Row],[hnc/h0]]</f>
        <v>0.50720798208794815</v>
      </c>
      <c r="P89" s="10">
        <v>8.4372123631749063E-2</v>
      </c>
      <c r="Q89" s="10">
        <v>2.0185853267876367E-3</v>
      </c>
      <c r="R89" s="10">
        <f>Table2[[#This Row],[h US 4]]*(w+Table2[[#This Row],[h US 4]]*m)</f>
        <v>1.4448648723834358E-2</v>
      </c>
      <c r="S89" s="10">
        <f>Table2[[#This Row],[h US 5]]*(w+Table2[[#This Row],[h US 5]]*m)</f>
        <v>1.0196104765212136E-2</v>
      </c>
      <c r="T89" s="10">
        <f>Table2[[#This Row],[Q ]]/Table2[[#This Row],[A0]]</f>
        <v>0.52747147125447502</v>
      </c>
      <c r="U89" s="10">
        <f>Table2[[#This Row],[A1]]*SQRT(2*g*(Table2[[#This Row],[h US 4]]-Table2[[#This Row],[h US 5]])+Table2[[#This Row],[u0]]^2/(2*g)*(1-Table2[[#This Row],[ζ]]))</f>
        <v>5.1446454546376901E-3</v>
      </c>
      <c r="V89" s="34">
        <f>Table2[[#This Row],[Q ]]/Table2[[#This Row],[Qc]]</f>
        <v>1.4813946008912535</v>
      </c>
    </row>
    <row r="90" spans="2:22" x14ac:dyDescent="0.25">
      <c r="B90" s="12">
        <v>512</v>
      </c>
      <c r="C90" s="13">
        <v>27</v>
      </c>
      <c r="D90" s="13">
        <v>7.668055555555559E-3</v>
      </c>
      <c r="E90" s="13"/>
      <c r="F90" s="13">
        <v>4.2656074669592821E-2</v>
      </c>
      <c r="G90" s="13">
        <v>4.5638778837922278E-2</v>
      </c>
      <c r="H90" s="13">
        <v>6.2278271672075509E-2</v>
      </c>
      <c r="I90" s="26">
        <v>7.576542110199859E-2</v>
      </c>
      <c r="J90" s="13">
        <v>4.4555176984297166E-2</v>
      </c>
      <c r="K90" s="27">
        <v>0.15</v>
      </c>
      <c r="L90" s="29">
        <v>0.45005622565330899</v>
      </c>
      <c r="M90" s="10">
        <v>0.54380893586217982</v>
      </c>
      <c r="N90" s="29">
        <v>0.66760840511068154</v>
      </c>
      <c r="O90" s="31">
        <f>Table2[[#This Row],[b/wnc,max]]*Table2[[#This Row],[hnc/h0]]</f>
        <v>0.30046131901853862</v>
      </c>
      <c r="P90" s="10">
        <v>0.30142106937973123</v>
      </c>
      <c r="Q90" s="10">
        <v>7.2519329579907379E-3</v>
      </c>
      <c r="R90" s="10">
        <f>Table2[[#This Row],[h US 4]]*(w+Table2[[#This Row],[h US 4]]*m)</f>
        <v>2.0948141314051569E-2</v>
      </c>
      <c r="S90" s="10">
        <f>Table2[[#This Row],[h US 5]]*(w+Table2[[#This Row],[h US 5]]*m)</f>
        <v>9.281619408703071E-3</v>
      </c>
      <c r="T90" s="10">
        <f>Table2[[#This Row],[Q ]]/Table2[[#This Row],[A0]]</f>
        <v>0.3660494475665958</v>
      </c>
      <c r="U90" s="10">
        <f>Table2[[#This Row],[A1]]*SQRT(2*g*(Table2[[#This Row],[h US 4]]-Table2[[#This Row],[h US 5]])+Table2[[#This Row],[u0]]^2/(2*g)*(1-Table2[[#This Row],[ζ]]))</f>
        <v>7.2913358672041292E-3</v>
      </c>
      <c r="V90" s="34">
        <f>Table2[[#This Row],[Q ]]/Table2[[#This Row],[Qc]]</f>
        <v>1.0516667583571189</v>
      </c>
    </row>
    <row r="91" spans="2:22" x14ac:dyDescent="0.25">
      <c r="B91" s="12">
        <v>512</v>
      </c>
      <c r="C91" s="13">
        <v>31</v>
      </c>
      <c r="D91" s="13">
        <v>7.720833333333333E-3</v>
      </c>
      <c r="E91" s="13"/>
      <c r="F91" s="13">
        <v>4.285635065238199E-2</v>
      </c>
      <c r="G91" s="13">
        <v>4.2946956920289957E-2</v>
      </c>
      <c r="H91" s="13">
        <v>5.4186518263007188E-2</v>
      </c>
      <c r="I91" s="26">
        <v>6.8448493196689955E-2</v>
      </c>
      <c r="J91" s="13">
        <v>4.5705296495563603E-2</v>
      </c>
      <c r="K91" s="27">
        <v>0.17</v>
      </c>
      <c r="L91" s="29">
        <v>0.50921076707023871</v>
      </c>
      <c r="M91" s="10">
        <v>0.67203872471089032</v>
      </c>
      <c r="N91" s="29">
        <v>0.7408049001306396</v>
      </c>
      <c r="O91" s="31">
        <f>Table2[[#This Row],[b/wnc,max]]*Table2[[#This Row],[hnc/h0]]</f>
        <v>0.37722583144491456</v>
      </c>
      <c r="P91" s="10">
        <v>0.14776763885543903</v>
      </c>
      <c r="Q91" s="10">
        <v>3.5774157363017423E-3</v>
      </c>
      <c r="R91" s="10">
        <f>Table2[[#This Row],[h US 4]]*(w+Table2[[#This Row],[h US 4]]*m)</f>
        <v>1.7831188330516494E-2</v>
      </c>
      <c r="S91" s="10">
        <f>Table2[[#This Row],[h US 5]]*(w+Table2[[#This Row],[h US 5]]*m)</f>
        <v>9.6360252008333841E-3</v>
      </c>
      <c r="T91" s="10">
        <f>Table2[[#This Row],[Q ]]/Table2[[#This Row],[A0]]</f>
        <v>0.43299600622353435</v>
      </c>
      <c r="U91" s="10">
        <f>Table2[[#This Row],[A1]]*SQRT(2*g*(Table2[[#This Row],[h US 4]]-Table2[[#This Row],[h US 5]])+Table2[[#This Row],[u0]]^2/(2*g)*(1-Table2[[#This Row],[ζ]]))</f>
        <v>6.4953194024931259E-3</v>
      </c>
      <c r="V91" s="34">
        <f>Table2[[#This Row],[Q ]]/Table2[[#This Row],[Qc]]</f>
        <v>1.1886764691463538</v>
      </c>
    </row>
    <row r="92" spans="2:22" x14ac:dyDescent="0.25">
      <c r="B92" s="12">
        <v>512</v>
      </c>
      <c r="C92" s="13">
        <v>28</v>
      </c>
      <c r="D92" s="13">
        <v>7.7414634146341444E-3</v>
      </c>
      <c r="E92" s="13"/>
      <c r="F92" s="13">
        <v>4.2989830048835657E-2</v>
      </c>
      <c r="G92" s="13">
        <v>4.3070644162650593E-2</v>
      </c>
      <c r="H92" s="13">
        <v>4.7418290377281673E-2</v>
      </c>
      <c r="I92" s="26">
        <v>5.2664259810513973E-2</v>
      </c>
      <c r="J92" s="13">
        <v>4.995404068900202E-2</v>
      </c>
      <c r="K92" s="27">
        <v>0.23400000000000001</v>
      </c>
      <c r="L92" s="29">
        <v>0.70045578438404676</v>
      </c>
      <c r="M92" s="35"/>
      <c r="N92" s="29">
        <v>0.96376509975410485</v>
      </c>
      <c r="O92" s="31">
        <f>Table2[[#This Row],[b/wnc,max]]*Table2[[#This Row],[hnc/h0]]</f>
        <v>0.67507483891023057</v>
      </c>
      <c r="P92" s="10">
        <v>0.12368295245629055</v>
      </c>
      <c r="Q92" s="10">
        <v>3.0015801430091174E-3</v>
      </c>
      <c r="R92" s="10">
        <f>Table2[[#This Row],[h US 4]]*(w+Table2[[#This Row],[h US 4]]*m)</f>
        <v>1.1903664530693598E-2</v>
      </c>
      <c r="S92" s="10">
        <f>Table2[[#This Row],[h US 5]]*(w+Table2[[#This Row],[h US 5]]*m)</f>
        <v>1.0995364697365553E-2</v>
      </c>
      <c r="T92" s="10">
        <f>Table2[[#This Row],[Q ]]/Table2[[#This Row],[A0]]</f>
        <v>0.65034287505942234</v>
      </c>
      <c r="U92" s="10">
        <f>Table2[[#This Row],[A1]]*SQRT(2*g*(Table2[[#This Row],[h US 4]]-Table2[[#This Row],[h US 5]])+Table2[[#This Row],[u0]]^2/(2*g)*(1-Table2[[#This Row],[ζ]]))</f>
        <v>2.9517005797150297E-3</v>
      </c>
      <c r="V92" s="36"/>
    </row>
    <row r="93" spans="2:22" x14ac:dyDescent="0.25">
      <c r="B93" s="12">
        <v>512</v>
      </c>
      <c r="C93" s="13">
        <v>29</v>
      </c>
      <c r="D93" s="13">
        <v>7.7481927710843406E-3</v>
      </c>
      <c r="E93" s="13"/>
      <c r="F93" s="13">
        <v>4.3113237859064554E-2</v>
      </c>
      <c r="G93" s="13">
        <v>4.3157897692077569E-2</v>
      </c>
      <c r="H93" s="13">
        <v>4.7514660674327462E-2</v>
      </c>
      <c r="I93" s="26">
        <v>5.6712518378698458E-2</v>
      </c>
      <c r="J93" s="13">
        <v>4.9753618456863435E-2</v>
      </c>
      <c r="K93" s="27">
        <v>0.22</v>
      </c>
      <c r="L93" s="29">
        <v>0.65840788050822985</v>
      </c>
      <c r="M93" s="10">
        <v>0.97843012665358253</v>
      </c>
      <c r="N93" s="29">
        <v>0.89525133573323279</v>
      </c>
      <c r="O93" s="31">
        <f>Table2[[#This Row],[b/wnc,max]]*Table2[[#This Row],[hnc/h0]]</f>
        <v>0.58944053448227951</v>
      </c>
      <c r="P93" s="10">
        <v>0.10660324589742053</v>
      </c>
      <c r="Q93" s="10">
        <v>2.5891184601518243E-3</v>
      </c>
      <c r="R93" s="10">
        <f>Table2[[#This Row],[h US 4]]*(w+Table2[[#This Row],[h US 4]]*m)</f>
        <v>1.3320153276009295E-2</v>
      </c>
      <c r="S93" s="10">
        <f>Table2[[#This Row],[h US 5]]*(w+Table2[[#This Row],[h US 5]]*m)</f>
        <v>1.0929469581441446E-2</v>
      </c>
      <c r="T93" s="10">
        <f>Table2[[#This Row],[Q ]]/Table2[[#This Row],[A0]]</f>
        <v>0.58168946036375424</v>
      </c>
      <c r="U93" s="10">
        <f>Table2[[#This Row],[A1]]*SQRT(2*g*(Table2[[#This Row],[h US 4]]-Table2[[#This Row],[h US 5]])+Table2[[#This Row],[u0]]^2/(2*g)*(1-Table2[[#This Row],[ζ]]))</f>
        <v>4.2602640585908506E-3</v>
      </c>
      <c r="V93" s="34">
        <f>Table2[[#This Row],[Q ]]/Table2[[#This Row],[Qc]]</f>
        <v>1.818711860233184</v>
      </c>
    </row>
    <row r="94" spans="2:22" x14ac:dyDescent="0.25">
      <c r="B94" s="12">
        <v>512</v>
      </c>
      <c r="C94" s="13">
        <v>26</v>
      </c>
      <c r="D94" s="13">
        <v>7.7822222222222216E-3</v>
      </c>
      <c r="E94" s="13"/>
      <c r="F94" s="13">
        <v>7.9802091255072191E-2</v>
      </c>
      <c r="G94" s="13">
        <v>0.10294069509532196</v>
      </c>
      <c r="H94" s="13">
        <v>0.11050922030547622</v>
      </c>
      <c r="I94" s="26">
        <f>H94+0.009746865/2</f>
        <v>0.11538265280547622</v>
      </c>
      <c r="J94" s="13">
        <v>3.5897300958792046E-2</v>
      </c>
      <c r="K94" s="27">
        <v>0.1</v>
      </c>
      <c r="L94" s="29">
        <v>0.29895425130413267</v>
      </c>
      <c r="M94" s="10">
        <v>0.22958870867178324</v>
      </c>
      <c r="N94" s="29">
        <v>0.44073157048582118</v>
      </c>
      <c r="O94" s="31">
        <f>Table2[[#This Row],[b/wnc,max]]*Table2[[#This Row],[hnc/h0]]</f>
        <v>0.13175857668068325</v>
      </c>
      <c r="P94" s="10">
        <v>0.75758434479668835</v>
      </c>
      <c r="Q94" s="10">
        <v>1.8472705808480622E-2</v>
      </c>
      <c r="R94" s="10">
        <f>Table2[[#This Row],[h US 4]]*(w+Table2[[#This Row],[h US 4]]*m)</f>
        <v>4.188607103817063E-2</v>
      </c>
      <c r="S94" s="10">
        <f>Table2[[#This Row],[h US 5]]*(w+Table2[[#This Row],[h US 5]]*m)</f>
        <v>6.7991959456885284E-3</v>
      </c>
      <c r="T94" s="10">
        <f>Table2[[#This Row],[Q ]]/Table2[[#This Row],[A0]]</f>
        <v>0.18579499173198435</v>
      </c>
      <c r="U94" s="10">
        <f>Table2[[#This Row],[A1]]*SQRT(2*g*(Table2[[#This Row],[h US 4]]-Table2[[#This Row],[h US 5]])+Table2[[#This Row],[u0]]^2/(2*g)*(1-Table2[[#This Row],[ζ]]))</f>
        <v>8.4920000696872642E-3</v>
      </c>
      <c r="V94" s="34">
        <f>Table2[[#This Row],[Q ]]/Table2[[#This Row],[Qc]]</f>
        <v>0.91641805915680097</v>
      </c>
    </row>
    <row r="95" spans="2:22" x14ac:dyDescent="0.25">
      <c r="B95" s="12">
        <v>513</v>
      </c>
      <c r="C95" s="13">
        <v>6</v>
      </c>
      <c r="D95" s="13">
        <v>8.0583333333333323E-3</v>
      </c>
      <c r="E95" s="13"/>
      <c r="F95" s="13">
        <v>4.5334139011637034E-2</v>
      </c>
      <c r="G95" s="13">
        <v>4.8647950510448672E-2</v>
      </c>
      <c r="H95" s="13">
        <v>6.6692603756871097E-2</v>
      </c>
      <c r="I95" s="26">
        <v>7.8810123967913523E-2</v>
      </c>
      <c r="J95" s="13">
        <v>4.5197726009562983E-2</v>
      </c>
      <c r="K95" s="27">
        <v>0.15</v>
      </c>
      <c r="L95" s="29">
        <v>0.44454977400727869</v>
      </c>
      <c r="M95" s="10">
        <v>0.52743699354927309</v>
      </c>
      <c r="N95" s="29">
        <v>0.65357772673518033</v>
      </c>
      <c r="O95" s="31">
        <f>Table2[[#This Row],[b/wnc,max]]*Table2[[#This Row],[hnc/h0]]</f>
        <v>0.29054783071631535</v>
      </c>
      <c r="P95" s="10">
        <v>0.29515542701959946</v>
      </c>
      <c r="Q95" s="10">
        <v>7.4231836182468737E-3</v>
      </c>
      <c r="R95" s="10">
        <f>Table2[[#This Row],[h US 4]]*(w+Table2[[#This Row],[h US 4]]*m)</f>
        <v>2.2314067804972335E-2</v>
      </c>
      <c r="S95" s="10">
        <f>Table2[[#This Row],[h US 5]]*(w+Table2[[#This Row],[h US 5]]*m)</f>
        <v>9.4789065631239681E-3</v>
      </c>
      <c r="T95" s="10">
        <f>Table2[[#This Row],[Q ]]/Table2[[#This Row],[A0]]</f>
        <v>0.36113242120460265</v>
      </c>
      <c r="U95" s="10">
        <f>Table2[[#This Row],[A1]]*SQRT(2*g*(Table2[[#This Row],[h US 4]]-Table2[[#This Row],[h US 5]])+Table2[[#This Row],[u0]]^2/(2*g)*(1-Table2[[#This Row],[ζ]]))</f>
        <v>7.7249334001971851E-3</v>
      </c>
      <c r="V95" s="34">
        <f>Table2[[#This Row],[Q ]]/Table2[[#This Row],[Qc]]</f>
        <v>1.0431589394838843</v>
      </c>
    </row>
    <row r="96" spans="2:22" x14ac:dyDescent="0.25">
      <c r="B96" s="12">
        <v>513</v>
      </c>
      <c r="C96" s="13">
        <v>2</v>
      </c>
      <c r="D96" s="13">
        <v>8.0749999999999919E-3</v>
      </c>
      <c r="E96" s="13"/>
      <c r="F96" s="13">
        <v>4.461501805888534E-2</v>
      </c>
      <c r="G96" s="13">
        <v>4.3673879505416693E-2</v>
      </c>
      <c r="H96" s="13">
        <v>4.7805359529699748E-2</v>
      </c>
      <c r="I96" s="26">
        <v>6.9724864053128693E-2</v>
      </c>
      <c r="J96" s="13">
        <v>4.9812511174596272E-2</v>
      </c>
      <c r="K96" s="27">
        <v>0.17</v>
      </c>
      <c r="L96" s="29">
        <v>0.50355997094769189</v>
      </c>
      <c r="M96" s="10">
        <v>0.67729336411482421</v>
      </c>
      <c r="N96" s="29">
        <v>0.73930764441106023</v>
      </c>
      <c r="O96" s="31">
        <f>Table2[[#This Row],[b/wnc,max]]*Table2[[#This Row],[hnc/h0]]</f>
        <v>0.37228573594104003</v>
      </c>
      <c r="P96" s="10">
        <v>0.2401134510775704</v>
      </c>
      <c r="Q96" s="10">
        <v>6.0497798368570645E-3</v>
      </c>
      <c r="R96" s="10">
        <f>Table2[[#This Row],[h US 4]]*(w+Table2[[#This Row],[h US 4]]*m)</f>
        <v>1.8358071982455107E-2</v>
      </c>
      <c r="S96" s="10">
        <f>Table2[[#This Row],[h US 5]]*(w+Table2[[#This Row],[h US 5]]*m)</f>
        <v>1.0948814210264194E-2</v>
      </c>
      <c r="T96" s="10">
        <f>Table2[[#This Row],[Q ]]/Table2[[#This Row],[A0]]</f>
        <v>0.439861005432232</v>
      </c>
      <c r="U96" s="10">
        <f>Table2[[#This Row],[A1]]*SQRT(2*g*(Table2[[#This Row],[h US 4]]-Table2[[#This Row],[h US 5]])+Table2[[#This Row],[u0]]^2/(2*g)*(1-Table2[[#This Row],[ζ]]))</f>
        <v>6.9088127626243242E-3</v>
      </c>
      <c r="V96" s="34">
        <f>Table2[[#This Row],[Q ]]/Table2[[#This Row],[Qc]]</f>
        <v>1.1687970534799512</v>
      </c>
    </row>
    <row r="97" spans="2:22" x14ac:dyDescent="0.25">
      <c r="B97" s="12">
        <v>513</v>
      </c>
      <c r="C97" s="13">
        <v>4</v>
      </c>
      <c r="D97" s="13">
        <v>8.116129032258064E-3</v>
      </c>
      <c r="E97" s="13"/>
      <c r="F97" s="13">
        <v>4.5118290333973174E-2</v>
      </c>
      <c r="G97" s="13">
        <v>4.3966009303742365E-2</v>
      </c>
      <c r="H97" s="13">
        <v>4.8486240354811326E-2</v>
      </c>
      <c r="I97" s="26">
        <v>5.6685157234713797E-2</v>
      </c>
      <c r="J97" s="13">
        <v>5.0595501913449636E-2</v>
      </c>
      <c r="K97" s="27">
        <v>0.22</v>
      </c>
      <c r="L97" s="29">
        <v>0.65082712183770686</v>
      </c>
      <c r="M97" s="35"/>
      <c r="N97" s="29">
        <v>0.9110992889684566</v>
      </c>
      <c r="O97" s="31">
        <f>Table2[[#This Row],[b/wnc,max]]*Table2[[#This Row],[hnc/h0]]</f>
        <v>0.5929681279477218</v>
      </c>
      <c r="P97" s="10">
        <v>9.1315529376427521E-2</v>
      </c>
      <c r="Q97" s="10">
        <v>2.3109393010133025E-3</v>
      </c>
      <c r="R97" s="10">
        <f>Table2[[#This Row],[h US 4]]*(w+Table2[[#This Row],[h US 4]]*m)</f>
        <v>1.3310339293245087E-2</v>
      </c>
      <c r="S97" s="10">
        <f>Table2[[#This Row],[h US 5]]*(w+Table2[[#This Row],[h US 5]]*m)</f>
        <v>1.1207444806856251E-2</v>
      </c>
      <c r="T97" s="10">
        <f>Table2[[#This Row],[Q ]]/Table2[[#This Row],[A0]]</f>
        <v>0.60976124300429724</v>
      </c>
      <c r="U97" s="10">
        <f>Table2[[#This Row],[A1]]*SQRT(2*g*(Table2[[#This Row],[h US 4]]-Table2[[#This Row],[h US 5]])+Table2[[#This Row],[u0]]^2/(2*g)*(1-Table2[[#This Row],[ζ]]))</f>
        <v>4.1437101970749285E-3</v>
      </c>
      <c r="V97" s="36"/>
    </row>
    <row r="98" spans="2:22" x14ac:dyDescent="0.25">
      <c r="B98" s="12">
        <v>513</v>
      </c>
      <c r="C98" s="13">
        <v>7</v>
      </c>
      <c r="D98" s="13">
        <v>8.117499999999998E-3</v>
      </c>
      <c r="E98" s="13"/>
      <c r="F98" s="13">
        <v>8.6519743010333855E-2</v>
      </c>
      <c r="G98" s="13">
        <v>0.10784426368834067</v>
      </c>
      <c r="H98" s="13">
        <v>0.11445000460681619</v>
      </c>
      <c r="I98" s="26">
        <f>H98+0.009746865/2</f>
        <v>0.11932343710681619</v>
      </c>
      <c r="J98" s="13">
        <v>3.5832365428011853E-2</v>
      </c>
      <c r="K98" s="27">
        <v>0.1</v>
      </c>
      <c r="L98" s="29">
        <v>0.29581781890335412</v>
      </c>
      <c r="M98" s="10">
        <v>0.22285551534029668</v>
      </c>
      <c r="N98" s="29">
        <v>0.4328492687799857</v>
      </c>
      <c r="O98" s="31">
        <f>Table2[[#This Row],[b/wnc,max]]*Table2[[#This Row],[hnc/h0]]</f>
        <v>0.12804452660440707</v>
      </c>
      <c r="P98" s="10">
        <v>0.63912211969338306</v>
      </c>
      <c r="Q98" s="10">
        <v>1.6176756765853631E-2</v>
      </c>
      <c r="R98" s="10">
        <f>Table2[[#This Row],[h US 4]]*(w+Table2[[#This Row],[h US 4]]*m)</f>
        <v>4.4343721627662945E-2</v>
      </c>
      <c r="S98" s="10">
        <f>Table2[[#This Row],[h US 5]]*(w+Table2[[#This Row],[h US 5]]*m)</f>
        <v>6.7818145263635575E-3</v>
      </c>
      <c r="T98" s="10">
        <f>Table2[[#This Row],[Q ]]/Table2[[#This Row],[A0]]</f>
        <v>0.18305860902157697</v>
      </c>
      <c r="U98" s="10">
        <f>Table2[[#This Row],[A1]]*SQRT(2*g*(Table2[[#This Row],[h US 4]]-Table2[[#This Row],[h US 5]])+Table2[[#This Row],[u0]]^2/(2*g)*(1-Table2[[#This Row],[ζ]]))</f>
        <v>8.6815469595444162E-3</v>
      </c>
      <c r="V98" s="34">
        <f>Table2[[#This Row],[Q ]]/Table2[[#This Row],[Qc]]</f>
        <v>0.9350292105574215</v>
      </c>
    </row>
    <row r="99" spans="2:22" x14ac:dyDescent="0.25">
      <c r="B99" s="12">
        <v>513</v>
      </c>
      <c r="C99" s="13">
        <v>3</v>
      </c>
      <c r="D99" s="13">
        <v>8.1649999999999969E-3</v>
      </c>
      <c r="E99" s="13"/>
      <c r="F99" s="13">
        <v>4.4731026102593677E-2</v>
      </c>
      <c r="G99" s="13">
        <v>4.3261792380223561E-2</v>
      </c>
      <c r="H99" s="13">
        <v>4.7930575097465629E-2</v>
      </c>
      <c r="I99" s="26">
        <v>5.6153845262681384E-2</v>
      </c>
      <c r="J99" s="13">
        <v>4.9003108417376214E-2</v>
      </c>
      <c r="K99" s="27">
        <v>0.2</v>
      </c>
      <c r="L99" s="29">
        <v>0.59075756741773722</v>
      </c>
      <c r="M99" s="35"/>
      <c r="N99" s="29">
        <v>0.92178682969730319</v>
      </c>
      <c r="O99" s="31">
        <f>Table2[[#This Row],[b/wnc,max]]*Table2[[#This Row],[hnc/h0]]</f>
        <v>0.54455254518968688</v>
      </c>
      <c r="P99" s="10">
        <v>4.4151993897680326E-2</v>
      </c>
      <c r="Q99" s="10">
        <v>1.1231887190017338E-3</v>
      </c>
      <c r="R99" s="10">
        <f>Table2[[#This Row],[h US 4]]*(w+Table2[[#This Row],[h US 4]]*m)</f>
        <v>1.312041494874799E-2</v>
      </c>
      <c r="S99" s="10">
        <f>Table2[[#This Row],[h US 5]]*(w+Table2[[#This Row],[h US 5]]*m)</f>
        <v>1.0684274617145911E-2</v>
      </c>
      <c r="T99" s="10">
        <f>Table2[[#This Row],[Q ]]/Table2[[#This Row],[A0]]</f>
        <v>0.62231263507250112</v>
      </c>
      <c r="U99" s="10">
        <f>Table2[[#This Row],[A1]]*SQRT(2*g*(Table2[[#This Row],[h US 4]]-Table2[[#This Row],[h US 5]])+Table2[[#This Row],[u0]]^2/(2*g)*(1-Table2[[#This Row],[ζ]]))</f>
        <v>4.2625387323148769E-3</v>
      </c>
      <c r="V99" s="36"/>
    </row>
    <row r="100" spans="2:22" x14ac:dyDescent="0.25">
      <c r="B100" s="12">
        <v>513</v>
      </c>
      <c r="C100" s="13">
        <v>5</v>
      </c>
      <c r="D100" s="13">
        <v>8.2141666666666578E-3</v>
      </c>
      <c r="E100" s="13"/>
      <c r="F100" s="13">
        <v>4.5484011227834742E-2</v>
      </c>
      <c r="G100" s="13">
        <v>4.4369296894612477E-2</v>
      </c>
      <c r="H100" s="13">
        <v>4.8377247846326597E-2</v>
      </c>
      <c r="I100" s="26">
        <v>5.5915249054483029E-2</v>
      </c>
      <c r="J100" s="13">
        <v>5.1161508376713891E-2</v>
      </c>
      <c r="K100" s="27">
        <v>0.23400000000000001</v>
      </c>
      <c r="L100" s="29">
        <v>0.69012617131175802</v>
      </c>
      <c r="M100" s="35"/>
      <c r="N100" s="29">
        <v>0.92780854437013238</v>
      </c>
      <c r="O100" s="31">
        <f>Table2[[#This Row],[b/wnc,max]]*Table2[[#This Row],[hnc/h0]]</f>
        <v>0.64030495843649482</v>
      </c>
      <c r="P100" s="10">
        <v>9.8231378161736049E-2</v>
      </c>
      <c r="Q100" s="10">
        <v>2.511880707620138E-3</v>
      </c>
      <c r="R100" s="10">
        <f>Table2[[#This Row],[h US 4]]*(w+Table2[[#This Row],[h US 4]]*m)</f>
        <v>1.3035526875848488E-2</v>
      </c>
      <c r="S100" s="10">
        <f>Table2[[#This Row],[h US 5]]*(w+Table2[[#This Row],[h US 5]]*m)</f>
        <v>1.1396070797410274E-2</v>
      </c>
      <c r="T100" s="10">
        <f>Table2[[#This Row],[Q ]]/Table2[[#This Row],[A0]]</f>
        <v>0.63013691313739051</v>
      </c>
      <c r="U100" s="10">
        <f>Table2[[#This Row],[A1]]*SQRT(2*g*(Table2[[#This Row],[h US 4]]-Table2[[#This Row],[h US 5]])+Table2[[#This Row],[u0]]^2/(2*g)*(1-Table2[[#This Row],[ζ]]))</f>
        <v>3.805648217448292E-3</v>
      </c>
      <c r="V100" s="36"/>
    </row>
    <row r="101" spans="2:22" x14ac:dyDescent="0.25">
      <c r="B101" s="12">
        <v>513</v>
      </c>
      <c r="C101" s="13">
        <v>13</v>
      </c>
      <c r="D101" s="13">
        <v>8.5391666666666654E-3</v>
      </c>
      <c r="E101" s="13"/>
      <c r="F101" s="13">
        <v>4.559241326119326E-2</v>
      </c>
      <c r="G101" s="13">
        <v>4.5030791923363102E-2</v>
      </c>
      <c r="H101" s="13">
        <v>5.805971159671524E-2</v>
      </c>
      <c r="I101" s="26">
        <v>7.2146421348770362E-2</v>
      </c>
      <c r="J101" s="13">
        <v>4.8300920644277164E-2</v>
      </c>
      <c r="K101" s="27">
        <v>0.17</v>
      </c>
      <c r="L101" s="29">
        <v>0.49634127552666457</v>
      </c>
      <c r="M101" s="10">
        <v>0.66865491613374106</v>
      </c>
      <c r="N101" s="29">
        <v>0.72977314534854176</v>
      </c>
      <c r="O101" s="31">
        <f>Table2[[#This Row],[b/wnc,max]]*Table2[[#This Row],[hnc/h0]]</f>
        <v>0.36221653380740121</v>
      </c>
      <c r="P101" s="10">
        <v>0.14217660970424334</v>
      </c>
      <c r="Q101" s="10">
        <v>3.756637089421002E-3</v>
      </c>
      <c r="R101" s="10">
        <f>Table2[[#This Row],[h US 4]]*(w+Table2[[#This Row],[h US 4]]*m)</f>
        <v>1.9377245542676728E-2</v>
      </c>
      <c r="S101" s="10">
        <f>Table2[[#This Row],[h US 5]]*(w+Table2[[#This Row],[h US 5]]*m)</f>
        <v>1.0457094781526899E-2</v>
      </c>
      <c r="T101" s="10">
        <f>Table2[[#This Row],[Q ]]/Table2[[#This Row],[A0]]</f>
        <v>0.44068010842200872</v>
      </c>
      <c r="U101" s="10">
        <f>Table2[[#This Row],[A1]]*SQRT(2*g*(Table2[[#This Row],[h US 4]]-Table2[[#This Row],[h US 5]])+Table2[[#This Row],[u0]]^2/(2*g)*(1-Table2[[#This Row],[ζ]]))</f>
        <v>7.2172097680172787E-3</v>
      </c>
      <c r="V101" s="34">
        <f>Table2[[#This Row],[Q ]]/Table2[[#This Row],[Qc]]</f>
        <v>1.1831673099634121</v>
      </c>
    </row>
    <row r="102" spans="2:22" x14ac:dyDescent="0.25">
      <c r="B102" s="12">
        <v>513</v>
      </c>
      <c r="C102" s="13">
        <v>8</v>
      </c>
      <c r="D102" s="13">
        <v>8.5516666666666588E-3</v>
      </c>
      <c r="E102" s="13"/>
      <c r="F102" s="13">
        <v>9.5443886143701182E-2</v>
      </c>
      <c r="G102" s="13">
        <v>0.11409532220155699</v>
      </c>
      <c r="H102" s="13">
        <v>0.12168891618276906</v>
      </c>
      <c r="I102" s="26">
        <f>H102+0.009746865/2</f>
        <v>0.12656234868276905</v>
      </c>
      <c r="J102" s="13">
        <v>3.6056073032631787E-2</v>
      </c>
      <c r="K102" s="27">
        <v>0.1</v>
      </c>
      <c r="L102" s="29">
        <v>0.29185278641740747</v>
      </c>
      <c r="M102" s="10">
        <v>0.20681027303372285</v>
      </c>
      <c r="N102" s="29">
        <v>0.41623918078019606</v>
      </c>
      <c r="O102" s="31">
        <f>Table2[[#This Row],[b/wnc,max]]*Table2[[#This Row],[hnc/h0]]</f>
        <v>0.12148056472679922</v>
      </c>
      <c r="P102" s="10">
        <v>0.62100449405064739</v>
      </c>
      <c r="Q102" s="10">
        <v>1.642827120990166E-2</v>
      </c>
      <c r="R102" s="10">
        <f>Table2[[#This Row],[h US 4]]*(w+Table2[[#This Row],[h US 4]]*m)</f>
        <v>4.9034997688759997E-2</v>
      </c>
      <c r="S102" s="10">
        <f>Table2[[#This Row],[h US 5]]*(w+Table2[[#This Row],[h US 5]]*m)</f>
        <v>6.8417723538379332E-3</v>
      </c>
      <c r="T102" s="10">
        <f>Table2[[#This Row],[Q ]]/Table2[[#This Row],[A0]]</f>
        <v>0.17439924685928773</v>
      </c>
      <c r="U102" s="10">
        <f>Table2[[#This Row],[A1]]*SQRT(2*g*(Table2[[#This Row],[h US 4]]-Table2[[#This Row],[h US 5]])+Table2[[#This Row],[u0]]^2/(2*g)*(1-Table2[[#This Row],[ζ]]))</f>
        <v>9.1186238720016213E-3</v>
      </c>
      <c r="V102" s="34">
        <f>Table2[[#This Row],[Q ]]/Table2[[#This Row],[Qc]]</f>
        <v>0.93782425799184654</v>
      </c>
    </row>
    <row r="103" spans="2:22" x14ac:dyDescent="0.25">
      <c r="B103" s="12">
        <v>513</v>
      </c>
      <c r="C103" s="13">
        <v>10</v>
      </c>
      <c r="D103" s="13">
        <v>8.5525000000000011E-3</v>
      </c>
      <c r="E103" s="13"/>
      <c r="F103" s="13">
        <v>4.5629275922498436E-2</v>
      </c>
      <c r="G103" s="13">
        <v>4.5163559821234565E-2</v>
      </c>
      <c r="H103" s="13">
        <v>4.9502632633072127E-2</v>
      </c>
      <c r="I103" s="11">
        <v>5.7523235227146495E-2</v>
      </c>
      <c r="J103" s="13">
        <v>5.2401979550131005E-2</v>
      </c>
      <c r="K103" s="27">
        <v>0.23400000000000001</v>
      </c>
      <c r="L103" s="29">
        <v>0.68291795096665586</v>
      </c>
      <c r="M103" s="35"/>
      <c r="N103" s="29">
        <v>0.91584187314864562</v>
      </c>
      <c r="O103" s="31">
        <f>Table2[[#This Row],[b/wnc,max]]*Table2[[#This Row],[hnc/h0]]</f>
        <v>0.62544485542013706</v>
      </c>
      <c r="P103" s="10">
        <v>9.5671018789999285E-2</v>
      </c>
      <c r="Q103" s="10">
        <v>2.5311188306850804E-3</v>
      </c>
      <c r="R103" s="10">
        <f>Table2[[#This Row],[h US 4]]*(w+Table2[[#This Row],[h US 4]]*m)</f>
        <v>1.3612427833470277E-2</v>
      </c>
      <c r="S103" s="10">
        <f>Table2[[#This Row],[h US 5]]*(w+Table2[[#This Row],[h US 5]]*m)</f>
        <v>1.1814361857883504E-2</v>
      </c>
      <c r="T103" s="10">
        <f>Table2[[#This Row],[Q ]]/Table2[[#This Row],[A0]]</f>
        <v>0.62828615913548425</v>
      </c>
      <c r="U103" s="10">
        <f>Table2[[#This Row],[A1]]*SQRT(2*g*(Table2[[#This Row],[h US 4]]-Table2[[#This Row],[h US 5]])+Table2[[#This Row],[u0]]^2/(2*g)*(1-Table2[[#This Row],[ζ]]))</f>
        <v>4.0699341956053035E-3</v>
      </c>
      <c r="V103" s="36"/>
    </row>
    <row r="104" spans="2:22" x14ac:dyDescent="0.25">
      <c r="B104" s="12">
        <v>513</v>
      </c>
      <c r="C104" s="13">
        <v>12</v>
      </c>
      <c r="D104" s="13">
        <v>8.5666666666666669E-3</v>
      </c>
      <c r="E104" s="13"/>
      <c r="F104" s="13">
        <v>4.5597029510030758E-2</v>
      </c>
      <c r="G104" s="13">
        <v>4.5142551604644462E-2</v>
      </c>
      <c r="H104" s="13">
        <v>4.9901126944429622E-2</v>
      </c>
      <c r="I104" s="26">
        <v>5.7945786056889603E-2</v>
      </c>
      <c r="J104" s="13">
        <v>4.9139752157763339E-2</v>
      </c>
      <c r="K104" s="27">
        <v>0.2</v>
      </c>
      <c r="L104" s="29">
        <v>0.58343539484030493</v>
      </c>
      <c r="M104" s="35"/>
      <c r="N104" s="29">
        <v>0.90974403697929573</v>
      </c>
      <c r="O104" s="31">
        <f>Table2[[#This Row],[b/wnc,max]]*Table2[[#This Row],[hnc/h0]]</f>
        <v>0.53077687141862839</v>
      </c>
      <c r="P104" s="10">
        <v>1.8380688183012894E-3</v>
      </c>
      <c r="Q104" s="10">
        <v>4.8695422845138753E-5</v>
      </c>
      <c r="R104" s="10">
        <f>Table2[[#This Row],[h US 4]]*(w+Table2[[#This Row],[h US 4]]*m)</f>
        <v>1.376590143704289E-2</v>
      </c>
      <c r="S104" s="10">
        <f>Table2[[#This Row],[h US 5]]*(w+Table2[[#This Row],[h US 5]]*m)</f>
        <v>1.0728733521364229E-2</v>
      </c>
      <c r="T104" s="10">
        <f>Table2[[#This Row],[Q ]]/Table2[[#This Row],[A0]]</f>
        <v>0.62231062061903786</v>
      </c>
      <c r="U104" s="10">
        <f>Table2[[#This Row],[A1]]*SQRT(2*g*(Table2[[#This Row],[h US 4]]-Table2[[#This Row],[h US 5]])+Table2[[#This Row],[u0]]^2/(2*g)*(1-Table2[[#This Row],[ζ]]))</f>
        <v>4.706927380957928E-3</v>
      </c>
      <c r="V104" s="36"/>
    </row>
    <row r="105" spans="2:22" x14ac:dyDescent="0.25">
      <c r="B105" s="12">
        <v>513</v>
      </c>
      <c r="C105" s="13">
        <v>9</v>
      </c>
      <c r="D105" s="13">
        <v>8.5799999999999939E-3</v>
      </c>
      <c r="E105" s="13"/>
      <c r="F105" s="13">
        <v>4.5706304348622169E-2</v>
      </c>
      <c r="G105" s="13">
        <v>5.3944570934433486E-2</v>
      </c>
      <c r="H105" s="13">
        <v>7.3732214546211233E-2</v>
      </c>
      <c r="I105" s="26">
        <v>7.9870655443932098E-2</v>
      </c>
      <c r="J105" s="13">
        <v>4.6517076963977742E-2</v>
      </c>
      <c r="K105" s="27">
        <v>0.15</v>
      </c>
      <c r="L105" s="29">
        <v>0.43739658488095312</v>
      </c>
      <c r="M105" s="10">
        <v>0.54645371493685824</v>
      </c>
      <c r="N105" s="29">
        <v>0.66041150791641967</v>
      </c>
      <c r="O105" s="31">
        <f>Table2[[#This Row],[b/wnc,max]]*Table2[[#This Row],[hnc/h0]]</f>
        <v>0.28886173817872252</v>
      </c>
      <c r="P105" s="10">
        <v>0.23404973006971894</v>
      </c>
      <c r="Q105" s="10">
        <v>6.2085765727885218E-3</v>
      </c>
      <c r="R105" s="10">
        <f>Table2[[#This Row],[h US 4]]*(w+Table2[[#This Row],[h US 4]]*m)</f>
        <v>2.2799356995275282E-2</v>
      </c>
      <c r="S105" s="10">
        <f>Table2[[#This Row],[h US 5]]*(w+Table2[[#This Row],[h US 5]]*m)</f>
        <v>9.889651483902806E-3</v>
      </c>
      <c r="T105" s="10">
        <f>Table2[[#This Row],[Q ]]/Table2[[#This Row],[A0]]</f>
        <v>0.37632640261644351</v>
      </c>
      <c r="U105" s="10">
        <f>Table2[[#This Row],[A1]]*SQRT(2*g*(Table2[[#This Row],[h US 4]]-Table2[[#This Row],[h US 5]])+Table2[[#This Row],[u0]]^2/(2*g)*(1-Table2[[#This Row],[ζ]]))</f>
        <v>8.0339404857422882E-3</v>
      </c>
      <c r="V105" s="34">
        <f>Table2[[#This Row],[Q ]]/Table2[[#This Row],[Qc]]</f>
        <v>1.0679690763488714</v>
      </c>
    </row>
    <row r="106" spans="2:22" x14ac:dyDescent="0.25">
      <c r="B106" s="12">
        <v>513</v>
      </c>
      <c r="C106" s="13">
        <v>11</v>
      </c>
      <c r="D106" s="13">
        <v>8.5855999999999953E-3</v>
      </c>
      <c r="E106" s="13"/>
      <c r="F106" s="13">
        <v>4.5797462932231796E-2</v>
      </c>
      <c r="G106" s="13">
        <v>4.5213542400301454E-2</v>
      </c>
      <c r="H106" s="13">
        <v>4.9533530534527824E-2</v>
      </c>
      <c r="I106" s="26">
        <v>5.6117257834792898E-2</v>
      </c>
      <c r="J106" s="13">
        <v>5.0673787818550871E-2</v>
      </c>
      <c r="K106" s="27">
        <v>0.22</v>
      </c>
      <c r="L106" s="29">
        <v>0.64140419975804486</v>
      </c>
      <c r="M106" s="35"/>
      <c r="N106" s="29">
        <v>0.9401884916637554</v>
      </c>
      <c r="O106" s="31">
        <f>Table2[[#This Row],[b/wnc,max]]*Table2[[#This Row],[hnc/h0]]</f>
        <v>0.6030408471173142</v>
      </c>
      <c r="P106" s="10">
        <v>5.7984298673938853E-2</v>
      </c>
      <c r="Q106" s="10">
        <v>1.5389622204756946E-3</v>
      </c>
      <c r="R106" s="10">
        <f>Table2[[#This Row],[h US 4]]*(w+Table2[[#This Row],[h US 4]]*m)</f>
        <v>1.310738168212962E-2</v>
      </c>
      <c r="S106" s="10">
        <f>Table2[[#This Row],[h US 5]]*(w+Table2[[#This Row],[h US 5]]*m)</f>
        <v>1.1233450788198382E-2</v>
      </c>
      <c r="T106" s="10">
        <f>Table2[[#This Row],[Q ]]/Table2[[#This Row],[A0]]</f>
        <v>0.65502021747832795</v>
      </c>
      <c r="U106" s="10">
        <f>Table2[[#This Row],[A1]]*SQRT(2*g*(Table2[[#This Row],[h US 4]]-Table2[[#This Row],[h US 5]])+Table2[[#This Row],[u0]]^2/(2*g)*(1-Table2[[#This Row],[ζ]]))</f>
        <v>4.0095858002068153E-3</v>
      </c>
      <c r="V106" s="36"/>
    </row>
    <row r="107" spans="2:22" x14ac:dyDescent="0.25">
      <c r="B107" s="12">
        <v>513</v>
      </c>
      <c r="C107" s="13">
        <v>17</v>
      </c>
      <c r="D107" s="13">
        <v>8.702499999999995E-3</v>
      </c>
      <c r="E107" s="13"/>
      <c r="F107" s="13">
        <v>4.6382512942175817E-2</v>
      </c>
      <c r="G107" s="13">
        <v>4.5701652842377843E-2</v>
      </c>
      <c r="H107" s="13">
        <v>4.9961350172415563E-2</v>
      </c>
      <c r="I107" s="13">
        <v>5.7777888435773098E-2</v>
      </c>
      <c r="J107" s="13">
        <v>5.2871479047197335E-2</v>
      </c>
      <c r="K107" s="27">
        <v>0.23400000000000001</v>
      </c>
      <c r="L107" s="29">
        <v>0.67977014384026002</v>
      </c>
      <c r="M107" s="35"/>
      <c r="N107" s="29">
        <v>0.91797119860062804</v>
      </c>
      <c r="O107" s="31">
        <f>Table2[[#This Row],[b/wnc,max]]*Table2[[#This Row],[hnc/h0]]</f>
        <v>0.62400941371396479</v>
      </c>
      <c r="P107" s="10">
        <v>9.4555687690232551E-2</v>
      </c>
      <c r="Q107" s="10">
        <v>2.5375524822595927E-3</v>
      </c>
      <c r="R107" s="10">
        <f>Table2[[#This Row],[h US 4]]*(w+Table2[[#This Row],[h US 4]]*m)</f>
        <v>1.3704826385588302E-2</v>
      </c>
      <c r="S107" s="10">
        <f>Table2[[#This Row],[h US 5]]*(w+Table2[[#This Row],[h US 5]]*m)</f>
        <v>1.197443221275612E-2</v>
      </c>
      <c r="T107" s="10">
        <f>Table2[[#This Row],[Q ]]/Table2[[#This Row],[A0]]</f>
        <v>0.6349952750332799</v>
      </c>
      <c r="U107" s="10">
        <f>Table2[[#This Row],[A1]]*SQRT(2*g*(Table2[[#This Row],[h US 4]]-Table2[[#This Row],[h US 5]])+Table2[[#This Row],[u0]]^2/(2*g)*(1-Table2[[#This Row],[ζ]]))</f>
        <v>4.058465693506267E-3</v>
      </c>
      <c r="V107" s="36"/>
    </row>
    <row r="108" spans="2:22" x14ac:dyDescent="0.25">
      <c r="B108" s="12">
        <v>513</v>
      </c>
      <c r="C108" s="13">
        <v>19</v>
      </c>
      <c r="D108" s="13">
        <v>8.7083333333333301E-3</v>
      </c>
      <c r="E108" s="13"/>
      <c r="F108" s="13">
        <v>0.10063210934003551</v>
      </c>
      <c r="G108" s="13">
        <v>0.12032430622885665</v>
      </c>
      <c r="H108" s="13">
        <v>0.1250083916636415</v>
      </c>
      <c r="I108" s="26">
        <f>H108+0.009746865/2</f>
        <v>0.1298818241636415</v>
      </c>
      <c r="J108" s="13">
        <v>3.5498746429632445E-2</v>
      </c>
      <c r="K108" s="27">
        <v>0.1</v>
      </c>
      <c r="L108" s="29">
        <v>0.29044799795253229</v>
      </c>
      <c r="M108" s="10">
        <v>0.19912796936751975</v>
      </c>
      <c r="N108" s="29">
        <v>0.40846586509152116</v>
      </c>
      <c r="O108" s="31">
        <f>Table2[[#This Row],[b/wnc,max]]*Table2[[#This Row],[hnc/h0]]</f>
        <v>0.11863809274778146</v>
      </c>
      <c r="P108" s="32">
        <v>0.50518053270266439</v>
      </c>
      <c r="Q108" s="10">
        <v>1.3564714219525237E-2</v>
      </c>
      <c r="R108" s="10">
        <f>Table2[[#This Row],[h US 4]]*(w+Table2[[#This Row],[h US 4]]*m)</f>
        <v>5.1262781873609817E-2</v>
      </c>
      <c r="S108" s="10">
        <f>Table2[[#This Row],[h US 5]]*(w+Table2[[#This Row],[h US 5]]*m)</f>
        <v>6.6928045056853644E-3</v>
      </c>
      <c r="T108" s="10">
        <f>Table2[[#This Row],[Q ]]/Table2[[#This Row],[A0]]</f>
        <v>0.16987633162016122</v>
      </c>
      <c r="U108" s="10">
        <f>Table2[[#This Row],[A1]]*SQRT(2*g*(Table2[[#This Row],[h US 4]]-Table2[[#This Row],[h US 5]])+Table2[[#This Row],[u0]]^2/(2*g)*(1-Table2[[#This Row],[ζ]]))</f>
        <v>9.1094055291021138E-3</v>
      </c>
      <c r="V108" s="34">
        <f>Table2[[#This Row],[Q ]]/Table2[[#This Row],[Qc]]</f>
        <v>0.95597163892995374</v>
      </c>
    </row>
    <row r="109" spans="2:22" x14ac:dyDescent="0.25">
      <c r="B109" s="12">
        <v>513</v>
      </c>
      <c r="C109" s="13">
        <v>16</v>
      </c>
      <c r="D109" s="13">
        <v>8.7324999999999972E-3</v>
      </c>
      <c r="E109" s="13"/>
      <c r="F109" s="13">
        <v>4.6428185959048802E-2</v>
      </c>
      <c r="G109" s="13">
        <v>4.5579814854952709E-2</v>
      </c>
      <c r="H109" s="13">
        <v>4.9988568864876154E-2</v>
      </c>
      <c r="I109" s="26">
        <v>5.6705230238940897E-2</v>
      </c>
      <c r="J109" s="13">
        <v>5.1149594142939153E-2</v>
      </c>
      <c r="K109" s="27">
        <v>0.22</v>
      </c>
      <c r="L109" s="29">
        <v>0.63851151076467716</v>
      </c>
      <c r="M109" s="35"/>
      <c r="N109" s="29">
        <v>0.93659239678967476</v>
      </c>
      <c r="O109" s="31">
        <f>Table2[[#This Row],[b/wnc,max]]*Table2[[#This Row],[hnc/h0]]</f>
        <v>0.59802502624488518</v>
      </c>
      <c r="P109" s="10">
        <v>5.6546756907822252E-2</v>
      </c>
      <c r="Q109" s="10">
        <v>1.5217695003085785E-3</v>
      </c>
      <c r="R109" s="10">
        <f>Table2[[#This Row],[h US 4]]*(w+Table2[[#This Row],[h US 4]]*m)</f>
        <v>1.3317538823159364E-2</v>
      </c>
      <c r="S109" s="10">
        <f>Table2[[#This Row],[h US 5]]*(w+Table2[[#This Row],[h US 5]]*m)</f>
        <v>1.1392085868538916E-2</v>
      </c>
      <c r="T109" s="10">
        <f>Table2[[#This Row],[Q ]]/Table2[[#This Row],[A0]]</f>
        <v>0.6557142514061286</v>
      </c>
      <c r="U109" s="10">
        <f>Table2[[#This Row],[A1]]*SQRT(2*g*(Table2[[#This Row],[h US 4]]-Table2[[#This Row],[h US 5]])+Table2[[#This Row],[u0]]^2/(2*g)*(1-Table2[[#This Row],[ζ]]))</f>
        <v>4.102366256797804E-3</v>
      </c>
      <c r="V109" s="36"/>
    </row>
    <row r="110" spans="2:22" x14ac:dyDescent="0.25">
      <c r="B110" s="12">
        <v>513</v>
      </c>
      <c r="C110" s="13">
        <v>18</v>
      </c>
      <c r="D110" s="13">
        <v>8.7471544715447148E-3</v>
      </c>
      <c r="E110" s="13"/>
      <c r="F110" s="13">
        <v>4.5844728450134112E-2</v>
      </c>
      <c r="G110" s="13">
        <v>5.3948175676863774E-2</v>
      </c>
      <c r="H110" s="13">
        <v>7.3889854750921483E-2</v>
      </c>
      <c r="I110" s="13">
        <v>8.2514865449873964E-2</v>
      </c>
      <c r="J110" s="13">
        <v>4.6802296030433739E-2</v>
      </c>
      <c r="K110" s="27">
        <v>0.15</v>
      </c>
      <c r="L110" s="29">
        <v>0.43515298096900012</v>
      </c>
      <c r="M110" s="10">
        <v>0.52113604175640915</v>
      </c>
      <c r="N110" s="29">
        <v>0.64405960768611881</v>
      </c>
      <c r="O110" s="31">
        <f>Table2[[#This Row],[b/wnc,max]]*Table2[[#This Row],[hnc/h0]]</f>
        <v>0.28026445820633933</v>
      </c>
      <c r="P110" s="10">
        <v>0.27116343491887818</v>
      </c>
      <c r="Q110" s="10">
        <v>7.307388739152286E-3</v>
      </c>
      <c r="R110" s="10">
        <f>Table2[[#This Row],[h US 4]]*(w+Table2[[#This Row],[h US 4]]*m)</f>
        <v>2.4030719201680449E-2</v>
      </c>
      <c r="S110" s="10">
        <f>Table2[[#This Row],[h US 5]]*(w+Table2[[#This Row],[h US 5]]*m)</f>
        <v>9.9794464819261408E-3</v>
      </c>
      <c r="T110" s="10">
        <f>Table2[[#This Row],[Q ]]/Table2[[#This Row],[A0]]</f>
        <v>0.3639988632105956</v>
      </c>
      <c r="U110" s="10">
        <f>Table2[[#This Row],[A1]]*SQRT(2*g*(Table2[[#This Row],[h US 4]]-Table2[[#This Row],[h US 5]])+Table2[[#This Row],[u0]]^2/(2*g)*(1-Table2[[#This Row],[ζ]]))</f>
        <v>8.3827498600455193E-3</v>
      </c>
      <c r="V110" s="34">
        <f>Table2[[#This Row],[Q ]]/Table2[[#This Row],[Qc]]</f>
        <v>1.0434707724294683</v>
      </c>
    </row>
    <row r="111" spans="2:22" x14ac:dyDescent="0.25">
      <c r="B111" s="12">
        <v>513</v>
      </c>
      <c r="C111" s="13">
        <v>15</v>
      </c>
      <c r="D111" s="13">
        <v>8.7570247933884231E-3</v>
      </c>
      <c r="E111" s="13"/>
      <c r="F111" s="13">
        <v>4.6294369975701376E-2</v>
      </c>
      <c r="G111" s="13">
        <v>4.5034996299755339E-2</v>
      </c>
      <c r="H111" s="13">
        <v>5.0078358430382101E-2</v>
      </c>
      <c r="I111" s="26">
        <v>6.07265872527709E-2</v>
      </c>
      <c r="J111" s="13">
        <v>4.9929336987590979E-2</v>
      </c>
      <c r="K111" s="27">
        <v>0.2</v>
      </c>
      <c r="L111" s="29">
        <v>0.58002829018795055</v>
      </c>
      <c r="M111" s="10">
        <v>0.9669558368299046</v>
      </c>
      <c r="N111" s="29">
        <v>0.875529752116467</v>
      </c>
      <c r="O111" s="31">
        <f>Table2[[#This Row],[b/wnc,max]]*Table2[[#This Row],[hnc/h0]]</f>
        <v>0.50783202512879455</v>
      </c>
      <c r="P111" s="10">
        <v>1.0204429429772044E-2</v>
      </c>
      <c r="Q111" s="10">
        <v>2.7524284068502179E-4</v>
      </c>
      <c r="R111" s="10">
        <f>Table2[[#This Row],[h US 4]]*(w+Table2[[#This Row],[h US 4]]*m)</f>
        <v>1.4795365712958022E-2</v>
      </c>
      <c r="S111" s="10">
        <f>Table2[[#This Row],[h US 5]]*(w+Table2[[#This Row],[h US 5]]*m)</f>
        <v>1.0987233096733601E-2</v>
      </c>
      <c r="T111" s="10">
        <f>Table2[[#This Row],[Q ]]/Table2[[#This Row],[A0]]</f>
        <v>0.59187619713373341</v>
      </c>
      <c r="U111" s="10">
        <f>Table2[[#This Row],[A1]]*SQRT(2*g*(Table2[[#This Row],[h US 4]]-Table2[[#This Row],[h US 5]])+Table2[[#This Row],[u0]]^2/(2*g)*(1-Table2[[#This Row],[ζ]]))</f>
        <v>5.2637329163273908E-3</v>
      </c>
      <c r="V111" s="34">
        <f>Table2[[#This Row],[Q ]]/Table2[[#This Row],[Qc]]</f>
        <v>1.6636529498343868</v>
      </c>
    </row>
    <row r="112" spans="2:22" x14ac:dyDescent="0.25">
      <c r="B112" s="12">
        <v>513</v>
      </c>
      <c r="C112" s="13">
        <v>14</v>
      </c>
      <c r="D112" s="13">
        <v>8.8849999999999953E-3</v>
      </c>
      <c r="E112" s="13"/>
      <c r="F112" s="13">
        <v>4.6471340859028161E-2</v>
      </c>
      <c r="G112" s="13">
        <v>4.5744250590359567E-2</v>
      </c>
      <c r="H112" s="13">
        <v>5.9288770567387003E-2</v>
      </c>
      <c r="I112" s="26">
        <v>7.2844005076695778E-2</v>
      </c>
      <c r="J112" s="13">
        <v>4.9140236103226334E-2</v>
      </c>
      <c r="K112" s="27">
        <v>0.17</v>
      </c>
      <c r="L112" s="29">
        <v>0.49109601779940837</v>
      </c>
      <c r="M112" s="10">
        <v>0.68234966234129035</v>
      </c>
      <c r="N112" s="29">
        <v>0.73406006360716547</v>
      </c>
      <c r="O112" s="31">
        <f>Table2[[#This Row],[b/wnc,max]]*Table2[[#This Row],[hnc/h0]]</f>
        <v>0.36049397406305939</v>
      </c>
      <c r="P112" s="10">
        <v>0.11515236828021654</v>
      </c>
      <c r="Q112" s="10">
        <v>3.1423736128257593E-3</v>
      </c>
      <c r="R112" s="10">
        <f>Table2[[#This Row],[h US 4]]*(w+Table2[[#This Row],[h US 4]]*m)</f>
        <v>1.9675593794468631E-2</v>
      </c>
      <c r="S112" s="10">
        <f>Table2[[#This Row],[h US 5]]*(w+Table2[[#This Row],[h US 5]]*m)</f>
        <v>1.072889112456831E-2</v>
      </c>
      <c r="T112" s="10">
        <f>Table2[[#This Row],[Q ]]/Table2[[#This Row],[A0]]</f>
        <v>0.45157468144609803</v>
      </c>
      <c r="U112" s="10">
        <f>Table2[[#This Row],[A1]]*SQRT(2*g*(Table2[[#This Row],[h US 4]]-Table2[[#This Row],[h US 5]])+Table2[[#This Row],[u0]]^2/(2*g)*(1-Table2[[#This Row],[ζ]]))</f>
        <v>7.3886514853946034E-3</v>
      </c>
      <c r="V112" s="34">
        <f>Table2[[#This Row],[Q ]]/Table2[[#This Row],[Qc]]</f>
        <v>1.2025198397249179</v>
      </c>
    </row>
    <row r="113" spans="2:22" x14ac:dyDescent="0.25">
      <c r="B113" s="12">
        <v>513</v>
      </c>
      <c r="C113" s="13">
        <v>22</v>
      </c>
      <c r="D113" s="13">
        <v>9.3883333333333232E-3</v>
      </c>
      <c r="E113" s="13"/>
      <c r="F113" s="13">
        <v>4.8437874531596821E-2</v>
      </c>
      <c r="G113" s="13">
        <v>4.7202639528836299E-2</v>
      </c>
      <c r="H113" s="13">
        <v>5.1495986961287661E-2</v>
      </c>
      <c r="I113" s="13">
        <v>5.724810886762307E-2</v>
      </c>
      <c r="J113" s="13">
        <v>5.4445298337663983E-2</v>
      </c>
      <c r="K113" s="27">
        <v>0.23400000000000001</v>
      </c>
      <c r="L113" s="29">
        <v>0.66573970120299031</v>
      </c>
      <c r="M113" s="35"/>
      <c r="N113" s="29">
        <v>0.95491873440004549</v>
      </c>
      <c r="O113" s="31">
        <f>Table2[[#This Row],[b/wnc,max]]*Table2[[#This Row],[hnc/h0]]</f>
        <v>0.63572731291262397</v>
      </c>
      <c r="P113" s="10">
        <v>9.6098376065137825E-2</v>
      </c>
      <c r="Q113" s="10">
        <v>2.7367530905366075E-3</v>
      </c>
      <c r="R113" s="10">
        <f>Table2[[#This Row],[h US 4]]*(w+Table2[[#This Row],[h US 4]]*m)</f>
        <v>1.3512919149619527E-2</v>
      </c>
      <c r="S113" s="10">
        <f>Table2[[#This Row],[h US 5]]*(w+Table2[[#This Row],[h US 5]]*m)</f>
        <v>1.2518031449775603E-2</v>
      </c>
      <c r="T113" s="10">
        <f>Table2[[#This Row],[Q ]]/Table2[[#This Row],[A0]]</f>
        <v>0.6947672245635883</v>
      </c>
      <c r="U113" s="10">
        <f>Table2[[#This Row],[A1]]*SQRT(2*g*(Table2[[#This Row],[h US 4]]-Table2[[#This Row],[h US 5]])+Table2[[#This Row],[u0]]^2/(2*g)*(1-Table2[[#This Row],[ζ]]))</f>
        <v>3.4787833016277163E-3</v>
      </c>
      <c r="V113" s="36"/>
    </row>
    <row r="114" spans="2:22" x14ac:dyDescent="0.25">
      <c r="B114" s="12">
        <v>513</v>
      </c>
      <c r="C114" s="13">
        <v>21</v>
      </c>
      <c r="D114" s="13">
        <v>9.4062992125984232E-3</v>
      </c>
      <c r="E114" s="13"/>
      <c r="F114" s="13">
        <v>4.7838179263490703E-2</v>
      </c>
      <c r="G114" s="13">
        <v>5.4068495295378605E-2</v>
      </c>
      <c r="H114" s="13">
        <v>7.2858038056551791E-2</v>
      </c>
      <c r="I114" s="13">
        <v>8.2857725519700692E-2</v>
      </c>
      <c r="J114" s="13">
        <v>4.8254114512546735E-2</v>
      </c>
      <c r="K114" s="27">
        <v>0.15</v>
      </c>
      <c r="L114" s="29">
        <v>0.42652560545608115</v>
      </c>
      <c r="M114" s="10">
        <v>0.55565432118973301</v>
      </c>
      <c r="N114" s="29">
        <v>0.66028798505835318</v>
      </c>
      <c r="O114" s="31">
        <f>Table2[[#This Row],[b/wnc,max]]*Table2[[#This Row],[hnc/h0]]</f>
        <v>0.28162973260238994</v>
      </c>
      <c r="P114" s="10">
        <v>0.17355002834275213</v>
      </c>
      <c r="Q114" s="10">
        <v>4.9495758349380053E-3</v>
      </c>
      <c r="R114" s="10">
        <f>Table2[[#This Row],[h US 4]]*(w+Table2[[#This Row],[h US 4]]*m)</f>
        <v>2.4192620062625399E-2</v>
      </c>
      <c r="S114" s="10">
        <f>Table2[[#This Row],[h US 5]]*(w+Table2[[#This Row],[h US 5]]*m)</f>
        <v>1.0442028097985867E-2</v>
      </c>
      <c r="T114" s="10">
        <f>Table2[[#This Row],[Q ]]/Table2[[#This Row],[A0]]</f>
        <v>0.3888086196637292</v>
      </c>
      <c r="U114" s="10">
        <f>Table2[[#This Row],[A1]]*SQRT(2*g*(Table2[[#This Row],[h US 4]]-Table2[[#This Row],[h US 5]])+Table2[[#This Row],[u0]]^2/(2*g)*(1-Table2[[#This Row],[ζ]]))</f>
        <v>8.644149307287444E-3</v>
      </c>
      <c r="V114" s="34">
        <f>Table2[[#This Row],[Q ]]/Table2[[#This Row],[Qc]]</f>
        <v>1.0881694517548939</v>
      </c>
    </row>
    <row r="115" spans="2:22" x14ac:dyDescent="0.25">
      <c r="B115" s="12">
        <v>513</v>
      </c>
      <c r="C115" s="13">
        <v>20</v>
      </c>
      <c r="D115" s="13">
        <v>9.4124999999999921E-3</v>
      </c>
      <c r="E115" s="13"/>
      <c r="F115" s="13">
        <v>0.11245963814324399</v>
      </c>
      <c r="G115" s="13">
        <v>0.12807483455125998</v>
      </c>
      <c r="H115" s="13">
        <v>0.13365500497974139</v>
      </c>
      <c r="I115" s="26">
        <f>H115+0.009746865/2</f>
        <v>0.13852843747974139</v>
      </c>
      <c r="J115" s="13">
        <v>3.5510037510535455E-2</v>
      </c>
      <c r="K115" s="27">
        <v>0.1</v>
      </c>
      <c r="L115" s="29">
        <v>0.28429737925181259</v>
      </c>
      <c r="M115" s="10">
        <v>0.18709283297788529</v>
      </c>
      <c r="N115" s="29">
        <v>0.39504298536539112</v>
      </c>
      <c r="O115" s="31">
        <f>Table2[[#This Row],[b/wnc,max]]*Table2[[#This Row],[hnc/h0]]</f>
        <v>0.11230968543119285</v>
      </c>
      <c r="P115" s="32">
        <v>0.26902363583930655</v>
      </c>
      <c r="Q115" s="10">
        <v>7.6762379150859122E-3</v>
      </c>
      <c r="R115" s="10">
        <f>Table2[[#This Row],[h US 4]]*(w+Table2[[#This Row],[h US 4]]*m)</f>
        <v>5.7291734117273112E-2</v>
      </c>
      <c r="S115" s="10">
        <f>Table2[[#This Row],[h US 5]]*(w+Table2[[#This Row],[h US 5]]*m)</f>
        <v>6.6958090327974389E-3</v>
      </c>
      <c r="T115" s="10">
        <f>Table2[[#This Row],[Q ]]/Table2[[#This Row],[A0]]</f>
        <v>0.16429071566821679</v>
      </c>
      <c r="U115" s="10">
        <f>Table2[[#This Row],[A1]]*SQRT(2*g*(Table2[[#This Row],[h US 4]]-Table2[[#This Row],[h US 5]])+Table2[[#This Row],[u0]]^2/(2*g)*(1-Table2[[#This Row],[ζ]]))</f>
        <v>9.5217762161820384E-3</v>
      </c>
      <c r="V115" s="34">
        <f>Table2[[#This Row],[Q ]]/Table2[[#This Row],[Qc]]</f>
        <v>0.98852354710916923</v>
      </c>
    </row>
    <row r="116" spans="2:22" x14ac:dyDescent="0.25">
      <c r="B116" s="12">
        <v>513</v>
      </c>
      <c r="C116" s="13">
        <v>23</v>
      </c>
      <c r="D116" s="13">
        <v>9.431404958677678E-3</v>
      </c>
      <c r="E116" s="13"/>
      <c r="F116" s="13">
        <v>4.8246473693394437E-2</v>
      </c>
      <c r="G116" s="13">
        <v>4.6948436915279571E-2</v>
      </c>
      <c r="H116" s="13">
        <v>5.1116514172322776E-2</v>
      </c>
      <c r="I116" s="13">
        <v>5.8921780723E-2</v>
      </c>
      <c r="J116" s="13">
        <v>5.1804805508711332E-2</v>
      </c>
      <c r="K116" s="27">
        <v>0.22</v>
      </c>
      <c r="L116" s="29">
        <v>0.6250988491144851</v>
      </c>
      <c r="M116" s="35"/>
      <c r="N116" s="29">
        <v>0.92953040632528416</v>
      </c>
      <c r="O116" s="31">
        <f>Table2[[#This Row],[b/wnc,max]]*Table2[[#This Row],[hnc/h0]]</f>
        <v>0.58104838721085483</v>
      </c>
      <c r="P116" s="10">
        <v>7.8173460690321595E-3</v>
      </c>
      <c r="Q116" s="10">
        <v>2.2339325802421713E-4</v>
      </c>
      <c r="R116" s="10">
        <f>Table2[[#This Row],[h US 4]]*(w+Table2[[#This Row],[h US 4]]*m)</f>
        <v>1.4123371331457054E-2</v>
      </c>
      <c r="S116" s="10">
        <f>Table2[[#This Row],[h US 5]]*(w+Table2[[#This Row],[h US 5]]*m)</f>
        <v>1.1612153675410889E-2</v>
      </c>
      <c r="T116" s="10">
        <f>Table2[[#This Row],[Q ]]/Table2[[#This Row],[A0]]</f>
        <v>0.66778708407043463</v>
      </c>
      <c r="U116" s="10">
        <f>Table2[[#This Row],[A1]]*SQRT(2*g*(Table2[[#This Row],[h US 4]]-Table2[[#This Row],[h US 5]])+Table2[[#This Row],[u0]]^2/(2*g)*(1-Table2[[#This Row],[ζ]]))</f>
        <v>4.6764869449788899E-3</v>
      </c>
      <c r="V116" s="36"/>
    </row>
    <row r="117" spans="2:22" x14ac:dyDescent="0.25">
      <c r="B117" s="12">
        <v>513</v>
      </c>
      <c r="C117" s="13">
        <v>24</v>
      </c>
      <c r="D117" s="13">
        <v>9.4382113821138147E-3</v>
      </c>
      <c r="E117" s="13"/>
      <c r="F117" s="13">
        <v>4.8473133628995434E-2</v>
      </c>
      <c r="G117" s="13">
        <v>4.6932163468679747E-2</v>
      </c>
      <c r="H117" s="13">
        <v>5.2753839167283538E-2</v>
      </c>
      <c r="I117" s="13">
        <v>6.598040784116363E-2</v>
      </c>
      <c r="J117" s="13">
        <v>5.1301739088408772E-2</v>
      </c>
      <c r="K117" s="27">
        <v>0.2</v>
      </c>
      <c r="L117" s="29">
        <v>0.56815545207810558</v>
      </c>
      <c r="M117" s="10">
        <v>0.88408829892032903</v>
      </c>
      <c r="N117" s="29">
        <v>0.83033363728832188</v>
      </c>
      <c r="O117" s="31">
        <f>Table2[[#This Row],[b/wnc,max]]*Table2[[#This Row],[hnc/h0]]</f>
        <v>0.47175858306920426</v>
      </c>
      <c r="P117" s="10">
        <v>1.0257039106165164E-3</v>
      </c>
      <c r="Q117" s="10">
        <v>2.9326961539847402E-5</v>
      </c>
      <c r="R117" s="10">
        <f>Table2[[#This Row],[h US 4]]*(w+Table2[[#This Row],[h US 4]]*m)</f>
        <v>1.6832552607260593E-2</v>
      </c>
      <c r="S117" s="10">
        <f>Table2[[#This Row],[h US 5]]*(w+Table2[[#This Row],[h US 5]]*m)</f>
        <v>1.144302007125352E-2</v>
      </c>
      <c r="T117" s="10">
        <f>Table2[[#This Row],[Q ]]/Table2[[#This Row],[A0]]</f>
        <v>0.56071183036390537</v>
      </c>
      <c r="U117" s="10">
        <f>Table2[[#This Row],[A1]]*SQRT(2*g*(Table2[[#This Row],[h US 4]]-Table2[[#This Row],[h US 5]])+Table2[[#This Row],[u0]]^2/(2*g)*(1-Table2[[#This Row],[ζ]]))</f>
        <v>6.3092810932352172E-3</v>
      </c>
      <c r="V117" s="34">
        <f>Table2[[#This Row],[Q ]]/Table2[[#This Row],[Qc]]</f>
        <v>1.4959250099402643</v>
      </c>
    </row>
    <row r="118" spans="2:22" x14ac:dyDescent="0.25">
      <c r="B118" s="12">
        <v>513</v>
      </c>
      <c r="C118" s="13">
        <v>25</v>
      </c>
      <c r="D118" s="13">
        <v>9.4504132231404882E-3</v>
      </c>
      <c r="E118" s="13"/>
      <c r="F118" s="13">
        <v>4.8397141582463693E-2</v>
      </c>
      <c r="G118" s="13">
        <v>4.7082308592842813E-2</v>
      </c>
      <c r="H118" s="13">
        <v>6.1224928280690656E-2</v>
      </c>
      <c r="I118" s="13">
        <v>7.4833807161309926E-2</v>
      </c>
      <c r="J118" s="13">
        <v>5.0539921212779733E-2</v>
      </c>
      <c r="K118" s="27">
        <v>0.17</v>
      </c>
      <c r="L118" s="29">
        <v>0.48275512681950727</v>
      </c>
      <c r="M118" s="10">
        <v>0.68724899913589477</v>
      </c>
      <c r="N118" s="29">
        <v>0.73248620488867244</v>
      </c>
      <c r="O118" s="31">
        <f>Table2[[#This Row],[b/wnc,max]]*Table2[[#This Row],[hnc/h0]]</f>
        <v>0.35361147073457067</v>
      </c>
      <c r="P118" s="10">
        <v>9.5227800698610074E-2</v>
      </c>
      <c r="Q118" s="10">
        <v>2.7253859664866237E-3</v>
      </c>
      <c r="R118" s="10">
        <f>Table2[[#This Row],[h US 4]]*(w+Table2[[#This Row],[h US 4]]*m)</f>
        <v>2.0538288162899623E-2</v>
      </c>
      <c r="S118" s="10">
        <f>Table2[[#This Row],[h US 5]]*(w+Table2[[#This Row],[h US 5]]*m)</f>
        <v>1.1188997572793449E-2</v>
      </c>
      <c r="T118" s="10">
        <f>Table2[[#This Row],[Q ]]/Table2[[#This Row],[A0]]</f>
        <v>0.46013636327353324</v>
      </c>
      <c r="U118" s="10">
        <f>Table2[[#This Row],[A1]]*SQRT(2*g*(Table2[[#This Row],[h US 4]]-Table2[[#This Row],[h US 5]])+Table2[[#This Row],[u0]]^2/(2*g)*(1-Table2[[#This Row],[ζ]]))</f>
        <v>7.8035515079210738E-3</v>
      </c>
      <c r="V118" s="34">
        <f>Table2[[#This Row],[Q ]]/Table2[[#This Row],[Qc]]</f>
        <v>1.2110400262685204</v>
      </c>
    </row>
    <row r="119" spans="2:22" x14ac:dyDescent="0.25">
      <c r="B119" s="12"/>
      <c r="C119" s="13"/>
      <c r="D119" s="13"/>
      <c r="E119" s="13"/>
      <c r="F119" s="13"/>
      <c r="G119" s="13"/>
      <c r="H119" s="13"/>
      <c r="I119" s="13"/>
      <c r="J119" s="13"/>
      <c r="K119" s="27"/>
    </row>
  </sheetData>
  <mergeCells count="7">
    <mergeCell ref="L5:O5"/>
    <mergeCell ref="B10:J10"/>
    <mergeCell ref="B2:J2"/>
    <mergeCell ref="D4:D6"/>
    <mergeCell ref="E4:E6"/>
    <mergeCell ref="D7:D9"/>
    <mergeCell ref="E7:E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I11" sqref="I11"/>
    </sheetView>
  </sheetViews>
  <sheetFormatPr defaultRowHeight="15" x14ac:dyDescent="0.25"/>
  <cols>
    <col min="1" max="16384" width="9.140625" style="1"/>
  </cols>
  <sheetData>
    <row r="2" spans="2:5" x14ac:dyDescent="0.25">
      <c r="B2" s="1" t="s">
        <v>25</v>
      </c>
    </row>
    <row r="3" spans="2:5" x14ac:dyDescent="0.25">
      <c r="B3" s="1" t="s">
        <v>26</v>
      </c>
      <c r="C3" s="1">
        <v>0.14113116177289306</v>
      </c>
      <c r="D3" s="1" t="s">
        <v>27</v>
      </c>
      <c r="E3" s="1">
        <v>24.515256270419457</v>
      </c>
    </row>
    <row r="4" spans="2:5" ht="15.75" x14ac:dyDescent="0.25">
      <c r="B4" s="1" t="s">
        <v>28</v>
      </c>
      <c r="C4" s="1" t="s">
        <v>29</v>
      </c>
      <c r="D4" s="28" t="s">
        <v>11</v>
      </c>
      <c r="E4" s="1" t="s">
        <v>30</v>
      </c>
    </row>
    <row r="5" spans="2:5" ht="15.75" x14ac:dyDescent="0.25">
      <c r="B5" s="1">
        <v>5.4327868852459054E-3</v>
      </c>
      <c r="C5" s="1">
        <v>0.695071308326208</v>
      </c>
      <c r="D5" s="28">
        <f>(-$C$3+SQRT($C$3^2+4*B5/C5/TAN(RADIANS($E$3))))*TAN(RADIANS($E$3))/2</f>
        <v>3.5643321695341637E-2</v>
      </c>
      <c r="E5" s="1">
        <f>C5/SQRT(9.81*D5)</f>
        <v>1.1754543646117095</v>
      </c>
    </row>
    <row r="6" spans="2:5" ht="15.75" x14ac:dyDescent="0.25">
      <c r="B6" s="1">
        <v>5.4593749999999972E-3</v>
      </c>
      <c r="C6" s="1">
        <v>0.23448188714619067</v>
      </c>
      <c r="D6" s="28">
        <f t="shared" ref="D6:D24" si="0">(-$C$3+SQRT($C$3^2+4*B6/C6/TAN(RADIANS($E$3))))*TAN(RADIANS($E$3))/2</f>
        <v>7.5770871440290655E-2</v>
      </c>
      <c r="E6" s="1">
        <f t="shared" ref="E6:E24" si="1">C6/SQRT(9.81*D6)</f>
        <v>0.27197166247444732</v>
      </c>
    </row>
    <row r="7" spans="2:5" ht="15.75" x14ac:dyDescent="0.25">
      <c r="B7" s="1">
        <v>5.4703125000000021E-3</v>
      </c>
      <c r="C7" s="1">
        <v>0.25521838056728235</v>
      </c>
      <c r="D7" s="28">
        <f t="shared" si="0"/>
        <v>7.1792255143674197E-2</v>
      </c>
      <c r="E7" s="1">
        <f t="shared" si="1"/>
        <v>0.30411556407948942</v>
      </c>
    </row>
    <row r="8" spans="2:5" ht="15.75" x14ac:dyDescent="0.25">
      <c r="B8" s="1">
        <v>5.6230769230769225E-3</v>
      </c>
      <c r="C8" s="1">
        <v>0.63645083653966039</v>
      </c>
      <c r="D8" s="28">
        <f t="shared" si="0"/>
        <v>3.8986421173871091E-2</v>
      </c>
      <c r="E8" s="1">
        <f t="shared" si="1"/>
        <v>1.0291381384560476</v>
      </c>
    </row>
    <row r="9" spans="2:5" ht="15.75" x14ac:dyDescent="0.25">
      <c r="B9" s="1">
        <v>5.6147540983606569E-3</v>
      </c>
      <c r="C9" s="1">
        <v>0.695071308326208</v>
      </c>
      <c r="D9" s="28">
        <f t="shared" si="0"/>
        <v>3.6517834340471289E-2</v>
      </c>
      <c r="E9" s="1">
        <f t="shared" si="1"/>
        <v>1.1612944513200407</v>
      </c>
    </row>
    <row r="10" spans="2:5" ht="15.75" x14ac:dyDescent="0.25">
      <c r="B10" s="1">
        <v>6.241176470588237E-3</v>
      </c>
      <c r="C10" s="1">
        <v>0.6615738958767523</v>
      </c>
      <c r="D10" s="28">
        <f t="shared" si="0"/>
        <v>4.0879743622306015E-2</v>
      </c>
      <c r="E10" s="1">
        <f t="shared" si="1"/>
        <v>1.0446956232764371</v>
      </c>
    </row>
    <row r="11" spans="2:5" ht="15.75" x14ac:dyDescent="0.25">
      <c r="B11" s="1">
        <v>6.3064516129032284E-3</v>
      </c>
      <c r="C11" s="1">
        <v>0.86255837057348717</v>
      </c>
      <c r="D11" s="28">
        <f t="shared" si="0"/>
        <v>3.3924336215308361E-2</v>
      </c>
      <c r="E11" s="1">
        <f t="shared" si="1"/>
        <v>1.4951966351446211</v>
      </c>
    </row>
    <row r="12" spans="2:5" ht="15.75" x14ac:dyDescent="0.25">
      <c r="B12" s="1">
        <v>6.3523076923076944E-3</v>
      </c>
      <c r="C12" s="1">
        <v>0.6531995427643883</v>
      </c>
      <c r="D12" s="28">
        <f t="shared" si="0"/>
        <v>4.1782627913324842E-2</v>
      </c>
      <c r="E12" s="1">
        <f t="shared" si="1"/>
        <v>1.0202661843812884</v>
      </c>
    </row>
    <row r="13" spans="2:5" ht="15.75" x14ac:dyDescent="0.25">
      <c r="B13" s="1">
        <v>6.487096774193549E-3</v>
      </c>
      <c r="C13" s="1">
        <v>0.67832260210148021</v>
      </c>
      <c r="D13" s="28">
        <f t="shared" si="0"/>
        <v>4.1283136476748042E-2</v>
      </c>
      <c r="E13" s="1">
        <f t="shared" si="1"/>
        <v>1.0658974958614928</v>
      </c>
    </row>
    <row r="14" spans="2:5" ht="15.75" x14ac:dyDescent="0.25">
      <c r="B14" s="1">
        <v>6.5545454545454579E-3</v>
      </c>
      <c r="C14" s="1">
        <v>0.20337714701455312</v>
      </c>
      <c r="D14" s="28">
        <f t="shared" si="0"/>
        <v>9.3251508215296194E-2</v>
      </c>
      <c r="E14" s="1">
        <f t="shared" si="1"/>
        <v>0.21263743004929506</v>
      </c>
    </row>
    <row r="15" spans="2:5" ht="15.75" x14ac:dyDescent="0.25">
      <c r="B15" s="1">
        <v>6.7666666666666708E-3</v>
      </c>
      <c r="C15" s="1">
        <v>0.19938935981818934</v>
      </c>
      <c r="D15" s="28">
        <f t="shared" si="0"/>
        <v>9.6319723084755171E-2</v>
      </c>
      <c r="E15" s="1">
        <f t="shared" si="1"/>
        <v>0.20512087602410309</v>
      </c>
    </row>
    <row r="16" spans="2:5" ht="15.75" x14ac:dyDescent="0.25">
      <c r="B16" s="1">
        <v>6.8153846153846138E-3</v>
      </c>
      <c r="C16" s="1">
        <v>0.28712067813819264</v>
      </c>
      <c r="D16" s="28">
        <f t="shared" si="0"/>
        <v>7.6726223501031643E-2</v>
      </c>
      <c r="E16" s="1">
        <f t="shared" si="1"/>
        <v>0.33094670089507583</v>
      </c>
    </row>
    <row r="17" spans="2:5" ht="15.75" x14ac:dyDescent="0.25">
      <c r="B17" s="1">
        <v>6.7347826086956554E-3</v>
      </c>
      <c r="C17" s="1">
        <v>0.6615738958767523</v>
      </c>
      <c r="D17" s="28">
        <f t="shared" si="0"/>
        <v>4.3172382884927522E-2</v>
      </c>
      <c r="E17" s="1">
        <f t="shared" si="1"/>
        <v>1.0165783280424354</v>
      </c>
    </row>
    <row r="18" spans="2:5" ht="15.75" x14ac:dyDescent="0.25">
      <c r="B18" s="1">
        <v>6.8177419354838731E-3</v>
      </c>
      <c r="C18" s="1">
        <v>0.82906095812403124</v>
      </c>
      <c r="D18" s="28">
        <f t="shared" si="0"/>
        <v>3.6999076682035018E-2</v>
      </c>
      <c r="E18" s="1">
        <f t="shared" si="1"/>
        <v>1.3761206665383041</v>
      </c>
    </row>
    <row r="19" spans="2:5" ht="15.75" x14ac:dyDescent="0.25">
      <c r="B19" s="1">
        <v>6.9046153846153875E-3</v>
      </c>
      <c r="C19" s="1">
        <v>0.88768142991057897</v>
      </c>
      <c r="D19" s="28">
        <f t="shared" si="0"/>
        <v>3.5515785444773657E-2</v>
      </c>
      <c r="E19" s="1">
        <f t="shared" si="1"/>
        <v>1.5038756208618547</v>
      </c>
    </row>
    <row r="20" spans="2:5" ht="15.75" x14ac:dyDescent="0.25">
      <c r="B20" s="1">
        <v>7.0866666666666699E-3</v>
      </c>
      <c r="C20" s="1">
        <v>0.67832260210148021</v>
      </c>
      <c r="D20" s="28">
        <f t="shared" si="0"/>
        <v>4.3977249070125818E-2</v>
      </c>
      <c r="E20" s="1">
        <f t="shared" si="1"/>
        <v>1.0327322871557028</v>
      </c>
    </row>
    <row r="21" spans="2:5" ht="15.75" x14ac:dyDescent="0.25">
      <c r="B21" s="1">
        <v>7.2050000000000005E-3</v>
      </c>
      <c r="C21" s="1">
        <v>0.6615738958767523</v>
      </c>
      <c r="D21" s="28">
        <f t="shared" si="0"/>
        <v>4.5293316495864253E-2</v>
      </c>
      <c r="E21" s="1">
        <f t="shared" si="1"/>
        <v>0.99249149985012686</v>
      </c>
    </row>
    <row r="22" spans="2:5" ht="15.75" x14ac:dyDescent="0.25">
      <c r="B22" s="1">
        <v>7.2290322580645184E-3</v>
      </c>
      <c r="C22" s="1">
        <v>0.79556354567457543</v>
      </c>
      <c r="D22" s="28">
        <f t="shared" si="0"/>
        <v>3.9788131016417434E-2</v>
      </c>
      <c r="E22" s="1">
        <f t="shared" si="1"/>
        <v>1.2733963517900735</v>
      </c>
    </row>
    <row r="23" spans="2:5" ht="15.75" x14ac:dyDescent="0.25">
      <c r="B23" s="1">
        <v>7.2042253521126809E-3</v>
      </c>
      <c r="C23" s="1">
        <v>0.27116952935273753</v>
      </c>
      <c r="D23" s="28">
        <f t="shared" si="0"/>
        <v>8.249899928994392E-2</v>
      </c>
      <c r="E23" s="1">
        <f t="shared" si="1"/>
        <v>0.30142692515785019</v>
      </c>
    </row>
    <row r="24" spans="2:5" ht="15.75" x14ac:dyDescent="0.25">
      <c r="B24" s="1">
        <v>7.0737704918032839E-3</v>
      </c>
      <c r="C24" s="1">
        <v>0.19763473345178928</v>
      </c>
      <c r="D24" s="28">
        <f t="shared" si="0"/>
        <v>9.9570624724200932E-2</v>
      </c>
      <c r="E24" s="1">
        <f t="shared" si="1"/>
        <v>0.19996922002844297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Schwindt Sebastian</cp:lastModifiedBy>
  <cp:lastPrinted>2016-01-29T13:25:05Z</cp:lastPrinted>
  <dcterms:created xsi:type="dcterms:W3CDTF">2015-12-04T20:19:59Z</dcterms:created>
  <dcterms:modified xsi:type="dcterms:W3CDTF">2017-02-17T13:46:10Z</dcterms:modified>
</cp:coreProperties>
</file>