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ocalData\Thesis\400 Planning\411 Experiment Analysis\4perCent\NonConstricted\DataAcquisition\"/>
    </mc:Choice>
  </mc:AlternateContent>
  <bookViews>
    <workbookView xWindow="0" yWindow="0" windowWidth="20490" windowHeight="7755"/>
  </bookViews>
  <sheets>
    <sheet name="summary" sheetId="1" r:id="rId1"/>
    <sheet name="calc" sheetId="2" r:id="rId2"/>
  </sheets>
  <definedNames>
    <definedName name="alpha">summary!#REF!</definedName>
    <definedName name="g">summary!#REF!</definedName>
    <definedName name="J">summary!#REF!</definedName>
    <definedName name="nu">summary!#REF!</definedName>
    <definedName name="rhof">summary!#REF!</definedName>
    <definedName name="rhos">summary!#REF!</definedName>
    <definedName name="s">summary!#REF!</definedName>
    <definedName name="w0">summary!#REF!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9" i="1"/>
  <c r="L30" i="1"/>
  <c r="L33" i="1"/>
  <c r="L34" i="1"/>
  <c r="L35" i="1"/>
  <c r="L36" i="1"/>
  <c r="L13" i="1"/>
  <c r="T3" i="1"/>
  <c r="T2" i="1"/>
  <c r="E8" i="1" l="1"/>
  <c r="E9" i="1"/>
  <c r="E7" i="1"/>
  <c r="M29" i="1" l="1"/>
  <c r="M30" i="1"/>
  <c r="M33" i="1"/>
  <c r="M34" i="1"/>
  <c r="M35" i="1"/>
  <c r="M36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13" i="1"/>
  <c r="K13" i="1" l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Y8" i="1" l="1"/>
  <c r="Y9" i="1" l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T9" i="1" l="1"/>
  <c r="U9" i="1"/>
  <c r="V9" i="1"/>
  <c r="W9" i="1"/>
  <c r="X9" i="1"/>
  <c r="T10" i="1"/>
  <c r="U10" i="1"/>
  <c r="V10" i="1"/>
  <c r="W10" i="1"/>
  <c r="X10" i="1"/>
  <c r="T11" i="1"/>
  <c r="U11" i="1"/>
  <c r="V11" i="1"/>
  <c r="W11" i="1"/>
  <c r="X11" i="1"/>
  <c r="T12" i="1"/>
  <c r="U12" i="1"/>
  <c r="V12" i="1"/>
  <c r="W12" i="1"/>
  <c r="X12" i="1"/>
  <c r="T13" i="1"/>
  <c r="U13" i="1"/>
  <c r="V13" i="1"/>
  <c r="W13" i="1"/>
  <c r="X13" i="1"/>
  <c r="T14" i="1"/>
  <c r="U14" i="1"/>
  <c r="V14" i="1"/>
  <c r="W14" i="1"/>
  <c r="X14" i="1"/>
  <c r="T15" i="1"/>
  <c r="U15" i="1"/>
  <c r="V15" i="1"/>
  <c r="W15" i="1"/>
  <c r="X15" i="1"/>
  <c r="T16" i="1"/>
  <c r="U16" i="1"/>
  <c r="V16" i="1"/>
  <c r="W16" i="1"/>
  <c r="X16" i="1"/>
  <c r="T17" i="1"/>
  <c r="U17" i="1"/>
  <c r="V17" i="1"/>
  <c r="W17" i="1"/>
  <c r="X17" i="1"/>
  <c r="T18" i="1"/>
  <c r="U18" i="1"/>
  <c r="V18" i="1"/>
  <c r="W18" i="1"/>
  <c r="X18" i="1"/>
  <c r="T19" i="1"/>
  <c r="U19" i="1"/>
  <c r="V19" i="1"/>
  <c r="W19" i="1"/>
  <c r="X19" i="1"/>
  <c r="T20" i="1"/>
  <c r="U20" i="1"/>
  <c r="V20" i="1"/>
  <c r="W20" i="1"/>
  <c r="X20" i="1"/>
  <c r="T21" i="1"/>
  <c r="U21" i="1"/>
  <c r="V21" i="1"/>
  <c r="W21" i="1"/>
  <c r="X21" i="1"/>
  <c r="T22" i="1"/>
  <c r="U22" i="1"/>
  <c r="V22" i="1"/>
  <c r="W22" i="1"/>
  <c r="X22" i="1"/>
  <c r="T23" i="1"/>
  <c r="U23" i="1"/>
  <c r="V23" i="1"/>
  <c r="W23" i="1"/>
  <c r="X23" i="1"/>
  <c r="T24" i="1"/>
  <c r="U24" i="1"/>
  <c r="V24" i="1"/>
  <c r="W24" i="1"/>
  <c r="X24" i="1"/>
  <c r="T25" i="1"/>
  <c r="U25" i="1"/>
  <c r="V25" i="1"/>
  <c r="W25" i="1"/>
  <c r="X25" i="1"/>
  <c r="T26" i="1"/>
  <c r="U26" i="1"/>
  <c r="V26" i="1"/>
  <c r="W26" i="1"/>
  <c r="X26" i="1"/>
  <c r="T27" i="1"/>
  <c r="U27" i="1"/>
  <c r="V27" i="1"/>
  <c r="W27" i="1"/>
  <c r="X27" i="1"/>
  <c r="T28" i="1"/>
  <c r="U28" i="1"/>
  <c r="V28" i="1"/>
  <c r="W28" i="1"/>
  <c r="X28" i="1"/>
  <c r="T29" i="1"/>
  <c r="U29" i="1"/>
  <c r="V29" i="1"/>
  <c r="W29" i="1"/>
  <c r="X29" i="1"/>
  <c r="T30" i="1"/>
  <c r="U30" i="1"/>
  <c r="V30" i="1"/>
  <c r="W30" i="1"/>
  <c r="X30" i="1"/>
  <c r="T31" i="1"/>
  <c r="U31" i="1"/>
  <c r="V31" i="1"/>
  <c r="W31" i="1"/>
  <c r="X31" i="1"/>
  <c r="T32" i="1"/>
  <c r="U32" i="1"/>
  <c r="V32" i="1"/>
  <c r="W32" i="1"/>
  <c r="X32" i="1"/>
  <c r="T33" i="1"/>
  <c r="U33" i="1"/>
  <c r="V33" i="1"/>
  <c r="W33" i="1"/>
  <c r="X33" i="1"/>
  <c r="T34" i="1"/>
  <c r="U34" i="1"/>
  <c r="V34" i="1"/>
  <c r="W34" i="1"/>
  <c r="X34" i="1"/>
  <c r="T35" i="1"/>
  <c r="U35" i="1"/>
  <c r="V35" i="1"/>
  <c r="W35" i="1"/>
  <c r="X35" i="1"/>
  <c r="T36" i="1"/>
  <c r="U36" i="1"/>
  <c r="V36" i="1"/>
  <c r="W36" i="1"/>
  <c r="X36" i="1"/>
  <c r="T37" i="1"/>
  <c r="U37" i="1"/>
  <c r="V37" i="1"/>
  <c r="W37" i="1"/>
  <c r="X37" i="1"/>
  <c r="T38" i="1"/>
  <c r="U38" i="1"/>
  <c r="V38" i="1"/>
  <c r="W38" i="1"/>
  <c r="X38" i="1"/>
  <c r="T39" i="1"/>
  <c r="U39" i="1"/>
  <c r="V39" i="1"/>
  <c r="W39" i="1"/>
  <c r="X39" i="1"/>
  <c r="T40" i="1"/>
  <c r="U40" i="1"/>
  <c r="V40" i="1"/>
  <c r="W40" i="1"/>
  <c r="X40" i="1"/>
  <c r="T41" i="1"/>
  <c r="U41" i="1"/>
  <c r="V41" i="1"/>
  <c r="W41" i="1"/>
  <c r="X41" i="1"/>
  <c r="T42" i="1"/>
  <c r="U42" i="1"/>
  <c r="V42" i="1"/>
  <c r="W42" i="1"/>
  <c r="X42" i="1"/>
  <c r="T43" i="1"/>
  <c r="U43" i="1"/>
  <c r="V43" i="1"/>
  <c r="W43" i="1"/>
  <c r="X43" i="1"/>
  <c r="T44" i="1"/>
  <c r="U44" i="1"/>
  <c r="V44" i="1"/>
  <c r="W44" i="1"/>
  <c r="X44" i="1"/>
  <c r="T45" i="1"/>
  <c r="U45" i="1"/>
  <c r="V45" i="1"/>
  <c r="W45" i="1"/>
  <c r="X45" i="1"/>
  <c r="T46" i="1"/>
  <c r="U46" i="1"/>
  <c r="V46" i="1"/>
  <c r="W46" i="1"/>
  <c r="X46" i="1"/>
  <c r="T47" i="1"/>
  <c r="U47" i="1"/>
  <c r="V47" i="1"/>
  <c r="W47" i="1"/>
  <c r="X47" i="1"/>
  <c r="T48" i="1"/>
  <c r="U48" i="1"/>
  <c r="V48" i="1"/>
  <c r="W48" i="1"/>
  <c r="X48" i="1"/>
  <c r="T49" i="1"/>
  <c r="U49" i="1"/>
  <c r="V49" i="1"/>
  <c r="W49" i="1"/>
  <c r="X49" i="1"/>
  <c r="T50" i="1"/>
  <c r="U50" i="1"/>
  <c r="V50" i="1"/>
  <c r="W50" i="1"/>
  <c r="X50" i="1"/>
  <c r="T51" i="1"/>
  <c r="U51" i="1"/>
  <c r="V51" i="1"/>
  <c r="W51" i="1"/>
  <c r="X51" i="1"/>
  <c r="T52" i="1"/>
  <c r="U52" i="1"/>
  <c r="V52" i="1"/>
  <c r="W52" i="1"/>
  <c r="X52" i="1"/>
  <c r="T53" i="1"/>
  <c r="U53" i="1"/>
  <c r="V53" i="1"/>
  <c r="W53" i="1"/>
  <c r="X53" i="1"/>
  <c r="T54" i="1"/>
  <c r="U54" i="1"/>
  <c r="V54" i="1"/>
  <c r="W54" i="1"/>
  <c r="X54" i="1"/>
  <c r="T55" i="1"/>
  <c r="U55" i="1"/>
  <c r="V55" i="1"/>
  <c r="W55" i="1"/>
  <c r="X55" i="1"/>
  <c r="T56" i="1"/>
  <c r="U56" i="1"/>
  <c r="V56" i="1"/>
  <c r="W56" i="1"/>
  <c r="X56" i="1"/>
  <c r="T57" i="1"/>
  <c r="U57" i="1"/>
  <c r="V57" i="1"/>
  <c r="W57" i="1"/>
  <c r="X57" i="1"/>
  <c r="T58" i="1"/>
  <c r="U58" i="1"/>
  <c r="V58" i="1"/>
  <c r="W58" i="1"/>
  <c r="X58" i="1"/>
  <c r="U8" i="1"/>
  <c r="V8" i="1"/>
  <c r="W8" i="1"/>
  <c r="X8" i="1"/>
  <c r="T8" i="1"/>
</calcChain>
</file>

<file path=xl/sharedStrings.xml><?xml version="1.0" encoding="utf-8"?>
<sst xmlns="http://schemas.openxmlformats.org/spreadsheetml/2006/main" count="155" uniqueCount="90">
  <si>
    <t xml:space="preserve">Q </t>
  </si>
  <si>
    <t>[l/s]</t>
  </si>
  <si>
    <t>Exp.</t>
  </si>
  <si>
    <t>File</t>
  </si>
  <si>
    <t>[N°]</t>
  </si>
  <si>
    <t>[kg/s]</t>
  </si>
  <si>
    <t>[m]</t>
  </si>
  <si>
    <t>h US 1</t>
  </si>
  <si>
    <t>h US 2</t>
  </si>
  <si>
    <t>h US 3</t>
  </si>
  <si>
    <t>h US 4</t>
  </si>
  <si>
    <t>h US 5</t>
  </si>
  <si>
    <t>-/-</t>
  </si>
  <si>
    <r>
      <t>Q</t>
    </r>
    <r>
      <rPr>
        <vertAlign val="subscript"/>
        <sz val="11"/>
        <color theme="1"/>
        <rFont val="Times New Roman"/>
        <family val="1"/>
      </rPr>
      <t>s</t>
    </r>
  </si>
  <si>
    <t>Q</t>
  </si>
  <si>
    <t>Measurements</t>
  </si>
  <si>
    <t>var</t>
  </si>
  <si>
    <t>no</t>
  </si>
  <si>
    <t>Var. Name</t>
  </si>
  <si>
    <t>R²</t>
  </si>
  <si>
    <t>Remark</t>
  </si>
  <si>
    <t>h</t>
  </si>
  <si>
    <t>Curve fit: US 1</t>
  </si>
  <si>
    <t>Curve fit: US 2</t>
  </si>
  <si>
    <t>Curve fit: US 3</t>
  </si>
  <si>
    <t>Curve fit: US 4</t>
  </si>
  <si>
    <t>Curve fit: US 5</t>
  </si>
  <si>
    <t>p1</t>
  </si>
  <si>
    <t>p2</t>
  </si>
  <si>
    <t>LINEAR</t>
  </si>
  <si>
    <t>MATLAB Output - Data regression analysis (Q-h): h = p1*Q+p2</t>
  </si>
  <si>
    <t>[-]</t>
  </si>
  <si>
    <t>Qs</t>
  </si>
  <si>
    <t>hyd. Q = 5.</t>
  </si>
  <si>
    <t>hyd. Q = 5.25</t>
  </si>
  <si>
    <t>hyd. Q = 5.5</t>
  </si>
  <si>
    <t>hyd. Q = 5.65</t>
  </si>
  <si>
    <t>hyd. Q = 6.</t>
  </si>
  <si>
    <t>hyd. Q = 6.6</t>
  </si>
  <si>
    <t>hyd. Q = 6.2</t>
  </si>
  <si>
    <t>hyd. Q = 6.8</t>
  </si>
  <si>
    <t>hyd. Q = 7.45</t>
  </si>
  <si>
    <t>hyd. Q = 7.15</t>
  </si>
  <si>
    <t>hyd. Q = 7.65</t>
  </si>
  <si>
    <t>hyd. Q = 7.7</t>
  </si>
  <si>
    <t>hyd. Q = 8.0</t>
  </si>
  <si>
    <t>hyd. Q = 8.3</t>
  </si>
  <si>
    <t>hyd. Q = 8.5</t>
  </si>
  <si>
    <t>hyd. Q = 8.6</t>
  </si>
  <si>
    <t>hyd. Q = 8.75</t>
  </si>
  <si>
    <t>hyd. Q = 9.</t>
  </si>
  <si>
    <t>hyd. Q = 9.1</t>
  </si>
  <si>
    <t>hyd. Q = 9.4</t>
  </si>
  <si>
    <t>hyd. Q = 9.55</t>
  </si>
  <si>
    <t>hyd. Q = 9.65</t>
  </si>
  <si>
    <t>hyd. Q = 9.85</t>
  </si>
  <si>
    <t>hyd. Q = 10.1</t>
  </si>
  <si>
    <t xml:space="preserve">hyd. Q = 9.6 </t>
  </si>
  <si>
    <t>hyd. Q = 9.05</t>
  </si>
  <si>
    <t>hyd. Q = 10.8</t>
  </si>
  <si>
    <t>02000</t>
  </si>
  <si>
    <t>02001</t>
  </si>
  <si>
    <t>Qb</t>
  </si>
  <si>
    <t>Curve fit: Qb</t>
  </si>
  <si>
    <r>
      <t>Q</t>
    </r>
    <r>
      <rPr>
        <vertAlign val="subscript"/>
        <sz val="11"/>
        <color theme="1" tint="4.9989318521683403E-2"/>
        <rFont val="Times New Roman"/>
        <family val="1"/>
      </rPr>
      <t>b</t>
    </r>
  </si>
  <si>
    <t>SAVE COPY (IN CASE OF OVERWRITING h + QS)</t>
  </si>
  <si>
    <t>p3/R²</t>
  </si>
  <si>
    <t>D50</t>
  </si>
  <si>
    <t>D60</t>
  </si>
  <si>
    <t>D65</t>
  </si>
  <si>
    <t>D84</t>
  </si>
  <si>
    <t>D90</t>
  </si>
  <si>
    <t>Grains [m]</t>
  </si>
  <si>
    <t>Dm</t>
  </si>
  <si>
    <t>c</t>
  </si>
  <si>
    <t>[m¹'²/s]</t>
  </si>
  <si>
    <t>fit: C</t>
  </si>
  <si>
    <t>fit: C + BL</t>
  </si>
  <si>
    <t>a</t>
  </si>
  <si>
    <t>b</t>
  </si>
  <si>
    <t>par.</t>
  </si>
  <si>
    <t>Chézy fit (from chezy.xlsx)</t>
  </si>
  <si>
    <t>Interpolation of τ *,cr</t>
  </si>
  <si>
    <t>f(x) = p1*x+p2</t>
  </si>
  <si>
    <r>
      <t xml:space="preserve">τ </t>
    </r>
    <r>
      <rPr>
        <vertAlign val="subscript"/>
        <sz val="11"/>
        <color theme="1" tint="4.9989318521683403E-2"/>
        <rFont val="Times New Roman"/>
        <family val="1"/>
      </rPr>
      <t>*</t>
    </r>
  </si>
  <si>
    <t>Fr</t>
  </si>
  <si>
    <t>Interpolation of Qb(Fr)</t>
  </si>
  <si>
    <t>f(x) = a*x^b+c</t>
  </si>
  <si>
    <t>w</t>
  </si>
  <si>
    <t>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</si>
</sst>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"/>
    <numFmt numFmtId="165" formatCode="0.000000"/>
    <numFmt numFmtId="166" formatCode="hh:mm:ss;@"/>
    <numFmt numFmtId="167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 tint="4.9989318521683403E-2"/>
      <name val="Times New Roman"/>
      <family val="1"/>
    </font>
    <font>
      <vertAlign val="subscript"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sz val="11"/>
      <color theme="1"/>
      <name val="Times New Roman"/>
      <family val="2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quotePrefix="1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vertical="center"/>
    </xf>
    <xf numFmtId="166" fontId="1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quotePrefix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21" fontId="1" fillId="0" borderId="0" xfId="0" applyNumberFormat="1" applyFont="1" applyFill="1" applyBorder="1" applyAlignment="1">
      <alignment horizontal="center"/>
    </xf>
    <xf numFmtId="166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21" fontId="7" fillId="0" borderId="0" xfId="0" applyNumberFormat="1" applyFont="1" applyFill="1" applyBorder="1" applyAlignment="1">
      <alignment horizontal="center"/>
    </xf>
    <xf numFmtId="21" fontId="7" fillId="0" borderId="1" xfId="0" applyNumberFormat="1" applyFont="1" applyFill="1" applyBorder="1" applyAlignment="1">
      <alignment horizontal="center"/>
    </xf>
    <xf numFmtId="21" fontId="1" fillId="0" borderId="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/>
    <xf numFmtId="167" fontId="1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7" fontId="9" fillId="0" borderId="0" xfId="0" applyNumberFormat="1" applyFont="1" applyAlignment="1">
      <alignment horizontal="center"/>
    </xf>
    <xf numFmtId="0" fontId="4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167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quotePrefix="1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164" formatCode="0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fr-CH" sz="1400"/>
              <a:t>Q - h</a:t>
            </a:r>
          </a:p>
        </c:rich>
      </c:tx>
      <c:layout>
        <c:manualLayout>
          <c:xMode val="edge"/>
          <c:yMode val="edge"/>
          <c:x val="0.50861111111111112"/>
          <c:y val="7.8287461773700301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725721784776902"/>
          <c:y val="3.9606444903836427E-2"/>
          <c:w val="0.76111657917760278"/>
          <c:h val="0.72904370439933552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summary!$T$5</c:f>
              <c:strCache>
                <c:ptCount val="1"/>
                <c:pt idx="0">
                  <c:v>Curve fit: US 1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ysClr val="windowText" lastClr="000000">
                  <a:lumMod val="50000"/>
                  <a:lumOff val="50000"/>
                </a:sys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summary!$S$8:$S$58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6.4999999999999902E-3</c:v>
                </c:pt>
                <c:pt idx="16">
                  <c:v>6.5999999999999904E-3</c:v>
                </c:pt>
                <c:pt idx="17">
                  <c:v>6.6999999999999907E-3</c:v>
                </c:pt>
                <c:pt idx="18">
                  <c:v>6.7999999999999901E-3</c:v>
                </c:pt>
                <c:pt idx="19">
                  <c:v>6.8999999999999895E-3</c:v>
                </c:pt>
                <c:pt idx="20">
                  <c:v>6.9999999999999906E-3</c:v>
                </c:pt>
                <c:pt idx="21">
                  <c:v>7.09999999999999E-3</c:v>
                </c:pt>
                <c:pt idx="22">
                  <c:v>7.1999999999999903E-3</c:v>
                </c:pt>
                <c:pt idx="23">
                  <c:v>7.2999999999999905E-3</c:v>
                </c:pt>
                <c:pt idx="24">
                  <c:v>7.3999999999999899E-3</c:v>
                </c:pt>
                <c:pt idx="25">
                  <c:v>7.4999999999999902E-3</c:v>
                </c:pt>
                <c:pt idx="26">
                  <c:v>7.5999999999999904E-3</c:v>
                </c:pt>
                <c:pt idx="27">
                  <c:v>7.6999999999999907E-3</c:v>
                </c:pt>
                <c:pt idx="28">
                  <c:v>7.7999999999999901E-3</c:v>
                </c:pt>
                <c:pt idx="29">
                  <c:v>7.8999999999999904E-3</c:v>
                </c:pt>
                <c:pt idx="30">
                  <c:v>7.9999999999999898E-3</c:v>
                </c:pt>
                <c:pt idx="31">
                  <c:v>8.0999999999999909E-3</c:v>
                </c:pt>
                <c:pt idx="32">
                  <c:v>8.1999999999999903E-3</c:v>
                </c:pt>
                <c:pt idx="33">
                  <c:v>8.2999999999999897E-3</c:v>
                </c:pt>
                <c:pt idx="34">
                  <c:v>8.3999999999999891E-3</c:v>
                </c:pt>
                <c:pt idx="35">
                  <c:v>8.4999999999999902E-3</c:v>
                </c:pt>
                <c:pt idx="36">
                  <c:v>8.5999999999999913E-3</c:v>
                </c:pt>
                <c:pt idx="37">
                  <c:v>8.6999999999999907E-3</c:v>
                </c:pt>
                <c:pt idx="38">
                  <c:v>8.7999999999999901E-3</c:v>
                </c:pt>
                <c:pt idx="39">
                  <c:v>8.8999999999999895E-3</c:v>
                </c:pt>
                <c:pt idx="40">
                  <c:v>8.9999999999999889E-3</c:v>
                </c:pt>
                <c:pt idx="41">
                  <c:v>9.0999999999999918E-3</c:v>
                </c:pt>
                <c:pt idx="42">
                  <c:v>9.1999999999999912E-3</c:v>
                </c:pt>
                <c:pt idx="43">
                  <c:v>9.2999999999999802E-3</c:v>
                </c:pt>
                <c:pt idx="44">
                  <c:v>9.3999999999999813E-3</c:v>
                </c:pt>
                <c:pt idx="45">
                  <c:v>9.4999999999999807E-3</c:v>
                </c:pt>
                <c:pt idx="46">
                  <c:v>9.5999999999999801E-3</c:v>
                </c:pt>
                <c:pt idx="47">
                  <c:v>9.6999999999999795E-3</c:v>
                </c:pt>
                <c:pt idx="48">
                  <c:v>9.7999999999999789E-3</c:v>
                </c:pt>
                <c:pt idx="49">
                  <c:v>9.8999999999999817E-3</c:v>
                </c:pt>
                <c:pt idx="50">
                  <c:v>9.9999999999999811E-3</c:v>
                </c:pt>
              </c:numCache>
              <c:extLst xmlns:c15="http://schemas.microsoft.com/office/drawing/2012/chart"/>
            </c:numRef>
          </c:xVal>
          <c:yVal>
            <c:numRef>
              <c:f>summary!$T$8:$T$58</c:f>
              <c:numCache>
                <c:formatCode>General</c:formatCode>
                <c:ptCount val="51"/>
                <c:pt idx="0">
                  <c:v>3.6498516250198829E-2</c:v>
                </c:pt>
                <c:pt idx="1">
                  <c:v>3.6743248104690297E-2</c:v>
                </c:pt>
                <c:pt idx="2">
                  <c:v>3.6987979959181773E-2</c:v>
                </c:pt>
                <c:pt idx="3">
                  <c:v>3.7232711813673242E-2</c:v>
                </c:pt>
                <c:pt idx="4">
                  <c:v>3.747744366816471E-2</c:v>
                </c:pt>
                <c:pt idx="5">
                  <c:v>3.7722175522656179E-2</c:v>
                </c:pt>
                <c:pt idx="6">
                  <c:v>3.7966907377147655E-2</c:v>
                </c:pt>
                <c:pt idx="7">
                  <c:v>3.8211639231639123E-2</c:v>
                </c:pt>
                <c:pt idx="8">
                  <c:v>3.8456371086130592E-2</c:v>
                </c:pt>
                <c:pt idx="9">
                  <c:v>3.8701102940622067E-2</c:v>
                </c:pt>
                <c:pt idx="10">
                  <c:v>3.8945834795113536E-2</c:v>
                </c:pt>
                <c:pt idx="11">
                  <c:v>3.9190566649605005E-2</c:v>
                </c:pt>
                <c:pt idx="12">
                  <c:v>3.943529850409648E-2</c:v>
                </c:pt>
                <c:pt idx="13">
                  <c:v>3.9680030358587949E-2</c:v>
                </c:pt>
                <c:pt idx="14">
                  <c:v>3.9924762213079418E-2</c:v>
                </c:pt>
                <c:pt idx="15">
                  <c:v>4.0169494067570866E-2</c:v>
                </c:pt>
                <c:pt idx="16">
                  <c:v>4.0414225922062334E-2</c:v>
                </c:pt>
                <c:pt idx="17">
                  <c:v>4.0658957776553803E-2</c:v>
                </c:pt>
                <c:pt idx="18">
                  <c:v>4.0903689631045279E-2</c:v>
                </c:pt>
                <c:pt idx="19">
                  <c:v>4.114842148553674E-2</c:v>
                </c:pt>
                <c:pt idx="20">
                  <c:v>4.1393153340028216E-2</c:v>
                </c:pt>
                <c:pt idx="21">
                  <c:v>4.1637885194519685E-2</c:v>
                </c:pt>
                <c:pt idx="22">
                  <c:v>4.1882617049011153E-2</c:v>
                </c:pt>
                <c:pt idx="23">
                  <c:v>4.2127348903502629E-2</c:v>
                </c:pt>
                <c:pt idx="24">
                  <c:v>4.2372080757994098E-2</c:v>
                </c:pt>
                <c:pt idx="25">
                  <c:v>4.2616812612485566E-2</c:v>
                </c:pt>
                <c:pt idx="26">
                  <c:v>4.2861544466977042E-2</c:v>
                </c:pt>
                <c:pt idx="27">
                  <c:v>4.310627632146851E-2</c:v>
                </c:pt>
                <c:pt idx="28">
                  <c:v>4.3351008175959979E-2</c:v>
                </c:pt>
                <c:pt idx="29">
                  <c:v>4.3595740030451455E-2</c:v>
                </c:pt>
                <c:pt idx="30">
                  <c:v>4.3840471884942916E-2</c:v>
                </c:pt>
                <c:pt idx="31">
                  <c:v>4.4085203739434392E-2</c:v>
                </c:pt>
                <c:pt idx="32">
                  <c:v>4.4329935593925861E-2</c:v>
                </c:pt>
                <c:pt idx="33">
                  <c:v>4.4574667448417329E-2</c:v>
                </c:pt>
                <c:pt idx="34">
                  <c:v>4.4819399302908805E-2</c:v>
                </c:pt>
                <c:pt idx="35">
                  <c:v>4.5064131157400274E-2</c:v>
                </c:pt>
                <c:pt idx="36">
                  <c:v>4.5308863011891742E-2</c:v>
                </c:pt>
                <c:pt idx="37">
                  <c:v>4.5553594866383218E-2</c:v>
                </c:pt>
                <c:pt idx="38">
                  <c:v>4.579832672087468E-2</c:v>
                </c:pt>
                <c:pt idx="39">
                  <c:v>4.6043058575366155E-2</c:v>
                </c:pt>
                <c:pt idx="40">
                  <c:v>4.6287790429857624E-2</c:v>
                </c:pt>
                <c:pt idx="41">
                  <c:v>4.65325222843491E-2</c:v>
                </c:pt>
                <c:pt idx="42">
                  <c:v>4.6777254138840568E-2</c:v>
                </c:pt>
                <c:pt idx="43">
                  <c:v>4.7021985993332016E-2</c:v>
                </c:pt>
                <c:pt idx="44">
                  <c:v>4.7266717847823485E-2</c:v>
                </c:pt>
                <c:pt idx="45">
                  <c:v>4.7511449702314953E-2</c:v>
                </c:pt>
                <c:pt idx="46">
                  <c:v>4.7756181556806429E-2</c:v>
                </c:pt>
                <c:pt idx="47">
                  <c:v>4.8000913411297891E-2</c:v>
                </c:pt>
                <c:pt idx="48">
                  <c:v>4.8245645265789366E-2</c:v>
                </c:pt>
                <c:pt idx="49">
                  <c:v>4.8490377120280842E-2</c:v>
                </c:pt>
                <c:pt idx="50">
                  <c:v>4.8735108974772304E-2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"/>
          <c:order val="1"/>
          <c:tx>
            <c:strRef>
              <c:f>summary!$F$3</c:f>
              <c:strCache>
                <c:ptCount val="1"/>
                <c:pt idx="0">
                  <c:v>h US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ysClr val="windowText" lastClr="000000">
                    <a:lumMod val="95000"/>
                    <a:lumOff val="5000"/>
                  </a:sysClr>
                </a:solidFill>
              </a:ln>
              <a:effectLst/>
            </c:spPr>
          </c:marker>
          <c:xVal>
            <c:numRef>
              <c:f>summary!$D$41:$D$67</c:f>
              <c:numCache>
                <c:formatCode>General</c:formatCode>
                <c:ptCount val="27"/>
                <c:pt idx="0">
                  <c:v>5.1420118343195233E-3</c:v>
                </c:pt>
                <c:pt idx="1">
                  <c:v>5.3516853932584277E-3</c:v>
                </c:pt>
                <c:pt idx="2">
                  <c:v>5.6988636363636373E-3</c:v>
                </c:pt>
                <c:pt idx="3">
                  <c:v>6.2333333333333294E-3</c:v>
                </c:pt>
                <c:pt idx="4">
                  <c:v>6.6874999999999973E-3</c:v>
                </c:pt>
                <c:pt idx="5">
                  <c:v>6.3439560439560467E-3</c:v>
                </c:pt>
                <c:pt idx="6">
                  <c:v>6.54892086330935E-3</c:v>
                </c:pt>
                <c:pt idx="7">
                  <c:v>6.9069767441860361E-3</c:v>
                </c:pt>
                <c:pt idx="8">
                  <c:v>7.3909090909090886E-3</c:v>
                </c:pt>
                <c:pt idx="9">
                  <c:v>7.4227272727272709E-3</c:v>
                </c:pt>
                <c:pt idx="10">
                  <c:v>7.5760233918128698E-3</c:v>
                </c:pt>
                <c:pt idx="11">
                  <c:v>7.6753424657534279E-3</c:v>
                </c:pt>
                <c:pt idx="12">
                  <c:v>7.9164705882352939E-3</c:v>
                </c:pt>
                <c:pt idx="13">
                  <c:v>8.1147928994082744E-3</c:v>
                </c:pt>
                <c:pt idx="14">
                  <c:v>8.2767741935483724E-3</c:v>
                </c:pt>
                <c:pt idx="15">
                  <c:v>8.4652777777777816E-3</c:v>
                </c:pt>
                <c:pt idx="16">
                  <c:v>8.7292682926829197E-3</c:v>
                </c:pt>
                <c:pt idx="17">
                  <c:v>8.9563492063492057E-3</c:v>
                </c:pt>
                <c:pt idx="18">
                  <c:v>9.0696629213483145E-3</c:v>
                </c:pt>
                <c:pt idx="19">
                  <c:v>9.384999999999994E-3</c:v>
                </c:pt>
                <c:pt idx="20">
                  <c:v>9.5043956043956105E-3</c:v>
                </c:pt>
                <c:pt idx="21">
                  <c:v>9.7249999999999923E-3</c:v>
                </c:pt>
                <c:pt idx="22">
                  <c:v>9.8081967213114723E-3</c:v>
                </c:pt>
                <c:pt idx="23">
                  <c:v>1.0064864864864858E-2</c:v>
                </c:pt>
                <c:pt idx="24">
                  <c:v>9.6250000000000051E-3</c:v>
                </c:pt>
                <c:pt idx="25">
                  <c:v>8.7969072164948408E-3</c:v>
                </c:pt>
                <c:pt idx="26">
                  <c:v>1.0836792452830183E-2</c:v>
                </c:pt>
              </c:numCache>
            </c:numRef>
          </c:xVal>
          <c:yVal>
            <c:numRef>
              <c:f>summary!$F$41:$F$67</c:f>
              <c:numCache>
                <c:formatCode>0.000000</c:formatCode>
                <c:ptCount val="27"/>
                <c:pt idx="0">
                  <c:v>3.6045638041274704E-2</c:v>
                </c:pt>
                <c:pt idx="1">
                  <c:v>3.6786194612657544E-2</c:v>
                </c:pt>
                <c:pt idx="2">
                  <c:v>3.8161326113022274E-2</c:v>
                </c:pt>
                <c:pt idx="3" formatCode="General">
                  <c:v>3.9436220555670108E-2</c:v>
                </c:pt>
                <c:pt idx="4">
                  <c:v>4.1292776550213843E-2</c:v>
                </c:pt>
                <c:pt idx="5">
                  <c:v>4.0007300596093746E-2</c:v>
                </c:pt>
                <c:pt idx="6" formatCode="General">
                  <c:v>4.0620404673488472E-2</c:v>
                </c:pt>
                <c:pt idx="7" formatCode="General">
                  <c:v>4.1001967556496759E-2</c:v>
                </c:pt>
                <c:pt idx="8" formatCode="General">
                  <c:v>4.2296307662146392E-2</c:v>
                </c:pt>
                <c:pt idx="9" formatCode="General">
                  <c:v>4.2551091170506115E-2</c:v>
                </c:pt>
                <c:pt idx="10" formatCode="General">
                  <c:v>4.3147229174749412E-2</c:v>
                </c:pt>
                <c:pt idx="11" formatCode="General">
                  <c:v>4.3190709352748838E-2</c:v>
                </c:pt>
                <c:pt idx="12" formatCode="General">
                  <c:v>4.3943880702938941E-2</c:v>
                </c:pt>
                <c:pt idx="13" formatCode="General">
                  <c:v>4.4307948939624746E-2</c:v>
                </c:pt>
                <c:pt idx="14" formatCode="General">
                  <c:v>4.4250134104965949E-2</c:v>
                </c:pt>
                <c:pt idx="15" formatCode="General">
                  <c:v>4.473612486229657E-2</c:v>
                </c:pt>
                <c:pt idx="16" formatCode="General">
                  <c:v>4.5288194139385216E-2</c:v>
                </c:pt>
                <c:pt idx="17">
                  <c:v>4.6297750765069194E-2</c:v>
                </c:pt>
                <c:pt idx="18">
                  <c:v>4.664135652408876E-2</c:v>
                </c:pt>
                <c:pt idx="19">
                  <c:v>4.6842884924130981E-2</c:v>
                </c:pt>
                <c:pt idx="20">
                  <c:v>4.7265332496401725E-2</c:v>
                </c:pt>
                <c:pt idx="21">
                  <c:v>4.8166400621085993E-2</c:v>
                </c:pt>
                <c:pt idx="22">
                  <c:v>4.8521161956154593E-2</c:v>
                </c:pt>
                <c:pt idx="23">
                  <c:v>4.8678071624135684E-2</c:v>
                </c:pt>
                <c:pt idx="24">
                  <c:v>4.8002428091995182E-2</c:v>
                </c:pt>
                <c:pt idx="25">
                  <c:v>4.6167569210469835E-2</c:v>
                </c:pt>
                <c:pt idx="26">
                  <c:v>5.0351912414801359E-2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summary!$U$5</c:f>
              <c:strCache>
                <c:ptCount val="1"/>
                <c:pt idx="0">
                  <c:v>Curve fit: US 2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summary!$S$8:$S$58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6.4999999999999902E-3</c:v>
                </c:pt>
                <c:pt idx="16">
                  <c:v>6.5999999999999904E-3</c:v>
                </c:pt>
                <c:pt idx="17">
                  <c:v>6.6999999999999907E-3</c:v>
                </c:pt>
                <c:pt idx="18">
                  <c:v>6.7999999999999901E-3</c:v>
                </c:pt>
                <c:pt idx="19">
                  <c:v>6.8999999999999895E-3</c:v>
                </c:pt>
                <c:pt idx="20">
                  <c:v>6.9999999999999906E-3</c:v>
                </c:pt>
                <c:pt idx="21">
                  <c:v>7.09999999999999E-3</c:v>
                </c:pt>
                <c:pt idx="22">
                  <c:v>7.1999999999999903E-3</c:v>
                </c:pt>
                <c:pt idx="23">
                  <c:v>7.2999999999999905E-3</c:v>
                </c:pt>
                <c:pt idx="24">
                  <c:v>7.3999999999999899E-3</c:v>
                </c:pt>
                <c:pt idx="25">
                  <c:v>7.4999999999999902E-3</c:v>
                </c:pt>
                <c:pt idx="26">
                  <c:v>7.5999999999999904E-3</c:v>
                </c:pt>
                <c:pt idx="27">
                  <c:v>7.6999999999999907E-3</c:v>
                </c:pt>
                <c:pt idx="28">
                  <c:v>7.7999999999999901E-3</c:v>
                </c:pt>
                <c:pt idx="29">
                  <c:v>7.8999999999999904E-3</c:v>
                </c:pt>
                <c:pt idx="30">
                  <c:v>7.9999999999999898E-3</c:v>
                </c:pt>
                <c:pt idx="31">
                  <c:v>8.0999999999999909E-3</c:v>
                </c:pt>
                <c:pt idx="32">
                  <c:v>8.1999999999999903E-3</c:v>
                </c:pt>
                <c:pt idx="33">
                  <c:v>8.2999999999999897E-3</c:v>
                </c:pt>
                <c:pt idx="34">
                  <c:v>8.3999999999999891E-3</c:v>
                </c:pt>
                <c:pt idx="35">
                  <c:v>8.4999999999999902E-3</c:v>
                </c:pt>
                <c:pt idx="36">
                  <c:v>8.5999999999999913E-3</c:v>
                </c:pt>
                <c:pt idx="37">
                  <c:v>8.6999999999999907E-3</c:v>
                </c:pt>
                <c:pt idx="38">
                  <c:v>8.7999999999999901E-3</c:v>
                </c:pt>
                <c:pt idx="39">
                  <c:v>8.8999999999999895E-3</c:v>
                </c:pt>
                <c:pt idx="40">
                  <c:v>8.9999999999999889E-3</c:v>
                </c:pt>
                <c:pt idx="41">
                  <c:v>9.0999999999999918E-3</c:v>
                </c:pt>
                <c:pt idx="42">
                  <c:v>9.1999999999999912E-3</c:v>
                </c:pt>
                <c:pt idx="43">
                  <c:v>9.2999999999999802E-3</c:v>
                </c:pt>
                <c:pt idx="44">
                  <c:v>9.3999999999999813E-3</c:v>
                </c:pt>
                <c:pt idx="45">
                  <c:v>9.4999999999999807E-3</c:v>
                </c:pt>
                <c:pt idx="46">
                  <c:v>9.5999999999999801E-3</c:v>
                </c:pt>
                <c:pt idx="47">
                  <c:v>9.6999999999999795E-3</c:v>
                </c:pt>
                <c:pt idx="48">
                  <c:v>9.7999999999999789E-3</c:v>
                </c:pt>
                <c:pt idx="49">
                  <c:v>9.8999999999999817E-3</c:v>
                </c:pt>
                <c:pt idx="50">
                  <c:v>9.9999999999999811E-3</c:v>
                </c:pt>
              </c:numCache>
              <c:extLst xmlns:c15="http://schemas.microsoft.com/office/drawing/2012/chart"/>
            </c:numRef>
          </c:xVal>
          <c:yVal>
            <c:numRef>
              <c:f>summary!$U$8:$U$58</c:f>
              <c:numCache>
                <c:formatCode>General</c:formatCode>
                <c:ptCount val="51"/>
                <c:pt idx="0">
                  <c:v>3.5919201654933806E-2</c:v>
                </c:pt>
                <c:pt idx="1">
                  <c:v>3.6106178567417796E-2</c:v>
                </c:pt>
                <c:pt idx="2">
                  <c:v>3.6293155479901786E-2</c:v>
                </c:pt>
                <c:pt idx="3">
                  <c:v>3.6480132392385775E-2</c:v>
                </c:pt>
                <c:pt idx="4">
                  <c:v>3.6667109304869765E-2</c:v>
                </c:pt>
                <c:pt idx="5">
                  <c:v>3.6854086217353754E-2</c:v>
                </c:pt>
                <c:pt idx="6">
                  <c:v>3.7041063129837744E-2</c:v>
                </c:pt>
                <c:pt idx="7">
                  <c:v>3.7228040042321733E-2</c:v>
                </c:pt>
                <c:pt idx="8">
                  <c:v>3.7415016954805716E-2</c:v>
                </c:pt>
                <c:pt idx="9">
                  <c:v>3.7601993867289712E-2</c:v>
                </c:pt>
                <c:pt idx="10">
                  <c:v>3.7788970779773695E-2</c:v>
                </c:pt>
                <c:pt idx="11">
                  <c:v>3.7975947692257685E-2</c:v>
                </c:pt>
                <c:pt idx="12">
                  <c:v>3.8162924604741674E-2</c:v>
                </c:pt>
                <c:pt idx="13">
                  <c:v>3.8349901517225664E-2</c:v>
                </c:pt>
                <c:pt idx="14">
                  <c:v>3.8536878429709653E-2</c:v>
                </c:pt>
                <c:pt idx="15">
                  <c:v>3.8723855342193622E-2</c:v>
                </c:pt>
                <c:pt idx="16">
                  <c:v>3.8910832254677619E-2</c:v>
                </c:pt>
                <c:pt idx="17">
                  <c:v>3.9097809167161601E-2</c:v>
                </c:pt>
                <c:pt idx="18">
                  <c:v>3.9284786079645591E-2</c:v>
                </c:pt>
                <c:pt idx="19">
                  <c:v>3.947176299212958E-2</c:v>
                </c:pt>
                <c:pt idx="20">
                  <c:v>3.965873990461357E-2</c:v>
                </c:pt>
                <c:pt idx="21">
                  <c:v>3.984571681709756E-2</c:v>
                </c:pt>
                <c:pt idx="22">
                  <c:v>4.0032693729581549E-2</c:v>
                </c:pt>
                <c:pt idx="23">
                  <c:v>4.0219670642065539E-2</c:v>
                </c:pt>
                <c:pt idx="24">
                  <c:v>4.0406647554549528E-2</c:v>
                </c:pt>
                <c:pt idx="25">
                  <c:v>4.0593624467033518E-2</c:v>
                </c:pt>
                <c:pt idx="26">
                  <c:v>4.0780601379517507E-2</c:v>
                </c:pt>
                <c:pt idx="27">
                  <c:v>4.0967578292001497E-2</c:v>
                </c:pt>
                <c:pt idx="28">
                  <c:v>4.115455520448548E-2</c:v>
                </c:pt>
                <c:pt idx="29">
                  <c:v>4.1341532116969476E-2</c:v>
                </c:pt>
                <c:pt idx="30">
                  <c:v>4.1528509029453459E-2</c:v>
                </c:pt>
                <c:pt idx="31">
                  <c:v>4.1715485941937455E-2</c:v>
                </c:pt>
                <c:pt idx="32">
                  <c:v>4.1902462854421438E-2</c:v>
                </c:pt>
                <c:pt idx="33">
                  <c:v>4.2089439766905427E-2</c:v>
                </c:pt>
                <c:pt idx="34">
                  <c:v>4.2276416679389417E-2</c:v>
                </c:pt>
                <c:pt idx="35">
                  <c:v>4.2463393591873407E-2</c:v>
                </c:pt>
                <c:pt idx="36">
                  <c:v>4.2650370504357396E-2</c:v>
                </c:pt>
                <c:pt idx="37">
                  <c:v>4.2837347416841386E-2</c:v>
                </c:pt>
                <c:pt idx="38">
                  <c:v>4.3024324329325375E-2</c:v>
                </c:pt>
                <c:pt idx="39">
                  <c:v>4.3211301241809358E-2</c:v>
                </c:pt>
                <c:pt idx="40">
                  <c:v>4.3398278154293347E-2</c:v>
                </c:pt>
                <c:pt idx="41">
                  <c:v>4.3585255066777344E-2</c:v>
                </c:pt>
                <c:pt idx="42">
                  <c:v>4.3772231979261333E-2</c:v>
                </c:pt>
                <c:pt idx="43">
                  <c:v>4.3959208891745302E-2</c:v>
                </c:pt>
                <c:pt idx="44">
                  <c:v>4.4146185804229292E-2</c:v>
                </c:pt>
                <c:pt idx="45">
                  <c:v>4.4333162716713281E-2</c:v>
                </c:pt>
                <c:pt idx="46">
                  <c:v>4.4520139629197264E-2</c:v>
                </c:pt>
                <c:pt idx="47">
                  <c:v>4.4707116541681254E-2</c:v>
                </c:pt>
                <c:pt idx="48">
                  <c:v>4.4894093454165243E-2</c:v>
                </c:pt>
                <c:pt idx="49">
                  <c:v>4.508107036664924E-2</c:v>
                </c:pt>
                <c:pt idx="50">
                  <c:v>4.5268047279133222E-2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3"/>
          <c:order val="3"/>
          <c:tx>
            <c:strRef>
              <c:f>summary!$G$3</c:f>
              <c:strCache>
                <c:ptCount val="1"/>
                <c:pt idx="0">
                  <c:v>h US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2700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summary!$D$41:$D$67</c:f>
              <c:numCache>
                <c:formatCode>General</c:formatCode>
                <c:ptCount val="27"/>
                <c:pt idx="0">
                  <c:v>5.1420118343195233E-3</c:v>
                </c:pt>
                <c:pt idx="1">
                  <c:v>5.3516853932584277E-3</c:v>
                </c:pt>
                <c:pt idx="2">
                  <c:v>5.6988636363636373E-3</c:v>
                </c:pt>
                <c:pt idx="3">
                  <c:v>6.2333333333333294E-3</c:v>
                </c:pt>
                <c:pt idx="4">
                  <c:v>6.6874999999999973E-3</c:v>
                </c:pt>
                <c:pt idx="5">
                  <c:v>6.3439560439560467E-3</c:v>
                </c:pt>
                <c:pt idx="6">
                  <c:v>6.54892086330935E-3</c:v>
                </c:pt>
                <c:pt idx="7">
                  <c:v>6.9069767441860361E-3</c:v>
                </c:pt>
                <c:pt idx="8">
                  <c:v>7.3909090909090886E-3</c:v>
                </c:pt>
                <c:pt idx="9">
                  <c:v>7.4227272727272709E-3</c:v>
                </c:pt>
                <c:pt idx="10">
                  <c:v>7.5760233918128698E-3</c:v>
                </c:pt>
                <c:pt idx="11">
                  <c:v>7.6753424657534279E-3</c:v>
                </c:pt>
                <c:pt idx="12">
                  <c:v>7.9164705882352939E-3</c:v>
                </c:pt>
                <c:pt idx="13">
                  <c:v>8.1147928994082744E-3</c:v>
                </c:pt>
                <c:pt idx="14">
                  <c:v>8.2767741935483724E-3</c:v>
                </c:pt>
                <c:pt idx="15">
                  <c:v>8.4652777777777816E-3</c:v>
                </c:pt>
                <c:pt idx="16">
                  <c:v>8.7292682926829197E-3</c:v>
                </c:pt>
                <c:pt idx="17">
                  <c:v>8.9563492063492057E-3</c:v>
                </c:pt>
                <c:pt idx="18">
                  <c:v>9.0696629213483145E-3</c:v>
                </c:pt>
                <c:pt idx="19">
                  <c:v>9.384999999999994E-3</c:v>
                </c:pt>
                <c:pt idx="20">
                  <c:v>9.5043956043956105E-3</c:v>
                </c:pt>
                <c:pt idx="21">
                  <c:v>9.7249999999999923E-3</c:v>
                </c:pt>
                <c:pt idx="22">
                  <c:v>9.8081967213114723E-3</c:v>
                </c:pt>
                <c:pt idx="23">
                  <c:v>1.0064864864864858E-2</c:v>
                </c:pt>
                <c:pt idx="24">
                  <c:v>9.6250000000000051E-3</c:v>
                </c:pt>
                <c:pt idx="25">
                  <c:v>8.7969072164948408E-3</c:v>
                </c:pt>
                <c:pt idx="26">
                  <c:v>1.0836792452830183E-2</c:v>
                </c:pt>
              </c:numCache>
            </c:numRef>
          </c:xVal>
          <c:yVal>
            <c:numRef>
              <c:f>summary!$G$41:$G$67</c:f>
              <c:numCache>
                <c:formatCode>0.000000</c:formatCode>
                <c:ptCount val="27"/>
                <c:pt idx="0">
                  <c:v>3.500372286098976E-2</c:v>
                </c:pt>
                <c:pt idx="1">
                  <c:v>3.5340246425629974E-2</c:v>
                </c:pt>
                <c:pt idx="2">
                  <c:v>3.6931658339592555E-2</c:v>
                </c:pt>
                <c:pt idx="3" formatCode="General">
                  <c:v>3.7819370051966145E-2</c:v>
                </c:pt>
                <c:pt idx="4">
                  <c:v>3.9607063264799819E-2</c:v>
                </c:pt>
                <c:pt idx="5">
                  <c:v>3.8551637045373038E-2</c:v>
                </c:pt>
                <c:pt idx="6" formatCode="General">
                  <c:v>3.8903563680804283E-2</c:v>
                </c:pt>
                <c:pt idx="7" formatCode="General">
                  <c:v>3.9343722127996465E-2</c:v>
                </c:pt>
                <c:pt idx="8" formatCode="General">
                  <c:v>4.0764613293271586E-2</c:v>
                </c:pt>
                <c:pt idx="9" formatCode="General">
                  <c:v>4.0798020639773211E-2</c:v>
                </c:pt>
                <c:pt idx="10" formatCode="General">
                  <c:v>4.1545025550277684E-2</c:v>
                </c:pt>
                <c:pt idx="11" formatCode="General">
                  <c:v>4.1160966021767491E-2</c:v>
                </c:pt>
                <c:pt idx="12" formatCode="General">
                  <c:v>4.2013400706444173E-2</c:v>
                </c:pt>
                <c:pt idx="13" formatCode="General">
                  <c:v>4.2301048315023286E-2</c:v>
                </c:pt>
                <c:pt idx="14" formatCode="General">
                  <c:v>4.155843802941251E-2</c:v>
                </c:pt>
                <c:pt idx="15" formatCode="General">
                  <c:v>4.2249974055149908E-2</c:v>
                </c:pt>
                <c:pt idx="16" formatCode="General">
                  <c:v>4.2733220543957798E-2</c:v>
                </c:pt>
                <c:pt idx="17">
                  <c:v>4.3309425433761692E-2</c:v>
                </c:pt>
                <c:pt idx="18">
                  <c:v>4.4031841572779E-2</c:v>
                </c:pt>
                <c:pt idx="19">
                  <c:v>4.351019266597219E-2</c:v>
                </c:pt>
                <c:pt idx="20">
                  <c:v>4.4095793029624006E-2</c:v>
                </c:pt>
                <c:pt idx="21">
                  <c:v>4.4562653412177439E-2</c:v>
                </c:pt>
                <c:pt idx="22">
                  <c:v>4.487898412851396E-2</c:v>
                </c:pt>
                <c:pt idx="23">
                  <c:v>4.5163048920567606E-2</c:v>
                </c:pt>
                <c:pt idx="24">
                  <c:v>4.4439932162500466E-2</c:v>
                </c:pt>
                <c:pt idx="25">
                  <c:v>4.3041776034471693E-2</c:v>
                </c:pt>
                <c:pt idx="26">
                  <c:v>4.6838513412874545E-2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summary!$V$5</c:f>
              <c:strCache>
                <c:ptCount val="1"/>
                <c:pt idx="0">
                  <c:v>Curve fit: US 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summary!$S$8:$S$58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6.4999999999999902E-3</c:v>
                </c:pt>
                <c:pt idx="16">
                  <c:v>6.5999999999999904E-3</c:v>
                </c:pt>
                <c:pt idx="17">
                  <c:v>6.6999999999999907E-3</c:v>
                </c:pt>
                <c:pt idx="18">
                  <c:v>6.7999999999999901E-3</c:v>
                </c:pt>
                <c:pt idx="19">
                  <c:v>6.8999999999999895E-3</c:v>
                </c:pt>
                <c:pt idx="20">
                  <c:v>6.9999999999999906E-3</c:v>
                </c:pt>
                <c:pt idx="21">
                  <c:v>7.09999999999999E-3</c:v>
                </c:pt>
                <c:pt idx="22">
                  <c:v>7.1999999999999903E-3</c:v>
                </c:pt>
                <c:pt idx="23">
                  <c:v>7.2999999999999905E-3</c:v>
                </c:pt>
                <c:pt idx="24">
                  <c:v>7.3999999999999899E-3</c:v>
                </c:pt>
                <c:pt idx="25">
                  <c:v>7.4999999999999902E-3</c:v>
                </c:pt>
                <c:pt idx="26">
                  <c:v>7.5999999999999904E-3</c:v>
                </c:pt>
                <c:pt idx="27">
                  <c:v>7.6999999999999907E-3</c:v>
                </c:pt>
                <c:pt idx="28">
                  <c:v>7.7999999999999901E-3</c:v>
                </c:pt>
                <c:pt idx="29">
                  <c:v>7.8999999999999904E-3</c:v>
                </c:pt>
                <c:pt idx="30">
                  <c:v>7.9999999999999898E-3</c:v>
                </c:pt>
                <c:pt idx="31">
                  <c:v>8.0999999999999909E-3</c:v>
                </c:pt>
                <c:pt idx="32">
                  <c:v>8.1999999999999903E-3</c:v>
                </c:pt>
                <c:pt idx="33">
                  <c:v>8.2999999999999897E-3</c:v>
                </c:pt>
                <c:pt idx="34">
                  <c:v>8.3999999999999891E-3</c:v>
                </c:pt>
                <c:pt idx="35">
                  <c:v>8.4999999999999902E-3</c:v>
                </c:pt>
                <c:pt idx="36">
                  <c:v>8.5999999999999913E-3</c:v>
                </c:pt>
                <c:pt idx="37">
                  <c:v>8.6999999999999907E-3</c:v>
                </c:pt>
                <c:pt idx="38">
                  <c:v>8.7999999999999901E-3</c:v>
                </c:pt>
                <c:pt idx="39">
                  <c:v>8.8999999999999895E-3</c:v>
                </c:pt>
                <c:pt idx="40">
                  <c:v>8.9999999999999889E-3</c:v>
                </c:pt>
                <c:pt idx="41">
                  <c:v>9.0999999999999918E-3</c:v>
                </c:pt>
                <c:pt idx="42">
                  <c:v>9.1999999999999912E-3</c:v>
                </c:pt>
                <c:pt idx="43">
                  <c:v>9.2999999999999802E-3</c:v>
                </c:pt>
                <c:pt idx="44">
                  <c:v>9.3999999999999813E-3</c:v>
                </c:pt>
                <c:pt idx="45">
                  <c:v>9.4999999999999807E-3</c:v>
                </c:pt>
                <c:pt idx="46">
                  <c:v>9.5999999999999801E-3</c:v>
                </c:pt>
                <c:pt idx="47">
                  <c:v>9.6999999999999795E-3</c:v>
                </c:pt>
                <c:pt idx="48">
                  <c:v>9.7999999999999789E-3</c:v>
                </c:pt>
                <c:pt idx="49">
                  <c:v>9.8999999999999817E-3</c:v>
                </c:pt>
                <c:pt idx="50">
                  <c:v>9.9999999999999811E-3</c:v>
                </c:pt>
              </c:numCache>
              <c:extLst xmlns:c15="http://schemas.microsoft.com/office/drawing/2012/chart"/>
            </c:numRef>
          </c:xVal>
          <c:yVal>
            <c:numRef>
              <c:f>summary!$V$8:$V$58</c:f>
              <c:numCache>
                <c:formatCode>General</c:formatCode>
                <c:ptCount val="51"/>
                <c:pt idx="0">
                  <c:v>3.6991158144283942E-2</c:v>
                </c:pt>
                <c:pt idx="1">
                  <c:v>3.7190830726014493E-2</c:v>
                </c:pt>
                <c:pt idx="2">
                  <c:v>3.7390503307745057E-2</c:v>
                </c:pt>
                <c:pt idx="3">
                  <c:v>3.7590175889475608E-2</c:v>
                </c:pt>
                <c:pt idx="4">
                  <c:v>3.7789848471206158E-2</c:v>
                </c:pt>
                <c:pt idx="5">
                  <c:v>3.7989521052936716E-2</c:v>
                </c:pt>
                <c:pt idx="6">
                  <c:v>3.8189193634667273E-2</c:v>
                </c:pt>
                <c:pt idx="7">
                  <c:v>3.8388866216397824E-2</c:v>
                </c:pt>
                <c:pt idx="8">
                  <c:v>3.8588538798128381E-2</c:v>
                </c:pt>
                <c:pt idx="9">
                  <c:v>3.8788211379858939E-2</c:v>
                </c:pt>
                <c:pt idx="10">
                  <c:v>3.898788396158949E-2</c:v>
                </c:pt>
                <c:pt idx="11">
                  <c:v>3.9187556543320047E-2</c:v>
                </c:pt>
                <c:pt idx="12">
                  <c:v>3.9387229125050605E-2</c:v>
                </c:pt>
                <c:pt idx="13">
                  <c:v>3.9586901706781155E-2</c:v>
                </c:pt>
                <c:pt idx="14">
                  <c:v>3.9786574288511713E-2</c:v>
                </c:pt>
                <c:pt idx="15">
                  <c:v>3.9986246870242242E-2</c:v>
                </c:pt>
                <c:pt idx="16">
                  <c:v>4.01859194519728E-2</c:v>
                </c:pt>
                <c:pt idx="17">
                  <c:v>4.0385592033703357E-2</c:v>
                </c:pt>
                <c:pt idx="18">
                  <c:v>4.0585264615433908E-2</c:v>
                </c:pt>
                <c:pt idx="19">
                  <c:v>4.0784937197164466E-2</c:v>
                </c:pt>
                <c:pt idx="20">
                  <c:v>4.0984609778895023E-2</c:v>
                </c:pt>
                <c:pt idx="21">
                  <c:v>4.1184282360625574E-2</c:v>
                </c:pt>
                <c:pt idx="22">
                  <c:v>4.1383954942356131E-2</c:v>
                </c:pt>
                <c:pt idx="23">
                  <c:v>4.1583627524086689E-2</c:v>
                </c:pt>
                <c:pt idx="24">
                  <c:v>4.1783300105817239E-2</c:v>
                </c:pt>
                <c:pt idx="25">
                  <c:v>4.198297268754779E-2</c:v>
                </c:pt>
                <c:pt idx="26">
                  <c:v>4.2182645269278347E-2</c:v>
                </c:pt>
                <c:pt idx="27">
                  <c:v>4.2382317851008905E-2</c:v>
                </c:pt>
                <c:pt idx="28">
                  <c:v>4.2581990432739455E-2</c:v>
                </c:pt>
                <c:pt idx="29">
                  <c:v>4.2781663014470013E-2</c:v>
                </c:pt>
                <c:pt idx="30">
                  <c:v>4.2981335596200571E-2</c:v>
                </c:pt>
                <c:pt idx="31">
                  <c:v>4.3181008177931121E-2</c:v>
                </c:pt>
                <c:pt idx="32">
                  <c:v>4.3380680759661679E-2</c:v>
                </c:pt>
                <c:pt idx="33">
                  <c:v>4.3580353341392236E-2</c:v>
                </c:pt>
                <c:pt idx="34">
                  <c:v>4.3780025923122787E-2</c:v>
                </c:pt>
                <c:pt idx="35">
                  <c:v>4.3979698504853337E-2</c:v>
                </c:pt>
                <c:pt idx="36">
                  <c:v>4.4179371086583902E-2</c:v>
                </c:pt>
                <c:pt idx="37">
                  <c:v>4.4379043668314452E-2</c:v>
                </c:pt>
                <c:pt idx="38">
                  <c:v>4.4578716250045003E-2</c:v>
                </c:pt>
                <c:pt idx="39">
                  <c:v>4.477838883177556E-2</c:v>
                </c:pt>
                <c:pt idx="40">
                  <c:v>4.4978061413506118E-2</c:v>
                </c:pt>
                <c:pt idx="41">
                  <c:v>4.5177733995236675E-2</c:v>
                </c:pt>
                <c:pt idx="42">
                  <c:v>4.5377406576967226E-2</c:v>
                </c:pt>
                <c:pt idx="43">
                  <c:v>4.5577079158697756E-2</c:v>
                </c:pt>
                <c:pt idx="44">
                  <c:v>4.577675174042832E-2</c:v>
                </c:pt>
                <c:pt idx="45">
                  <c:v>4.5976424322158871E-2</c:v>
                </c:pt>
                <c:pt idx="46">
                  <c:v>4.6176096903889421E-2</c:v>
                </c:pt>
                <c:pt idx="47">
                  <c:v>4.6375769485619979E-2</c:v>
                </c:pt>
                <c:pt idx="48">
                  <c:v>4.6575442067350536E-2</c:v>
                </c:pt>
                <c:pt idx="49">
                  <c:v>4.6775114649081094E-2</c:v>
                </c:pt>
                <c:pt idx="50">
                  <c:v>4.6974787230811645E-2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5"/>
          <c:order val="5"/>
          <c:tx>
            <c:strRef>
              <c:f>summary!$H$3</c:f>
              <c:strCache>
                <c:ptCount val="1"/>
                <c:pt idx="0">
                  <c:v>h US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</c:marker>
          <c:xVal>
            <c:numRef>
              <c:f>summary!$D$41:$D$67</c:f>
              <c:numCache>
                <c:formatCode>General</c:formatCode>
                <c:ptCount val="27"/>
                <c:pt idx="0">
                  <c:v>5.1420118343195233E-3</c:v>
                </c:pt>
                <c:pt idx="1">
                  <c:v>5.3516853932584277E-3</c:v>
                </c:pt>
                <c:pt idx="2">
                  <c:v>5.6988636363636373E-3</c:v>
                </c:pt>
                <c:pt idx="3">
                  <c:v>6.2333333333333294E-3</c:v>
                </c:pt>
                <c:pt idx="4">
                  <c:v>6.6874999999999973E-3</c:v>
                </c:pt>
                <c:pt idx="5">
                  <c:v>6.3439560439560467E-3</c:v>
                </c:pt>
                <c:pt idx="6">
                  <c:v>6.54892086330935E-3</c:v>
                </c:pt>
                <c:pt idx="7">
                  <c:v>6.9069767441860361E-3</c:v>
                </c:pt>
                <c:pt idx="8">
                  <c:v>7.3909090909090886E-3</c:v>
                </c:pt>
                <c:pt idx="9">
                  <c:v>7.4227272727272709E-3</c:v>
                </c:pt>
                <c:pt idx="10">
                  <c:v>7.5760233918128698E-3</c:v>
                </c:pt>
                <c:pt idx="11">
                  <c:v>7.6753424657534279E-3</c:v>
                </c:pt>
                <c:pt idx="12">
                  <c:v>7.9164705882352939E-3</c:v>
                </c:pt>
                <c:pt idx="13">
                  <c:v>8.1147928994082744E-3</c:v>
                </c:pt>
                <c:pt idx="14">
                  <c:v>8.2767741935483724E-3</c:v>
                </c:pt>
                <c:pt idx="15">
                  <c:v>8.4652777777777816E-3</c:v>
                </c:pt>
                <c:pt idx="16">
                  <c:v>8.7292682926829197E-3</c:v>
                </c:pt>
                <c:pt idx="17">
                  <c:v>8.9563492063492057E-3</c:v>
                </c:pt>
                <c:pt idx="18">
                  <c:v>9.0696629213483145E-3</c:v>
                </c:pt>
                <c:pt idx="19">
                  <c:v>9.384999999999994E-3</c:v>
                </c:pt>
                <c:pt idx="20">
                  <c:v>9.5043956043956105E-3</c:v>
                </c:pt>
                <c:pt idx="21">
                  <c:v>9.7249999999999923E-3</c:v>
                </c:pt>
                <c:pt idx="22">
                  <c:v>9.8081967213114723E-3</c:v>
                </c:pt>
                <c:pt idx="23">
                  <c:v>1.0064864864864858E-2</c:v>
                </c:pt>
                <c:pt idx="24">
                  <c:v>9.6250000000000051E-3</c:v>
                </c:pt>
                <c:pt idx="25">
                  <c:v>8.7969072164948408E-3</c:v>
                </c:pt>
                <c:pt idx="26">
                  <c:v>1.0836792452830183E-2</c:v>
                </c:pt>
              </c:numCache>
            </c:numRef>
          </c:xVal>
          <c:yVal>
            <c:numRef>
              <c:f>summary!$H$41:$H$67</c:f>
              <c:numCache>
                <c:formatCode>0.000000</c:formatCode>
                <c:ptCount val="27"/>
                <c:pt idx="0">
                  <c:v>3.6158693615733234E-2</c:v>
                </c:pt>
                <c:pt idx="1">
                  <c:v>3.71574740323838E-2</c:v>
                </c:pt>
                <c:pt idx="2">
                  <c:v>3.8036393036334916E-2</c:v>
                </c:pt>
                <c:pt idx="3" formatCode="General">
                  <c:v>3.93176841524953E-2</c:v>
                </c:pt>
                <c:pt idx="4">
                  <c:v>4.1068296376211011E-2</c:v>
                </c:pt>
                <c:pt idx="5">
                  <c:v>4.0134616743387544E-2</c:v>
                </c:pt>
                <c:pt idx="6" formatCode="General">
                  <c:v>4.0677765439482531E-2</c:v>
                </c:pt>
                <c:pt idx="7" formatCode="General">
                  <c:v>4.0645726324202221E-2</c:v>
                </c:pt>
                <c:pt idx="8" formatCode="General">
                  <c:v>4.1933247203006549E-2</c:v>
                </c:pt>
                <c:pt idx="9" formatCode="General">
                  <c:v>4.2145947618483032E-2</c:v>
                </c:pt>
                <c:pt idx="10" formatCode="General">
                  <c:v>4.2575729062144414E-2</c:v>
                </c:pt>
                <c:pt idx="11" formatCode="General">
                  <c:v>4.2489458127430303E-2</c:v>
                </c:pt>
                <c:pt idx="12" formatCode="General">
                  <c:v>4.3376871453505363E-2</c:v>
                </c:pt>
                <c:pt idx="13" formatCode="General">
                  <c:v>4.3570885358571503E-2</c:v>
                </c:pt>
                <c:pt idx="14" formatCode="General">
                  <c:v>4.2887786428736904E-2</c:v>
                </c:pt>
                <c:pt idx="15" formatCode="General">
                  <c:v>4.3432151140441709E-2</c:v>
                </c:pt>
                <c:pt idx="16" formatCode="General">
                  <c:v>4.4083164541452183E-2</c:v>
                </c:pt>
                <c:pt idx="17">
                  <c:v>4.5448198209392901E-2</c:v>
                </c:pt>
                <c:pt idx="18">
                  <c:v>4.5321629995731604E-2</c:v>
                </c:pt>
                <c:pt idx="19">
                  <c:v>4.515357483177871E-2</c:v>
                </c:pt>
                <c:pt idx="20">
                  <c:v>4.566952374772424E-2</c:v>
                </c:pt>
                <c:pt idx="21">
                  <c:v>4.629395486999334E-2</c:v>
                </c:pt>
                <c:pt idx="22">
                  <c:v>4.6509012694109696E-2</c:v>
                </c:pt>
                <c:pt idx="23">
                  <c:v>4.691911048749197E-2</c:v>
                </c:pt>
                <c:pt idx="24">
                  <c:v>4.6180402237981498E-2</c:v>
                </c:pt>
                <c:pt idx="25">
                  <c:v>4.4716008818494898E-2</c:v>
                </c:pt>
                <c:pt idx="26">
                  <c:v>4.8734388495892574E-2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summary!$W$5</c:f>
              <c:strCache>
                <c:ptCount val="1"/>
                <c:pt idx="0">
                  <c:v>Curve fit: US 4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ysClr val="window" lastClr="FFFFFF">
                  <a:lumMod val="50000"/>
                </a:sysClr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summary!$S$8:$S$58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6.4999999999999902E-3</c:v>
                </c:pt>
                <c:pt idx="16">
                  <c:v>6.5999999999999904E-3</c:v>
                </c:pt>
                <c:pt idx="17">
                  <c:v>6.6999999999999907E-3</c:v>
                </c:pt>
                <c:pt idx="18">
                  <c:v>6.7999999999999901E-3</c:v>
                </c:pt>
                <c:pt idx="19">
                  <c:v>6.8999999999999895E-3</c:v>
                </c:pt>
                <c:pt idx="20">
                  <c:v>6.9999999999999906E-3</c:v>
                </c:pt>
                <c:pt idx="21">
                  <c:v>7.09999999999999E-3</c:v>
                </c:pt>
                <c:pt idx="22">
                  <c:v>7.1999999999999903E-3</c:v>
                </c:pt>
                <c:pt idx="23">
                  <c:v>7.2999999999999905E-3</c:v>
                </c:pt>
                <c:pt idx="24">
                  <c:v>7.3999999999999899E-3</c:v>
                </c:pt>
                <c:pt idx="25">
                  <c:v>7.4999999999999902E-3</c:v>
                </c:pt>
                <c:pt idx="26">
                  <c:v>7.5999999999999904E-3</c:v>
                </c:pt>
                <c:pt idx="27">
                  <c:v>7.6999999999999907E-3</c:v>
                </c:pt>
                <c:pt idx="28">
                  <c:v>7.7999999999999901E-3</c:v>
                </c:pt>
                <c:pt idx="29">
                  <c:v>7.8999999999999904E-3</c:v>
                </c:pt>
                <c:pt idx="30">
                  <c:v>7.9999999999999898E-3</c:v>
                </c:pt>
                <c:pt idx="31">
                  <c:v>8.0999999999999909E-3</c:v>
                </c:pt>
                <c:pt idx="32">
                  <c:v>8.1999999999999903E-3</c:v>
                </c:pt>
                <c:pt idx="33">
                  <c:v>8.2999999999999897E-3</c:v>
                </c:pt>
                <c:pt idx="34">
                  <c:v>8.3999999999999891E-3</c:v>
                </c:pt>
                <c:pt idx="35">
                  <c:v>8.4999999999999902E-3</c:v>
                </c:pt>
                <c:pt idx="36">
                  <c:v>8.5999999999999913E-3</c:v>
                </c:pt>
                <c:pt idx="37">
                  <c:v>8.6999999999999907E-3</c:v>
                </c:pt>
                <c:pt idx="38">
                  <c:v>8.7999999999999901E-3</c:v>
                </c:pt>
                <c:pt idx="39">
                  <c:v>8.8999999999999895E-3</c:v>
                </c:pt>
                <c:pt idx="40">
                  <c:v>8.9999999999999889E-3</c:v>
                </c:pt>
                <c:pt idx="41">
                  <c:v>9.0999999999999918E-3</c:v>
                </c:pt>
                <c:pt idx="42">
                  <c:v>9.1999999999999912E-3</c:v>
                </c:pt>
                <c:pt idx="43">
                  <c:v>9.2999999999999802E-3</c:v>
                </c:pt>
                <c:pt idx="44">
                  <c:v>9.3999999999999813E-3</c:v>
                </c:pt>
                <c:pt idx="45">
                  <c:v>9.4999999999999807E-3</c:v>
                </c:pt>
                <c:pt idx="46">
                  <c:v>9.5999999999999801E-3</c:v>
                </c:pt>
                <c:pt idx="47">
                  <c:v>9.6999999999999795E-3</c:v>
                </c:pt>
                <c:pt idx="48">
                  <c:v>9.7999999999999789E-3</c:v>
                </c:pt>
                <c:pt idx="49">
                  <c:v>9.8999999999999817E-3</c:v>
                </c:pt>
                <c:pt idx="50">
                  <c:v>9.9999999999999811E-3</c:v>
                </c:pt>
              </c:numCache>
              <c:extLst xmlns:c15="http://schemas.microsoft.com/office/drawing/2012/chart"/>
            </c:numRef>
          </c:xVal>
          <c:yVal>
            <c:numRef>
              <c:f>summary!$W$8:$W$58</c:f>
              <c:numCache>
                <c:formatCode>General</c:formatCode>
                <c:ptCount val="51"/>
                <c:pt idx="0">
                  <c:v>3.5350233355354144E-2</c:v>
                </c:pt>
                <c:pt idx="1">
                  <c:v>3.5593959287098735E-2</c:v>
                </c:pt>
                <c:pt idx="2">
                  <c:v>3.5837685218843326E-2</c:v>
                </c:pt>
                <c:pt idx="3">
                  <c:v>3.6081411150587918E-2</c:v>
                </c:pt>
                <c:pt idx="4">
                  <c:v>3.6325137082332509E-2</c:v>
                </c:pt>
                <c:pt idx="5">
                  <c:v>3.6568863014077094E-2</c:v>
                </c:pt>
                <c:pt idx="6">
                  <c:v>3.6812588945821685E-2</c:v>
                </c:pt>
                <c:pt idx="7">
                  <c:v>3.7056314877566277E-2</c:v>
                </c:pt>
                <c:pt idx="8">
                  <c:v>3.7300040809310861E-2</c:v>
                </c:pt>
                <c:pt idx="9">
                  <c:v>3.7543766741055459E-2</c:v>
                </c:pt>
                <c:pt idx="10">
                  <c:v>3.7787492672800044E-2</c:v>
                </c:pt>
                <c:pt idx="11">
                  <c:v>3.8031218604544635E-2</c:v>
                </c:pt>
                <c:pt idx="12">
                  <c:v>3.8274944536289227E-2</c:v>
                </c:pt>
                <c:pt idx="13">
                  <c:v>3.8518670468033818E-2</c:v>
                </c:pt>
                <c:pt idx="14">
                  <c:v>3.8762396399778409E-2</c:v>
                </c:pt>
                <c:pt idx="15">
                  <c:v>3.9006122331522973E-2</c:v>
                </c:pt>
                <c:pt idx="16">
                  <c:v>3.9249848263267564E-2</c:v>
                </c:pt>
                <c:pt idx="17">
                  <c:v>3.9493574195012149E-2</c:v>
                </c:pt>
                <c:pt idx="18">
                  <c:v>3.973730012675674E-2</c:v>
                </c:pt>
                <c:pt idx="19">
                  <c:v>3.9981026058501332E-2</c:v>
                </c:pt>
                <c:pt idx="20">
                  <c:v>4.0224751990245923E-2</c:v>
                </c:pt>
                <c:pt idx="21">
                  <c:v>4.0468477921990514E-2</c:v>
                </c:pt>
                <c:pt idx="22">
                  <c:v>4.0712203853735099E-2</c:v>
                </c:pt>
                <c:pt idx="23">
                  <c:v>4.0955929785479697E-2</c:v>
                </c:pt>
                <c:pt idx="24">
                  <c:v>4.1199655717224282E-2</c:v>
                </c:pt>
                <c:pt idx="25">
                  <c:v>4.1443381648968873E-2</c:v>
                </c:pt>
                <c:pt idx="26">
                  <c:v>4.1687107580713464E-2</c:v>
                </c:pt>
                <c:pt idx="27">
                  <c:v>4.1930833512458049E-2</c:v>
                </c:pt>
                <c:pt idx="28">
                  <c:v>4.217455944420264E-2</c:v>
                </c:pt>
                <c:pt idx="29">
                  <c:v>4.2418285375947232E-2</c:v>
                </c:pt>
                <c:pt idx="30">
                  <c:v>4.2662011307691816E-2</c:v>
                </c:pt>
                <c:pt idx="31">
                  <c:v>4.2905737239436414E-2</c:v>
                </c:pt>
                <c:pt idx="32">
                  <c:v>4.3149463171180999E-2</c:v>
                </c:pt>
                <c:pt idx="33">
                  <c:v>4.339318910292559E-2</c:v>
                </c:pt>
                <c:pt idx="34">
                  <c:v>4.3636915034670182E-2</c:v>
                </c:pt>
                <c:pt idx="35">
                  <c:v>4.3880640966414773E-2</c:v>
                </c:pt>
                <c:pt idx="36">
                  <c:v>4.4124366898159365E-2</c:v>
                </c:pt>
                <c:pt idx="37">
                  <c:v>4.4368092829903949E-2</c:v>
                </c:pt>
                <c:pt idx="38">
                  <c:v>4.461181876164854E-2</c:v>
                </c:pt>
                <c:pt idx="39">
                  <c:v>4.4855544693393132E-2</c:v>
                </c:pt>
                <c:pt idx="40">
                  <c:v>4.5099270625137716E-2</c:v>
                </c:pt>
                <c:pt idx="41">
                  <c:v>4.5342996556882315E-2</c:v>
                </c:pt>
                <c:pt idx="42">
                  <c:v>4.5586722488626899E-2</c:v>
                </c:pt>
                <c:pt idx="43">
                  <c:v>4.583044842037147E-2</c:v>
                </c:pt>
                <c:pt idx="44">
                  <c:v>4.6074174352116061E-2</c:v>
                </c:pt>
                <c:pt idx="45">
                  <c:v>4.6317900283860652E-2</c:v>
                </c:pt>
                <c:pt idx="46">
                  <c:v>4.6561626215605237E-2</c:v>
                </c:pt>
                <c:pt idx="47">
                  <c:v>4.6805352147349821E-2</c:v>
                </c:pt>
                <c:pt idx="48">
                  <c:v>4.7049078079094413E-2</c:v>
                </c:pt>
                <c:pt idx="49">
                  <c:v>4.7292804010839011E-2</c:v>
                </c:pt>
                <c:pt idx="50">
                  <c:v>4.7536529942583602E-2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7"/>
          <c:order val="7"/>
          <c:tx>
            <c:strRef>
              <c:f>summary!$I$3</c:f>
              <c:strCache>
                <c:ptCount val="1"/>
                <c:pt idx="0">
                  <c:v>h US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ysClr val="window" lastClr="FFFFFF">
                  <a:lumMod val="75000"/>
                </a:sysClr>
              </a:solidFill>
              <a:ln w="1270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  <a:effectLst/>
            </c:spPr>
          </c:marker>
          <c:xVal>
            <c:numRef>
              <c:f>summary!$D$41:$D$67</c:f>
              <c:numCache>
                <c:formatCode>General</c:formatCode>
                <c:ptCount val="27"/>
                <c:pt idx="0">
                  <c:v>5.1420118343195233E-3</c:v>
                </c:pt>
                <c:pt idx="1">
                  <c:v>5.3516853932584277E-3</c:v>
                </c:pt>
                <c:pt idx="2">
                  <c:v>5.6988636363636373E-3</c:v>
                </c:pt>
                <c:pt idx="3">
                  <c:v>6.2333333333333294E-3</c:v>
                </c:pt>
                <c:pt idx="4">
                  <c:v>6.6874999999999973E-3</c:v>
                </c:pt>
                <c:pt idx="5">
                  <c:v>6.3439560439560467E-3</c:v>
                </c:pt>
                <c:pt idx="6">
                  <c:v>6.54892086330935E-3</c:v>
                </c:pt>
                <c:pt idx="7">
                  <c:v>6.9069767441860361E-3</c:v>
                </c:pt>
                <c:pt idx="8">
                  <c:v>7.3909090909090886E-3</c:v>
                </c:pt>
                <c:pt idx="9">
                  <c:v>7.4227272727272709E-3</c:v>
                </c:pt>
                <c:pt idx="10">
                  <c:v>7.5760233918128698E-3</c:v>
                </c:pt>
                <c:pt idx="11">
                  <c:v>7.6753424657534279E-3</c:v>
                </c:pt>
                <c:pt idx="12">
                  <c:v>7.9164705882352939E-3</c:v>
                </c:pt>
                <c:pt idx="13">
                  <c:v>8.1147928994082744E-3</c:v>
                </c:pt>
                <c:pt idx="14">
                  <c:v>8.2767741935483724E-3</c:v>
                </c:pt>
                <c:pt idx="15">
                  <c:v>8.4652777777777816E-3</c:v>
                </c:pt>
                <c:pt idx="16">
                  <c:v>8.7292682926829197E-3</c:v>
                </c:pt>
                <c:pt idx="17">
                  <c:v>8.9563492063492057E-3</c:v>
                </c:pt>
                <c:pt idx="18">
                  <c:v>9.0696629213483145E-3</c:v>
                </c:pt>
                <c:pt idx="19">
                  <c:v>9.384999999999994E-3</c:v>
                </c:pt>
                <c:pt idx="20">
                  <c:v>9.5043956043956105E-3</c:v>
                </c:pt>
                <c:pt idx="21">
                  <c:v>9.7249999999999923E-3</c:v>
                </c:pt>
                <c:pt idx="22">
                  <c:v>9.8081967213114723E-3</c:v>
                </c:pt>
                <c:pt idx="23">
                  <c:v>1.0064864864864858E-2</c:v>
                </c:pt>
                <c:pt idx="24">
                  <c:v>9.6250000000000051E-3</c:v>
                </c:pt>
                <c:pt idx="25">
                  <c:v>8.7969072164948408E-3</c:v>
                </c:pt>
                <c:pt idx="26">
                  <c:v>1.0836792452830183E-2</c:v>
                </c:pt>
              </c:numCache>
            </c:numRef>
          </c:xVal>
          <c:yVal>
            <c:numRef>
              <c:f>summary!$I$41:$I$67</c:f>
              <c:numCache>
                <c:formatCode>0.000000</c:formatCode>
                <c:ptCount val="27"/>
                <c:pt idx="0">
                  <c:v>3.5717483775089216E-2</c:v>
                </c:pt>
                <c:pt idx="1">
                  <c:v>3.6588835625245182E-2</c:v>
                </c:pt>
                <c:pt idx="2">
                  <c:v>3.7281407350734076E-2</c:v>
                </c:pt>
                <c:pt idx="3">
                  <c:v>3.8441587959832241E-2</c:v>
                </c:pt>
                <c:pt idx="4">
                  <c:v>3.9828107330813253E-2</c:v>
                </c:pt>
                <c:pt idx="5">
                  <c:v>3.8493221285039451E-2</c:v>
                </c:pt>
                <c:pt idx="6">
                  <c:v>3.908327293873274E-2</c:v>
                </c:pt>
                <c:pt idx="7">
                  <c:v>3.9730763980731498E-2</c:v>
                </c:pt>
                <c:pt idx="8">
                  <c:v>4.0842434248239363E-2</c:v>
                </c:pt>
                <c:pt idx="9">
                  <c:v>4.1074161426659227E-2</c:v>
                </c:pt>
                <c:pt idx="10">
                  <c:v>4.1626141537988735E-2</c:v>
                </c:pt>
                <c:pt idx="11">
                  <c:v>4.1846475659816799E-2</c:v>
                </c:pt>
                <c:pt idx="12">
                  <c:v>4.2671366799970627E-2</c:v>
                </c:pt>
                <c:pt idx="13">
                  <c:v>4.3103484654183052E-2</c:v>
                </c:pt>
                <c:pt idx="14">
                  <c:v>4.2792814840817518E-2</c:v>
                </c:pt>
                <c:pt idx="15">
                  <c:v>4.3331891561606009E-2</c:v>
                </c:pt>
                <c:pt idx="16">
                  <c:v>4.4148620541517448E-2</c:v>
                </c:pt>
                <c:pt idx="17">
                  <c:v>4.4804991347532915E-2</c:v>
                </c:pt>
                <c:pt idx="18">
                  <c:v>4.5600369265400696E-2</c:v>
                </c:pt>
                <c:pt idx="19">
                  <c:v>4.5418204312838321E-2</c:v>
                </c:pt>
                <c:pt idx="20">
                  <c:v>4.6263335006730827E-2</c:v>
                </c:pt>
                <c:pt idx="21">
                  <c:v>4.7006549768863169E-2</c:v>
                </c:pt>
                <c:pt idx="22">
                  <c:v>4.7327826502435492E-2</c:v>
                </c:pt>
                <c:pt idx="23">
                  <c:v>4.7887027525586878E-2</c:v>
                </c:pt>
                <c:pt idx="24">
                  <c:v>4.666758233047974E-2</c:v>
                </c:pt>
                <c:pt idx="25">
                  <c:v>4.4645009067317991E-2</c:v>
                </c:pt>
                <c:pt idx="26">
                  <c:v>5.0348677025768999E-2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summary!$X$5</c:f>
              <c:strCache>
                <c:ptCount val="1"/>
                <c:pt idx="0">
                  <c:v>Curve fit: US 5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summary!$S$8:$S$58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6.4999999999999902E-3</c:v>
                </c:pt>
                <c:pt idx="16">
                  <c:v>6.5999999999999904E-3</c:v>
                </c:pt>
                <c:pt idx="17">
                  <c:v>6.6999999999999907E-3</c:v>
                </c:pt>
                <c:pt idx="18">
                  <c:v>6.7999999999999901E-3</c:v>
                </c:pt>
                <c:pt idx="19">
                  <c:v>6.8999999999999895E-3</c:v>
                </c:pt>
                <c:pt idx="20">
                  <c:v>6.9999999999999906E-3</c:v>
                </c:pt>
                <c:pt idx="21">
                  <c:v>7.09999999999999E-3</c:v>
                </c:pt>
                <c:pt idx="22">
                  <c:v>7.1999999999999903E-3</c:v>
                </c:pt>
                <c:pt idx="23">
                  <c:v>7.2999999999999905E-3</c:v>
                </c:pt>
                <c:pt idx="24">
                  <c:v>7.3999999999999899E-3</c:v>
                </c:pt>
                <c:pt idx="25">
                  <c:v>7.4999999999999902E-3</c:v>
                </c:pt>
                <c:pt idx="26">
                  <c:v>7.5999999999999904E-3</c:v>
                </c:pt>
                <c:pt idx="27">
                  <c:v>7.6999999999999907E-3</c:v>
                </c:pt>
                <c:pt idx="28">
                  <c:v>7.7999999999999901E-3</c:v>
                </c:pt>
                <c:pt idx="29">
                  <c:v>7.8999999999999904E-3</c:v>
                </c:pt>
                <c:pt idx="30">
                  <c:v>7.9999999999999898E-3</c:v>
                </c:pt>
                <c:pt idx="31">
                  <c:v>8.0999999999999909E-3</c:v>
                </c:pt>
                <c:pt idx="32">
                  <c:v>8.1999999999999903E-3</c:v>
                </c:pt>
                <c:pt idx="33">
                  <c:v>8.2999999999999897E-3</c:v>
                </c:pt>
                <c:pt idx="34">
                  <c:v>8.3999999999999891E-3</c:v>
                </c:pt>
                <c:pt idx="35">
                  <c:v>8.4999999999999902E-3</c:v>
                </c:pt>
                <c:pt idx="36">
                  <c:v>8.5999999999999913E-3</c:v>
                </c:pt>
                <c:pt idx="37">
                  <c:v>8.6999999999999907E-3</c:v>
                </c:pt>
                <c:pt idx="38">
                  <c:v>8.7999999999999901E-3</c:v>
                </c:pt>
                <c:pt idx="39">
                  <c:v>8.8999999999999895E-3</c:v>
                </c:pt>
                <c:pt idx="40">
                  <c:v>8.9999999999999889E-3</c:v>
                </c:pt>
                <c:pt idx="41">
                  <c:v>9.0999999999999918E-3</c:v>
                </c:pt>
                <c:pt idx="42">
                  <c:v>9.1999999999999912E-3</c:v>
                </c:pt>
                <c:pt idx="43">
                  <c:v>9.2999999999999802E-3</c:v>
                </c:pt>
                <c:pt idx="44">
                  <c:v>9.3999999999999813E-3</c:v>
                </c:pt>
                <c:pt idx="45">
                  <c:v>9.4999999999999807E-3</c:v>
                </c:pt>
                <c:pt idx="46">
                  <c:v>9.5999999999999801E-3</c:v>
                </c:pt>
                <c:pt idx="47">
                  <c:v>9.6999999999999795E-3</c:v>
                </c:pt>
                <c:pt idx="48">
                  <c:v>9.7999999999999789E-3</c:v>
                </c:pt>
                <c:pt idx="49">
                  <c:v>9.8999999999999817E-3</c:v>
                </c:pt>
                <c:pt idx="50">
                  <c:v>9.9999999999999811E-3</c:v>
                </c:pt>
              </c:numCache>
              <c:extLst xmlns:c15="http://schemas.microsoft.com/office/drawing/2012/chart"/>
            </c:numRef>
          </c:xVal>
          <c:yVal>
            <c:numRef>
              <c:f>summary!$X$8:$X$58</c:f>
              <c:numCache>
                <c:formatCode>General</c:formatCode>
                <c:ptCount val="51"/>
                <c:pt idx="0">
                  <c:v>3.8617688952999926E-2</c:v>
                </c:pt>
                <c:pt idx="1">
                  <c:v>3.8841609145126757E-2</c:v>
                </c:pt>
                <c:pt idx="2">
                  <c:v>3.9065529337253581E-2</c:v>
                </c:pt>
                <c:pt idx="3">
                  <c:v>3.9289449529380405E-2</c:v>
                </c:pt>
                <c:pt idx="4">
                  <c:v>3.9513369721507235E-2</c:v>
                </c:pt>
                <c:pt idx="5">
                  <c:v>3.9737289913634059E-2</c:v>
                </c:pt>
                <c:pt idx="6">
                  <c:v>3.9961210105760883E-2</c:v>
                </c:pt>
                <c:pt idx="7">
                  <c:v>4.0185130297887714E-2</c:v>
                </c:pt>
                <c:pt idx="8">
                  <c:v>4.0409050490014531E-2</c:v>
                </c:pt>
                <c:pt idx="9">
                  <c:v>4.0632970682141362E-2</c:v>
                </c:pt>
                <c:pt idx="10">
                  <c:v>4.0856890874268185E-2</c:v>
                </c:pt>
                <c:pt idx="11">
                  <c:v>4.1080811066395009E-2</c:v>
                </c:pt>
                <c:pt idx="12">
                  <c:v>4.130473125852184E-2</c:v>
                </c:pt>
                <c:pt idx="13">
                  <c:v>4.1528651450648664E-2</c:v>
                </c:pt>
                <c:pt idx="14">
                  <c:v>4.1752571642775488E-2</c:v>
                </c:pt>
                <c:pt idx="15">
                  <c:v>4.1976491834902291E-2</c:v>
                </c:pt>
                <c:pt idx="16">
                  <c:v>4.2200412027029122E-2</c:v>
                </c:pt>
                <c:pt idx="17">
                  <c:v>4.2424332219155945E-2</c:v>
                </c:pt>
                <c:pt idx="18">
                  <c:v>4.2648252411282769E-2</c:v>
                </c:pt>
                <c:pt idx="19">
                  <c:v>4.2872172603409593E-2</c:v>
                </c:pt>
                <c:pt idx="20">
                  <c:v>4.3096092795536417E-2</c:v>
                </c:pt>
                <c:pt idx="21">
                  <c:v>4.3320012987663248E-2</c:v>
                </c:pt>
                <c:pt idx="22">
                  <c:v>4.3543933179790072E-2</c:v>
                </c:pt>
                <c:pt idx="23">
                  <c:v>4.3767853371916896E-2</c:v>
                </c:pt>
                <c:pt idx="24">
                  <c:v>4.3991773564043726E-2</c:v>
                </c:pt>
                <c:pt idx="25">
                  <c:v>4.4215693756170543E-2</c:v>
                </c:pt>
                <c:pt idx="26">
                  <c:v>4.4439613948297374E-2</c:v>
                </c:pt>
                <c:pt idx="27">
                  <c:v>4.4663534140424205E-2</c:v>
                </c:pt>
                <c:pt idx="28">
                  <c:v>4.4887454332551022E-2</c:v>
                </c:pt>
                <c:pt idx="29">
                  <c:v>4.5111374524677852E-2</c:v>
                </c:pt>
                <c:pt idx="30">
                  <c:v>4.5335294716804676E-2</c:v>
                </c:pt>
                <c:pt idx="31">
                  <c:v>4.55592149089315E-2</c:v>
                </c:pt>
                <c:pt idx="32">
                  <c:v>4.5783135101058331E-2</c:v>
                </c:pt>
                <c:pt idx="33">
                  <c:v>4.6007055293185148E-2</c:v>
                </c:pt>
                <c:pt idx="34">
                  <c:v>4.6230975485311979E-2</c:v>
                </c:pt>
                <c:pt idx="35">
                  <c:v>4.6454895677438802E-2</c:v>
                </c:pt>
                <c:pt idx="36">
                  <c:v>4.6678815869565633E-2</c:v>
                </c:pt>
                <c:pt idx="37">
                  <c:v>4.6902736061692457E-2</c:v>
                </c:pt>
                <c:pt idx="38">
                  <c:v>4.7126656253819281E-2</c:v>
                </c:pt>
                <c:pt idx="39">
                  <c:v>4.7350576445946105E-2</c:v>
                </c:pt>
                <c:pt idx="40">
                  <c:v>4.7574496638072929E-2</c:v>
                </c:pt>
                <c:pt idx="41">
                  <c:v>4.7798416830199759E-2</c:v>
                </c:pt>
                <c:pt idx="42">
                  <c:v>4.8022337022326583E-2</c:v>
                </c:pt>
                <c:pt idx="43">
                  <c:v>4.8246257214453386E-2</c:v>
                </c:pt>
                <c:pt idx="44">
                  <c:v>4.8470177406580217E-2</c:v>
                </c:pt>
                <c:pt idx="45">
                  <c:v>4.8694097598707034E-2</c:v>
                </c:pt>
                <c:pt idx="46">
                  <c:v>4.8918017790833865E-2</c:v>
                </c:pt>
                <c:pt idx="47">
                  <c:v>4.9141937982960682E-2</c:v>
                </c:pt>
                <c:pt idx="48">
                  <c:v>4.9365858175087513E-2</c:v>
                </c:pt>
                <c:pt idx="49">
                  <c:v>4.9589778367214343E-2</c:v>
                </c:pt>
                <c:pt idx="50">
                  <c:v>4.9813698559341167E-2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9"/>
          <c:order val="9"/>
          <c:tx>
            <c:strRef>
              <c:f>summary!$J$3</c:f>
              <c:strCache>
                <c:ptCount val="1"/>
                <c:pt idx="0">
                  <c:v>h US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12700"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</c:marker>
          <c:xVal>
            <c:numRef>
              <c:f>summary!$D$41:$D$67</c:f>
              <c:numCache>
                <c:formatCode>General</c:formatCode>
                <c:ptCount val="27"/>
                <c:pt idx="0">
                  <c:v>5.1420118343195233E-3</c:v>
                </c:pt>
                <c:pt idx="1">
                  <c:v>5.3516853932584277E-3</c:v>
                </c:pt>
                <c:pt idx="2">
                  <c:v>5.6988636363636373E-3</c:v>
                </c:pt>
                <c:pt idx="3">
                  <c:v>6.2333333333333294E-3</c:v>
                </c:pt>
                <c:pt idx="4">
                  <c:v>6.6874999999999973E-3</c:v>
                </c:pt>
                <c:pt idx="5">
                  <c:v>6.3439560439560467E-3</c:v>
                </c:pt>
                <c:pt idx="6">
                  <c:v>6.54892086330935E-3</c:v>
                </c:pt>
                <c:pt idx="7">
                  <c:v>6.9069767441860361E-3</c:v>
                </c:pt>
                <c:pt idx="8">
                  <c:v>7.3909090909090886E-3</c:v>
                </c:pt>
                <c:pt idx="9">
                  <c:v>7.4227272727272709E-3</c:v>
                </c:pt>
                <c:pt idx="10">
                  <c:v>7.5760233918128698E-3</c:v>
                </c:pt>
                <c:pt idx="11">
                  <c:v>7.6753424657534279E-3</c:v>
                </c:pt>
                <c:pt idx="12">
                  <c:v>7.9164705882352939E-3</c:v>
                </c:pt>
                <c:pt idx="13">
                  <c:v>8.1147928994082744E-3</c:v>
                </c:pt>
                <c:pt idx="14">
                  <c:v>8.2767741935483724E-3</c:v>
                </c:pt>
                <c:pt idx="15">
                  <c:v>8.4652777777777816E-3</c:v>
                </c:pt>
                <c:pt idx="16">
                  <c:v>8.7292682926829197E-3</c:v>
                </c:pt>
                <c:pt idx="17">
                  <c:v>8.9563492063492057E-3</c:v>
                </c:pt>
                <c:pt idx="18">
                  <c:v>9.0696629213483145E-3</c:v>
                </c:pt>
                <c:pt idx="19">
                  <c:v>9.384999999999994E-3</c:v>
                </c:pt>
                <c:pt idx="20">
                  <c:v>9.5043956043956105E-3</c:v>
                </c:pt>
                <c:pt idx="21">
                  <c:v>9.7249999999999923E-3</c:v>
                </c:pt>
                <c:pt idx="22">
                  <c:v>9.8081967213114723E-3</c:v>
                </c:pt>
                <c:pt idx="23">
                  <c:v>1.0064864864864858E-2</c:v>
                </c:pt>
                <c:pt idx="24">
                  <c:v>9.6250000000000051E-3</c:v>
                </c:pt>
                <c:pt idx="25">
                  <c:v>8.7969072164948408E-3</c:v>
                </c:pt>
                <c:pt idx="26">
                  <c:v>1.0836792452830183E-2</c:v>
                </c:pt>
              </c:numCache>
            </c:numRef>
          </c:xVal>
          <c:yVal>
            <c:numRef>
              <c:f>summary!$J$41:$J$67</c:f>
              <c:numCache>
                <c:formatCode>0.000000</c:formatCode>
                <c:ptCount val="27"/>
                <c:pt idx="0">
                  <c:v>3.7828245742295222E-2</c:v>
                </c:pt>
                <c:pt idx="1">
                  <c:v>3.8790734629846127E-2</c:v>
                </c:pt>
                <c:pt idx="2">
                  <c:v>3.9891774995563255E-2</c:v>
                </c:pt>
                <c:pt idx="3" formatCode="General">
                  <c:v>4.0913014307495776E-2</c:v>
                </c:pt>
                <c:pt idx="4">
                  <c:v>4.2798550192674173E-2</c:v>
                </c:pt>
                <c:pt idx="5">
                  <c:v>4.1782723745114811E-2</c:v>
                </c:pt>
                <c:pt idx="6" formatCode="General">
                  <c:v>4.2319877102169251E-2</c:v>
                </c:pt>
                <c:pt idx="7" formatCode="General">
                  <c:v>4.3089846756707122E-2</c:v>
                </c:pt>
                <c:pt idx="8" formatCode="General">
                  <c:v>4.3985565305310011E-2</c:v>
                </c:pt>
                <c:pt idx="9" formatCode="General">
                  <c:v>4.4031973262362342E-2</c:v>
                </c:pt>
                <c:pt idx="10" formatCode="General">
                  <c:v>4.4780413273542832E-2</c:v>
                </c:pt>
                <c:pt idx="11" formatCode="General">
                  <c:v>4.5114115136697615E-2</c:v>
                </c:pt>
                <c:pt idx="12" formatCode="General">
                  <c:v>4.5636736190244054E-2</c:v>
                </c:pt>
                <c:pt idx="13" formatCode="General">
                  <c:v>4.607477070457143E-2</c:v>
                </c:pt>
                <c:pt idx="14" formatCode="General">
                  <c:v>4.6196177447552396E-2</c:v>
                </c:pt>
                <c:pt idx="15" formatCode="General">
                  <c:v>4.6127480273777985E-2</c:v>
                </c:pt>
                <c:pt idx="16" formatCode="General">
                  <c:v>4.6750822734412653E-2</c:v>
                </c:pt>
                <c:pt idx="17">
                  <c:v>4.7419763187241074E-2</c:v>
                </c:pt>
                <c:pt idx="18">
                  <c:v>4.8348424837021592E-2</c:v>
                </c:pt>
                <c:pt idx="19">
                  <c:v>4.802745841568945E-2</c:v>
                </c:pt>
                <c:pt idx="20">
                  <c:v>4.8671109924671337E-2</c:v>
                </c:pt>
                <c:pt idx="21">
                  <c:v>4.8947026279415988E-2</c:v>
                </c:pt>
                <c:pt idx="22">
                  <c:v>4.9222465969850124E-2</c:v>
                </c:pt>
                <c:pt idx="23">
                  <c:v>4.9660682697133925E-2</c:v>
                </c:pt>
                <c:pt idx="24">
                  <c:v>4.9112772615214337E-2</c:v>
                </c:pt>
                <c:pt idx="25">
                  <c:v>4.7492719910392958E-2</c:v>
                </c:pt>
                <c:pt idx="26">
                  <c:v>5.0651579839362026E-2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summary!$I$12</c:f>
              <c:strCache>
                <c:ptCount val="1"/>
                <c:pt idx="0">
                  <c:v>h US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ED7D31">
                  <a:lumMod val="40000"/>
                  <a:lumOff val="60000"/>
                </a:srgbClr>
              </a:solidFill>
              <a:ln w="12700">
                <a:solidFill>
                  <a:sysClr val="windowText" lastClr="000000">
                    <a:lumMod val="50000"/>
                    <a:lumOff val="50000"/>
                  </a:sysClr>
                </a:solidFill>
              </a:ln>
              <a:effectLst/>
            </c:spPr>
          </c:marker>
          <c:xVal>
            <c:numRef>
              <c:f>summary!$D$86:$D$109</c:f>
              <c:numCache>
                <c:formatCode>General</c:formatCode>
                <c:ptCount val="24"/>
              </c:numCache>
            </c:numRef>
          </c:xVal>
          <c:yVal>
            <c:numRef>
              <c:f>summary!$I$86:$I$109</c:f>
              <c:numCache>
                <c:formatCode>0.000000</c:formatCode>
                <c:ptCount val="2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00960"/>
        <c:axId val="165500400"/>
        <c:extLst/>
      </c:scatterChart>
      <c:valAx>
        <c:axId val="165500960"/>
        <c:scaling>
          <c:orientation val="minMax"/>
          <c:max val="1.0000000000000002E-2"/>
          <c:min val="5.000000000000001E-3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Pump discharge Q [m³/s]</a:t>
                </a:r>
              </a:p>
            </c:rich>
          </c:tx>
          <c:layout>
            <c:manualLayout>
              <c:xMode val="edge"/>
              <c:yMode val="edge"/>
              <c:x val="0.37873505395158941"/>
              <c:y val="0.83011274049459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.0E+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65500400"/>
        <c:crosses val="autoZero"/>
        <c:crossBetween val="midCat"/>
        <c:majorUnit val="1.0000000000000002E-3"/>
        <c:minorUnit val="5.0000000000000012E-4"/>
      </c:valAx>
      <c:valAx>
        <c:axId val="165500400"/>
        <c:scaling>
          <c:orientation val="minMax"/>
          <c:max val="5.000000000000001E-2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Flow depth [m]</a:t>
                </a:r>
              </a:p>
            </c:rich>
          </c:tx>
          <c:layout>
            <c:manualLayout>
              <c:xMode val="edge"/>
              <c:yMode val="edge"/>
              <c:x val="9.1546767521761621E-3"/>
              <c:y val="0.317310998410335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65500960"/>
        <c:crosses val="autoZero"/>
        <c:crossBetween val="midCat"/>
        <c:majorUnit val="5.000000000000001E-3"/>
        <c:minorUnit val="2.5000000000000005E-3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1326076756441648"/>
          <c:y val="0.88802172303712867"/>
          <c:w val="0.85982539024727167"/>
          <c:h val="9.3572450600865525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fr-CH" sz="1400"/>
              <a:t>Q - Qb</a:t>
            </a:r>
          </a:p>
        </c:rich>
      </c:tx>
      <c:layout>
        <c:manualLayout>
          <c:xMode val="edge"/>
          <c:yMode val="edge"/>
          <c:x val="0.20305555555555554"/>
          <c:y val="7.0948012232415897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725721784776902"/>
          <c:y val="3.9606444903836427E-2"/>
          <c:w val="0.76111657917760278"/>
          <c:h val="0.72904370439933552"/>
        </c:manualLayout>
      </c:layout>
      <c:scatterChart>
        <c:scatterStyle val="lineMarker"/>
        <c:varyColors val="0"/>
        <c:ser>
          <c:idx val="9"/>
          <c:order val="0"/>
          <c:tx>
            <c:strRef>
              <c:f>summary!$B$13</c:f>
              <c:strCache>
                <c:ptCount val="1"/>
                <c:pt idx="0">
                  <c:v>02000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12700"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</c:marker>
          <c:xVal>
            <c:numRef>
              <c:f>summary!$D$13:$D$27</c:f>
              <c:numCache>
                <c:formatCode>General</c:formatCode>
                <c:ptCount val="15"/>
                <c:pt idx="0">
                  <c:v>5.0896103896103887E-3</c:v>
                </c:pt>
                <c:pt idx="1">
                  <c:v>5.1178137651821855E-3</c:v>
                </c:pt>
                <c:pt idx="2">
                  <c:v>5.4476510067114087E-3</c:v>
                </c:pt>
                <c:pt idx="3">
                  <c:v>5.697599999999998E-3</c:v>
                </c:pt>
                <c:pt idx="4">
                  <c:v>6.1105022831050198E-3</c:v>
                </c:pt>
                <c:pt idx="5">
                  <c:v>6.7392857142857098E-3</c:v>
                </c:pt>
                <c:pt idx="6">
                  <c:v>6.3921052631578943E-3</c:v>
                </c:pt>
                <c:pt idx="7">
                  <c:v>6.5711538461538455E-3</c:v>
                </c:pt>
                <c:pt idx="8">
                  <c:v>6.8224489795918357E-3</c:v>
                </c:pt>
                <c:pt idx="9">
                  <c:v>7.454838709677415E-3</c:v>
                </c:pt>
                <c:pt idx="10">
                  <c:v>7.358108108108107E-3</c:v>
                </c:pt>
                <c:pt idx="11">
                  <c:v>7.5798701298701284E-3</c:v>
                </c:pt>
                <c:pt idx="12">
                  <c:v>7.6421686746987964E-3</c:v>
                </c:pt>
                <c:pt idx="13">
                  <c:v>7.832283464566922E-3</c:v>
                </c:pt>
                <c:pt idx="14">
                  <c:v>8.0937500000000002E-3</c:v>
                </c:pt>
              </c:numCache>
            </c:numRef>
          </c:xVal>
          <c:yVal>
            <c:numRef>
              <c:f>summary!$E$13:$E$37</c:f>
              <c:numCache>
                <c:formatCode>General</c:formatCode>
                <c:ptCount val="25"/>
                <c:pt idx="0">
                  <c:v>3.5830618892508145E-2</c:v>
                </c:pt>
                <c:pt idx="1">
                  <c:v>4.878048780487805E-2</c:v>
                </c:pt>
                <c:pt idx="2">
                  <c:v>6.4189189189189186E-2</c:v>
                </c:pt>
                <c:pt idx="3">
                  <c:v>6.8548387096774188E-2</c:v>
                </c:pt>
                <c:pt idx="4">
                  <c:v>7.5688073394495417E-2</c:v>
                </c:pt>
                <c:pt idx="5">
                  <c:v>9.7122302158273388E-2</c:v>
                </c:pt>
                <c:pt idx="6">
                  <c:v>8.4070796460176997E-2</c:v>
                </c:pt>
                <c:pt idx="7">
                  <c:v>9.6774193548387094E-2</c:v>
                </c:pt>
                <c:pt idx="8">
                  <c:v>9.9315068493150679E-2</c:v>
                </c:pt>
                <c:pt idx="9">
                  <c:v>0.11382113821138211</c:v>
                </c:pt>
                <c:pt idx="10">
                  <c:v>0.12328767123287671</c:v>
                </c:pt>
                <c:pt idx="11">
                  <c:v>0.12745098039215685</c:v>
                </c:pt>
                <c:pt idx="12">
                  <c:v>0.12804878048780488</c:v>
                </c:pt>
                <c:pt idx="13">
                  <c:v>0.13095238095238096</c:v>
                </c:pt>
                <c:pt idx="14">
                  <c:v>0.13291139240506328</c:v>
                </c:pt>
                <c:pt idx="16">
                  <c:v>0.15929203539823009</c:v>
                </c:pt>
                <c:pt idx="17">
                  <c:v>0.19438720385316324</c:v>
                </c:pt>
                <c:pt idx="20">
                  <c:v>0.23903614457831326</c:v>
                </c:pt>
                <c:pt idx="21">
                  <c:v>0.24150943396226415</c:v>
                </c:pt>
                <c:pt idx="22">
                  <c:v>0.25302325581395352</c:v>
                </c:pt>
                <c:pt idx="23">
                  <c:v>0.27085106382978724</c:v>
                </c:pt>
              </c:numCache>
            </c:numRef>
          </c:yVal>
          <c:smooth val="0"/>
        </c:ser>
        <c:ser>
          <c:idx val="10"/>
          <c:order val="1"/>
          <c:tx>
            <c:strRef>
              <c:f>summary!$B$28</c:f>
              <c:strCache>
                <c:ptCount val="1"/>
                <c:pt idx="0">
                  <c:v>02001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ED7D31">
                  <a:lumMod val="40000"/>
                  <a:lumOff val="60000"/>
                </a:srgbClr>
              </a:solidFill>
              <a:ln w="12700">
                <a:solidFill>
                  <a:sysClr val="windowText" lastClr="000000">
                    <a:lumMod val="50000"/>
                    <a:lumOff val="50000"/>
                  </a:sysClr>
                </a:solidFill>
              </a:ln>
              <a:effectLst/>
            </c:spPr>
          </c:marker>
          <c:xVal>
            <c:numRef>
              <c:f>summary!$D$28:$D$40</c:f>
              <c:numCache>
                <c:formatCode>General</c:formatCode>
                <c:ptCount val="13"/>
                <c:pt idx="0">
                  <c:v>8.2242718446601942E-3</c:v>
                </c:pt>
                <c:pt idx="1">
                  <c:v>8.4105263157894777E-3</c:v>
                </c:pt>
                <c:pt idx="2">
                  <c:v>8.585185185185194E-3</c:v>
                </c:pt>
                <c:pt idx="3">
                  <c:v>8.9574468085106412E-3</c:v>
                </c:pt>
                <c:pt idx="4">
                  <c:v>9.1149999999999964E-3</c:v>
                </c:pt>
                <c:pt idx="5">
                  <c:v>9.4464285714285744E-3</c:v>
                </c:pt>
                <c:pt idx="6">
                  <c:v>9.5355140186915936E-3</c:v>
                </c:pt>
                <c:pt idx="7">
                  <c:v>9.7781609195402228E-3</c:v>
                </c:pt>
                <c:pt idx="8">
                  <c:v>9.9136842105263211E-3</c:v>
                </c:pt>
                <c:pt idx="9">
                  <c:v>1.0062745098039217E-2</c:v>
                </c:pt>
                <c:pt idx="10">
                  <c:v>9.6494949494949495E-3</c:v>
                </c:pt>
                <c:pt idx="11">
                  <c:v>8.626086956521747E-3</c:v>
                </c:pt>
                <c:pt idx="12">
                  <c:v>5.2600000000000034E-3</c:v>
                </c:pt>
              </c:numCache>
            </c:numRef>
          </c:xVal>
          <c:yVal>
            <c:numRef>
              <c:f>summary!$E$28:$E$40</c:f>
              <c:numCache>
                <c:formatCode>General</c:formatCode>
                <c:ptCount val="13"/>
                <c:pt idx="1">
                  <c:v>0.15929203539823009</c:v>
                </c:pt>
                <c:pt idx="2">
                  <c:v>0.19438720385316324</c:v>
                </c:pt>
                <c:pt idx="5">
                  <c:v>0.23903614457831326</c:v>
                </c:pt>
                <c:pt idx="6">
                  <c:v>0.24150943396226415</c:v>
                </c:pt>
                <c:pt idx="7">
                  <c:v>0.25302325581395352</c:v>
                </c:pt>
                <c:pt idx="8">
                  <c:v>0.27085106382978724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summary!$Y$5</c:f>
              <c:strCache>
                <c:ptCount val="1"/>
                <c:pt idx="0">
                  <c:v>Curve fit: Qb</c:v>
                </c:pt>
              </c:strCache>
            </c:strRef>
          </c:tx>
          <c:spPr>
            <a:ln w="19050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none"/>
          </c:marker>
          <c:xVal>
            <c:numRef>
              <c:f>summary!$S$8:$S$58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6.4999999999999902E-3</c:v>
                </c:pt>
                <c:pt idx="16">
                  <c:v>6.5999999999999904E-3</c:v>
                </c:pt>
                <c:pt idx="17">
                  <c:v>6.6999999999999907E-3</c:v>
                </c:pt>
                <c:pt idx="18">
                  <c:v>6.7999999999999901E-3</c:v>
                </c:pt>
                <c:pt idx="19">
                  <c:v>6.8999999999999895E-3</c:v>
                </c:pt>
                <c:pt idx="20">
                  <c:v>6.9999999999999906E-3</c:v>
                </c:pt>
                <c:pt idx="21">
                  <c:v>7.09999999999999E-3</c:v>
                </c:pt>
                <c:pt idx="22">
                  <c:v>7.1999999999999903E-3</c:v>
                </c:pt>
                <c:pt idx="23">
                  <c:v>7.2999999999999905E-3</c:v>
                </c:pt>
                <c:pt idx="24">
                  <c:v>7.3999999999999899E-3</c:v>
                </c:pt>
                <c:pt idx="25">
                  <c:v>7.4999999999999902E-3</c:v>
                </c:pt>
                <c:pt idx="26">
                  <c:v>7.5999999999999904E-3</c:v>
                </c:pt>
                <c:pt idx="27">
                  <c:v>7.6999999999999907E-3</c:v>
                </c:pt>
                <c:pt idx="28">
                  <c:v>7.7999999999999901E-3</c:v>
                </c:pt>
                <c:pt idx="29">
                  <c:v>7.8999999999999904E-3</c:v>
                </c:pt>
                <c:pt idx="30">
                  <c:v>7.9999999999999898E-3</c:v>
                </c:pt>
                <c:pt idx="31">
                  <c:v>8.0999999999999909E-3</c:v>
                </c:pt>
                <c:pt idx="32">
                  <c:v>8.1999999999999903E-3</c:v>
                </c:pt>
                <c:pt idx="33">
                  <c:v>8.2999999999999897E-3</c:v>
                </c:pt>
                <c:pt idx="34">
                  <c:v>8.3999999999999891E-3</c:v>
                </c:pt>
                <c:pt idx="35">
                  <c:v>8.4999999999999902E-3</c:v>
                </c:pt>
                <c:pt idx="36">
                  <c:v>8.5999999999999913E-3</c:v>
                </c:pt>
                <c:pt idx="37">
                  <c:v>8.6999999999999907E-3</c:v>
                </c:pt>
                <c:pt idx="38">
                  <c:v>8.7999999999999901E-3</c:v>
                </c:pt>
                <c:pt idx="39">
                  <c:v>8.8999999999999895E-3</c:v>
                </c:pt>
                <c:pt idx="40">
                  <c:v>8.9999999999999889E-3</c:v>
                </c:pt>
                <c:pt idx="41">
                  <c:v>9.0999999999999918E-3</c:v>
                </c:pt>
                <c:pt idx="42">
                  <c:v>9.1999999999999912E-3</c:v>
                </c:pt>
                <c:pt idx="43">
                  <c:v>9.2999999999999802E-3</c:v>
                </c:pt>
                <c:pt idx="44">
                  <c:v>9.3999999999999813E-3</c:v>
                </c:pt>
                <c:pt idx="45">
                  <c:v>9.4999999999999807E-3</c:v>
                </c:pt>
                <c:pt idx="46">
                  <c:v>9.5999999999999801E-3</c:v>
                </c:pt>
                <c:pt idx="47">
                  <c:v>9.6999999999999795E-3</c:v>
                </c:pt>
                <c:pt idx="48">
                  <c:v>9.7999999999999789E-3</c:v>
                </c:pt>
                <c:pt idx="49">
                  <c:v>9.8999999999999817E-3</c:v>
                </c:pt>
                <c:pt idx="50">
                  <c:v>9.9999999999999811E-3</c:v>
                </c:pt>
              </c:numCache>
            </c:numRef>
          </c:xVal>
          <c:yVal>
            <c:numRef>
              <c:f>summary!$Y$8:$Y$58</c:f>
              <c:numCache>
                <c:formatCode>General</c:formatCode>
                <c:ptCount val="51"/>
                <c:pt idx="0">
                  <c:v>4.4068552174112798E-2</c:v>
                </c:pt>
                <c:pt idx="1">
                  <c:v>4.6431855111579719E-2</c:v>
                </c:pt>
                <c:pt idx="2">
                  <c:v>4.8872294767334991E-2</c:v>
                </c:pt>
                <c:pt idx="3">
                  <c:v>5.1390832734071787E-2</c:v>
                </c:pt>
                <c:pt idx="4">
                  <c:v>5.3988423932523642E-2</c:v>
                </c:pt>
                <c:pt idx="5">
                  <c:v>5.6666016782380618E-2</c:v>
                </c:pt>
                <c:pt idx="6">
                  <c:v>5.9424553365753752E-2</c:v>
                </c:pt>
                <c:pt idx="7">
                  <c:v>6.2264969583638169E-2</c:v>
                </c:pt>
                <c:pt idx="8">
                  <c:v>6.5188195305797073E-2</c:v>
                </c:pt>
                <c:pt idx="9">
                  <c:v>6.8195154514452572E-2</c:v>
                </c:pt>
                <c:pt idx="10">
                  <c:v>7.1286765442139535E-2</c:v>
                </c:pt>
                <c:pt idx="11">
                  <c:v>7.4463940704058887E-2</c:v>
                </c:pt>
                <c:pt idx="12">
                  <c:v>7.7727587425231073E-2</c:v>
                </c:pt>
                <c:pt idx="13">
                  <c:v>8.1078607362742708E-2</c:v>
                </c:pt>
                <c:pt idx="14">
                  <c:v>8.4517897023345875E-2</c:v>
                </c:pt>
                <c:pt idx="15">
                  <c:v>8.8046347776660969E-2</c:v>
                </c:pt>
                <c:pt idx="16">
                  <c:v>9.1664845964212288E-2</c:v>
                </c:pt>
                <c:pt idx="17">
                  <c:v>9.5374273004510762E-2</c:v>
                </c:pt>
                <c:pt idx="18">
                  <c:v>9.9175505494386432E-2</c:v>
                </c:pt>
                <c:pt idx="19">
                  <c:v>0.10306941530675712</c:v>
                </c:pt>
                <c:pt idx="20">
                  <c:v>0.1070568696850083</c:v>
                </c:pt>
                <c:pt idx="21">
                  <c:v>0.11113873133415109</c:v>
                </c:pt>
                <c:pt idx="22">
                  <c:v>0.11531585850891228</c:v>
                </c:pt>
                <c:pt idx="23">
                  <c:v>0.11958910509889818</c:v>
                </c:pt>
                <c:pt idx="24">
                  <c:v>0.12395932071097218</c:v>
                </c:pt>
                <c:pt idx="25">
                  <c:v>0.12842735074897599</c:v>
                </c:pt>
                <c:pt idx="26">
                  <c:v>0.13299403649090635</c:v>
                </c:pt>
                <c:pt idx="27">
                  <c:v>0.13766021516367066</c:v>
                </c:pt>
                <c:pt idx="28">
                  <c:v>0.14242672001552423</c:v>
                </c:pt>
                <c:pt idx="29">
                  <c:v>0.14729438038628812</c:v>
                </c:pt>
                <c:pt idx="30">
                  <c:v>0.15226402177544637</c:v>
                </c:pt>
                <c:pt idx="31">
                  <c:v>0.15733646590821312</c:v>
                </c:pt>
                <c:pt idx="32">
                  <c:v>0.16251253079965033</c:v>
                </c:pt>
                <c:pt idx="33">
                  <c:v>0.16779303081692115</c:v>
                </c:pt>
                <c:pt idx="34">
                  <c:v>0.1731787767397544</c:v>
                </c:pt>
                <c:pt idx="35">
                  <c:v>0.17867057581918969</c:v>
                </c:pt>
                <c:pt idx="36">
                  <c:v>0.18426923183467805</c:v>
                </c:pt>
                <c:pt idx="37">
                  <c:v>0.18997554514959342</c:v>
                </c:pt>
                <c:pt idx="38">
                  <c:v>0.19579031276522571</c:v>
                </c:pt>
                <c:pt idx="39">
                  <c:v>0.20171432837331407</c:v>
                </c:pt>
                <c:pt idx="40">
                  <c:v>0.20774838240716448</c:v>
                </c:pt>
                <c:pt idx="41">
                  <c:v>0.21389326209142046</c:v>
                </c:pt>
                <c:pt idx="42">
                  <c:v>0.22014975149052901</c:v>
                </c:pt>
                <c:pt idx="43">
                  <c:v>0.22651863155594573</c:v>
                </c:pt>
                <c:pt idx="44">
                  <c:v>0.23300068017213918</c:v>
                </c:pt>
                <c:pt idx="45">
                  <c:v>0.23959667220141889</c:v>
                </c:pt>
                <c:pt idx="46">
                  <c:v>0.24630737952764606</c:v>
                </c:pt>
                <c:pt idx="47">
                  <c:v>0.2531335710988592</c:v>
                </c:pt>
                <c:pt idx="48">
                  <c:v>0.26007601296884647</c:v>
                </c:pt>
                <c:pt idx="49">
                  <c:v>0.26713546833771762</c:v>
                </c:pt>
                <c:pt idx="50">
                  <c:v>0.27431269759148813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386736"/>
        <c:axId val="341387296"/>
        <c:extLst/>
      </c:scatterChart>
      <c:valAx>
        <c:axId val="341386736"/>
        <c:scaling>
          <c:orientation val="minMax"/>
          <c:max val="1.0000000000000002E-2"/>
          <c:min val="5.000000000000001E-3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Pump discharge Q [m³/s]</a:t>
                </a:r>
              </a:p>
            </c:rich>
          </c:tx>
          <c:layout>
            <c:manualLayout>
              <c:xMode val="edge"/>
              <c:yMode val="edge"/>
              <c:x val="0.37873505395158941"/>
              <c:y val="0.83011274049459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.0E+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341387296"/>
        <c:crosses val="autoZero"/>
        <c:crossBetween val="midCat"/>
        <c:majorUnit val="1.0000000000000002E-3"/>
        <c:minorUnit val="5.0000000000000012E-4"/>
      </c:valAx>
      <c:valAx>
        <c:axId val="3413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Qs [kg/s]</a:t>
                </a:r>
              </a:p>
            </c:rich>
          </c:tx>
          <c:layout>
            <c:manualLayout>
              <c:xMode val="edge"/>
              <c:yMode val="edge"/>
              <c:x val="9.1546767521761621E-3"/>
              <c:y val="0.317310998410335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341386736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1326076756441648"/>
          <c:y val="0.88802172303712867"/>
          <c:w val="0.63233449985418488"/>
          <c:h val="5.2559319993257726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66674</xdr:colOff>
      <xdr:row>27</xdr:row>
      <xdr:rowOff>85725</xdr:rowOff>
    </xdr:from>
    <xdr:to>
      <xdr:col>28</xdr:col>
      <xdr:colOff>571500</xdr:colOff>
      <xdr:row>59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590549</xdr:colOff>
      <xdr:row>10</xdr:row>
      <xdr:rowOff>104775</xdr:rowOff>
    </xdr:from>
    <xdr:to>
      <xdr:col>35</xdr:col>
      <xdr:colOff>352424</xdr:colOff>
      <xdr:row>37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12:M67" totalsRowShown="0" headerRowDxfId="13" dataDxfId="12">
  <autoFilter ref="B12:M67"/>
  <tableColumns count="12">
    <tableColumn id="1" name="Exp." dataDxfId="11"/>
    <tableColumn id="2" name="File" dataDxfId="10"/>
    <tableColumn id="3" name="Q " dataDxfId="9"/>
    <tableColumn id="4" name="Qb" dataDxfId="8"/>
    <tableColumn id="5" name="h US 1" dataDxfId="7"/>
    <tableColumn id="6" name="h US 2" dataDxfId="6"/>
    <tableColumn id="7" name="h US 3" dataDxfId="5"/>
    <tableColumn id="8" name="h US 4" dataDxfId="4"/>
    <tableColumn id="9" name="h US 5" dataDxfId="3"/>
    <tableColumn id="10" name="c" dataDxfId="2">
      <calculatedColumnFormula>IF(ISBLANK(Table2[[#This Row],[Qb]]),$P$4*Table2[[#This Row],[Q ]]^$P$5+$P$6,$Q$4*Table2[[#This Row],[Q ]]^$Q$5+$Q$6)</calculatedColumnFormula>
    </tableColumn>
    <tableColumn id="11" name="τ *" dataDxfId="1">
      <calculatedColumnFormula>Table2[[#This Row],[Q ]]^2/((Table2[[#This Row],[h US 4]]*(0.085+Table2[[#This Row],[h US 4]]/TAN(RADIANS(22.65))))^2*K13^2*(2.68-1)*$M$6)</calculatedColumnFormula>
    </tableColumn>
    <tableColumn id="12" name="Fr" dataDxfId="0">
      <calculatedColumnFormula>Table2[[#This Row],[Q ]]*SQRT((0.085066638+2*Table2[[#This Row],[h US 4]]/TAN(RADIANS(22.64513793)))/(9.81*(Table2[[#This Row],[h US 4]]^3*(0.085066638+Table2[[#This Row],[h US 4]]/TAN(RADIANS(22.64513793)))^3)))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9"/>
  <sheetViews>
    <sheetView tabSelected="1" topLeftCell="E10" zoomScaleNormal="100" workbookViewId="0">
      <selection activeCell="N31" sqref="N31"/>
    </sheetView>
  </sheetViews>
  <sheetFormatPr defaultRowHeight="15" x14ac:dyDescent="0.25"/>
  <cols>
    <col min="1" max="1" width="14" style="1" customWidth="1"/>
    <col min="2" max="2" width="9.85546875" style="3" customWidth="1"/>
    <col min="3" max="4" width="9.140625" style="2"/>
    <col min="5" max="5" width="10.5703125" style="2" bestFit="1" customWidth="1"/>
    <col min="6" max="6" width="10.140625" style="2" bestFit="1" customWidth="1"/>
    <col min="7" max="8" width="9.140625" style="2"/>
    <col min="9" max="9" width="13.140625" style="2" customWidth="1"/>
    <col min="10" max="10" width="9.140625" style="2"/>
    <col min="11" max="11" width="9.42578125" style="2" bestFit="1" customWidth="1"/>
    <col min="12" max="12" width="10.7109375" style="2" customWidth="1"/>
    <col min="13" max="13" width="12.42578125" style="1" customWidth="1"/>
    <col min="14" max="14" width="9.7109375" style="1" customWidth="1"/>
    <col min="15" max="15" width="5.28515625" style="35" customWidth="1"/>
    <col min="16" max="16" width="13.85546875" style="1" customWidth="1"/>
    <col min="17" max="17" width="10.5703125" style="1" customWidth="1"/>
    <col min="18" max="18" width="10.85546875" style="1" customWidth="1"/>
    <col min="19" max="16384" width="9.140625" style="1"/>
  </cols>
  <sheetData>
    <row r="1" spans="1:25" x14ac:dyDescent="0.25">
      <c r="B1" s="9"/>
    </row>
    <row r="2" spans="1:25" x14ac:dyDescent="0.25">
      <c r="B2" s="46" t="s">
        <v>30</v>
      </c>
      <c r="C2" s="46"/>
      <c r="D2" s="46"/>
      <c r="E2" s="46"/>
      <c r="F2" s="46"/>
      <c r="G2" s="46"/>
      <c r="H2" s="46"/>
      <c r="I2" s="46"/>
      <c r="J2" s="46"/>
      <c r="K2" s="15"/>
      <c r="L2" s="46" t="s">
        <v>72</v>
      </c>
      <c r="M2" s="46"/>
      <c r="N2" s="35"/>
      <c r="O2" s="46" t="s">
        <v>81</v>
      </c>
      <c r="P2" s="46"/>
      <c r="Q2" s="46"/>
      <c r="R2" s="35"/>
      <c r="S2" s="1" t="s">
        <v>88</v>
      </c>
      <c r="T2" s="1">
        <f>0.5*(0.085066638+0.099039895)</f>
        <v>9.2053266500000008E-2</v>
      </c>
    </row>
    <row r="3" spans="1:25" ht="16.5" x14ac:dyDescent="0.3">
      <c r="B3" s="3" t="s">
        <v>18</v>
      </c>
      <c r="C3" s="2" t="s">
        <v>20</v>
      </c>
      <c r="D3" s="2" t="s">
        <v>0</v>
      </c>
      <c r="E3" s="2" t="s">
        <v>13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L3" s="2" t="s">
        <v>67</v>
      </c>
      <c r="M3" s="37">
        <v>5.3254047082656247E-3</v>
      </c>
      <c r="N3" s="37"/>
      <c r="O3" s="35" t="s">
        <v>80</v>
      </c>
      <c r="P3" s="35" t="s">
        <v>76</v>
      </c>
      <c r="Q3" s="35" t="s">
        <v>77</v>
      </c>
      <c r="S3" s="1" t="s">
        <v>89</v>
      </c>
      <c r="T3" s="1">
        <f>0.5*(22.64513793+24.99056711)</f>
        <v>23.817852520000002</v>
      </c>
    </row>
    <row r="4" spans="1:25" x14ac:dyDescent="0.25">
      <c r="B4" s="1" t="s">
        <v>27</v>
      </c>
      <c r="C4" s="5" t="s">
        <v>12</v>
      </c>
      <c r="D4" s="47" t="s">
        <v>16</v>
      </c>
      <c r="E4" s="47" t="s">
        <v>17</v>
      </c>
      <c r="F4" s="2">
        <v>2.447318544914705</v>
      </c>
      <c r="G4" s="2">
        <v>1.8697691248398904</v>
      </c>
      <c r="H4" s="2">
        <v>1.9967258173055482</v>
      </c>
      <c r="I4" s="2">
        <v>2.4372593174458999</v>
      </c>
      <c r="J4" s="2">
        <v>2.2392019212682559</v>
      </c>
      <c r="L4" s="2" t="s">
        <v>68</v>
      </c>
      <c r="M4" s="37">
        <v>6.8495942367805176E-3</v>
      </c>
      <c r="N4" s="37"/>
      <c r="O4" s="37" t="s">
        <v>78</v>
      </c>
      <c r="P4" s="37">
        <v>-3.9692278972961867E-3</v>
      </c>
      <c r="Q4" s="37">
        <v>-2.4313761379551557E-7</v>
      </c>
      <c r="T4" s="46" t="s">
        <v>29</v>
      </c>
      <c r="U4" s="46"/>
      <c r="V4" s="46"/>
      <c r="W4" s="46"/>
      <c r="X4" s="46"/>
      <c r="Y4" s="1" t="s">
        <v>62</v>
      </c>
    </row>
    <row r="5" spans="1:25" x14ac:dyDescent="0.25">
      <c r="B5" s="1" t="s">
        <v>28</v>
      </c>
      <c r="C5" s="5" t="s">
        <v>12</v>
      </c>
      <c r="D5" s="47"/>
      <c r="E5" s="47"/>
      <c r="F5" s="2">
        <v>2.4261923525625305E-2</v>
      </c>
      <c r="G5" s="2">
        <v>2.6570356030734356E-2</v>
      </c>
      <c r="H5" s="2">
        <v>2.7007529057756201E-2</v>
      </c>
      <c r="I5" s="2">
        <v>2.3163936768124647E-2</v>
      </c>
      <c r="J5" s="2">
        <v>2.7421679346658651E-2</v>
      </c>
      <c r="L5" s="41" t="s">
        <v>69</v>
      </c>
      <c r="M5" s="37">
        <v>8.1049631820015976E-3</v>
      </c>
      <c r="N5" s="37"/>
      <c r="O5" s="37" t="s">
        <v>79</v>
      </c>
      <c r="P5" s="37">
        <v>-1.47621496194006</v>
      </c>
      <c r="Q5" s="37">
        <v>-3.126537643978387</v>
      </c>
      <c r="T5" s="1" t="s">
        <v>22</v>
      </c>
      <c r="U5" s="1" t="s">
        <v>23</v>
      </c>
      <c r="V5" s="1" t="s">
        <v>24</v>
      </c>
      <c r="W5" s="1" t="s">
        <v>25</v>
      </c>
      <c r="X5" s="1" t="s">
        <v>26</v>
      </c>
      <c r="Y5" s="1" t="s">
        <v>63</v>
      </c>
    </row>
    <row r="6" spans="1:25" x14ac:dyDescent="0.25">
      <c r="B6" s="1" t="s">
        <v>19</v>
      </c>
      <c r="C6" s="5" t="s">
        <v>12</v>
      </c>
      <c r="D6" s="47"/>
      <c r="E6" s="47"/>
      <c r="F6" s="8">
        <v>0.99160859411489743</v>
      </c>
      <c r="G6" s="8">
        <v>0.97511347237840151</v>
      </c>
      <c r="H6" s="8">
        <v>0.97744207444260289</v>
      </c>
      <c r="I6" s="8">
        <v>0.99289506582525444</v>
      </c>
      <c r="J6" s="8">
        <v>0.98315047555540747</v>
      </c>
      <c r="K6" s="8"/>
      <c r="L6" s="38" t="s">
        <v>70</v>
      </c>
      <c r="M6" s="39">
        <v>1.2692045387444799E-2</v>
      </c>
      <c r="N6" s="39"/>
      <c r="O6" s="37" t="s">
        <v>74</v>
      </c>
      <c r="P6" s="37">
        <v>36.100697938610672</v>
      </c>
      <c r="Q6" s="37">
        <v>29.255686495512613</v>
      </c>
      <c r="S6" s="1" t="s">
        <v>14</v>
      </c>
      <c r="T6" s="1" t="s">
        <v>21</v>
      </c>
      <c r="U6" s="1" t="s">
        <v>21</v>
      </c>
      <c r="V6" s="1" t="s">
        <v>21</v>
      </c>
      <c r="W6" s="1" t="s">
        <v>21</v>
      </c>
      <c r="X6" s="1" t="s">
        <v>21</v>
      </c>
      <c r="Y6" s="1" t="s">
        <v>32</v>
      </c>
    </row>
    <row r="7" spans="1:25" x14ac:dyDescent="0.25">
      <c r="B7" s="1" t="s">
        <v>27</v>
      </c>
      <c r="C7" s="5" t="s">
        <v>12</v>
      </c>
      <c r="D7" s="48" t="s">
        <v>16</v>
      </c>
      <c r="E7" s="44">
        <f>P17</f>
        <v>51790</v>
      </c>
      <c r="F7" s="2">
        <v>2.6684306063593035</v>
      </c>
      <c r="G7" s="2">
        <v>2.2346783832989581</v>
      </c>
      <c r="H7" s="2">
        <v>2.3385105220647704</v>
      </c>
      <c r="I7" s="2">
        <v>2.6623059844596346</v>
      </c>
      <c r="J7" s="2">
        <v>3.3573275277527195</v>
      </c>
      <c r="K7" s="8"/>
      <c r="L7" s="8" t="s">
        <v>71</v>
      </c>
      <c r="M7" s="37">
        <v>1.4033651962658619E-2</v>
      </c>
      <c r="N7" s="37"/>
      <c r="S7" s="1" t="s">
        <v>1</v>
      </c>
      <c r="T7" s="1" t="s">
        <v>6</v>
      </c>
      <c r="U7" s="1" t="s">
        <v>6</v>
      </c>
      <c r="V7" s="1" t="s">
        <v>6</v>
      </c>
      <c r="W7" s="1" t="s">
        <v>6</v>
      </c>
      <c r="X7" s="1" t="s">
        <v>6</v>
      </c>
      <c r="Y7" s="1" t="s">
        <v>5</v>
      </c>
    </row>
    <row r="8" spans="1:25" x14ac:dyDescent="0.25">
      <c r="B8" s="1" t="s">
        <v>28</v>
      </c>
      <c r="C8" s="5" t="s">
        <v>12</v>
      </c>
      <c r="D8" s="48"/>
      <c r="E8" s="44">
        <f t="shared" ref="E8:E9" si="0">P18</f>
        <v>2.6379999999999999</v>
      </c>
      <c r="F8" s="2">
        <v>2.3774027794636922E-2</v>
      </c>
      <c r="G8" s="2">
        <v>2.5016554930705114E-2</v>
      </c>
      <c r="H8" s="2">
        <v>2.5985345132213226E-2</v>
      </c>
      <c r="I8" s="2">
        <v>2.3837950157261562E-2</v>
      </c>
      <c r="J8" s="2">
        <v>2.1343359460126065E-2</v>
      </c>
      <c r="L8" s="4" t="s">
        <v>73</v>
      </c>
      <c r="M8" s="37">
        <v>7.2441612194862259E-3</v>
      </c>
      <c r="N8" s="37"/>
      <c r="O8" s="15" t="s">
        <v>82</v>
      </c>
      <c r="P8" s="15"/>
      <c r="Q8" s="15"/>
      <c r="S8" s="1">
        <v>5.0000000000000001E-3</v>
      </c>
      <c r="T8" s="1">
        <f>F$4*$S8+F$5</f>
        <v>3.6498516250198829E-2</v>
      </c>
      <c r="U8" s="1">
        <f>G$4*$S8+G$5</f>
        <v>3.5919201654933806E-2</v>
      </c>
      <c r="V8" s="1">
        <f>H$4*$S8+H$5</f>
        <v>3.6991158144283942E-2</v>
      </c>
      <c r="W8" s="1">
        <f>I$4*$S8+I$5</f>
        <v>3.5350233355354144E-2</v>
      </c>
      <c r="X8" s="1">
        <f>J$4*$S8+J$5</f>
        <v>3.8617688952999926E-2</v>
      </c>
      <c r="Y8" s="1">
        <f>$E$7*S8^$E$8</f>
        <v>4.4068552174112798E-2</v>
      </c>
    </row>
    <row r="9" spans="1:25" x14ac:dyDescent="0.25">
      <c r="B9" s="1" t="s">
        <v>66</v>
      </c>
      <c r="C9" s="5" t="s">
        <v>12</v>
      </c>
      <c r="D9" s="48"/>
      <c r="E9" s="44">
        <f t="shared" si="0"/>
        <v>0</v>
      </c>
      <c r="F9" s="8">
        <v>0.94463916329969189</v>
      </c>
      <c r="G9" s="8">
        <v>0.9217414700818527</v>
      </c>
      <c r="H9" s="8">
        <v>0.92514338579865052</v>
      </c>
      <c r="I9" s="8">
        <v>0.93015402382999168</v>
      </c>
      <c r="J9" s="8">
        <v>0.88000979687990255</v>
      </c>
      <c r="K9" s="8"/>
      <c r="L9" s="8"/>
      <c r="O9" s="15" t="s">
        <v>83</v>
      </c>
      <c r="P9" s="15"/>
      <c r="Q9" s="15"/>
      <c r="S9" s="1">
        <v>5.0999999999999995E-3</v>
      </c>
      <c r="T9" s="1">
        <f t="shared" ref="T9:T58" si="1">F$4*$S9+F$5</f>
        <v>3.6743248104690297E-2</v>
      </c>
      <c r="U9" s="1">
        <f t="shared" ref="U9:U58" si="2">G$4*$S9+G$5</f>
        <v>3.6106178567417796E-2</v>
      </c>
      <c r="V9" s="1">
        <f t="shared" ref="V9:V58" si="3">H$4*$S9+H$5</f>
        <v>3.7190830726014493E-2</v>
      </c>
      <c r="W9" s="1">
        <f t="shared" ref="W9:W58" si="4">I$4*$S9+I$5</f>
        <v>3.5593959287098735E-2</v>
      </c>
      <c r="X9" s="1">
        <f t="shared" ref="X9:X58" si="5">J$4*$S9+J$5</f>
        <v>3.8841609145126757E-2</v>
      </c>
      <c r="Y9" s="1">
        <f t="shared" ref="Y9:Y58" si="6">$E$7*S9^$E$8</f>
        <v>4.6431855111579719E-2</v>
      </c>
    </row>
    <row r="10" spans="1:25" x14ac:dyDescent="0.25">
      <c r="B10" s="46" t="s">
        <v>15</v>
      </c>
      <c r="C10" s="46"/>
      <c r="D10" s="46"/>
      <c r="E10" s="46"/>
      <c r="F10" s="46"/>
      <c r="G10" s="46"/>
      <c r="H10" s="46"/>
      <c r="I10" s="46"/>
      <c r="J10" s="46"/>
      <c r="L10" s="4"/>
      <c r="O10" s="37" t="s">
        <v>27</v>
      </c>
      <c r="P10" s="37">
        <v>2.165</v>
      </c>
      <c r="Q10" s="37"/>
      <c r="S10" s="1">
        <v>5.2000000000000006E-3</v>
      </c>
      <c r="T10" s="1">
        <f t="shared" si="1"/>
        <v>3.6987979959181773E-2</v>
      </c>
      <c r="U10" s="1">
        <f t="shared" si="2"/>
        <v>3.6293155479901786E-2</v>
      </c>
      <c r="V10" s="1">
        <f t="shared" si="3"/>
        <v>3.7390503307745057E-2</v>
      </c>
      <c r="W10" s="1">
        <f t="shared" si="4"/>
        <v>3.5837685218843326E-2</v>
      </c>
      <c r="X10" s="1">
        <f t="shared" si="5"/>
        <v>3.9065529337253581E-2</v>
      </c>
      <c r="Y10" s="1">
        <f t="shared" si="6"/>
        <v>4.8872294767334991E-2</v>
      </c>
    </row>
    <row r="11" spans="1:25" x14ac:dyDescent="0.25">
      <c r="B11" s="6" t="s">
        <v>4</v>
      </c>
      <c r="C11" s="7" t="s">
        <v>4</v>
      </c>
      <c r="D11" s="7" t="s">
        <v>1</v>
      </c>
      <c r="E11" s="7" t="s">
        <v>5</v>
      </c>
      <c r="F11" s="7" t="s">
        <v>6</v>
      </c>
      <c r="G11" s="7" t="s">
        <v>6</v>
      </c>
      <c r="H11" s="7" t="s">
        <v>6</v>
      </c>
      <c r="I11" s="7" t="s">
        <v>6</v>
      </c>
      <c r="J11" s="7" t="s">
        <v>6</v>
      </c>
      <c r="K11" s="7" t="s">
        <v>75</v>
      </c>
      <c r="L11" s="7" t="s">
        <v>31</v>
      </c>
      <c r="M11" s="7" t="s">
        <v>31</v>
      </c>
      <c r="O11" s="37" t="s">
        <v>28</v>
      </c>
      <c r="P11" s="37">
        <v>3.1829999999999997E-2</v>
      </c>
      <c r="Q11" s="37"/>
      <c r="S11" s="1">
        <v>5.3E-3</v>
      </c>
      <c r="T11" s="1">
        <f t="shared" si="1"/>
        <v>3.7232711813673242E-2</v>
      </c>
      <c r="U11" s="1">
        <f t="shared" si="2"/>
        <v>3.6480132392385775E-2</v>
      </c>
      <c r="V11" s="1">
        <f t="shared" si="3"/>
        <v>3.7590175889475608E-2</v>
      </c>
      <c r="W11" s="1">
        <f t="shared" si="4"/>
        <v>3.6081411150587918E-2</v>
      </c>
      <c r="X11" s="1">
        <f t="shared" si="5"/>
        <v>3.9289449529380405E-2</v>
      </c>
      <c r="Y11" s="1">
        <f t="shared" si="6"/>
        <v>5.1390832734071787E-2</v>
      </c>
    </row>
    <row r="12" spans="1:25" ht="16.5" x14ac:dyDescent="0.3">
      <c r="B12" s="10" t="s">
        <v>2</v>
      </c>
      <c r="C12" s="11" t="s">
        <v>3</v>
      </c>
      <c r="D12" s="11" t="s">
        <v>0</v>
      </c>
      <c r="E12" s="11" t="s">
        <v>64</v>
      </c>
      <c r="F12" s="11" t="s">
        <v>7</v>
      </c>
      <c r="G12" s="11" t="s">
        <v>8</v>
      </c>
      <c r="H12" s="11" t="s">
        <v>9</v>
      </c>
      <c r="I12" s="11" t="s">
        <v>10</v>
      </c>
      <c r="J12" s="11" t="s">
        <v>11</v>
      </c>
      <c r="K12" s="11" t="s">
        <v>74</v>
      </c>
      <c r="L12" s="11" t="s">
        <v>84</v>
      </c>
      <c r="M12" s="11" t="s">
        <v>85</v>
      </c>
      <c r="O12" s="37" t="s">
        <v>19</v>
      </c>
      <c r="P12" s="37">
        <v>0.81299999999999994</v>
      </c>
      <c r="Q12" s="37"/>
      <c r="S12" s="1">
        <v>5.4000000000000003E-3</v>
      </c>
      <c r="T12" s="1">
        <f t="shared" si="1"/>
        <v>3.747744366816471E-2</v>
      </c>
      <c r="U12" s="1">
        <f t="shared" si="2"/>
        <v>3.6667109304869765E-2</v>
      </c>
      <c r="V12" s="1">
        <f t="shared" si="3"/>
        <v>3.7789848471206158E-2</v>
      </c>
      <c r="W12" s="1">
        <f t="shared" si="4"/>
        <v>3.6325137082332509E-2</v>
      </c>
      <c r="X12" s="1">
        <f t="shared" si="5"/>
        <v>3.9513369721507235E-2</v>
      </c>
      <c r="Y12" s="1">
        <f t="shared" si="6"/>
        <v>5.3988423932523642E-2</v>
      </c>
    </row>
    <row r="13" spans="1:25" x14ac:dyDescent="0.25">
      <c r="A13" s="1">
        <v>1</v>
      </c>
      <c r="B13" s="10">
        <v>2000</v>
      </c>
      <c r="C13" s="11">
        <v>7</v>
      </c>
      <c r="D13" s="11">
        <v>5.0896103896103887E-3</v>
      </c>
      <c r="E13" s="11">
        <v>3.5830618892508145E-2</v>
      </c>
      <c r="F13" s="12">
        <v>3.6321604664673143E-2</v>
      </c>
      <c r="G13" s="12">
        <v>3.531009049172832E-2</v>
      </c>
      <c r="H13" s="12">
        <v>3.6588820379314199E-2</v>
      </c>
      <c r="I13" s="12">
        <v>3.6651275942181143E-2</v>
      </c>
      <c r="J13" s="12">
        <v>3.823331794318343E-2</v>
      </c>
      <c r="K13" s="11">
        <f>IF(ISBLANK(Table2[[#This Row],[Qb]]),$P$4*Table2[[#This Row],[Q ]]^$P$5+$P$6,$Q$4*Table2[[#This Row],[Q ]]^$Q$5+$Q$6)</f>
        <v>25.658282019975701</v>
      </c>
      <c r="L13" s="11">
        <f>Table2[[#This Row],[Q ]]^2/((Table2[[#This Row],[h US 4]]*($T$2+Table2[[#This Row],[h US 4]]/TAN(RADIANS($T$3))))^2*K13^2*(2.68-1)*$M$6)</f>
        <v>4.4813419381046382E-2</v>
      </c>
      <c r="M13" s="11">
        <f>Table2[[#This Row],[Q ]]*SQRT((0.085066638+2*Table2[[#This Row],[h US 4]]/TAN(RADIANS(22.64513793)))/(9.81*(Table2[[#This Row],[h US 4]]^3*(0.085066638+Table2[[#This Row],[h US 4]]/TAN(RADIANS(22.64513793)))^3)))</f>
        <v>1.6446710539172729</v>
      </c>
      <c r="S13" s="1">
        <v>5.4999999999999997E-3</v>
      </c>
      <c r="T13" s="1">
        <f t="shared" si="1"/>
        <v>3.7722175522656179E-2</v>
      </c>
      <c r="U13" s="1">
        <f t="shared" si="2"/>
        <v>3.6854086217353754E-2</v>
      </c>
      <c r="V13" s="1">
        <f t="shared" si="3"/>
        <v>3.7989521052936716E-2</v>
      </c>
      <c r="W13" s="1">
        <f t="shared" si="4"/>
        <v>3.6568863014077094E-2</v>
      </c>
      <c r="X13" s="1">
        <f t="shared" si="5"/>
        <v>3.9737289913634059E-2</v>
      </c>
      <c r="Y13" s="1">
        <f t="shared" si="6"/>
        <v>5.6666016782380618E-2</v>
      </c>
    </row>
    <row r="14" spans="1:25" x14ac:dyDescent="0.25">
      <c r="A14" s="1">
        <v>2</v>
      </c>
      <c r="B14" s="10">
        <v>2000</v>
      </c>
      <c r="C14" s="11">
        <v>11</v>
      </c>
      <c r="D14" s="11">
        <v>5.1178137651821855E-3</v>
      </c>
      <c r="E14" s="11">
        <v>4.878048780487805E-2</v>
      </c>
      <c r="F14" s="12">
        <v>3.6584156125228778E-2</v>
      </c>
      <c r="G14" s="12">
        <v>3.5605552860391756E-2</v>
      </c>
      <c r="H14" s="12">
        <v>3.7071075461420668E-2</v>
      </c>
      <c r="I14" s="12">
        <v>3.6984365699163087E-2</v>
      </c>
      <c r="J14" s="12">
        <v>3.8177185657748643E-2</v>
      </c>
      <c r="K14" s="11">
        <f>IF(ISBLANK(Table2[[#This Row],[Qb]]),$P$4*Table2[[#This Row],[Q ]]^$P$5+$P$6,$Q$4*Table2[[#This Row],[Q ]]^$Q$5+$Q$6)</f>
        <v>25.719902150416626</v>
      </c>
      <c r="L14" s="11">
        <f>Table2[[#This Row],[Q ]]^2/((Table2[[#This Row],[h US 4]]*($T$2+Table2[[#This Row],[h US 4]]/TAN(RADIANS($T$3))))^2*K14^2*(2.68-1)*$M$6)</f>
        <v>4.3906710256475669E-2</v>
      </c>
      <c r="M14" s="11">
        <f>Table2[[#This Row],[Q ]]*SQRT((0.085066638+2*Table2[[#This Row],[h US 4]]/TAN(RADIANS(22.64513793)))/(9.81*(Table2[[#This Row],[h US 4]]^3*(0.085066638+Table2[[#This Row],[h US 4]]/TAN(RADIANS(22.64513793)))^3)))</f>
        <v>1.625212100034076</v>
      </c>
      <c r="S14" s="1">
        <v>5.5999999999999999E-3</v>
      </c>
      <c r="T14" s="1">
        <f t="shared" si="1"/>
        <v>3.7966907377147655E-2</v>
      </c>
      <c r="U14" s="1">
        <f t="shared" si="2"/>
        <v>3.7041063129837744E-2</v>
      </c>
      <c r="V14" s="1">
        <f t="shared" si="3"/>
        <v>3.8189193634667273E-2</v>
      </c>
      <c r="W14" s="1">
        <f t="shared" si="4"/>
        <v>3.6812588945821685E-2</v>
      </c>
      <c r="X14" s="1">
        <f t="shared" si="5"/>
        <v>3.9961210105760883E-2</v>
      </c>
      <c r="Y14" s="1">
        <f t="shared" si="6"/>
        <v>5.9424553365753752E-2</v>
      </c>
    </row>
    <row r="15" spans="1:25" x14ac:dyDescent="0.25">
      <c r="A15" s="1">
        <v>3</v>
      </c>
      <c r="B15" s="10">
        <v>2000</v>
      </c>
      <c r="C15" s="11">
        <v>14</v>
      </c>
      <c r="D15" s="11">
        <v>5.4476510067114087E-3</v>
      </c>
      <c r="E15" s="11">
        <v>6.4189189189189186E-2</v>
      </c>
      <c r="F15" s="12">
        <v>3.7725690521031224E-2</v>
      </c>
      <c r="G15" s="12">
        <v>3.6124779872350125E-2</v>
      </c>
      <c r="H15" s="12">
        <v>3.7899338422409903E-2</v>
      </c>
      <c r="I15" s="12">
        <v>3.8869459435428307E-2</v>
      </c>
      <c r="J15" s="12">
        <v>3.9318075846162794E-2</v>
      </c>
      <c r="K15" s="11">
        <f>IF(ISBLANK(Table2[[#This Row],[Qb]]),$P$4*Table2[[#This Row],[Q ]]^$P$5+$P$6,$Q$4*Table2[[#This Row],[Q ]]^$Q$5+$Q$6)</f>
        <v>26.347119565557065</v>
      </c>
      <c r="L15" s="11">
        <f>Table2[[#This Row],[Q ]]^2/((Table2[[#This Row],[h US 4]]*($T$2+Table2[[#This Row],[h US 4]]/TAN(RADIANS($T$3))))^2*K15^2*(2.68-1)*$M$6)</f>
        <v>4.0909980988913797E-2</v>
      </c>
      <c r="M15" s="11">
        <f>Table2[[#This Row],[Q ]]*SQRT((0.085066638+2*Table2[[#This Row],[h US 4]]/TAN(RADIANS(22.64513793)))/(9.81*(Table2[[#This Row],[h US 4]]^3*(0.085066638+Table2[[#This Row],[h US 4]]/TAN(RADIANS(22.64513793)))^3)))</f>
        <v>1.5713570730571864</v>
      </c>
      <c r="O15" s="15" t="s">
        <v>86</v>
      </c>
      <c r="P15" s="15"/>
      <c r="S15" s="1">
        <v>5.7000000000000002E-3</v>
      </c>
      <c r="T15" s="1">
        <f t="shared" si="1"/>
        <v>3.8211639231639123E-2</v>
      </c>
      <c r="U15" s="1">
        <f t="shared" si="2"/>
        <v>3.7228040042321733E-2</v>
      </c>
      <c r="V15" s="1">
        <f t="shared" si="3"/>
        <v>3.8388866216397824E-2</v>
      </c>
      <c r="W15" s="1">
        <f t="shared" si="4"/>
        <v>3.7056314877566277E-2</v>
      </c>
      <c r="X15" s="1">
        <f t="shared" si="5"/>
        <v>4.0185130297887714E-2</v>
      </c>
      <c r="Y15" s="1">
        <f t="shared" si="6"/>
        <v>6.2264969583638169E-2</v>
      </c>
    </row>
    <row r="16" spans="1:25" x14ac:dyDescent="0.25">
      <c r="A16" s="1">
        <v>4</v>
      </c>
      <c r="B16" s="10">
        <v>2000</v>
      </c>
      <c r="C16" s="11">
        <v>21</v>
      </c>
      <c r="D16" s="11">
        <v>5.697599999999998E-3</v>
      </c>
      <c r="E16" s="11">
        <v>6.8548387096774188E-2</v>
      </c>
      <c r="F16" s="11">
        <v>3.8924302206936025E-2</v>
      </c>
      <c r="G16" s="11">
        <v>3.7534078799025497E-2</v>
      </c>
      <c r="H16" s="11">
        <v>3.913031242492105E-2</v>
      </c>
      <c r="I16" s="12">
        <v>3.9525794135497443E-2</v>
      </c>
      <c r="J16" s="11">
        <v>4.0483929296451088E-2</v>
      </c>
      <c r="K16" s="11">
        <f>IF(ISBLANK(Table2[[#This Row],[Qb]]),$P$4*Table2[[#This Row],[Q ]]^$P$5+$P$6,$Q$4*Table2[[#This Row],[Q ]]^$Q$5+$Q$6)</f>
        <v>26.727752482341504</v>
      </c>
      <c r="L16" s="11">
        <f>Table2[[#This Row],[Q ]]^2/((Table2[[#This Row],[h US 4]]*($T$2+Table2[[#This Row],[h US 4]]/TAN(RADIANS($T$3))))^2*K16^2*(2.68-1)*$M$6)</f>
        <v>4.1366688045064486E-2</v>
      </c>
      <c r="M16" s="11">
        <f>Table2[[#This Row],[Q ]]*SQRT((0.085066638+2*Table2[[#This Row],[h US 4]]/TAN(RADIANS(22.64513793)))/(9.81*(Table2[[#This Row],[h US 4]]^3*(0.085066638+Table2[[#This Row],[h US 4]]/TAN(RADIANS(22.64513793)))^3)))</f>
        <v>1.5908437071112052</v>
      </c>
      <c r="O16" s="15" t="s">
        <v>87</v>
      </c>
      <c r="P16" s="15"/>
      <c r="S16" s="1">
        <v>5.7999999999999996E-3</v>
      </c>
      <c r="T16" s="1">
        <f t="shared" si="1"/>
        <v>3.8456371086130592E-2</v>
      </c>
      <c r="U16" s="1">
        <f t="shared" si="2"/>
        <v>3.7415016954805716E-2</v>
      </c>
      <c r="V16" s="1">
        <f t="shared" si="3"/>
        <v>3.8588538798128381E-2</v>
      </c>
      <c r="W16" s="1">
        <f t="shared" si="4"/>
        <v>3.7300040809310861E-2</v>
      </c>
      <c r="X16" s="1">
        <f t="shared" si="5"/>
        <v>4.0409050490014531E-2</v>
      </c>
      <c r="Y16" s="1">
        <f t="shared" si="6"/>
        <v>6.5188195305797073E-2</v>
      </c>
    </row>
    <row r="17" spans="1:25" x14ac:dyDescent="0.25">
      <c r="A17" s="1">
        <v>5</v>
      </c>
      <c r="B17" s="10">
        <v>2000</v>
      </c>
      <c r="C17" s="11">
        <v>25</v>
      </c>
      <c r="D17" s="11">
        <v>6.1105022831050198E-3</v>
      </c>
      <c r="E17" s="11">
        <v>7.5688073394495417E-2</v>
      </c>
      <c r="F17" s="11">
        <v>4.0248951758141104E-2</v>
      </c>
      <c r="G17" s="11">
        <v>3.8830232238947202E-2</v>
      </c>
      <c r="H17" s="11">
        <v>4.0405645698394395E-2</v>
      </c>
      <c r="I17" s="12">
        <v>3.9998734846485876E-2</v>
      </c>
      <c r="J17" s="11">
        <v>4.1769154059179837E-2</v>
      </c>
      <c r="K17" s="11">
        <f>IF(ISBLANK(Table2[[#This Row],[Qb]]),$P$4*Table2[[#This Row],[Q ]]^$P$5+$P$6,$Q$4*Table2[[#This Row],[Q ]]^$Q$5+$Q$6)</f>
        <v>27.224424094731773</v>
      </c>
      <c r="L17" s="11">
        <f>Table2[[#This Row],[Q ]]^2/((Table2[[#This Row],[h US 4]]*($T$2+Table2[[#This Row],[h US 4]]/TAN(RADIANS($T$3))))^2*K17^2*(2.68-1)*$M$6)</f>
        <v>4.4257541105380667E-2</v>
      </c>
      <c r="M17" s="11">
        <f>Table2[[#This Row],[Q ]]*SQRT((0.085066638+2*Table2[[#This Row],[h US 4]]/TAN(RADIANS(22.64513793)))/(9.81*(Table2[[#This Row],[h US 4]]^3*(0.085066638+Table2[[#This Row],[h US 4]]/TAN(RADIANS(22.64513793)))^3)))</f>
        <v>1.6670768198563433</v>
      </c>
      <c r="O17" s="37" t="s">
        <v>78</v>
      </c>
      <c r="P17" s="45">
        <v>51790</v>
      </c>
      <c r="S17" s="1">
        <v>5.9000000000000007E-3</v>
      </c>
      <c r="T17" s="1">
        <f t="shared" si="1"/>
        <v>3.8701102940622067E-2</v>
      </c>
      <c r="U17" s="1">
        <f t="shared" si="2"/>
        <v>3.7601993867289712E-2</v>
      </c>
      <c r="V17" s="1">
        <f t="shared" si="3"/>
        <v>3.8788211379858939E-2</v>
      </c>
      <c r="W17" s="1">
        <f t="shared" si="4"/>
        <v>3.7543766741055459E-2</v>
      </c>
      <c r="X17" s="1">
        <f t="shared" si="5"/>
        <v>4.0632970682141362E-2</v>
      </c>
      <c r="Y17" s="1">
        <f t="shared" si="6"/>
        <v>6.8195154514452572E-2</v>
      </c>
    </row>
    <row r="18" spans="1:25" x14ac:dyDescent="0.25">
      <c r="A18" s="1">
        <v>6</v>
      </c>
      <c r="B18" s="10">
        <v>2000</v>
      </c>
      <c r="C18" s="11">
        <v>29</v>
      </c>
      <c r="D18" s="11">
        <v>6.7392857142857098E-3</v>
      </c>
      <c r="E18" s="11">
        <v>9.7122302158273388E-2</v>
      </c>
      <c r="F18" s="12">
        <v>4.2273899543174377E-2</v>
      </c>
      <c r="G18" s="12">
        <v>4.0417217460023198E-2</v>
      </c>
      <c r="H18" s="12">
        <v>4.2250546238337044E-2</v>
      </c>
      <c r="I18" s="12">
        <v>4.1570318035684548E-2</v>
      </c>
      <c r="J18" s="12">
        <v>4.384575779144595E-2</v>
      </c>
      <c r="K18" s="11">
        <f>IF(ISBLANK(Table2[[#This Row],[Qb]]),$P$4*Table2[[#This Row],[Q ]]^$P$5+$P$6,$Q$4*Table2[[#This Row],[Q ]]^$Q$5+$Q$6)</f>
        <v>27.760233975698103</v>
      </c>
      <c r="L18" s="11">
        <f>Table2[[#This Row],[Q ]]^2/((Table2[[#This Row],[h US 4]]*($T$2+Table2[[#This Row],[h US 4]]/TAN(RADIANS($T$3))))^2*K18^2*(2.68-1)*$M$6)</f>
        <v>4.6120266999508386E-2</v>
      </c>
      <c r="M18" s="11">
        <f>Table2[[#This Row],[Q ]]*SQRT((0.085066638+2*Table2[[#This Row],[h US 4]]/TAN(RADIANS(22.64513793)))/(9.81*(Table2[[#This Row],[h US 4]]^3*(0.085066638+Table2[[#This Row],[h US 4]]/TAN(RADIANS(22.64513793)))^3)))</f>
        <v>1.7052763211929052</v>
      </c>
      <c r="O18" s="37" t="s">
        <v>79</v>
      </c>
      <c r="P18" s="45">
        <v>2.6379999999999999</v>
      </c>
      <c r="S18" s="1">
        <v>6.0000000000000001E-3</v>
      </c>
      <c r="T18" s="1">
        <f t="shared" si="1"/>
        <v>3.8945834795113536E-2</v>
      </c>
      <c r="U18" s="1">
        <f t="shared" si="2"/>
        <v>3.7788970779773695E-2</v>
      </c>
      <c r="V18" s="1">
        <f t="shared" si="3"/>
        <v>3.898788396158949E-2</v>
      </c>
      <c r="W18" s="1">
        <f t="shared" si="4"/>
        <v>3.7787492672800044E-2</v>
      </c>
      <c r="X18" s="1">
        <f t="shared" si="5"/>
        <v>4.0856890874268185E-2</v>
      </c>
      <c r="Y18" s="1">
        <f t="shared" si="6"/>
        <v>7.1286765442139535E-2</v>
      </c>
    </row>
    <row r="19" spans="1:25" x14ac:dyDescent="0.25">
      <c r="A19" s="1">
        <v>7</v>
      </c>
      <c r="B19" s="10">
        <v>2000</v>
      </c>
      <c r="C19" s="11">
        <v>32</v>
      </c>
      <c r="D19" s="11">
        <v>6.3921052631578943E-3</v>
      </c>
      <c r="E19" s="11">
        <v>8.4070796460176997E-2</v>
      </c>
      <c r="F19" s="11">
        <v>4.1207787481987418E-2</v>
      </c>
      <c r="G19" s="11">
        <v>3.9533363159784528E-2</v>
      </c>
      <c r="H19" s="11">
        <v>4.139848530328679E-2</v>
      </c>
      <c r="I19" s="12">
        <v>4.1970348943433995E-2</v>
      </c>
      <c r="J19" s="11">
        <v>4.2641204934386473E-2</v>
      </c>
      <c r="K19" s="11">
        <f>IF(ISBLANK(Table2[[#This Row],[Qb]]),$P$4*Table2[[#This Row],[Q ]]^$P$5+$P$6,$Q$4*Table2[[#This Row],[Q ]]^$Q$5+$Q$6)</f>
        <v>27.491319016592428</v>
      </c>
      <c r="L19" s="11">
        <f>Table2[[#This Row],[Q ]]^2/((Table2[[#This Row],[h US 4]]*($T$2+Table2[[#This Row],[h US 4]]/TAN(RADIANS($T$3))))^2*K19^2*(2.68-1)*$M$6)</f>
        <v>4.1102856240536584E-2</v>
      </c>
      <c r="M19" s="11">
        <f>Table2[[#This Row],[Q ]]*SQRT((0.085066638+2*Table2[[#This Row],[h US 4]]/TAN(RADIANS(22.64513793)))/(9.81*(Table2[[#This Row],[h US 4]]^3*(0.085066638+Table2[[#This Row],[h US 4]]/TAN(RADIANS(22.64513793)))^3)))</f>
        <v>1.5873492512232767</v>
      </c>
      <c r="O19" s="37" t="s">
        <v>74</v>
      </c>
      <c r="P19" s="45">
        <v>0</v>
      </c>
      <c r="S19" s="1">
        <v>6.0999999999999995E-3</v>
      </c>
      <c r="T19" s="1">
        <f t="shared" si="1"/>
        <v>3.9190566649605005E-2</v>
      </c>
      <c r="U19" s="1">
        <f t="shared" si="2"/>
        <v>3.7975947692257685E-2</v>
      </c>
      <c r="V19" s="1">
        <f t="shared" si="3"/>
        <v>3.9187556543320047E-2</v>
      </c>
      <c r="W19" s="1">
        <f t="shared" si="4"/>
        <v>3.8031218604544635E-2</v>
      </c>
      <c r="X19" s="1">
        <f t="shared" si="5"/>
        <v>4.1080811066395009E-2</v>
      </c>
      <c r="Y19" s="1">
        <f t="shared" si="6"/>
        <v>7.4463940704058887E-2</v>
      </c>
    </row>
    <row r="20" spans="1:25" x14ac:dyDescent="0.25">
      <c r="A20" s="1">
        <v>8</v>
      </c>
      <c r="B20" s="10">
        <v>2000</v>
      </c>
      <c r="C20" s="11">
        <v>36</v>
      </c>
      <c r="D20" s="11">
        <v>6.5711538461538455E-3</v>
      </c>
      <c r="E20" s="11">
        <v>9.6774193548387094E-2</v>
      </c>
      <c r="F20" s="12">
        <v>4.1452730798703069E-2</v>
      </c>
      <c r="G20" s="12">
        <v>3.9612751821107101E-2</v>
      </c>
      <c r="H20" s="12">
        <v>4.1872940306544121E-2</v>
      </c>
      <c r="I20" s="12">
        <v>4.0886797254101333E-2</v>
      </c>
      <c r="J20" s="12">
        <v>4.351443717073003E-2</v>
      </c>
      <c r="K20" s="11">
        <f>IF(ISBLANK(Table2[[#This Row],[Qb]]),$P$4*Table2[[#This Row],[Q ]]^$P$5+$P$6,$Q$4*Table2[[#This Row],[Q ]]^$Q$5+$Q$6)</f>
        <v>27.637316826465373</v>
      </c>
      <c r="L20" s="11">
        <f>Table2[[#This Row],[Q ]]^2/((Table2[[#This Row],[h US 4]]*($T$2+Table2[[#This Row],[h US 4]]/TAN(RADIANS($T$3))))^2*K20^2*(2.68-1)*$M$6)</f>
        <v>4.6500188846212445E-2</v>
      </c>
      <c r="M20" s="11">
        <f>Table2[[#This Row],[Q ]]*SQRT((0.085066638+2*Table2[[#This Row],[h US 4]]/TAN(RADIANS(22.64513793)))/(9.81*(Table2[[#This Row],[h US 4]]^3*(0.085066638+Table2[[#This Row],[h US 4]]/TAN(RADIANS(22.64513793)))^3)))</f>
        <v>1.7175531895139071</v>
      </c>
      <c r="O20" s="37" t="s">
        <v>19</v>
      </c>
      <c r="P20" s="42">
        <v>0.98340000000000005</v>
      </c>
      <c r="S20" s="1">
        <v>6.2000000000000006E-3</v>
      </c>
      <c r="T20" s="1">
        <f t="shared" si="1"/>
        <v>3.943529850409648E-2</v>
      </c>
      <c r="U20" s="1">
        <f t="shared" si="2"/>
        <v>3.8162924604741674E-2</v>
      </c>
      <c r="V20" s="1">
        <f t="shared" si="3"/>
        <v>3.9387229125050605E-2</v>
      </c>
      <c r="W20" s="1">
        <f t="shared" si="4"/>
        <v>3.8274944536289227E-2</v>
      </c>
      <c r="X20" s="1">
        <f t="shared" si="5"/>
        <v>4.130473125852184E-2</v>
      </c>
      <c r="Y20" s="1">
        <f t="shared" si="6"/>
        <v>7.7727587425231073E-2</v>
      </c>
    </row>
    <row r="21" spans="1:25" x14ac:dyDescent="0.25">
      <c r="A21" s="1">
        <v>9</v>
      </c>
      <c r="B21" s="10">
        <v>2000</v>
      </c>
      <c r="C21" s="11">
        <v>40</v>
      </c>
      <c r="D21" s="11">
        <v>6.8224489795918357E-3</v>
      </c>
      <c r="E21" s="11">
        <v>9.9315068493150679E-2</v>
      </c>
      <c r="F21" s="12">
        <v>4.206044563080099E-2</v>
      </c>
      <c r="G21" s="12">
        <v>4.0605098516171896E-2</v>
      </c>
      <c r="H21" s="12">
        <v>4.2096233776047133E-2</v>
      </c>
      <c r="I21" s="12">
        <v>4.258111639626367E-2</v>
      </c>
      <c r="J21" s="12">
        <v>4.4418621440543878E-2</v>
      </c>
      <c r="K21" s="11">
        <f>IF(ISBLANK(Table2[[#This Row],[Qb]]),$P$4*Table2[[#This Row],[Q ]]^$P$5+$P$6,$Q$4*Table2[[#This Row],[Q ]]^$Q$5+$Q$6)</f>
        <v>27.816492454907348</v>
      </c>
      <c r="L21" s="11">
        <f>Table2[[#This Row],[Q ]]^2/((Table2[[#This Row],[h US 4]]*($T$2+Table2[[#This Row],[h US 4]]/TAN(RADIANS($T$3))))^2*K21^2*(2.68-1)*$M$6)</f>
        <v>4.3782814399880833E-2</v>
      </c>
      <c r="M21" s="11">
        <f>Table2[[#This Row],[Q ]]*SQRT((0.085066638+2*Table2[[#This Row],[h US 4]]/TAN(RADIANS(22.64513793)))/(9.81*(Table2[[#This Row],[h US 4]]^3*(0.085066638+Table2[[#This Row],[h US 4]]/TAN(RADIANS(22.64513793)))^3)))</f>
        <v>1.646836135533603</v>
      </c>
      <c r="S21" s="1">
        <v>6.3E-3</v>
      </c>
      <c r="T21" s="1">
        <f t="shared" si="1"/>
        <v>3.9680030358587949E-2</v>
      </c>
      <c r="U21" s="1">
        <f t="shared" si="2"/>
        <v>3.8349901517225664E-2</v>
      </c>
      <c r="V21" s="1">
        <f t="shared" si="3"/>
        <v>3.9586901706781155E-2</v>
      </c>
      <c r="W21" s="1">
        <f t="shared" si="4"/>
        <v>3.8518670468033818E-2</v>
      </c>
      <c r="X21" s="1">
        <f t="shared" si="5"/>
        <v>4.1528651450648664E-2</v>
      </c>
      <c r="Y21" s="1">
        <f t="shared" si="6"/>
        <v>8.1078607362742708E-2</v>
      </c>
    </row>
    <row r="22" spans="1:25" x14ac:dyDescent="0.25">
      <c r="A22" s="1">
        <v>10</v>
      </c>
      <c r="B22" s="10">
        <v>2000</v>
      </c>
      <c r="C22" s="11">
        <v>42</v>
      </c>
      <c r="D22" s="11">
        <v>7.454838709677415E-3</v>
      </c>
      <c r="E22" s="11">
        <v>0.11382113821138211</v>
      </c>
      <c r="F22" s="11">
        <v>4.3737388580641981E-2</v>
      </c>
      <c r="G22" s="11">
        <v>4.2142897074049987E-2</v>
      </c>
      <c r="H22" s="11">
        <v>4.3574954969728671E-2</v>
      </c>
      <c r="I22" s="12">
        <v>4.3337853502213794E-2</v>
      </c>
      <c r="J22" s="11">
        <v>4.5813227126483419E-2</v>
      </c>
      <c r="K22" s="11">
        <f>IF(ISBLANK(Table2[[#This Row],[Qb]]),$P$4*Table2[[#This Row],[Q ]]^$P$5+$P$6,$Q$4*Table2[[#This Row],[Q ]]^$Q$5+$Q$6)</f>
        <v>28.164864098875366</v>
      </c>
      <c r="L22" s="11">
        <f>Table2[[#This Row],[Q ]]^2/((Table2[[#This Row],[h US 4]]*($T$2+Table2[[#This Row],[h US 4]]/TAN(RADIANS($T$3))))^2*K22^2*(2.68-1)*$M$6)</f>
        <v>4.8342078338221621E-2</v>
      </c>
      <c r="M22" s="11">
        <f>Table2[[#This Row],[Q ]]*SQRT((0.085066638+2*Table2[[#This Row],[h US 4]]/TAN(RADIANS(22.64513793)))/(9.81*(Table2[[#This Row],[h US 4]]^3*(0.085066638+Table2[[#This Row],[h US 4]]/TAN(RADIANS(22.64513793)))^3)))</f>
        <v>1.738183938967595</v>
      </c>
      <c r="S22" s="1">
        <v>6.4000000000000003E-3</v>
      </c>
      <c r="T22" s="1">
        <f t="shared" si="1"/>
        <v>3.9924762213079418E-2</v>
      </c>
      <c r="U22" s="1">
        <f t="shared" si="2"/>
        <v>3.8536878429709653E-2</v>
      </c>
      <c r="V22" s="1">
        <f t="shared" si="3"/>
        <v>3.9786574288511713E-2</v>
      </c>
      <c r="W22" s="1">
        <f t="shared" si="4"/>
        <v>3.8762396399778409E-2</v>
      </c>
      <c r="X22" s="1">
        <f t="shared" si="5"/>
        <v>4.1752571642775488E-2</v>
      </c>
      <c r="Y22" s="1">
        <f t="shared" si="6"/>
        <v>8.4517897023345875E-2</v>
      </c>
    </row>
    <row r="23" spans="1:25" x14ac:dyDescent="0.25">
      <c r="A23" s="1">
        <v>11</v>
      </c>
      <c r="B23" s="10">
        <v>2000</v>
      </c>
      <c r="C23" s="11">
        <v>46</v>
      </c>
      <c r="D23" s="11">
        <v>7.358108108108107E-3</v>
      </c>
      <c r="E23" s="11">
        <v>0.12328767123287671</v>
      </c>
      <c r="F23" s="11">
        <v>4.372751502464748E-2</v>
      </c>
      <c r="G23" s="11">
        <v>4.2391154116090041E-2</v>
      </c>
      <c r="H23" s="11">
        <v>4.37137509527247E-2</v>
      </c>
      <c r="I23" s="12">
        <v>4.3304079742053907E-2</v>
      </c>
      <c r="J23" s="11">
        <v>4.6586990317582927E-2</v>
      </c>
      <c r="K23" s="11">
        <f>IF(ISBLANK(Table2[[#This Row],[Qb]]),$P$4*Table2[[#This Row],[Q ]]^$P$5+$P$6,$Q$4*Table2[[#This Row],[Q ]]^$Q$5+$Q$6)</f>
        <v>28.119399488669416</v>
      </c>
      <c r="L23" s="11">
        <f>Table2[[#This Row],[Q ]]^2/((Table2[[#This Row],[h US 4]]*($T$2+Table2[[#This Row],[h US 4]]/TAN(RADIANS($T$3))))^2*K23^2*(2.68-1)*$M$6)</f>
        <v>4.7359920387402811E-2</v>
      </c>
      <c r="M23" s="11">
        <f>Table2[[#This Row],[Q ]]*SQRT((0.085066638+2*Table2[[#This Row],[h US 4]]/TAN(RADIANS(22.64513793)))/(9.81*(Table2[[#This Row],[h US 4]]^3*(0.085066638+Table2[[#This Row],[h US 4]]/TAN(RADIANS(22.64513793)))^3)))</f>
        <v>1.7182667904424831</v>
      </c>
      <c r="S23" s="1">
        <v>6.4999999999999902E-3</v>
      </c>
      <c r="T23" s="1">
        <f t="shared" si="1"/>
        <v>4.0169494067570866E-2</v>
      </c>
      <c r="U23" s="1">
        <f t="shared" si="2"/>
        <v>3.8723855342193622E-2</v>
      </c>
      <c r="V23" s="1">
        <f t="shared" si="3"/>
        <v>3.9986246870242242E-2</v>
      </c>
      <c r="W23" s="1">
        <f t="shared" si="4"/>
        <v>3.9006122331522973E-2</v>
      </c>
      <c r="X23" s="1">
        <f t="shared" si="5"/>
        <v>4.1976491834902291E-2</v>
      </c>
      <c r="Y23" s="1">
        <f t="shared" si="6"/>
        <v>8.8046347776660969E-2</v>
      </c>
    </row>
    <row r="24" spans="1:25" x14ac:dyDescent="0.25">
      <c r="A24" s="1">
        <v>12</v>
      </c>
      <c r="B24" s="10">
        <v>2000</v>
      </c>
      <c r="C24" s="11">
        <v>48</v>
      </c>
      <c r="D24" s="11">
        <v>7.5798701298701284E-3</v>
      </c>
      <c r="E24" s="11">
        <v>0.12745098039215685</v>
      </c>
      <c r="F24" s="12">
        <v>4.4289119347251993E-2</v>
      </c>
      <c r="G24" s="12">
        <v>4.286984044909227E-2</v>
      </c>
      <c r="H24" s="12">
        <v>4.4234094916376809E-2</v>
      </c>
      <c r="I24" s="12">
        <v>4.3592899757069786E-2</v>
      </c>
      <c r="J24" s="12">
        <v>4.6448672740370442E-2</v>
      </c>
      <c r="K24" s="11">
        <f>IF(ISBLANK(Table2[[#This Row],[Qb]]),$P$4*Table2[[#This Row],[Q ]]^$P$5+$P$6,$Q$4*Table2[[#This Row],[Q ]]^$Q$5+$Q$6)</f>
        <v>28.220140339716938</v>
      </c>
      <c r="L24" s="11">
        <f>Table2[[#This Row],[Q ]]^2/((Table2[[#This Row],[h US 4]]*($T$2+Table2[[#This Row],[h US 4]]/TAN(RADIANS($T$3))))^2*K24^2*(2.68-1)*$M$6)</f>
        <v>4.8903334078240573E-2</v>
      </c>
      <c r="M24" s="11">
        <f>Table2[[#This Row],[Q ]]*SQRT((0.085066638+2*Table2[[#This Row],[h US 4]]/TAN(RADIANS(22.64513793)))/(9.81*(Table2[[#This Row],[h US 4]]^3*(0.085066638+Table2[[#This Row],[h US 4]]/TAN(RADIANS(22.64513793)))^3)))</f>
        <v>1.7470170330698085</v>
      </c>
      <c r="S24" s="1">
        <v>6.5999999999999904E-3</v>
      </c>
      <c r="T24" s="1">
        <f t="shared" si="1"/>
        <v>4.0414225922062334E-2</v>
      </c>
      <c r="U24" s="1">
        <f t="shared" si="2"/>
        <v>3.8910832254677619E-2</v>
      </c>
      <c r="V24" s="1">
        <f t="shared" si="3"/>
        <v>4.01859194519728E-2</v>
      </c>
      <c r="W24" s="1">
        <f t="shared" si="4"/>
        <v>3.9249848263267564E-2</v>
      </c>
      <c r="X24" s="1">
        <f t="shared" si="5"/>
        <v>4.2200412027029122E-2</v>
      </c>
      <c r="Y24" s="1">
        <f t="shared" si="6"/>
        <v>9.1664845964212288E-2</v>
      </c>
    </row>
    <row r="25" spans="1:25" x14ac:dyDescent="0.25">
      <c r="A25" s="1">
        <v>13</v>
      </c>
      <c r="B25" s="10">
        <v>2000</v>
      </c>
      <c r="C25" s="11">
        <v>51</v>
      </c>
      <c r="D25" s="11">
        <v>7.6421686746987964E-3</v>
      </c>
      <c r="E25" s="11">
        <v>0.12804878048780488</v>
      </c>
      <c r="F25" s="11">
        <v>4.4527658283959881E-2</v>
      </c>
      <c r="G25" s="11">
        <v>4.2664210485674543E-2</v>
      </c>
      <c r="H25" s="11">
        <v>4.4270608750345851E-2</v>
      </c>
      <c r="I25" s="12">
        <v>4.4195113489366569E-2</v>
      </c>
      <c r="J25" s="11">
        <v>5.0264405115599653E-2</v>
      </c>
      <c r="K25" s="11">
        <f>IF(ISBLANK(Table2[[#This Row],[Qb]]),$P$4*Table2[[#This Row],[Q ]]^$P$5+$P$6,$Q$4*Table2[[#This Row],[Q ]]^$Q$5+$Q$6)</f>
        <v>28.246305613272757</v>
      </c>
      <c r="L25" s="11">
        <f>Table2[[#This Row],[Q ]]^2/((Table2[[#This Row],[h US 4]]*($T$2+Table2[[#This Row],[h US 4]]/TAN(RADIANS($T$3))))^2*K25^2*(2.68-1)*$M$6)</f>
        <v>4.7592447207632387E-2</v>
      </c>
      <c r="M25" s="11">
        <f>Table2[[#This Row],[Q ]]*SQRT((0.085066638+2*Table2[[#This Row],[h US 4]]/TAN(RADIANS(22.64513793)))/(9.81*(Table2[[#This Row],[h US 4]]^3*(0.085066638+Table2[[#This Row],[h US 4]]/TAN(RADIANS(22.64513793)))^3)))</f>
        <v>1.714327593405707</v>
      </c>
      <c r="S25" s="1">
        <v>6.6999999999999907E-3</v>
      </c>
      <c r="T25" s="1">
        <f t="shared" si="1"/>
        <v>4.0658957776553803E-2</v>
      </c>
      <c r="U25" s="1">
        <f t="shared" si="2"/>
        <v>3.9097809167161601E-2</v>
      </c>
      <c r="V25" s="1">
        <f t="shared" si="3"/>
        <v>4.0385592033703357E-2</v>
      </c>
      <c r="W25" s="1">
        <f t="shared" si="4"/>
        <v>3.9493574195012149E-2</v>
      </c>
      <c r="X25" s="1">
        <f t="shared" si="5"/>
        <v>4.2424332219155945E-2</v>
      </c>
      <c r="Y25" s="1">
        <f t="shared" si="6"/>
        <v>9.5374273004510762E-2</v>
      </c>
    </row>
    <row r="26" spans="1:25" x14ac:dyDescent="0.25">
      <c r="A26" s="1">
        <v>14</v>
      </c>
      <c r="B26" s="10">
        <v>2000</v>
      </c>
      <c r="C26" s="11">
        <v>53</v>
      </c>
      <c r="D26" s="11">
        <v>7.832283464566922E-3</v>
      </c>
      <c r="E26" s="11">
        <v>0.13095238095238096</v>
      </c>
      <c r="F26" s="12">
        <v>4.4954855004345817E-2</v>
      </c>
      <c r="G26" s="12">
        <v>4.3164347274856976E-2</v>
      </c>
      <c r="H26" s="12">
        <v>4.4748880818975635E-2</v>
      </c>
      <c r="I26" s="12">
        <v>4.4683252228534066E-2</v>
      </c>
      <c r="J26" s="12">
        <v>4.8205764272688009E-2</v>
      </c>
      <c r="K26" s="11">
        <f>IF(ISBLANK(Table2[[#This Row],[Qb]]),$P$4*Table2[[#This Row],[Q ]]^$P$5+$P$6,$Q$4*Table2[[#This Row],[Q ]]^$Q$5+$Q$6)</f>
        <v>28.320949655823519</v>
      </c>
      <c r="L26" s="11">
        <f>Table2[[#This Row],[Q ]]^2/((Table2[[#This Row],[h US 4]]*($T$2+Table2[[#This Row],[h US 4]]/TAN(RADIANS($T$3))))^2*K26^2*(2.68-1)*$M$6)</f>
        <v>4.8091066053779649E-2</v>
      </c>
      <c r="M26" s="11">
        <f>Table2[[#This Row],[Q ]]*SQRT((0.085066638+2*Table2[[#This Row],[h US 4]]/TAN(RADIANS(22.64513793)))/(9.81*(Table2[[#This Row],[h US 4]]^3*(0.085066638+Table2[[#This Row],[h US 4]]/TAN(RADIANS(22.64513793)))^3)))</f>
        <v>1.7192375466092822</v>
      </c>
      <c r="S26" s="1">
        <v>6.7999999999999901E-3</v>
      </c>
      <c r="T26" s="1">
        <f t="shared" si="1"/>
        <v>4.0903689631045279E-2</v>
      </c>
      <c r="U26" s="1">
        <f t="shared" si="2"/>
        <v>3.9284786079645591E-2</v>
      </c>
      <c r="V26" s="1">
        <f t="shared" si="3"/>
        <v>4.0585264615433908E-2</v>
      </c>
      <c r="W26" s="1">
        <f t="shared" si="4"/>
        <v>3.973730012675674E-2</v>
      </c>
      <c r="X26" s="1">
        <f t="shared" si="5"/>
        <v>4.2648252411282769E-2</v>
      </c>
      <c r="Y26" s="1">
        <f t="shared" si="6"/>
        <v>9.9175505494386432E-2</v>
      </c>
    </row>
    <row r="27" spans="1:25" x14ac:dyDescent="0.25">
      <c r="A27" s="1">
        <v>15</v>
      </c>
      <c r="B27" s="10">
        <v>2000</v>
      </c>
      <c r="C27" s="11">
        <v>55</v>
      </c>
      <c r="D27" s="11">
        <v>8.0937500000000002E-3</v>
      </c>
      <c r="E27" s="11">
        <v>0.13291139240506328</v>
      </c>
      <c r="F27" s="11">
        <v>4.5597420182087456E-2</v>
      </c>
      <c r="G27" s="11">
        <v>4.3959537960650968E-2</v>
      </c>
      <c r="H27" s="11">
        <v>4.5535605155841138E-2</v>
      </c>
      <c r="I27" s="12">
        <v>4.5575543493064787E-2</v>
      </c>
      <c r="J27" s="11">
        <v>5.0909408700761702E-2</v>
      </c>
      <c r="K27" s="11">
        <f>IF(ISBLANK(Table2[[#This Row],[Qb]]),$P$4*Table2[[#This Row],[Q ]]^$P$5+$P$6,$Q$4*Table2[[#This Row],[Q ]]^$Q$5+$Q$6)</f>
        <v>28.412156383449261</v>
      </c>
      <c r="L27" s="11">
        <f>Table2[[#This Row],[Q ]]^2/((Table2[[#This Row],[h US 4]]*($T$2+Table2[[#This Row],[h US 4]]/TAN(RADIANS($T$3))))^2*K27^2*(2.68-1)*$M$6)</f>
        <v>4.8037825770974436E-2</v>
      </c>
      <c r="M27" s="11">
        <f>Table2[[#This Row],[Q ]]*SQRT((0.085066638+2*Table2[[#This Row],[h US 4]]/TAN(RADIANS(22.64513793)))/(9.81*(Table2[[#This Row],[h US 4]]^3*(0.085066638+Table2[[#This Row],[h US 4]]/TAN(RADIANS(22.64513793)))^3)))</f>
        <v>1.7083941981477238</v>
      </c>
      <c r="S27" s="1">
        <v>6.8999999999999895E-3</v>
      </c>
      <c r="T27" s="1">
        <f t="shared" si="1"/>
        <v>4.114842148553674E-2</v>
      </c>
      <c r="U27" s="1">
        <f t="shared" si="2"/>
        <v>3.947176299212958E-2</v>
      </c>
      <c r="V27" s="1">
        <f t="shared" si="3"/>
        <v>4.0784937197164466E-2</v>
      </c>
      <c r="W27" s="1">
        <f t="shared" si="4"/>
        <v>3.9981026058501332E-2</v>
      </c>
      <c r="X27" s="1">
        <f t="shared" si="5"/>
        <v>4.2872172603409593E-2</v>
      </c>
      <c r="Y27" s="1">
        <f t="shared" si="6"/>
        <v>0.10306941530675712</v>
      </c>
    </row>
    <row r="28" spans="1:25" x14ac:dyDescent="0.25">
      <c r="A28" s="1">
        <v>16</v>
      </c>
      <c r="B28" s="10">
        <v>2001</v>
      </c>
      <c r="C28" s="11">
        <v>6</v>
      </c>
      <c r="D28" s="11">
        <v>8.2242718446601942E-3</v>
      </c>
      <c r="E28" s="40"/>
      <c r="F28" s="12">
        <v>4.5409535673146109E-2</v>
      </c>
      <c r="G28" s="12">
        <v>4.3025412353296023E-2</v>
      </c>
      <c r="H28" s="12">
        <v>4.471520277471068E-2</v>
      </c>
      <c r="I28" s="12">
        <v>4.950918432055007E-2</v>
      </c>
      <c r="J28" s="12">
        <v>5.1074287138428327E-2</v>
      </c>
      <c r="K28" s="11">
        <f>IF(ISBLANK(Table2[[#This Row],[Qb]]),$P$4*Table2[[#This Row],[Q ]]^$P$5+$P$6,$Q$4*Table2[[#This Row],[Q ]]^$Q$5+$Q$6)</f>
        <v>31.35313901965489</v>
      </c>
      <c r="L28" s="40"/>
      <c r="M28" s="11"/>
      <c r="S28" s="1">
        <v>6.9999999999999906E-3</v>
      </c>
      <c r="T28" s="1">
        <f t="shared" si="1"/>
        <v>4.1393153340028216E-2</v>
      </c>
      <c r="U28" s="1">
        <f t="shared" si="2"/>
        <v>3.965873990461357E-2</v>
      </c>
      <c r="V28" s="1">
        <f t="shared" si="3"/>
        <v>4.0984609778895023E-2</v>
      </c>
      <c r="W28" s="1">
        <f t="shared" si="4"/>
        <v>4.0224751990245923E-2</v>
      </c>
      <c r="X28" s="1">
        <f t="shared" si="5"/>
        <v>4.3096092795536417E-2</v>
      </c>
      <c r="Y28" s="1">
        <f t="shared" si="6"/>
        <v>0.1070568696850083</v>
      </c>
    </row>
    <row r="29" spans="1:25" x14ac:dyDescent="0.25">
      <c r="A29" s="1">
        <v>17</v>
      </c>
      <c r="B29" s="10">
        <v>2001</v>
      </c>
      <c r="C29" s="11">
        <v>8</v>
      </c>
      <c r="D29" s="11">
        <v>8.4105263157894777E-3</v>
      </c>
      <c r="E29" s="11">
        <v>0.15929203539823009</v>
      </c>
      <c r="F29" s="12">
        <v>4.6119910127769281E-2</v>
      </c>
      <c r="G29" s="12">
        <v>4.3960873106022202E-2</v>
      </c>
      <c r="H29" s="12">
        <v>4.5564688436037011E-2</v>
      </c>
      <c r="I29" s="12">
        <v>4.6084476033892145E-2</v>
      </c>
      <c r="J29" s="12">
        <v>4.8753601411016527E-2</v>
      </c>
      <c r="K29" s="11">
        <f>IF(ISBLANK(Table2[[#This Row],[Qb]]),$P$4*Table2[[#This Row],[Q ]]^$P$5+$P$6,$Q$4*Table2[[#This Row],[Q ]]^$Q$5+$Q$6)</f>
        <v>28.50756761648708</v>
      </c>
      <c r="L29" s="11">
        <f>Table2[[#This Row],[Q ]]^2/((Table2[[#This Row],[h US 4]]*($T$2+Table2[[#This Row],[h US 4]]/TAN(RADIANS($T$3))))^2*K29^2*(2.68-1)*$M$6)</f>
        <v>4.9803520387162577E-2</v>
      </c>
      <c r="M29" s="11">
        <f>Table2[[#This Row],[Q ]]*SQRT((0.085066638+2*Table2[[#This Row],[h US 4]]/TAN(RADIANS(22.64513793)))/(9.81*(Table2[[#This Row],[h US 4]]^3*(0.085066638+Table2[[#This Row],[h US 4]]/TAN(RADIANS(22.64513793)))^3)))</f>
        <v>1.7365550508722123</v>
      </c>
      <c r="S29" s="1">
        <v>7.09999999999999E-3</v>
      </c>
      <c r="T29" s="1">
        <f t="shared" si="1"/>
        <v>4.1637885194519685E-2</v>
      </c>
      <c r="U29" s="1">
        <f t="shared" si="2"/>
        <v>3.984571681709756E-2</v>
      </c>
      <c r="V29" s="1">
        <f t="shared" si="3"/>
        <v>4.1184282360625574E-2</v>
      </c>
      <c r="W29" s="1">
        <f t="shared" si="4"/>
        <v>4.0468477921990514E-2</v>
      </c>
      <c r="X29" s="1">
        <f t="shared" si="5"/>
        <v>4.3320012987663248E-2</v>
      </c>
      <c r="Y29" s="1">
        <f t="shared" si="6"/>
        <v>0.11113873133415109</v>
      </c>
    </row>
    <row r="30" spans="1:25" x14ac:dyDescent="0.25">
      <c r="A30" s="1">
        <v>18</v>
      </c>
      <c r="B30" s="10">
        <v>2001</v>
      </c>
      <c r="C30" s="11">
        <v>12</v>
      </c>
      <c r="D30" s="11">
        <v>8.585185185185194E-3</v>
      </c>
      <c r="E30" s="11">
        <v>0.19438720385316324</v>
      </c>
      <c r="F30" s="12">
        <v>4.6967951739891801E-2</v>
      </c>
      <c r="G30" s="12">
        <v>4.4410123687453965E-2</v>
      </c>
      <c r="H30" s="12">
        <v>4.6953932591317478E-2</v>
      </c>
      <c r="I30" s="12">
        <v>4.6728163587541491E-2</v>
      </c>
      <c r="J30" s="12">
        <v>4.9815379559124288E-2</v>
      </c>
      <c r="K30" s="11">
        <f>IF(ISBLANK(Table2[[#This Row],[Qb]]),$P$4*Table2[[#This Row],[Q ]]^$P$5+$P$6,$Q$4*Table2[[#This Row],[Q ]]^$Q$5+$Q$6)</f>
        <v>28.554131701534612</v>
      </c>
      <c r="L30" s="11">
        <f>Table2[[#This Row],[Q ]]^2/((Table2[[#This Row],[h US 4]]*($T$2+Table2[[#This Row],[h US 4]]/TAN(RADIANS($T$3))))^2*K30^2*(2.68-1)*$M$6)</f>
        <v>4.9570565727754597E-2</v>
      </c>
      <c r="M30" s="11">
        <f>Table2[[#This Row],[Q ]]*SQRT((0.085066638+2*Table2[[#This Row],[h US 4]]/TAN(RADIANS(22.64513793)))/(9.81*(Table2[[#This Row],[h US 4]]^3*(0.085066638+Table2[[#This Row],[h US 4]]/TAN(RADIANS(22.64513793)))^3)))</f>
        <v>1.7243980459898429</v>
      </c>
      <c r="S30" s="1">
        <v>7.1999999999999903E-3</v>
      </c>
      <c r="T30" s="1">
        <f t="shared" si="1"/>
        <v>4.1882617049011153E-2</v>
      </c>
      <c r="U30" s="1">
        <f t="shared" si="2"/>
        <v>4.0032693729581549E-2</v>
      </c>
      <c r="V30" s="1">
        <f t="shared" si="3"/>
        <v>4.1383954942356131E-2</v>
      </c>
      <c r="W30" s="1">
        <f t="shared" si="4"/>
        <v>4.0712203853735099E-2</v>
      </c>
      <c r="X30" s="1">
        <f t="shared" si="5"/>
        <v>4.3543933179790072E-2</v>
      </c>
      <c r="Y30" s="1">
        <f t="shared" si="6"/>
        <v>0.11531585850891228</v>
      </c>
    </row>
    <row r="31" spans="1:25" x14ac:dyDescent="0.25">
      <c r="A31" s="1">
        <v>19</v>
      </c>
      <c r="B31" s="10">
        <v>2001</v>
      </c>
      <c r="C31" s="11">
        <v>15</v>
      </c>
      <c r="D31" s="11">
        <v>8.9574468085106412E-3</v>
      </c>
      <c r="E31" s="40"/>
      <c r="F31" s="12">
        <v>4.7572460841043121E-2</v>
      </c>
      <c r="G31" s="12">
        <v>4.5077990492024558E-2</v>
      </c>
      <c r="H31" s="12">
        <v>4.6948430874667942E-2</v>
      </c>
      <c r="I31" s="12">
        <v>4.8881515900698967E-2</v>
      </c>
      <c r="J31" s="12">
        <v>5.3435156807527827E-2</v>
      </c>
      <c r="K31" s="11">
        <f>IF(ISBLANK(Table2[[#This Row],[Qb]]),$P$4*Table2[[#This Row],[Q ]]^$P$5+$P$6,$Q$4*Table2[[#This Row],[Q ]]^$Q$5+$Q$6)</f>
        <v>31.915439291188392</v>
      </c>
      <c r="L31" s="40"/>
      <c r="M31" s="11"/>
      <c r="S31" s="1">
        <v>7.2999999999999905E-3</v>
      </c>
      <c r="T31" s="1">
        <f t="shared" si="1"/>
        <v>4.2127348903502629E-2</v>
      </c>
      <c r="U31" s="1">
        <f t="shared" si="2"/>
        <v>4.0219670642065539E-2</v>
      </c>
      <c r="V31" s="1">
        <f t="shared" si="3"/>
        <v>4.1583627524086689E-2</v>
      </c>
      <c r="W31" s="1">
        <f t="shared" si="4"/>
        <v>4.0955929785479697E-2</v>
      </c>
      <c r="X31" s="1">
        <f t="shared" si="5"/>
        <v>4.3767853371916896E-2</v>
      </c>
      <c r="Y31" s="1">
        <f t="shared" si="6"/>
        <v>0.11958910509889818</v>
      </c>
    </row>
    <row r="32" spans="1:25" x14ac:dyDescent="0.25">
      <c r="A32" s="1">
        <v>20</v>
      </c>
      <c r="B32" s="10">
        <v>2001</v>
      </c>
      <c r="C32" s="11">
        <v>18</v>
      </c>
      <c r="D32" s="11">
        <v>9.1149999999999964E-3</v>
      </c>
      <c r="E32" s="40"/>
      <c r="F32" s="12">
        <v>4.809996833164866E-2</v>
      </c>
      <c r="G32" s="12">
        <v>4.5163471999445946E-2</v>
      </c>
      <c r="H32" s="12">
        <v>4.7066383144103011E-2</v>
      </c>
      <c r="I32" s="12">
        <v>5.1246172424121654E-2</v>
      </c>
      <c r="J32" s="12">
        <v>5.3557185441826867E-2</v>
      </c>
      <c r="K32" s="11">
        <f>IF(ISBLANK(Table2[[#This Row],[Qb]]),$P$4*Table2[[#This Row],[Q ]]^$P$5+$P$6,$Q$4*Table2[[#This Row],[Q ]]^$Q$5+$Q$6)</f>
        <v>32.02179134248663</v>
      </c>
      <c r="L32" s="40"/>
      <c r="M32" s="11"/>
      <c r="S32" s="1">
        <v>7.3999999999999899E-3</v>
      </c>
      <c r="T32" s="1">
        <f t="shared" si="1"/>
        <v>4.2372080757994098E-2</v>
      </c>
      <c r="U32" s="1">
        <f t="shared" si="2"/>
        <v>4.0406647554549528E-2</v>
      </c>
      <c r="V32" s="1">
        <f t="shared" si="3"/>
        <v>4.1783300105817239E-2</v>
      </c>
      <c r="W32" s="1">
        <f t="shared" si="4"/>
        <v>4.1199655717224282E-2</v>
      </c>
      <c r="X32" s="1">
        <f t="shared" si="5"/>
        <v>4.3991773564043726E-2</v>
      </c>
      <c r="Y32" s="1">
        <f t="shared" si="6"/>
        <v>0.12395932071097218</v>
      </c>
    </row>
    <row r="33" spans="1:25" x14ac:dyDescent="0.25">
      <c r="A33" s="1">
        <v>21</v>
      </c>
      <c r="B33" s="10">
        <v>2001</v>
      </c>
      <c r="C33" s="11">
        <v>21</v>
      </c>
      <c r="D33" s="11">
        <v>9.4464285714285744E-3</v>
      </c>
      <c r="E33" s="11">
        <v>0.23903614457831326</v>
      </c>
      <c r="F33" s="12">
        <v>4.8460791369780237E-2</v>
      </c>
      <c r="G33" s="12">
        <v>4.56482923244819E-2</v>
      </c>
      <c r="H33" s="12">
        <v>4.7438777490359151E-2</v>
      </c>
      <c r="I33" s="12">
        <v>4.8414491471989861E-2</v>
      </c>
      <c r="J33" s="12">
        <v>5.1957963253346347E-2</v>
      </c>
      <c r="K33" s="11">
        <f>IF(ISBLANK(Table2[[#This Row],[Qb]]),$P$4*Table2[[#This Row],[Q ]]^$P$5+$P$6,$Q$4*Table2[[#This Row],[Q ]]^$Q$5+$Q$6)</f>
        <v>28.735386194775362</v>
      </c>
      <c r="L33" s="11">
        <f>Table2[[#This Row],[Q ]]^2/((Table2[[#This Row],[h US 4]]*($T$2+Table2[[#This Row],[h US 4]]/TAN(RADIANS($T$3))))^2*K33^2*(2.68-1)*$M$6)</f>
        <v>5.3132969624670942E-2</v>
      </c>
      <c r="M33" s="11">
        <f>Table2[[#This Row],[Q ]]*SQRT((0.085066638+2*Table2[[#This Row],[h US 4]]/TAN(RADIANS(22.64513793)))/(9.81*(Table2[[#This Row],[h US 4]]^3*(0.085066638+Table2[[#This Row],[h US 4]]/TAN(RADIANS(22.64513793)))^3)))</f>
        <v>1.7678310759609879</v>
      </c>
      <c r="S33" s="1">
        <v>7.4999999999999902E-3</v>
      </c>
      <c r="T33" s="1">
        <f t="shared" si="1"/>
        <v>4.2616812612485566E-2</v>
      </c>
      <c r="U33" s="1">
        <f t="shared" si="2"/>
        <v>4.0593624467033518E-2</v>
      </c>
      <c r="V33" s="1">
        <f t="shared" si="3"/>
        <v>4.198297268754779E-2</v>
      </c>
      <c r="W33" s="1">
        <f t="shared" si="4"/>
        <v>4.1443381648968873E-2</v>
      </c>
      <c r="X33" s="1">
        <f t="shared" si="5"/>
        <v>4.4215693756170543E-2</v>
      </c>
      <c r="Y33" s="1">
        <f t="shared" si="6"/>
        <v>0.12842735074897599</v>
      </c>
    </row>
    <row r="34" spans="1:25" x14ac:dyDescent="0.25">
      <c r="A34" s="1">
        <v>22</v>
      </c>
      <c r="B34" s="10">
        <v>2001</v>
      </c>
      <c r="C34" s="11">
        <v>23</v>
      </c>
      <c r="D34" s="11">
        <v>9.5355140186915936E-3</v>
      </c>
      <c r="E34" s="11">
        <v>0.24150943396226415</v>
      </c>
      <c r="F34" s="12">
        <v>4.9221033458585688E-2</v>
      </c>
      <c r="G34" s="12">
        <v>4.6031752779322088E-2</v>
      </c>
      <c r="H34" s="12">
        <v>4.8018496152560028E-2</v>
      </c>
      <c r="I34" s="12">
        <v>4.9114176567661483E-2</v>
      </c>
      <c r="J34" s="12">
        <v>5.1431974115900891E-2</v>
      </c>
      <c r="K34" s="11">
        <f>IF(ISBLANK(Table2[[#This Row],[Qb]]),$P$4*Table2[[#This Row],[Q ]]^$P$5+$P$6,$Q$4*Table2[[#This Row],[Q ]]^$Q$5+$Q$6)</f>
        <v>28.750433544265555</v>
      </c>
      <c r="L34" s="11">
        <f>Table2[[#This Row],[Q ]]^2/((Table2[[#This Row],[h US 4]]*($T$2+Table2[[#This Row],[h US 4]]/TAN(RADIANS($T$3))))^2*K34^2*(2.68-1)*$M$6)</f>
        <v>5.1736997792212837E-2</v>
      </c>
      <c r="M34" s="11">
        <f>Table2[[#This Row],[Q ]]*SQRT((0.085066638+2*Table2[[#This Row],[h US 4]]/TAN(RADIANS(22.64513793)))/(9.81*(Table2[[#This Row],[h US 4]]^3*(0.085066638+Table2[[#This Row],[h US 4]]/TAN(RADIANS(22.64513793)))^3)))</f>
        <v>1.7339815005263344</v>
      </c>
      <c r="S34" s="1">
        <v>7.5999999999999904E-3</v>
      </c>
      <c r="T34" s="1">
        <f t="shared" si="1"/>
        <v>4.2861544466977042E-2</v>
      </c>
      <c r="U34" s="1">
        <f t="shared" si="2"/>
        <v>4.0780601379517507E-2</v>
      </c>
      <c r="V34" s="1">
        <f t="shared" si="3"/>
        <v>4.2182645269278347E-2</v>
      </c>
      <c r="W34" s="1">
        <f t="shared" si="4"/>
        <v>4.1687107580713464E-2</v>
      </c>
      <c r="X34" s="1">
        <f t="shared" si="5"/>
        <v>4.4439613948297374E-2</v>
      </c>
      <c r="Y34" s="1">
        <f t="shared" si="6"/>
        <v>0.13299403649090635</v>
      </c>
    </row>
    <row r="35" spans="1:25" x14ac:dyDescent="0.25">
      <c r="A35" s="1">
        <v>23</v>
      </c>
      <c r="B35" s="10">
        <v>2001</v>
      </c>
      <c r="C35" s="11">
        <v>26</v>
      </c>
      <c r="D35" s="11">
        <v>9.7781609195402228E-3</v>
      </c>
      <c r="E35" s="11">
        <v>0.25302325581395352</v>
      </c>
      <c r="F35" s="11">
        <v>4.9720815174755205E-2</v>
      </c>
      <c r="G35" s="11">
        <v>4.6347325772247989E-2</v>
      </c>
      <c r="H35" s="11">
        <v>4.8341402768439866E-2</v>
      </c>
      <c r="I35" s="12">
        <v>4.9663201429989805E-2</v>
      </c>
      <c r="J35" s="11">
        <v>5.2144481390366454E-2</v>
      </c>
      <c r="K35" s="11">
        <f>IF(ISBLANK(Table2[[#This Row],[Qb]]),$P$4*Table2[[#This Row],[Q ]]^$P$5+$P$6,$Q$4*Table2[[#This Row],[Q ]]^$Q$5+$Q$6)</f>
        <v>28.788609227844162</v>
      </c>
      <c r="L35" s="11">
        <f>Table2[[#This Row],[Q ]]^2/((Table2[[#This Row],[h US 4]]*($T$2+Table2[[#This Row],[h US 4]]/TAN(RADIANS($T$3))))^2*K35^2*(2.68-1)*$M$6)</f>
        <v>5.2422994467690907E-2</v>
      </c>
      <c r="M35" s="11">
        <f>Table2[[#This Row],[Q ]]*SQRT((0.085066638+2*Table2[[#This Row],[h US 4]]/TAN(RADIANS(22.64513793)))/(9.81*(Table2[[#This Row],[h US 4]]^3*(0.085066638+Table2[[#This Row],[h US 4]]/TAN(RADIANS(22.64513793)))^3)))</f>
        <v>1.7389127836475076</v>
      </c>
      <c r="S35" s="1">
        <v>7.6999999999999907E-3</v>
      </c>
      <c r="T35" s="1">
        <f t="shared" si="1"/>
        <v>4.310627632146851E-2</v>
      </c>
      <c r="U35" s="1">
        <f t="shared" si="2"/>
        <v>4.0967578292001497E-2</v>
      </c>
      <c r="V35" s="1">
        <f t="shared" si="3"/>
        <v>4.2382317851008905E-2</v>
      </c>
      <c r="W35" s="1">
        <f t="shared" si="4"/>
        <v>4.1930833512458049E-2</v>
      </c>
      <c r="X35" s="1">
        <f t="shared" si="5"/>
        <v>4.4663534140424205E-2</v>
      </c>
      <c r="Y35" s="1">
        <f t="shared" si="6"/>
        <v>0.13766021516367066</v>
      </c>
    </row>
    <row r="36" spans="1:25" x14ac:dyDescent="0.25">
      <c r="A36" s="1">
        <v>24</v>
      </c>
      <c r="B36" s="10">
        <v>2001</v>
      </c>
      <c r="C36" s="11">
        <v>30</v>
      </c>
      <c r="D36" s="11">
        <v>9.9136842105263211E-3</v>
      </c>
      <c r="E36" s="11">
        <v>0.27085106382978724</v>
      </c>
      <c r="F36" s="12">
        <v>4.9665460212044051E-2</v>
      </c>
      <c r="G36" s="12">
        <v>4.6198167622053823E-2</v>
      </c>
      <c r="H36" s="12">
        <v>4.8281074330432765E-2</v>
      </c>
      <c r="I36" s="12">
        <v>4.9751828478225055E-2</v>
      </c>
      <c r="J36" s="12">
        <v>5.1821917271500428E-2</v>
      </c>
      <c r="K36" s="11">
        <f>IF(ISBLANK(Table2[[#This Row],[Qb]]),$P$4*Table2[[#This Row],[Q ]]^$P$5+$P$6,$Q$4*Table2[[#This Row],[Q ]]^$Q$5+$Q$6)</f>
        <v>28.808283796576628</v>
      </c>
      <c r="L36" s="11">
        <f>Table2[[#This Row],[Q ]]^2/((Table2[[#This Row],[h US 4]]*($T$2+Table2[[#This Row],[h US 4]]/TAN(RADIANS($T$3))))^2*K36^2*(2.68-1)*$M$6)</f>
        <v>5.3515976352372686E-2</v>
      </c>
      <c r="M36" s="11">
        <f>Table2[[#This Row],[Q ]]*SQRT((0.085066638+2*Table2[[#This Row],[h US 4]]/TAN(RADIANS(22.64513793)))/(9.81*(Table2[[#This Row],[h US 4]]^3*(0.085066638+Table2[[#This Row],[h US 4]]/TAN(RADIANS(22.64513793)))^3)))</f>
        <v>1.7567171407297508</v>
      </c>
      <c r="S36" s="1">
        <v>7.7999999999999901E-3</v>
      </c>
      <c r="T36" s="1">
        <f t="shared" si="1"/>
        <v>4.3351008175959979E-2</v>
      </c>
      <c r="U36" s="1">
        <f t="shared" si="2"/>
        <v>4.115455520448548E-2</v>
      </c>
      <c r="V36" s="1">
        <f t="shared" si="3"/>
        <v>4.2581990432739455E-2</v>
      </c>
      <c r="W36" s="1">
        <f t="shared" si="4"/>
        <v>4.217455944420264E-2</v>
      </c>
      <c r="X36" s="1">
        <f t="shared" si="5"/>
        <v>4.4887454332551022E-2</v>
      </c>
      <c r="Y36" s="1">
        <f t="shared" si="6"/>
        <v>0.14242672001552423</v>
      </c>
    </row>
    <row r="37" spans="1:25" x14ac:dyDescent="0.25">
      <c r="A37" s="1">
        <v>25</v>
      </c>
      <c r="B37" s="10">
        <v>2001</v>
      </c>
      <c r="C37" s="11">
        <v>32</v>
      </c>
      <c r="D37" s="11">
        <v>1.0062745098039217E-2</v>
      </c>
      <c r="E37" s="11"/>
      <c r="F37" s="12">
        <v>5.0376876973454117E-2</v>
      </c>
      <c r="G37" s="12">
        <v>4.6973590583631639E-2</v>
      </c>
      <c r="H37" s="12">
        <v>4.8934899365592456E-2</v>
      </c>
      <c r="I37" s="12">
        <v>5.0746593497859017E-2</v>
      </c>
      <c r="J37" s="12">
        <v>5.4993329974985419E-2</v>
      </c>
      <c r="K37" s="11">
        <f>IF(ISBLANK(Table2[[#This Row],[Qb]]),$P$4*Table2[[#This Row],[Q ]]^$P$5+$P$6,$Q$4*Table2[[#This Row],[Q ]]^$Q$5+$Q$6)</f>
        <v>32.575967873716607</v>
      </c>
      <c r="L37" s="43"/>
      <c r="M37" s="11"/>
      <c r="S37" s="1">
        <v>7.8999999999999904E-3</v>
      </c>
      <c r="T37" s="1">
        <f t="shared" si="1"/>
        <v>4.3595740030451455E-2</v>
      </c>
      <c r="U37" s="1">
        <f t="shared" si="2"/>
        <v>4.1341532116969476E-2</v>
      </c>
      <c r="V37" s="1">
        <f t="shared" si="3"/>
        <v>4.2781663014470013E-2</v>
      </c>
      <c r="W37" s="1">
        <f t="shared" si="4"/>
        <v>4.2418285375947232E-2</v>
      </c>
      <c r="X37" s="1">
        <f t="shared" si="5"/>
        <v>4.5111374524677852E-2</v>
      </c>
      <c r="Y37" s="1">
        <f t="shared" si="6"/>
        <v>0.14729438038628812</v>
      </c>
    </row>
    <row r="38" spans="1:25" x14ac:dyDescent="0.25">
      <c r="A38" s="1">
        <v>26</v>
      </c>
      <c r="B38" s="10">
        <v>2001</v>
      </c>
      <c r="C38" s="11">
        <v>36</v>
      </c>
      <c r="D38" s="11">
        <v>9.6494949494949495E-3</v>
      </c>
      <c r="E38" s="40"/>
      <c r="F38" s="12">
        <v>4.9452486958799023E-2</v>
      </c>
      <c r="G38" s="12">
        <v>4.6361817280037576E-2</v>
      </c>
      <c r="H38" s="12">
        <v>4.8580727906274601E-2</v>
      </c>
      <c r="I38" s="12">
        <v>5.0005962556066992E-2</v>
      </c>
      <c r="J38" s="12">
        <v>5.4972032551719723E-2</v>
      </c>
      <c r="K38" s="11">
        <f>IF(ISBLANK(Table2[[#This Row],[Qb]]),$P$4*Table2[[#This Row],[Q ]]^$P$5+$P$6,$Q$4*Table2[[#This Row],[Q ]]^$Q$5+$Q$6)</f>
        <v>32.350877040017608</v>
      </c>
      <c r="L38" s="43"/>
      <c r="M38" s="11"/>
      <c r="S38" s="1">
        <v>7.9999999999999898E-3</v>
      </c>
      <c r="T38" s="1">
        <f t="shared" si="1"/>
        <v>4.3840471884942916E-2</v>
      </c>
      <c r="U38" s="1">
        <f t="shared" si="2"/>
        <v>4.1528509029453459E-2</v>
      </c>
      <c r="V38" s="1">
        <f t="shared" si="3"/>
        <v>4.2981335596200571E-2</v>
      </c>
      <c r="W38" s="1">
        <f t="shared" si="4"/>
        <v>4.2662011307691816E-2</v>
      </c>
      <c r="X38" s="1">
        <f t="shared" si="5"/>
        <v>4.5335294716804676E-2</v>
      </c>
      <c r="Y38" s="1">
        <f t="shared" si="6"/>
        <v>0.15226402177544637</v>
      </c>
    </row>
    <row r="39" spans="1:25" x14ac:dyDescent="0.25">
      <c r="A39" s="1">
        <v>27</v>
      </c>
      <c r="B39" s="10">
        <v>2001</v>
      </c>
      <c r="C39" s="11">
        <v>40</v>
      </c>
      <c r="D39" s="11">
        <v>8.626086956521747E-3</v>
      </c>
      <c r="E39" s="40"/>
      <c r="F39" s="12">
        <v>4.7945820982810985E-2</v>
      </c>
      <c r="G39" s="12">
        <v>4.5083415605746253E-2</v>
      </c>
      <c r="H39" s="12">
        <v>4.7448109621260171E-2</v>
      </c>
      <c r="I39" s="12">
        <v>5.6482951722630848E-2</v>
      </c>
      <c r="J39" s="12">
        <v>5.389918923616635E-2</v>
      </c>
      <c r="K39" s="11">
        <f>IF(ISBLANK(Table2[[#This Row],[Qb]]),$P$4*Table2[[#This Row],[Q ]]^$P$5+$P$6,$Q$4*Table2[[#This Row],[Q ]]^$Q$5+$Q$6)</f>
        <v>31.675949946908048</v>
      </c>
      <c r="L39" s="43"/>
      <c r="M39" s="11"/>
      <c r="S39" s="1">
        <v>8.0999999999999909E-3</v>
      </c>
      <c r="T39" s="1">
        <f t="shared" si="1"/>
        <v>4.4085203739434392E-2</v>
      </c>
      <c r="U39" s="1">
        <f t="shared" si="2"/>
        <v>4.1715485941937455E-2</v>
      </c>
      <c r="V39" s="1">
        <f t="shared" si="3"/>
        <v>4.3181008177931121E-2</v>
      </c>
      <c r="W39" s="1">
        <f t="shared" si="4"/>
        <v>4.2905737239436414E-2</v>
      </c>
      <c r="X39" s="1">
        <f t="shared" si="5"/>
        <v>4.55592149089315E-2</v>
      </c>
      <c r="Y39" s="1">
        <f t="shared" si="6"/>
        <v>0.15733646590821312</v>
      </c>
    </row>
    <row r="40" spans="1:25" x14ac:dyDescent="0.25">
      <c r="A40" s="1">
        <v>28</v>
      </c>
      <c r="B40" s="10">
        <v>2001</v>
      </c>
      <c r="C40" s="11">
        <v>42</v>
      </c>
      <c r="D40" s="11">
        <v>5.2600000000000034E-3</v>
      </c>
      <c r="E40" s="40"/>
      <c r="F40" s="12">
        <v>5.218575988677359E-2</v>
      </c>
      <c r="G40" s="12">
        <v>4.8951056671648015E-2</v>
      </c>
      <c r="H40" s="12">
        <v>5.096032541019993E-2</v>
      </c>
      <c r="I40" s="12">
        <v>5.3484954202934955E-2</v>
      </c>
      <c r="J40" s="12">
        <v>5.6733553199564808E-2</v>
      </c>
      <c r="K40" s="11">
        <f>IF(ISBLANK(Table2[[#This Row],[Qb]]),$P$4*Table2[[#This Row],[Q ]]^$P$5+$P$6,$Q$4*Table2[[#This Row],[Q ]]^$Q$5+$Q$6)</f>
        <v>26.916928374199401</v>
      </c>
      <c r="L40" s="43"/>
      <c r="M40" s="11"/>
      <c r="S40" s="1">
        <v>8.1999999999999903E-3</v>
      </c>
      <c r="T40" s="1">
        <f t="shared" si="1"/>
        <v>4.4329935593925861E-2</v>
      </c>
      <c r="U40" s="1">
        <f t="shared" si="2"/>
        <v>4.1902462854421438E-2</v>
      </c>
      <c r="V40" s="1">
        <f t="shared" si="3"/>
        <v>4.3380680759661679E-2</v>
      </c>
      <c r="W40" s="1">
        <f t="shared" si="4"/>
        <v>4.3149463171180999E-2</v>
      </c>
      <c r="X40" s="1">
        <f t="shared" si="5"/>
        <v>4.5783135101058331E-2</v>
      </c>
      <c r="Y40" s="1">
        <f t="shared" si="6"/>
        <v>0.16251253079965033</v>
      </c>
    </row>
    <row r="41" spans="1:25" x14ac:dyDescent="0.25">
      <c r="A41" s="1">
        <v>29</v>
      </c>
      <c r="B41" s="10">
        <v>2000</v>
      </c>
      <c r="C41" s="11">
        <v>10</v>
      </c>
      <c r="D41" s="11">
        <v>5.1420118343195233E-3</v>
      </c>
      <c r="E41" s="11"/>
      <c r="F41" s="12">
        <v>3.6045638041274704E-2</v>
      </c>
      <c r="G41" s="12">
        <v>3.500372286098976E-2</v>
      </c>
      <c r="H41" s="12">
        <v>3.6158693615733234E-2</v>
      </c>
      <c r="I41" s="12">
        <v>3.5717483775089216E-2</v>
      </c>
      <c r="J41" s="12">
        <v>3.7828245742295222E-2</v>
      </c>
      <c r="K41" s="11">
        <f>IF(ISBLANK(Table2[[#This Row],[Qb]]),$P$4*Table2[[#This Row],[Q ]]^$P$5+$P$6,$Q$4*Table2[[#This Row],[Q ]]^$Q$5+$Q$6)</f>
        <v>26.604152723905571</v>
      </c>
      <c r="L41" s="43"/>
      <c r="M41" s="11">
        <f>Table2[[#This Row],[Q ]]*SQRT((0.085066638+2*Table2[[#This Row],[h US 4]]/TAN(RADIANS(22.64513793)))/(9.81*(Table2[[#This Row],[h US 4]]^3*(0.085066638+Table2[[#This Row],[h US 4]]/TAN(RADIANS(22.64513793)))^3)))</f>
        <v>1.7460928107865943</v>
      </c>
      <c r="S41" s="1">
        <v>8.2999999999999897E-3</v>
      </c>
      <c r="T41" s="1">
        <f t="shared" si="1"/>
        <v>4.4574667448417329E-2</v>
      </c>
      <c r="U41" s="1">
        <f t="shared" si="2"/>
        <v>4.2089439766905427E-2</v>
      </c>
      <c r="V41" s="1">
        <f t="shared" si="3"/>
        <v>4.3580353341392236E-2</v>
      </c>
      <c r="W41" s="1">
        <f t="shared" si="4"/>
        <v>4.339318910292559E-2</v>
      </c>
      <c r="X41" s="1">
        <f t="shared" si="5"/>
        <v>4.6007055293185148E-2</v>
      </c>
      <c r="Y41" s="1">
        <f t="shared" si="6"/>
        <v>0.16779303081692115</v>
      </c>
    </row>
    <row r="42" spans="1:25" x14ac:dyDescent="0.25">
      <c r="A42" s="1">
        <v>30</v>
      </c>
      <c r="B42" s="10">
        <v>2000</v>
      </c>
      <c r="C42" s="11">
        <v>13</v>
      </c>
      <c r="D42" s="11">
        <v>5.3516853932584277E-3</v>
      </c>
      <c r="E42" s="11"/>
      <c r="F42" s="12">
        <v>3.6786194612657544E-2</v>
      </c>
      <c r="G42" s="12">
        <v>3.5340246425629974E-2</v>
      </c>
      <c r="H42" s="12">
        <v>3.71574740323838E-2</v>
      </c>
      <c r="I42" s="12">
        <v>3.6588835625245182E-2</v>
      </c>
      <c r="J42" s="12">
        <v>3.8790734629846127E-2</v>
      </c>
      <c r="K42" s="11">
        <f>IF(ISBLANK(Table2[[#This Row],[Qb]]),$P$4*Table2[[#This Row],[Q ]]^$P$5+$P$6,$Q$4*Table2[[#This Row],[Q ]]^$Q$5+$Q$6)</f>
        <v>27.148241125179759</v>
      </c>
      <c r="L42" s="11"/>
      <c r="M42" s="11">
        <f>Table2[[#This Row],[Q ]]*SQRT((0.085066638+2*Table2[[#This Row],[h US 4]]/TAN(RADIANS(22.64513793)))/(9.81*(Table2[[#This Row],[h US 4]]^3*(0.085066638+Table2[[#This Row],[h US 4]]/TAN(RADIANS(22.64513793)))^3)))</f>
        <v>1.7350441943546415</v>
      </c>
      <c r="S42" s="1">
        <v>8.3999999999999891E-3</v>
      </c>
      <c r="T42" s="1">
        <f t="shared" si="1"/>
        <v>4.4819399302908805E-2</v>
      </c>
      <c r="U42" s="1">
        <f t="shared" si="2"/>
        <v>4.2276416679389417E-2</v>
      </c>
      <c r="V42" s="1">
        <f t="shared" si="3"/>
        <v>4.3780025923122787E-2</v>
      </c>
      <c r="W42" s="1">
        <f t="shared" si="4"/>
        <v>4.3636915034670182E-2</v>
      </c>
      <c r="X42" s="1">
        <f t="shared" si="5"/>
        <v>4.6230975485311979E-2</v>
      </c>
      <c r="Y42" s="1">
        <f t="shared" si="6"/>
        <v>0.1731787767397544</v>
      </c>
    </row>
    <row r="43" spans="1:25" x14ac:dyDescent="0.25">
      <c r="A43" s="1">
        <v>31</v>
      </c>
      <c r="B43" s="10">
        <v>2000</v>
      </c>
      <c r="C43" s="11">
        <v>16</v>
      </c>
      <c r="D43" s="11">
        <v>5.6988636363636373E-3</v>
      </c>
      <c r="E43" s="11"/>
      <c r="F43" s="12">
        <v>3.8161326113022274E-2</v>
      </c>
      <c r="G43" s="12">
        <v>3.6931658339592555E-2</v>
      </c>
      <c r="H43" s="12">
        <v>3.8036393036334916E-2</v>
      </c>
      <c r="I43" s="12">
        <v>3.7281407350734076E-2</v>
      </c>
      <c r="J43" s="12">
        <v>3.9891774995563255E-2</v>
      </c>
      <c r="K43" s="11">
        <f>IF(ISBLANK(Table2[[#This Row],[Qb]]),$P$4*Table2[[#This Row],[Q ]]^$P$5+$P$6,$Q$4*Table2[[#This Row],[Q ]]^$Q$5+$Q$6)</f>
        <v>27.941546842160555</v>
      </c>
      <c r="L43" s="11"/>
      <c r="M43" s="11">
        <f>Table2[[#This Row],[Q ]]*SQRT((0.085066638+2*Table2[[#This Row],[h US 4]]/TAN(RADIANS(22.64513793)))/(9.81*(Table2[[#This Row],[h US 4]]^3*(0.085066638+Table2[[#This Row],[h US 4]]/TAN(RADIANS(22.64513793)))^3)))</f>
        <v>1.7820236149368742</v>
      </c>
      <c r="S43" s="1">
        <v>8.4999999999999902E-3</v>
      </c>
      <c r="T43" s="1">
        <f t="shared" si="1"/>
        <v>4.5064131157400274E-2</v>
      </c>
      <c r="U43" s="1">
        <f t="shared" si="2"/>
        <v>4.2463393591873407E-2</v>
      </c>
      <c r="V43" s="1">
        <f t="shared" si="3"/>
        <v>4.3979698504853337E-2</v>
      </c>
      <c r="W43" s="1">
        <f t="shared" si="4"/>
        <v>4.3880640966414773E-2</v>
      </c>
      <c r="X43" s="1">
        <f t="shared" si="5"/>
        <v>4.6454895677438802E-2</v>
      </c>
      <c r="Y43" s="1">
        <f t="shared" si="6"/>
        <v>0.17867057581918969</v>
      </c>
    </row>
    <row r="44" spans="1:25" x14ac:dyDescent="0.25">
      <c r="A44" s="1">
        <v>32</v>
      </c>
      <c r="B44" s="10">
        <v>2000</v>
      </c>
      <c r="C44" s="11">
        <v>22</v>
      </c>
      <c r="D44" s="11">
        <v>6.2333333333333294E-3</v>
      </c>
      <c r="E44" s="11"/>
      <c r="F44" s="11">
        <v>3.9436220555670108E-2</v>
      </c>
      <c r="G44" s="11">
        <v>3.7819370051966145E-2</v>
      </c>
      <c r="H44" s="11">
        <v>3.93176841524953E-2</v>
      </c>
      <c r="I44" s="12">
        <v>3.8441587959832241E-2</v>
      </c>
      <c r="J44" s="11">
        <v>4.0913014307495776E-2</v>
      </c>
      <c r="K44" s="11">
        <f>IF(ISBLANK(Table2[[#This Row],[Qb]]),$P$4*Table2[[#This Row],[Q ]]^$P$5+$P$6,$Q$4*Table2[[#This Row],[Q ]]^$Q$5+$Q$6)</f>
        <v>28.952890452833607</v>
      </c>
      <c r="L44" s="11"/>
      <c r="M44" s="11">
        <f>Table2[[#This Row],[Q ]]*SQRT((0.085066638+2*Table2[[#This Row],[h US 4]]/TAN(RADIANS(22.64513793)))/(9.81*(Table2[[#This Row],[h US 4]]^3*(0.085066638+Table2[[#This Row],[h US 4]]/TAN(RADIANS(22.64513793)))^3)))</f>
        <v>1.8369981452148143</v>
      </c>
      <c r="S44" s="1">
        <v>8.5999999999999913E-3</v>
      </c>
      <c r="T44" s="1">
        <f t="shared" si="1"/>
        <v>4.5308863011891742E-2</v>
      </c>
      <c r="U44" s="1">
        <f t="shared" si="2"/>
        <v>4.2650370504357396E-2</v>
      </c>
      <c r="V44" s="1">
        <f t="shared" si="3"/>
        <v>4.4179371086583902E-2</v>
      </c>
      <c r="W44" s="1">
        <f t="shared" si="4"/>
        <v>4.4124366898159365E-2</v>
      </c>
      <c r="X44" s="1">
        <f t="shared" si="5"/>
        <v>4.6678815869565633E-2</v>
      </c>
      <c r="Y44" s="1">
        <f t="shared" si="6"/>
        <v>0.18426923183467805</v>
      </c>
    </row>
    <row r="45" spans="1:25" x14ac:dyDescent="0.25">
      <c r="A45" s="1">
        <v>33</v>
      </c>
      <c r="B45" s="10">
        <v>2000</v>
      </c>
      <c r="C45" s="11">
        <v>27</v>
      </c>
      <c r="D45" s="11">
        <v>6.6874999999999973E-3</v>
      </c>
      <c r="E45" s="11"/>
      <c r="F45" s="12">
        <v>4.1292776550213843E-2</v>
      </c>
      <c r="G45" s="12">
        <v>3.9607063264799819E-2</v>
      </c>
      <c r="H45" s="12">
        <v>4.1068296376211011E-2</v>
      </c>
      <c r="I45" s="12">
        <v>3.9828107330813253E-2</v>
      </c>
      <c r="J45" s="12">
        <v>4.2798550192674173E-2</v>
      </c>
      <c r="K45" s="11">
        <f>IF(ISBLANK(Table2[[#This Row],[Qb]]),$P$4*Table2[[#This Row],[Q ]]^$P$5+$P$6,$Q$4*Table2[[#This Row],[Q ]]^$Q$5+$Q$6)</f>
        <v>29.65775686827055</v>
      </c>
      <c r="L45" s="11"/>
      <c r="M45" s="11">
        <f>Table2[[#This Row],[Q ]]*SQRT((0.085066638+2*Table2[[#This Row],[h US 4]]/TAN(RADIANS(22.64513793)))/(9.81*(Table2[[#This Row],[h US 4]]^3*(0.085066638+Table2[[#This Row],[h US 4]]/TAN(RADIANS(22.64513793)))^3)))</f>
        <v>1.8397504607201833</v>
      </c>
      <c r="S45" s="1">
        <v>8.6999999999999907E-3</v>
      </c>
      <c r="T45" s="1">
        <f t="shared" si="1"/>
        <v>4.5553594866383218E-2</v>
      </c>
      <c r="U45" s="1">
        <f t="shared" si="2"/>
        <v>4.2837347416841386E-2</v>
      </c>
      <c r="V45" s="1">
        <f t="shared" si="3"/>
        <v>4.4379043668314452E-2</v>
      </c>
      <c r="W45" s="1">
        <f t="shared" si="4"/>
        <v>4.4368092829903949E-2</v>
      </c>
      <c r="X45" s="1">
        <f t="shared" si="5"/>
        <v>4.6902736061692457E-2</v>
      </c>
      <c r="Y45" s="1">
        <f t="shared" si="6"/>
        <v>0.18997554514959342</v>
      </c>
    </row>
    <row r="46" spans="1:25" x14ac:dyDescent="0.25">
      <c r="A46" s="1">
        <v>34</v>
      </c>
      <c r="B46" s="10">
        <v>2000</v>
      </c>
      <c r="C46" s="11">
        <v>31</v>
      </c>
      <c r="D46" s="11">
        <v>6.3439560439560467E-3</v>
      </c>
      <c r="E46" s="11"/>
      <c r="F46" s="12">
        <v>4.0007300596093746E-2</v>
      </c>
      <c r="G46" s="12">
        <v>3.8551637045373038E-2</v>
      </c>
      <c r="H46" s="12">
        <v>4.0134616743387544E-2</v>
      </c>
      <c r="I46" s="12">
        <v>3.8493221285039451E-2</v>
      </c>
      <c r="J46" s="12">
        <v>4.1782723745114811E-2</v>
      </c>
      <c r="K46" s="11">
        <f>IF(ISBLANK(Table2[[#This Row],[Qb]]),$P$4*Table2[[#This Row],[Q ]]^$P$5+$P$6,$Q$4*Table2[[#This Row],[Q ]]^$Q$5+$Q$6)</f>
        <v>29.136119400360606</v>
      </c>
      <c r="L46" s="11"/>
      <c r="M46" s="11">
        <f>Table2[[#This Row],[Q ]]*SQRT((0.085066638+2*Table2[[#This Row],[h US 4]]/TAN(RADIANS(22.64513793)))/(9.81*(Table2[[#This Row],[h US 4]]^3*(0.085066638+Table2[[#This Row],[h US 4]]/TAN(RADIANS(22.64513793)))^3)))</f>
        <v>1.8647420904941929</v>
      </c>
      <c r="S46" s="1">
        <v>8.7999999999999901E-3</v>
      </c>
      <c r="T46" s="1">
        <f t="shared" si="1"/>
        <v>4.579832672087468E-2</v>
      </c>
      <c r="U46" s="1">
        <f t="shared" si="2"/>
        <v>4.3024324329325375E-2</v>
      </c>
      <c r="V46" s="1">
        <f t="shared" si="3"/>
        <v>4.4578716250045003E-2</v>
      </c>
      <c r="W46" s="1">
        <f t="shared" si="4"/>
        <v>4.461181876164854E-2</v>
      </c>
      <c r="X46" s="1">
        <f t="shared" si="5"/>
        <v>4.7126656253819281E-2</v>
      </c>
      <c r="Y46" s="1">
        <f t="shared" si="6"/>
        <v>0.19579031276522571</v>
      </c>
    </row>
    <row r="47" spans="1:25" x14ac:dyDescent="0.25">
      <c r="A47" s="1">
        <v>35</v>
      </c>
      <c r="B47" s="10">
        <v>2000</v>
      </c>
      <c r="C47" s="11">
        <v>33</v>
      </c>
      <c r="D47" s="11">
        <v>6.54892086330935E-3</v>
      </c>
      <c r="E47" s="11"/>
      <c r="F47" s="11">
        <v>4.0620404673488472E-2</v>
      </c>
      <c r="G47" s="11">
        <v>3.8903563680804283E-2</v>
      </c>
      <c r="H47" s="11">
        <v>4.0677765439482531E-2</v>
      </c>
      <c r="I47" s="12">
        <v>3.908327293873274E-2</v>
      </c>
      <c r="J47" s="11">
        <v>4.2319877102169251E-2</v>
      </c>
      <c r="K47" s="11">
        <f>IF(ISBLANK(Table2[[#This Row],[Qb]]),$P$4*Table2[[#This Row],[Q ]]^$P$5+$P$6,$Q$4*Table2[[#This Row],[Q ]]^$Q$5+$Q$6)</f>
        <v>29.455484486123954</v>
      </c>
      <c r="L47" s="11"/>
      <c r="M47" s="11">
        <f>Table2[[#This Row],[Q ]]*SQRT((0.085066638+2*Table2[[#This Row],[h US 4]]/TAN(RADIANS(22.64513793)))/(9.81*(Table2[[#This Row],[h US 4]]^3*(0.085066638+Table2[[#This Row],[h US 4]]/TAN(RADIANS(22.64513793)))^3)))</f>
        <v>1.8690019794026267</v>
      </c>
      <c r="S47" s="1">
        <v>8.8999999999999895E-3</v>
      </c>
      <c r="T47" s="1">
        <f t="shared" si="1"/>
        <v>4.6043058575366155E-2</v>
      </c>
      <c r="U47" s="1">
        <f t="shared" si="2"/>
        <v>4.3211301241809358E-2</v>
      </c>
      <c r="V47" s="1">
        <f t="shared" si="3"/>
        <v>4.477838883177556E-2</v>
      </c>
      <c r="W47" s="1">
        <f t="shared" si="4"/>
        <v>4.4855544693393132E-2</v>
      </c>
      <c r="X47" s="1">
        <f t="shared" si="5"/>
        <v>4.7350576445946105E-2</v>
      </c>
      <c r="Y47" s="1">
        <f t="shared" si="6"/>
        <v>0.20171432837331407</v>
      </c>
    </row>
    <row r="48" spans="1:25" x14ac:dyDescent="0.25">
      <c r="A48" s="1">
        <v>36</v>
      </c>
      <c r="B48" s="10">
        <v>2000</v>
      </c>
      <c r="C48" s="11">
        <v>39</v>
      </c>
      <c r="D48" s="11">
        <v>6.9069767441860361E-3</v>
      </c>
      <c r="E48" s="11"/>
      <c r="F48" s="11">
        <v>4.1001967556496759E-2</v>
      </c>
      <c r="G48" s="11">
        <v>3.9343722127996465E-2</v>
      </c>
      <c r="H48" s="11">
        <v>4.0645726324202221E-2</v>
      </c>
      <c r="I48" s="12">
        <v>3.9730763980731498E-2</v>
      </c>
      <c r="J48" s="11">
        <v>4.3089846756707122E-2</v>
      </c>
      <c r="K48" s="11">
        <f>IF(ISBLANK(Table2[[#This Row],[Qb]]),$P$4*Table2[[#This Row],[Q ]]^$P$5+$P$6,$Q$4*Table2[[#This Row],[Q ]]^$Q$5+$Q$6)</f>
        <v>29.957685040605394</v>
      </c>
      <c r="L48" s="11"/>
      <c r="M48" s="11">
        <f>Table2[[#This Row],[Q ]]*SQRT((0.085066638+2*Table2[[#This Row],[h US 4]]/TAN(RADIANS(22.64513793)))/(9.81*(Table2[[#This Row],[h US 4]]^3*(0.085066638+Table2[[#This Row],[h US 4]]/TAN(RADIANS(22.64513793)))^3)))</f>
        <v>1.9092037942538329</v>
      </c>
      <c r="S48" s="1">
        <v>8.9999999999999889E-3</v>
      </c>
      <c r="T48" s="1">
        <f t="shared" si="1"/>
        <v>4.6287790429857624E-2</v>
      </c>
      <c r="U48" s="1">
        <f t="shared" si="2"/>
        <v>4.3398278154293347E-2</v>
      </c>
      <c r="V48" s="1">
        <f t="shared" si="3"/>
        <v>4.4978061413506118E-2</v>
      </c>
      <c r="W48" s="1">
        <f t="shared" si="4"/>
        <v>4.5099270625137716E-2</v>
      </c>
      <c r="X48" s="1">
        <f t="shared" si="5"/>
        <v>4.7574496638072929E-2</v>
      </c>
      <c r="Y48" s="1">
        <f t="shared" si="6"/>
        <v>0.20774838240716448</v>
      </c>
    </row>
    <row r="49" spans="1:25" x14ac:dyDescent="0.25">
      <c r="A49" s="1">
        <v>37</v>
      </c>
      <c r="B49" s="10">
        <v>2000</v>
      </c>
      <c r="C49" s="11">
        <v>41</v>
      </c>
      <c r="D49" s="11">
        <v>7.3909090909090886E-3</v>
      </c>
      <c r="E49" s="11"/>
      <c r="F49" s="11">
        <v>4.2296307662146392E-2</v>
      </c>
      <c r="G49" s="11">
        <v>4.0764613293271586E-2</v>
      </c>
      <c r="H49" s="11">
        <v>4.1933247203006549E-2</v>
      </c>
      <c r="I49" s="12">
        <v>4.0842434248239363E-2</v>
      </c>
      <c r="J49" s="11">
        <v>4.3985565305310011E-2</v>
      </c>
      <c r="K49" s="11">
        <f>IF(ISBLANK(Table2[[#This Row],[Qb]]),$P$4*Table2[[#This Row],[Q ]]^$P$5+$P$6,$Q$4*Table2[[#This Row],[Q ]]^$Q$5+$Q$6)</f>
        <v>30.542088738064869</v>
      </c>
      <c r="L49" s="11"/>
      <c r="M49" s="11">
        <f>Table2[[#This Row],[Q ]]*SQRT((0.085066638+2*Table2[[#This Row],[h US 4]]/TAN(RADIANS(22.64513793)))/(9.81*(Table2[[#This Row],[h US 4]]^3*(0.085066638+Table2[[#This Row],[h US 4]]/TAN(RADIANS(22.64513793)))^3)))</f>
        <v>1.9359216167873883</v>
      </c>
      <c r="S49" s="1">
        <v>9.0999999999999918E-3</v>
      </c>
      <c r="T49" s="1">
        <f t="shared" si="1"/>
        <v>4.65325222843491E-2</v>
      </c>
      <c r="U49" s="1">
        <f t="shared" si="2"/>
        <v>4.3585255066777344E-2</v>
      </c>
      <c r="V49" s="1">
        <f t="shared" si="3"/>
        <v>4.5177733995236675E-2</v>
      </c>
      <c r="W49" s="1">
        <f t="shared" si="4"/>
        <v>4.5342996556882315E-2</v>
      </c>
      <c r="X49" s="1">
        <f t="shared" si="5"/>
        <v>4.7798416830199759E-2</v>
      </c>
      <c r="Y49" s="1">
        <f t="shared" si="6"/>
        <v>0.21389326209142046</v>
      </c>
    </row>
    <row r="50" spans="1:25" x14ac:dyDescent="0.25">
      <c r="A50" s="1">
        <v>38</v>
      </c>
      <c r="B50" s="10">
        <v>2000</v>
      </c>
      <c r="C50" s="11">
        <v>43</v>
      </c>
      <c r="D50" s="11">
        <v>7.4227272727272709E-3</v>
      </c>
      <c r="E50" s="11"/>
      <c r="F50" s="11">
        <v>4.2551091170506115E-2</v>
      </c>
      <c r="G50" s="11">
        <v>4.0798020639773211E-2</v>
      </c>
      <c r="H50" s="11">
        <v>4.2145947618483032E-2</v>
      </c>
      <c r="I50" s="12">
        <v>4.1074161426659227E-2</v>
      </c>
      <c r="J50" s="11">
        <v>4.4031973262362342E-2</v>
      </c>
      <c r="K50" s="11">
        <f>IF(ISBLANK(Table2[[#This Row],[Qb]]),$P$4*Table2[[#This Row],[Q ]]^$P$5+$P$6,$Q$4*Table2[[#This Row],[Q ]]^$Q$5+$Q$6)</f>
        <v>30.577227282706886</v>
      </c>
      <c r="L50" s="11"/>
      <c r="M50" s="11">
        <f>Table2[[#This Row],[Q ]]*SQRT((0.085066638+2*Table2[[#This Row],[h US 4]]/TAN(RADIANS(22.64513793)))/(9.81*(Table2[[#This Row],[h US 4]]^3*(0.085066638+Table2[[#This Row],[h US 4]]/TAN(RADIANS(22.64513793)))^3)))</f>
        <v>1.9228716734451687</v>
      </c>
      <c r="S50" s="1">
        <v>9.1999999999999912E-3</v>
      </c>
      <c r="T50" s="1">
        <f t="shared" si="1"/>
        <v>4.6777254138840568E-2</v>
      </c>
      <c r="U50" s="1">
        <f t="shared" si="2"/>
        <v>4.3772231979261333E-2</v>
      </c>
      <c r="V50" s="1">
        <f t="shared" si="3"/>
        <v>4.5377406576967226E-2</v>
      </c>
      <c r="W50" s="1">
        <f t="shared" si="4"/>
        <v>4.5586722488626899E-2</v>
      </c>
      <c r="X50" s="1">
        <f t="shared" si="5"/>
        <v>4.8022337022326583E-2</v>
      </c>
      <c r="Y50" s="1">
        <f t="shared" si="6"/>
        <v>0.22014975149052901</v>
      </c>
    </row>
    <row r="51" spans="1:25" x14ac:dyDescent="0.25">
      <c r="A51" s="1">
        <v>39</v>
      </c>
      <c r="B51" s="10">
        <v>2000</v>
      </c>
      <c r="C51" s="11">
        <v>47</v>
      </c>
      <c r="D51" s="11">
        <v>7.5760233918128698E-3</v>
      </c>
      <c r="E51" s="11"/>
      <c r="F51" s="11">
        <v>4.3147229174749412E-2</v>
      </c>
      <c r="G51" s="11">
        <v>4.1545025550277684E-2</v>
      </c>
      <c r="H51" s="11">
        <v>4.2575729062144414E-2</v>
      </c>
      <c r="I51" s="12">
        <v>4.1626141537988735E-2</v>
      </c>
      <c r="J51" s="11">
        <v>4.4780413273542832E-2</v>
      </c>
      <c r="K51" s="11">
        <f>IF(ISBLANK(Table2[[#This Row],[Qb]]),$P$4*Table2[[#This Row],[Q ]]^$P$5+$P$6,$Q$4*Table2[[#This Row],[Q ]]^$Q$5+$Q$6)</f>
        <v>30.741417225844007</v>
      </c>
      <c r="L51" s="11"/>
      <c r="M51" s="11">
        <f>Table2[[#This Row],[Q ]]*SQRT((0.085066638+2*Table2[[#This Row],[h US 4]]/TAN(RADIANS(22.64513793)))/(9.81*(Table2[[#This Row],[h US 4]]^3*(0.085066638+Table2[[#This Row],[h US 4]]/TAN(RADIANS(22.64513793)))^3)))</f>
        <v>1.9119674954543351</v>
      </c>
      <c r="S51" s="1">
        <v>9.2999999999999802E-3</v>
      </c>
      <c r="T51" s="1">
        <f t="shared" si="1"/>
        <v>4.7021985993332016E-2</v>
      </c>
      <c r="U51" s="1">
        <f t="shared" si="2"/>
        <v>4.3959208891745302E-2</v>
      </c>
      <c r="V51" s="1">
        <f t="shared" si="3"/>
        <v>4.5577079158697756E-2</v>
      </c>
      <c r="W51" s="1">
        <f t="shared" si="4"/>
        <v>4.583044842037147E-2</v>
      </c>
      <c r="X51" s="1">
        <f t="shared" si="5"/>
        <v>4.8246257214453386E-2</v>
      </c>
      <c r="Y51" s="1">
        <f t="shared" si="6"/>
        <v>0.22651863155594573</v>
      </c>
    </row>
    <row r="52" spans="1:25" x14ac:dyDescent="0.25">
      <c r="A52" s="1">
        <v>40</v>
      </c>
      <c r="B52" s="10">
        <v>2000</v>
      </c>
      <c r="C52" s="11">
        <v>50</v>
      </c>
      <c r="D52" s="11">
        <v>7.6753424657534279E-3</v>
      </c>
      <c r="E52" s="11"/>
      <c r="F52" s="11">
        <v>4.3190709352748838E-2</v>
      </c>
      <c r="G52" s="11">
        <v>4.1160966021767491E-2</v>
      </c>
      <c r="H52" s="11">
        <v>4.2489458127430303E-2</v>
      </c>
      <c r="I52" s="12">
        <v>4.1846475659816799E-2</v>
      </c>
      <c r="J52" s="11">
        <v>4.5114115136697615E-2</v>
      </c>
      <c r="K52" s="11">
        <f>IF(ISBLANK(Table2[[#This Row],[Qb]]),$P$4*Table2[[#This Row],[Q ]]^$P$5+$P$6,$Q$4*Table2[[#This Row],[Q ]]^$Q$5+$Q$6)</f>
        <v>30.843475397263497</v>
      </c>
      <c r="L52" s="11"/>
      <c r="M52" s="11">
        <f>Table2[[#This Row],[Q ]]*SQRT((0.085066638+2*Table2[[#This Row],[h US 4]]/TAN(RADIANS(22.64513793)))/(9.81*(Table2[[#This Row],[h US 4]]^3*(0.085066638+Table2[[#This Row],[h US 4]]/TAN(RADIANS(22.64513793)))^3)))</f>
        <v>1.9170947624461181</v>
      </c>
      <c r="S52" s="1">
        <v>9.3999999999999813E-3</v>
      </c>
      <c r="T52" s="1">
        <f t="shared" si="1"/>
        <v>4.7266717847823485E-2</v>
      </c>
      <c r="U52" s="1">
        <f t="shared" si="2"/>
        <v>4.4146185804229292E-2</v>
      </c>
      <c r="V52" s="1">
        <f t="shared" si="3"/>
        <v>4.577675174042832E-2</v>
      </c>
      <c r="W52" s="1">
        <f t="shared" si="4"/>
        <v>4.6074174352116061E-2</v>
      </c>
      <c r="X52" s="1">
        <f t="shared" si="5"/>
        <v>4.8470177406580217E-2</v>
      </c>
      <c r="Y52" s="1">
        <f t="shared" si="6"/>
        <v>0.23300068017213918</v>
      </c>
    </row>
    <row r="53" spans="1:25" x14ac:dyDescent="0.25">
      <c r="A53" s="1">
        <v>41</v>
      </c>
      <c r="B53" s="10">
        <v>2000</v>
      </c>
      <c r="C53" s="11">
        <v>52</v>
      </c>
      <c r="D53" s="11">
        <v>7.9164705882352939E-3</v>
      </c>
      <c r="E53" s="11"/>
      <c r="F53" s="11">
        <v>4.3943880702938941E-2</v>
      </c>
      <c r="G53" s="11">
        <v>4.2013400706444173E-2</v>
      </c>
      <c r="H53" s="11">
        <v>4.3376871453505363E-2</v>
      </c>
      <c r="I53" s="12">
        <v>4.2671366799970627E-2</v>
      </c>
      <c r="J53" s="11">
        <v>4.5636736190244054E-2</v>
      </c>
      <c r="K53" s="11">
        <f>IF(ISBLANK(Table2[[#This Row],[Qb]]),$P$4*Table2[[#This Row],[Q ]]^$P$5+$P$6,$Q$4*Table2[[#This Row],[Q ]]^$Q$5+$Q$6)</f>
        <v>31.078138033282997</v>
      </c>
      <c r="L53" s="11"/>
      <c r="M53" s="11">
        <f>Table2[[#This Row],[Q ]]*SQRT((0.085066638+2*Table2[[#This Row],[h US 4]]/TAN(RADIANS(22.64513793)))/(9.81*(Table2[[#This Row],[h US 4]]^3*(0.085066638+Table2[[#This Row],[h US 4]]/TAN(RADIANS(22.64513793)))^3)))</f>
        <v>1.9029807857077616</v>
      </c>
      <c r="S53" s="1">
        <v>9.4999999999999807E-3</v>
      </c>
      <c r="T53" s="1">
        <f t="shared" si="1"/>
        <v>4.7511449702314953E-2</v>
      </c>
      <c r="U53" s="1">
        <f t="shared" si="2"/>
        <v>4.4333162716713281E-2</v>
      </c>
      <c r="V53" s="1">
        <f t="shared" si="3"/>
        <v>4.5976424322158871E-2</v>
      </c>
      <c r="W53" s="1">
        <f t="shared" si="4"/>
        <v>4.6317900283860652E-2</v>
      </c>
      <c r="X53" s="1">
        <f t="shared" si="5"/>
        <v>4.8694097598707034E-2</v>
      </c>
      <c r="Y53" s="1">
        <f t="shared" si="6"/>
        <v>0.23959667220141889</v>
      </c>
    </row>
    <row r="54" spans="1:25" x14ac:dyDescent="0.25">
      <c r="A54" s="1">
        <v>42</v>
      </c>
      <c r="B54" s="10">
        <v>2000</v>
      </c>
      <c r="C54" s="11">
        <v>54</v>
      </c>
      <c r="D54" s="11">
        <v>8.1147928994082744E-3</v>
      </c>
      <c r="E54" s="11"/>
      <c r="F54" s="11">
        <v>4.4307948939624746E-2</v>
      </c>
      <c r="G54" s="11">
        <v>4.2301048315023286E-2</v>
      </c>
      <c r="H54" s="11">
        <v>4.3570885358571503E-2</v>
      </c>
      <c r="I54" s="12">
        <v>4.3103484654183052E-2</v>
      </c>
      <c r="J54" s="11">
        <v>4.607477070457143E-2</v>
      </c>
      <c r="K54" s="11">
        <f>IF(ISBLANK(Table2[[#This Row],[Qb]]),$P$4*Table2[[#This Row],[Q ]]^$P$5+$P$6,$Q$4*Table2[[#This Row],[Q ]]^$Q$5+$Q$6)</f>
        <v>31.258283468531097</v>
      </c>
      <c r="L54" s="11"/>
      <c r="M54" s="11">
        <f>Table2[[#This Row],[Q ]]*SQRT((0.085066638+2*Table2[[#This Row],[h US 4]]/TAN(RADIANS(22.64513793)))/(9.81*(Table2[[#This Row],[h US 4]]^3*(0.085066638+Table2[[#This Row],[h US 4]]/TAN(RADIANS(22.64513793)))^3)))</f>
        <v>1.9123722406118626</v>
      </c>
      <c r="S54" s="1">
        <v>9.5999999999999801E-3</v>
      </c>
      <c r="T54" s="1">
        <f t="shared" si="1"/>
        <v>4.7756181556806429E-2</v>
      </c>
      <c r="U54" s="1">
        <f t="shared" si="2"/>
        <v>4.4520139629197264E-2</v>
      </c>
      <c r="V54" s="1">
        <f t="shared" si="3"/>
        <v>4.6176096903889421E-2</v>
      </c>
      <c r="W54" s="1">
        <f t="shared" si="4"/>
        <v>4.6561626215605237E-2</v>
      </c>
      <c r="X54" s="1">
        <f t="shared" si="5"/>
        <v>4.8918017790833865E-2</v>
      </c>
      <c r="Y54" s="1">
        <f t="shared" si="6"/>
        <v>0.24630737952764606</v>
      </c>
    </row>
    <row r="55" spans="1:25" x14ac:dyDescent="0.25">
      <c r="A55" s="1">
        <v>43</v>
      </c>
      <c r="B55" s="10">
        <v>2001</v>
      </c>
      <c r="C55" s="11">
        <v>2</v>
      </c>
      <c r="D55" s="11">
        <v>8.2767741935483724E-3</v>
      </c>
      <c r="E55" s="11"/>
      <c r="F55" s="11">
        <v>4.4250134104965949E-2</v>
      </c>
      <c r="G55" s="11">
        <v>4.155843802941251E-2</v>
      </c>
      <c r="H55" s="11">
        <v>4.2887786428736904E-2</v>
      </c>
      <c r="I55" s="12">
        <v>4.2792814840817518E-2</v>
      </c>
      <c r="J55" s="11">
        <v>4.6196177447552396E-2</v>
      </c>
      <c r="K55" s="11">
        <f>IF(ISBLANK(Table2[[#This Row],[Qb]]),$P$4*Table2[[#This Row],[Q ]]^$P$5+$P$6,$Q$4*Table2[[#This Row],[Q ]]^$Q$5+$Q$6)</f>
        <v>31.39752853578063</v>
      </c>
      <c r="L55" s="11"/>
      <c r="M55" s="11">
        <f>Table2[[#This Row],[Q ]]*SQRT((0.085066638+2*Table2[[#This Row],[h US 4]]/TAN(RADIANS(22.64513793)))/(9.81*(Table2[[#This Row],[h US 4]]^3*(0.085066638+Table2[[#This Row],[h US 4]]/TAN(RADIANS(22.64513793)))^3)))</f>
        <v>1.9785046628022853</v>
      </c>
      <c r="S55" s="1">
        <v>9.6999999999999795E-3</v>
      </c>
      <c r="T55" s="1">
        <f t="shared" si="1"/>
        <v>4.8000913411297891E-2</v>
      </c>
      <c r="U55" s="1">
        <f t="shared" si="2"/>
        <v>4.4707116541681254E-2</v>
      </c>
      <c r="V55" s="1">
        <f t="shared" si="3"/>
        <v>4.6375769485619979E-2</v>
      </c>
      <c r="W55" s="1">
        <f t="shared" si="4"/>
        <v>4.6805352147349821E-2</v>
      </c>
      <c r="X55" s="1">
        <f t="shared" si="5"/>
        <v>4.9141937982960682E-2</v>
      </c>
      <c r="Y55" s="1">
        <f t="shared" si="6"/>
        <v>0.2531335710988592</v>
      </c>
    </row>
    <row r="56" spans="1:25" x14ac:dyDescent="0.25">
      <c r="A56" s="1">
        <v>44</v>
      </c>
      <c r="B56" s="10">
        <v>2001</v>
      </c>
      <c r="C56" s="11">
        <v>7</v>
      </c>
      <c r="D56" s="11">
        <v>8.4652777777777816E-3</v>
      </c>
      <c r="E56" s="11"/>
      <c r="F56" s="11">
        <v>4.473612486229657E-2</v>
      </c>
      <c r="G56" s="11">
        <v>4.2249974055149908E-2</v>
      </c>
      <c r="H56" s="11">
        <v>4.3432151140441709E-2</v>
      </c>
      <c r="I56" s="12">
        <v>4.3331891561606009E-2</v>
      </c>
      <c r="J56" s="11">
        <v>4.6127480273777985E-2</v>
      </c>
      <c r="K56" s="11">
        <f>IF(ISBLANK(Table2[[#This Row],[Qb]]),$P$4*Table2[[#This Row],[Q ]]^$P$5+$P$6,$Q$4*Table2[[#This Row],[Q ]]^$Q$5+$Q$6)</f>
        <v>31.551308844379257</v>
      </c>
      <c r="L56" s="11"/>
      <c r="M56" s="11">
        <f>Table2[[#This Row],[Q ]]*SQRT((0.085066638+2*Table2[[#This Row],[h US 4]]/TAN(RADIANS(22.64513793)))/(9.81*(Table2[[#This Row],[h US 4]]^3*(0.085066638+Table2[[#This Row],[h US 4]]/TAN(RADIANS(22.64513793)))^3)))</f>
        <v>1.9743147766422486</v>
      </c>
      <c r="S56" s="1">
        <v>9.7999999999999789E-3</v>
      </c>
      <c r="T56" s="1">
        <f t="shared" si="1"/>
        <v>4.8245645265789366E-2</v>
      </c>
      <c r="U56" s="1">
        <f t="shared" si="2"/>
        <v>4.4894093454165243E-2</v>
      </c>
      <c r="V56" s="1">
        <f t="shared" si="3"/>
        <v>4.6575442067350536E-2</v>
      </c>
      <c r="W56" s="1">
        <f t="shared" si="4"/>
        <v>4.7049078079094413E-2</v>
      </c>
      <c r="X56" s="1">
        <f t="shared" si="5"/>
        <v>4.9365858175087513E-2</v>
      </c>
      <c r="Y56" s="1">
        <f t="shared" si="6"/>
        <v>0.26007601296884647</v>
      </c>
    </row>
    <row r="57" spans="1:25" x14ac:dyDescent="0.25">
      <c r="A57" s="1">
        <v>45</v>
      </c>
      <c r="B57" s="10">
        <v>2001</v>
      </c>
      <c r="C57" s="11">
        <v>10</v>
      </c>
      <c r="D57" s="11">
        <v>8.7292682926829197E-3</v>
      </c>
      <c r="E57" s="11"/>
      <c r="F57" s="11">
        <v>4.5288194139385216E-2</v>
      </c>
      <c r="G57" s="11">
        <v>4.2733220543957798E-2</v>
      </c>
      <c r="H57" s="11">
        <v>4.4083164541452183E-2</v>
      </c>
      <c r="I57" s="12">
        <v>4.4148620541517448E-2</v>
      </c>
      <c r="J57" s="11">
        <v>4.6750822734412653E-2</v>
      </c>
      <c r="K57" s="11">
        <f>IF(ISBLANK(Table2[[#This Row],[Qb]]),$P$4*Table2[[#This Row],[Q ]]^$P$5+$P$6,$Q$4*Table2[[#This Row],[Q ]]^$Q$5+$Q$6)</f>
        <v>31.752940045712819</v>
      </c>
      <c r="L57" s="11"/>
      <c r="M57" s="11">
        <f>Table2[[#This Row],[Q ]]*SQRT((0.085066638+2*Table2[[#This Row],[h US 4]]/TAN(RADIANS(22.64513793)))/(9.81*(Table2[[#This Row],[h US 4]]^3*(0.085066638+Table2[[#This Row],[h US 4]]/TAN(RADIANS(22.64513793)))^3)))</f>
        <v>1.9622659231261024</v>
      </c>
      <c r="S57" s="1">
        <v>9.8999999999999817E-3</v>
      </c>
      <c r="T57" s="1">
        <f t="shared" si="1"/>
        <v>4.8490377120280842E-2</v>
      </c>
      <c r="U57" s="1">
        <f t="shared" si="2"/>
        <v>4.508107036664924E-2</v>
      </c>
      <c r="V57" s="1">
        <f t="shared" si="3"/>
        <v>4.6775114649081094E-2</v>
      </c>
      <c r="W57" s="1">
        <f t="shared" si="4"/>
        <v>4.7292804010839011E-2</v>
      </c>
      <c r="X57" s="1">
        <f t="shared" si="5"/>
        <v>4.9589778367214343E-2</v>
      </c>
      <c r="Y57" s="1">
        <f t="shared" si="6"/>
        <v>0.26713546833771762</v>
      </c>
    </row>
    <row r="58" spans="1:25" x14ac:dyDescent="0.25">
      <c r="A58" s="1">
        <v>46</v>
      </c>
      <c r="B58" s="10">
        <v>2001</v>
      </c>
      <c r="C58" s="11">
        <v>13</v>
      </c>
      <c r="D58" s="11">
        <v>8.9563492063492057E-3</v>
      </c>
      <c r="E58" s="11"/>
      <c r="F58" s="12">
        <v>4.6297750765069194E-2</v>
      </c>
      <c r="G58" s="12">
        <v>4.3309425433761692E-2</v>
      </c>
      <c r="H58" s="12">
        <v>4.5448198209392901E-2</v>
      </c>
      <c r="I58" s="12">
        <v>4.4804991347532915E-2</v>
      </c>
      <c r="J58" s="12">
        <v>4.7419763187241074E-2</v>
      </c>
      <c r="K58" s="11">
        <f>IF(ISBLANK(Table2[[#This Row],[Qb]]),$P$4*Table2[[#This Row],[Q ]]^$P$5+$P$6,$Q$4*Table2[[#This Row],[Q ]]^$Q$5+$Q$6)</f>
        <v>31.914682112271684</v>
      </c>
      <c r="L58" s="11"/>
      <c r="M58" s="11">
        <f>Table2[[#This Row],[Q ]]*SQRT((0.085066638+2*Table2[[#This Row],[h US 4]]/TAN(RADIANS(22.64513793)))/(9.81*(Table2[[#This Row],[h US 4]]^3*(0.085066638+Table2[[#This Row],[h US 4]]/TAN(RADIANS(22.64513793)))^3)))</f>
        <v>1.9554227705950351</v>
      </c>
      <c r="S58" s="1">
        <v>9.9999999999999811E-3</v>
      </c>
      <c r="T58" s="1">
        <f t="shared" si="1"/>
        <v>4.8735108974772304E-2</v>
      </c>
      <c r="U58" s="1">
        <f t="shared" si="2"/>
        <v>4.5268047279133222E-2</v>
      </c>
      <c r="V58" s="1">
        <f t="shared" si="3"/>
        <v>4.6974787230811645E-2</v>
      </c>
      <c r="W58" s="1">
        <f t="shared" si="4"/>
        <v>4.7536529942583602E-2</v>
      </c>
      <c r="X58" s="1">
        <f t="shared" si="5"/>
        <v>4.9813698559341167E-2</v>
      </c>
      <c r="Y58" s="1">
        <f t="shared" si="6"/>
        <v>0.27431269759148813</v>
      </c>
    </row>
    <row r="59" spans="1:25" x14ac:dyDescent="0.25">
      <c r="A59" s="1">
        <v>47</v>
      </c>
      <c r="B59" s="10">
        <v>2001</v>
      </c>
      <c r="C59" s="11">
        <v>16</v>
      </c>
      <c r="D59" s="11">
        <v>9.0696629213483145E-3</v>
      </c>
      <c r="E59" s="11"/>
      <c r="F59" s="12">
        <v>4.664135652408876E-2</v>
      </c>
      <c r="G59" s="12">
        <v>4.4031841572779E-2</v>
      </c>
      <c r="H59" s="12">
        <v>4.5321629995731604E-2</v>
      </c>
      <c r="I59" s="12">
        <v>4.5600369265400696E-2</v>
      </c>
      <c r="J59" s="12">
        <v>4.8348424837021592E-2</v>
      </c>
      <c r="K59" s="11">
        <f>IF(ISBLANK(Table2[[#This Row],[Qb]]),$P$4*Table2[[#This Row],[Q ]]^$P$5+$P$6,$Q$4*Table2[[#This Row],[Q ]]^$Q$5+$Q$6)</f>
        <v>31.991656293098714</v>
      </c>
      <c r="L59" s="11"/>
      <c r="M59" s="11">
        <f>Table2[[#This Row],[Q ]]*SQRT((0.085066638+2*Table2[[#This Row],[h US 4]]/TAN(RADIANS(22.64513793)))/(9.81*(Table2[[#This Row],[h US 4]]^3*(0.085066638+Table2[[#This Row],[h US 4]]/TAN(RADIANS(22.64513793)))^3)))</f>
        <v>1.9123190056089108</v>
      </c>
    </row>
    <row r="60" spans="1:25" x14ac:dyDescent="0.25">
      <c r="A60" s="1">
        <v>48</v>
      </c>
      <c r="B60" s="10">
        <v>2001</v>
      </c>
      <c r="C60" s="11">
        <v>19</v>
      </c>
      <c r="D60" s="11">
        <v>9.384999999999994E-3</v>
      </c>
      <c r="E60" s="11"/>
      <c r="F60" s="12">
        <v>4.6842884924130981E-2</v>
      </c>
      <c r="G60" s="12">
        <v>4.351019266597219E-2</v>
      </c>
      <c r="H60" s="12">
        <v>4.515357483177871E-2</v>
      </c>
      <c r="I60" s="12">
        <v>4.5418204312838321E-2</v>
      </c>
      <c r="J60" s="12">
        <v>4.802745841568945E-2</v>
      </c>
      <c r="K60" s="11">
        <f>IF(ISBLANK(Table2[[#This Row],[Qb]]),$P$4*Table2[[#This Row],[Q ]]^$P$5+$P$6,$Q$4*Table2[[#This Row],[Q ]]^$Q$5+$Q$6)</f>
        <v>32.193828556443833</v>
      </c>
      <c r="L60" s="11"/>
      <c r="M60" s="11">
        <f>Table2[[#This Row],[Q ]]*SQRT((0.085066638+2*Table2[[#This Row],[h US 4]]/TAN(RADIANS(22.64513793)))/(9.81*(Table2[[#This Row],[h US 4]]^3*(0.085066638+Table2[[#This Row],[h US 4]]/TAN(RADIANS(22.64513793)))^3)))</f>
        <v>1.9945769956451067</v>
      </c>
    </row>
    <row r="61" spans="1:25" x14ac:dyDescent="0.25">
      <c r="A61" s="1">
        <v>49</v>
      </c>
      <c r="B61" s="10">
        <v>2001</v>
      </c>
      <c r="C61" s="11">
        <v>22</v>
      </c>
      <c r="D61" s="11">
        <v>9.5043956043956105E-3</v>
      </c>
      <c r="E61" s="11"/>
      <c r="F61" s="12">
        <v>4.7265332496401725E-2</v>
      </c>
      <c r="G61" s="12">
        <v>4.4095793029624006E-2</v>
      </c>
      <c r="H61" s="12">
        <v>4.566952374772424E-2</v>
      </c>
      <c r="I61" s="12">
        <v>4.6263335006730827E-2</v>
      </c>
      <c r="J61" s="12">
        <v>4.8671109924671337E-2</v>
      </c>
      <c r="K61" s="11">
        <f>IF(ISBLANK(Table2[[#This Row],[Qb]]),$P$4*Table2[[#This Row],[Q ]]^$P$5+$P$6,$Q$4*Table2[[#This Row],[Q ]]^$Q$5+$Q$6)</f>
        <v>32.266062025710838</v>
      </c>
      <c r="L61" s="11"/>
      <c r="M61" s="11">
        <f>Table2[[#This Row],[Q ]]*SQRT((0.085066638+2*Table2[[#This Row],[h US 4]]/TAN(RADIANS(22.64513793)))/(9.81*(Table2[[#This Row],[h US 4]]^3*(0.085066638+Table2[[#This Row],[h US 4]]/TAN(RADIANS(22.64513793)))^3)))</f>
        <v>1.947364688242192</v>
      </c>
    </row>
    <row r="62" spans="1:25" x14ac:dyDescent="0.25">
      <c r="A62" s="1">
        <v>50</v>
      </c>
      <c r="B62" s="10">
        <v>2001</v>
      </c>
      <c r="C62" s="11">
        <v>25</v>
      </c>
      <c r="D62" s="11">
        <v>9.7249999999999923E-3</v>
      </c>
      <c r="E62" s="11"/>
      <c r="F62" s="12">
        <v>4.8166400621085993E-2</v>
      </c>
      <c r="G62" s="12">
        <v>4.4562653412177439E-2</v>
      </c>
      <c r="H62" s="12">
        <v>4.629395486999334E-2</v>
      </c>
      <c r="I62" s="12">
        <v>4.7006549768863169E-2</v>
      </c>
      <c r="J62" s="12">
        <v>4.8947026279415988E-2</v>
      </c>
      <c r="K62" s="11">
        <f>IF(ISBLANK(Table2[[#This Row],[Qb]]),$P$4*Table2[[#This Row],[Q ]]^$P$5+$P$6,$Q$4*Table2[[#This Row],[Q ]]^$Q$5+$Q$6)</f>
        <v>32.393775511335548</v>
      </c>
      <c r="L62" s="11"/>
      <c r="M62" s="11">
        <f>Table2[[#This Row],[Q ]]*SQRT((0.085066638+2*Table2[[#This Row],[h US 4]]/TAN(RADIANS(22.64513793)))/(9.81*(Table2[[#This Row],[h US 4]]^3*(0.085066638+Table2[[#This Row],[h US 4]]/TAN(RADIANS(22.64513793)))^3)))</f>
        <v>1.9303742476707739</v>
      </c>
    </row>
    <row r="63" spans="1:25" x14ac:dyDescent="0.25">
      <c r="A63" s="1">
        <v>51</v>
      </c>
      <c r="B63" s="10">
        <v>2001</v>
      </c>
      <c r="C63" s="11">
        <v>27</v>
      </c>
      <c r="D63" s="11">
        <v>9.8081967213114723E-3</v>
      </c>
      <c r="E63" s="11"/>
      <c r="F63" s="12">
        <v>4.8521161956154593E-2</v>
      </c>
      <c r="G63" s="12">
        <v>4.487898412851396E-2</v>
      </c>
      <c r="H63" s="12">
        <v>4.6509012694109696E-2</v>
      </c>
      <c r="I63" s="12">
        <v>4.7327826502435492E-2</v>
      </c>
      <c r="J63" s="12">
        <v>4.9222465969850124E-2</v>
      </c>
      <c r="K63" s="11">
        <f>IF(ISBLANK(Table2[[#This Row],[Qb]]),$P$4*Table2[[#This Row],[Q ]]^$P$5+$P$6,$Q$4*Table2[[#This Row],[Q ]]^$Q$5+$Q$6)</f>
        <v>32.440098951077545</v>
      </c>
      <c r="L63" s="11"/>
      <c r="M63" s="11">
        <f>Table2[[#This Row],[Q ]]*SQRT((0.085066638+2*Table2[[#This Row],[h US 4]]/TAN(RADIANS(22.64513793)))/(9.81*(Table2[[#This Row],[h US 4]]^3*(0.085066638+Table2[[#This Row],[h US 4]]/TAN(RADIANS(22.64513793)))^3)))</f>
        <v>1.9206421228517665</v>
      </c>
    </row>
    <row r="64" spans="1:25" x14ac:dyDescent="0.25">
      <c r="A64" s="1">
        <v>52</v>
      </c>
      <c r="B64" s="10">
        <v>2001</v>
      </c>
      <c r="C64" s="11">
        <v>31</v>
      </c>
      <c r="D64" s="11">
        <v>1.0064864864864858E-2</v>
      </c>
      <c r="E64" s="11"/>
      <c r="F64" s="12">
        <v>4.8678071624135684E-2</v>
      </c>
      <c r="G64" s="12">
        <v>4.5163048920567606E-2</v>
      </c>
      <c r="H64" s="12">
        <v>4.691911048749197E-2</v>
      </c>
      <c r="I64" s="12">
        <v>4.7887027525586878E-2</v>
      </c>
      <c r="J64" s="12">
        <v>4.9660682697133925E-2</v>
      </c>
      <c r="K64" s="11">
        <f>IF(ISBLANK(Table2[[#This Row],[Qb]]),$P$4*Table2[[#This Row],[Q ]]^$P$5+$P$6,$Q$4*Table2[[#This Row],[Q ]]^$Q$5+$Q$6)</f>
        <v>32.577063680105731</v>
      </c>
      <c r="L64" s="11"/>
      <c r="M64" s="11">
        <f>Table2[[#This Row],[Q ]]*SQRT((0.085066638+2*Table2[[#This Row],[h US 4]]/TAN(RADIANS(22.64513793)))/(9.81*(Table2[[#This Row],[h US 4]]^3*(0.085066638+Table2[[#This Row],[h US 4]]/TAN(RADIANS(22.64513793)))^3)))</f>
        <v>1.9252511746961005</v>
      </c>
    </row>
    <row r="65" spans="1:13" x14ac:dyDescent="0.25">
      <c r="A65" s="1">
        <v>53</v>
      </c>
      <c r="B65" s="10">
        <v>2001</v>
      </c>
      <c r="C65" s="11">
        <v>33</v>
      </c>
      <c r="D65" s="11">
        <v>9.6250000000000051E-3</v>
      </c>
      <c r="E65" s="11"/>
      <c r="F65" s="12">
        <v>4.8002428091995182E-2</v>
      </c>
      <c r="G65" s="12">
        <v>4.4439932162500466E-2</v>
      </c>
      <c r="H65" s="12">
        <v>4.6180402237981498E-2</v>
      </c>
      <c r="I65" s="12">
        <v>4.666758233047974E-2</v>
      </c>
      <c r="J65" s="12">
        <v>4.9112772615214337E-2</v>
      </c>
      <c r="K65" s="11">
        <f>IF(ISBLANK(Table2[[#This Row],[Qb]]),$P$4*Table2[[#This Row],[Q ]]^$P$5+$P$6,$Q$4*Table2[[#This Row],[Q ]]^$Q$5+$Q$6)</f>
        <v>32.336780942042203</v>
      </c>
      <c r="L65" s="11"/>
      <c r="M65" s="11">
        <f>Table2[[#This Row],[Q ]]*SQRT((0.085066638+2*Table2[[#This Row],[h US 4]]/TAN(RADIANS(22.64513793)))/(9.81*(Table2[[#This Row],[h US 4]]^3*(0.085066638+Table2[[#This Row],[h US 4]]/TAN(RADIANS(22.64513793)))^3)))</f>
        <v>1.9382498693311705</v>
      </c>
    </row>
    <row r="66" spans="1:13" x14ac:dyDescent="0.25">
      <c r="A66" s="1">
        <v>54</v>
      </c>
      <c r="B66" s="10">
        <v>2001</v>
      </c>
      <c r="C66" s="11">
        <v>37</v>
      </c>
      <c r="D66" s="11">
        <v>8.7969072164948408E-3</v>
      </c>
      <c r="E66" s="11"/>
      <c r="F66" s="12">
        <v>4.6167569210469835E-2</v>
      </c>
      <c r="G66" s="12">
        <v>4.3041776034471693E-2</v>
      </c>
      <c r="H66" s="12">
        <v>4.4716008818494898E-2</v>
      </c>
      <c r="I66" s="12">
        <v>4.4645009067317991E-2</v>
      </c>
      <c r="J66" s="12">
        <v>4.7492719910392958E-2</v>
      </c>
      <c r="K66" s="11">
        <f>IF(ISBLANK(Table2[[#This Row],[Qb]]),$P$4*Table2[[#This Row],[Q ]]^$P$5+$P$6,$Q$4*Table2[[#This Row],[Q ]]^$Q$5+$Q$6)</f>
        <v>31.802198947731114</v>
      </c>
      <c r="L66" s="11"/>
      <c r="M66" s="11">
        <f>Table2[[#This Row],[Q ]]*SQRT((0.085066638+2*Table2[[#This Row],[h US 4]]/TAN(RADIANS(22.64513793)))/(9.81*(Table2[[#This Row],[h US 4]]^3*(0.085066638+Table2[[#This Row],[h US 4]]/TAN(RADIANS(22.64513793)))^3)))</f>
        <v>1.9342519697867637</v>
      </c>
    </row>
    <row r="67" spans="1:13" x14ac:dyDescent="0.25">
      <c r="A67" s="1">
        <v>55</v>
      </c>
      <c r="B67" s="10">
        <v>2001</v>
      </c>
      <c r="C67" s="11">
        <v>41</v>
      </c>
      <c r="D67" s="11">
        <v>1.0836792452830183E-2</v>
      </c>
      <c r="E67" s="11"/>
      <c r="F67" s="12">
        <v>5.0351912414801359E-2</v>
      </c>
      <c r="G67" s="12">
        <v>4.6838513412874545E-2</v>
      </c>
      <c r="H67" s="12">
        <v>4.8734388495892574E-2</v>
      </c>
      <c r="I67" s="12">
        <v>5.0348677025768999E-2</v>
      </c>
      <c r="J67" s="12">
        <v>5.0651579839362026E-2</v>
      </c>
      <c r="K67" s="11">
        <f>IF(ISBLANK(Table2[[#This Row],[Qb]]),$P$4*Table2[[#This Row],[Q ]]^$P$5+$P$6,$Q$4*Table2[[#This Row],[Q ]]^$Q$5+$Q$6)</f>
        <v>32.941222809120227</v>
      </c>
      <c r="L67" s="11"/>
      <c r="M67" s="11">
        <f>Table2[[#This Row],[Q ]]*SQRT((0.085066638+2*Table2[[#This Row],[h US 4]]/TAN(RADIANS(22.64513793)))/(9.81*(Table2[[#This Row],[h US 4]]^3*(0.085066638+Table2[[#This Row],[h US 4]]/TAN(RADIANS(22.64513793)))^3)))</f>
        <v>1.8748444915788962</v>
      </c>
    </row>
    <row r="68" spans="1:13" x14ac:dyDescent="0.25">
      <c r="B68" s="10"/>
      <c r="C68" s="11"/>
      <c r="D68" s="11"/>
      <c r="E68" s="11"/>
      <c r="F68" s="12"/>
      <c r="G68" s="12"/>
      <c r="H68" s="12"/>
      <c r="I68" s="12"/>
      <c r="J68" s="12"/>
      <c r="K68" s="11"/>
    </row>
    <row r="69" spans="1:13" x14ac:dyDescent="0.25">
      <c r="B69" s="10"/>
      <c r="C69" s="11"/>
      <c r="D69" s="11"/>
      <c r="E69" s="11"/>
      <c r="F69" s="12"/>
      <c r="G69" s="12"/>
      <c r="H69" s="12"/>
      <c r="I69" s="12"/>
      <c r="J69" s="12"/>
      <c r="K69" s="11"/>
    </row>
    <row r="70" spans="1:13" x14ac:dyDescent="0.25">
      <c r="B70" s="10"/>
      <c r="C70" s="11"/>
      <c r="D70" s="11"/>
      <c r="E70" s="11"/>
      <c r="F70" s="12"/>
      <c r="G70" s="12"/>
      <c r="H70" s="12"/>
      <c r="I70" s="12"/>
      <c r="J70" s="12"/>
      <c r="K70" s="11"/>
    </row>
    <row r="71" spans="1:13" x14ac:dyDescent="0.25">
      <c r="B71" s="10"/>
      <c r="C71" s="11"/>
      <c r="D71" s="11"/>
      <c r="E71" s="11"/>
      <c r="F71" s="12"/>
      <c r="G71" s="12"/>
      <c r="H71" s="12"/>
      <c r="I71" s="12"/>
      <c r="J71" s="12"/>
      <c r="K71" s="11"/>
    </row>
    <row r="72" spans="1:13" x14ac:dyDescent="0.25">
      <c r="B72" s="10"/>
      <c r="C72" s="11"/>
      <c r="D72" s="11"/>
      <c r="E72" s="11"/>
      <c r="F72" s="12"/>
      <c r="G72" s="12"/>
      <c r="H72" s="12"/>
      <c r="I72" s="12"/>
      <c r="J72" s="12"/>
      <c r="K72" s="11"/>
    </row>
    <row r="73" spans="1:13" x14ac:dyDescent="0.25">
      <c r="B73" s="10"/>
      <c r="C73" s="11"/>
      <c r="D73" s="11"/>
      <c r="E73" s="11"/>
      <c r="F73" s="12"/>
      <c r="G73" s="12"/>
      <c r="H73" s="12"/>
      <c r="I73" s="12"/>
      <c r="J73" s="12"/>
      <c r="K73" s="11"/>
    </row>
    <row r="74" spans="1:13" x14ac:dyDescent="0.25">
      <c r="B74" s="10"/>
      <c r="C74" s="11"/>
      <c r="D74" s="11"/>
      <c r="E74" s="11"/>
      <c r="F74" s="12"/>
      <c r="G74" s="12"/>
      <c r="H74" s="12"/>
      <c r="I74" s="12"/>
      <c r="J74" s="12"/>
      <c r="K74" s="11"/>
    </row>
    <row r="75" spans="1:13" x14ac:dyDescent="0.25">
      <c r="B75" s="10"/>
      <c r="C75" s="11"/>
      <c r="D75" s="11"/>
      <c r="E75" s="11"/>
      <c r="F75" s="12"/>
      <c r="G75" s="12"/>
      <c r="H75" s="12"/>
      <c r="I75" s="12"/>
      <c r="J75" s="12"/>
      <c r="K75" s="11"/>
    </row>
    <row r="76" spans="1:13" x14ac:dyDescent="0.25">
      <c r="B76" s="10"/>
      <c r="C76" s="11"/>
      <c r="D76" s="11"/>
      <c r="E76" s="11"/>
      <c r="F76" s="12"/>
      <c r="G76" s="12"/>
      <c r="H76" s="12"/>
      <c r="I76" s="12"/>
      <c r="J76" s="12"/>
      <c r="K76" s="11"/>
    </row>
    <row r="77" spans="1:13" x14ac:dyDescent="0.25">
      <c r="B77" s="10"/>
      <c r="C77" s="11"/>
      <c r="D77" s="11"/>
      <c r="E77" s="11"/>
      <c r="F77" s="12"/>
      <c r="G77" s="12"/>
      <c r="H77" s="12"/>
      <c r="I77" s="12"/>
      <c r="J77" s="12"/>
      <c r="K77" s="11"/>
    </row>
    <row r="78" spans="1:13" x14ac:dyDescent="0.25">
      <c r="B78" s="10"/>
      <c r="C78" s="11"/>
      <c r="D78" s="11"/>
      <c r="E78" s="11"/>
      <c r="F78" s="12"/>
      <c r="G78" s="12"/>
      <c r="H78" s="12"/>
      <c r="I78" s="12"/>
      <c r="J78" s="12"/>
      <c r="K78" s="11"/>
    </row>
    <row r="79" spans="1:13" x14ac:dyDescent="0.25">
      <c r="B79" s="10"/>
      <c r="C79" s="11"/>
      <c r="D79" s="11"/>
      <c r="E79" s="11"/>
      <c r="F79" s="12"/>
      <c r="G79" s="12"/>
      <c r="H79" s="12"/>
      <c r="I79" s="12"/>
      <c r="J79" s="12"/>
      <c r="K79" s="11"/>
    </row>
    <row r="80" spans="1:13" x14ac:dyDescent="0.25">
      <c r="B80" s="10"/>
      <c r="C80" s="11"/>
      <c r="D80" s="11"/>
      <c r="E80" s="11"/>
      <c r="F80" s="12"/>
      <c r="G80" s="12"/>
      <c r="H80" s="12"/>
      <c r="I80" s="12"/>
      <c r="J80" s="12"/>
      <c r="K80" s="11"/>
    </row>
    <row r="81" spans="2:11" x14ac:dyDescent="0.25">
      <c r="B81" s="10"/>
      <c r="C81" s="11"/>
      <c r="D81" s="11"/>
      <c r="E81" s="11"/>
      <c r="F81" s="12"/>
      <c r="G81" s="12"/>
      <c r="H81" s="12"/>
      <c r="I81" s="12"/>
      <c r="J81" s="12"/>
      <c r="K81" s="11"/>
    </row>
    <row r="82" spans="2:11" x14ac:dyDescent="0.25">
      <c r="B82" s="10"/>
      <c r="C82" s="11"/>
      <c r="D82" s="11"/>
      <c r="E82" s="11"/>
      <c r="F82" s="12"/>
      <c r="G82" s="12"/>
      <c r="H82" s="12"/>
      <c r="I82" s="12"/>
      <c r="J82" s="12"/>
      <c r="K82" s="11"/>
    </row>
    <row r="83" spans="2:11" x14ac:dyDescent="0.25">
      <c r="B83" s="10"/>
      <c r="C83" s="11"/>
      <c r="D83" s="11"/>
      <c r="E83" s="11"/>
      <c r="F83" s="12"/>
      <c r="G83" s="12"/>
      <c r="H83" s="12"/>
      <c r="I83" s="12"/>
      <c r="J83" s="12"/>
      <c r="K83" s="11"/>
    </row>
    <row r="84" spans="2:11" x14ac:dyDescent="0.25">
      <c r="B84" s="10"/>
      <c r="C84" s="11"/>
      <c r="D84" s="11"/>
      <c r="E84" s="11"/>
      <c r="F84" s="12"/>
      <c r="G84" s="12"/>
      <c r="H84" s="12"/>
      <c r="I84" s="12"/>
      <c r="J84" s="12"/>
      <c r="K84" s="11"/>
    </row>
    <row r="85" spans="2:11" x14ac:dyDescent="0.25">
      <c r="B85" s="10"/>
      <c r="C85" s="11"/>
      <c r="D85" s="11"/>
      <c r="E85" s="11"/>
      <c r="F85" s="12"/>
      <c r="G85" s="12"/>
      <c r="H85" s="12"/>
      <c r="I85" s="12"/>
      <c r="J85" s="12"/>
      <c r="K85" s="11"/>
    </row>
    <row r="86" spans="2:11" x14ac:dyDescent="0.25">
      <c r="B86" s="13"/>
      <c r="C86" s="14"/>
      <c r="D86" s="14"/>
      <c r="E86" s="14"/>
      <c r="F86" s="14"/>
      <c r="G86" s="14"/>
      <c r="H86" s="14"/>
      <c r="I86" s="12"/>
      <c r="J86" s="14"/>
      <c r="K86" s="11"/>
    </row>
    <row r="87" spans="2:11" x14ac:dyDescent="0.25">
      <c r="B87" s="13"/>
      <c r="C87" s="14"/>
      <c r="D87" s="14"/>
      <c r="E87" s="14"/>
      <c r="F87" s="14"/>
      <c r="G87" s="14"/>
      <c r="H87" s="14"/>
      <c r="I87" s="12"/>
      <c r="J87" s="14"/>
      <c r="K87" s="11"/>
    </row>
    <row r="88" spans="2:11" x14ac:dyDescent="0.25">
      <c r="B88" s="13"/>
      <c r="C88" s="14"/>
      <c r="D88" s="14"/>
      <c r="E88" s="14"/>
      <c r="F88" s="14"/>
      <c r="G88" s="14"/>
      <c r="H88" s="14"/>
      <c r="I88" s="12"/>
      <c r="J88" s="14"/>
      <c r="K88" s="11"/>
    </row>
    <row r="89" spans="2:11" x14ac:dyDescent="0.25">
      <c r="B89" s="13"/>
      <c r="C89" s="14"/>
      <c r="D89" s="14"/>
      <c r="E89" s="14"/>
      <c r="F89" s="14"/>
      <c r="G89" s="14"/>
      <c r="H89" s="14"/>
      <c r="I89" s="12"/>
      <c r="J89" s="14"/>
      <c r="K89" s="11"/>
    </row>
    <row r="90" spans="2:11" x14ac:dyDescent="0.25">
      <c r="B90" s="13"/>
      <c r="C90" s="14"/>
      <c r="D90" s="14"/>
      <c r="E90" s="14"/>
      <c r="F90" s="14"/>
      <c r="G90" s="14"/>
      <c r="H90" s="14"/>
      <c r="I90" s="12"/>
      <c r="J90" s="14"/>
      <c r="K90" s="11"/>
    </row>
    <row r="91" spans="2:11" x14ac:dyDescent="0.25">
      <c r="B91" s="13"/>
      <c r="C91" s="14"/>
      <c r="D91" s="14"/>
      <c r="E91" s="14"/>
      <c r="F91" s="14"/>
      <c r="G91" s="14"/>
      <c r="H91" s="14"/>
      <c r="I91" s="12"/>
      <c r="J91" s="14"/>
      <c r="K91" s="11"/>
    </row>
    <row r="92" spans="2:11" x14ac:dyDescent="0.25">
      <c r="B92" s="13"/>
      <c r="C92" s="14"/>
      <c r="D92" s="14"/>
      <c r="E92" s="14"/>
      <c r="F92" s="14"/>
      <c r="G92" s="14"/>
      <c r="H92" s="14"/>
      <c r="I92" s="12"/>
      <c r="J92" s="14"/>
      <c r="K92" s="11"/>
    </row>
    <row r="93" spans="2:11" x14ac:dyDescent="0.25">
      <c r="B93" s="13"/>
      <c r="C93" s="14"/>
      <c r="D93" s="14"/>
      <c r="E93" s="14"/>
      <c r="F93" s="14"/>
      <c r="G93" s="14"/>
      <c r="H93" s="14"/>
      <c r="I93" s="12"/>
      <c r="J93" s="14"/>
      <c r="K93" s="11"/>
    </row>
    <row r="94" spans="2:11" x14ac:dyDescent="0.25">
      <c r="B94" s="13"/>
      <c r="C94" s="14"/>
      <c r="D94" s="14"/>
      <c r="E94" s="14"/>
      <c r="F94" s="14"/>
      <c r="G94" s="14"/>
      <c r="H94" s="14"/>
      <c r="I94" s="12"/>
      <c r="J94" s="14"/>
      <c r="K94" s="11"/>
    </row>
    <row r="95" spans="2:11" x14ac:dyDescent="0.25">
      <c r="B95" s="13"/>
      <c r="C95" s="14"/>
      <c r="D95" s="14"/>
      <c r="E95" s="14"/>
      <c r="F95" s="14"/>
      <c r="G95" s="14"/>
      <c r="H95" s="14"/>
      <c r="I95" s="12"/>
      <c r="J95" s="14"/>
      <c r="K95" s="11"/>
    </row>
    <row r="96" spans="2:11" x14ac:dyDescent="0.25">
      <c r="B96" s="13"/>
      <c r="C96" s="14"/>
      <c r="D96" s="14"/>
      <c r="E96" s="14"/>
      <c r="F96" s="14"/>
      <c r="G96" s="14"/>
      <c r="H96" s="14"/>
      <c r="I96" s="12"/>
      <c r="J96" s="14"/>
      <c r="K96" s="11"/>
    </row>
    <row r="97" spans="2:11" x14ac:dyDescent="0.25">
      <c r="B97" s="13"/>
      <c r="C97" s="14"/>
      <c r="D97" s="14"/>
      <c r="E97" s="14"/>
      <c r="F97" s="14"/>
      <c r="G97" s="14"/>
      <c r="H97" s="14"/>
      <c r="I97" s="12"/>
      <c r="J97" s="14"/>
      <c r="K97" s="11"/>
    </row>
    <row r="98" spans="2:11" x14ac:dyDescent="0.25">
      <c r="B98" s="13"/>
      <c r="C98" s="14"/>
      <c r="D98" s="14"/>
      <c r="E98" s="14"/>
      <c r="F98" s="14"/>
      <c r="G98" s="14"/>
      <c r="H98" s="14"/>
      <c r="I98" s="12"/>
      <c r="J98" s="14"/>
      <c r="K98" s="11"/>
    </row>
    <row r="99" spans="2:11" x14ac:dyDescent="0.25">
      <c r="B99" s="13"/>
      <c r="C99" s="14"/>
      <c r="D99" s="14"/>
      <c r="E99" s="14"/>
      <c r="F99" s="14"/>
      <c r="G99" s="14"/>
      <c r="H99" s="14"/>
      <c r="I99" s="12"/>
      <c r="J99" s="14"/>
      <c r="K99" s="11"/>
    </row>
    <row r="100" spans="2:11" x14ac:dyDescent="0.25">
      <c r="B100" s="13"/>
      <c r="C100" s="14"/>
      <c r="D100" s="14"/>
      <c r="E100" s="14"/>
      <c r="F100" s="14"/>
      <c r="G100" s="14"/>
      <c r="H100" s="14"/>
      <c r="I100" s="12"/>
      <c r="J100" s="14"/>
      <c r="K100" s="11"/>
    </row>
    <row r="101" spans="2:11" x14ac:dyDescent="0.25">
      <c r="B101" s="13"/>
      <c r="C101" s="14"/>
      <c r="D101" s="14"/>
      <c r="E101" s="14"/>
      <c r="F101" s="14"/>
      <c r="G101" s="14"/>
      <c r="H101" s="14"/>
      <c r="I101" s="12"/>
      <c r="J101" s="14"/>
      <c r="K101" s="11"/>
    </row>
    <row r="102" spans="2:11" x14ac:dyDescent="0.25">
      <c r="B102" s="13"/>
      <c r="C102" s="14"/>
      <c r="D102" s="14"/>
      <c r="E102" s="14"/>
      <c r="F102" s="14"/>
      <c r="G102" s="14"/>
      <c r="H102" s="14"/>
      <c r="I102" s="12"/>
      <c r="J102" s="14"/>
      <c r="K102" s="11"/>
    </row>
    <row r="103" spans="2:11" x14ac:dyDescent="0.25">
      <c r="B103" s="13"/>
      <c r="C103" s="14"/>
      <c r="D103" s="14"/>
      <c r="E103" s="14"/>
      <c r="F103" s="14"/>
      <c r="G103" s="14"/>
      <c r="H103" s="14"/>
      <c r="I103" s="12"/>
      <c r="J103" s="14"/>
      <c r="K103" s="11"/>
    </row>
    <row r="104" spans="2:11" x14ac:dyDescent="0.25">
      <c r="B104" s="13"/>
      <c r="C104" s="14"/>
      <c r="D104" s="14"/>
      <c r="E104" s="14"/>
      <c r="F104" s="14"/>
      <c r="G104" s="14"/>
      <c r="H104" s="14"/>
      <c r="I104" s="12"/>
      <c r="J104" s="14"/>
      <c r="K104" s="11"/>
    </row>
    <row r="105" spans="2:11" x14ac:dyDescent="0.25">
      <c r="B105" s="13"/>
      <c r="C105" s="14"/>
      <c r="D105" s="14"/>
      <c r="E105" s="14"/>
      <c r="F105" s="14"/>
      <c r="G105" s="14"/>
      <c r="H105" s="14"/>
      <c r="I105" s="12"/>
      <c r="J105" s="14"/>
      <c r="K105" s="11"/>
    </row>
    <row r="106" spans="2:11" x14ac:dyDescent="0.25">
      <c r="B106" s="13"/>
      <c r="C106" s="14"/>
      <c r="D106" s="14"/>
      <c r="E106" s="14"/>
      <c r="F106" s="14"/>
      <c r="G106" s="14"/>
      <c r="H106" s="14"/>
      <c r="I106" s="12"/>
      <c r="J106" s="14"/>
      <c r="K106" s="11"/>
    </row>
    <row r="107" spans="2:11" x14ac:dyDescent="0.25">
      <c r="B107" s="13"/>
      <c r="C107" s="14"/>
      <c r="D107" s="14"/>
      <c r="E107" s="14"/>
      <c r="F107" s="14"/>
      <c r="G107" s="14"/>
      <c r="H107" s="14"/>
      <c r="I107" s="12"/>
      <c r="J107" s="14"/>
      <c r="K107" s="11"/>
    </row>
    <row r="108" spans="2:11" x14ac:dyDescent="0.25">
      <c r="B108" s="13"/>
      <c r="C108" s="14"/>
      <c r="D108" s="14"/>
      <c r="E108" s="14"/>
      <c r="F108" s="14"/>
      <c r="G108" s="14"/>
      <c r="H108" s="14"/>
      <c r="I108" s="12"/>
      <c r="J108" s="14"/>
      <c r="K108" s="11"/>
    </row>
    <row r="109" spans="2:11" x14ac:dyDescent="0.25">
      <c r="B109" s="13"/>
      <c r="C109" s="14"/>
      <c r="D109" s="14"/>
      <c r="E109" s="14"/>
      <c r="F109" s="14"/>
      <c r="G109" s="14"/>
      <c r="H109" s="14"/>
      <c r="I109" s="12"/>
      <c r="J109" s="14"/>
      <c r="K109" s="11"/>
    </row>
  </sheetData>
  <mergeCells count="8">
    <mergeCell ref="T4:X4"/>
    <mergeCell ref="B10:J10"/>
    <mergeCell ref="B2:J2"/>
    <mergeCell ref="D4:D6"/>
    <mergeCell ref="E4:E6"/>
    <mergeCell ref="D7:D9"/>
    <mergeCell ref="L2:M2"/>
    <mergeCell ref="O2:Q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G19" sqref="G19"/>
    </sheetView>
  </sheetViews>
  <sheetFormatPr defaultRowHeight="15" x14ac:dyDescent="0.25"/>
  <cols>
    <col min="4" max="4" width="9.140625" style="33"/>
  </cols>
  <sheetData>
    <row r="1" spans="1:16" x14ac:dyDescent="0.25">
      <c r="A1" s="36" t="s">
        <v>60</v>
      </c>
    </row>
    <row r="2" spans="1:16" s="22" customFormat="1" x14ac:dyDescent="0.25">
      <c r="A2" s="17">
        <v>1.2442129629629629E-2</v>
      </c>
      <c r="B2" s="18">
        <v>1075</v>
      </c>
      <c r="C2" s="19">
        <v>2</v>
      </c>
      <c r="D2" s="19">
        <v>74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1" t="s">
        <v>33</v>
      </c>
    </row>
    <row r="3" spans="1:16" s="22" customFormat="1" x14ac:dyDescent="0.25">
      <c r="A3" s="23">
        <v>4.282407407407407E-2</v>
      </c>
      <c r="B3" s="18">
        <v>3699.9999999999995</v>
      </c>
      <c r="C3" s="19">
        <v>10</v>
      </c>
      <c r="D3" s="31">
        <v>168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1" t="s">
        <v>34</v>
      </c>
    </row>
    <row r="4" spans="1:16" s="22" customFormat="1" x14ac:dyDescent="0.25">
      <c r="A4" s="17">
        <v>5.2280092592592593E-2</v>
      </c>
      <c r="B4" s="18">
        <v>4517</v>
      </c>
      <c r="C4" s="19">
        <v>13</v>
      </c>
      <c r="D4" s="31">
        <v>88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1" t="s">
        <v>35</v>
      </c>
    </row>
    <row r="5" spans="1:16" s="22" customFormat="1" x14ac:dyDescent="0.25">
      <c r="A5" s="23">
        <v>6.010416666666666E-2</v>
      </c>
      <c r="B5" s="18">
        <v>5193</v>
      </c>
      <c r="C5" s="19">
        <v>16</v>
      </c>
      <c r="D5" s="31">
        <v>87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21" t="s">
        <v>36</v>
      </c>
    </row>
    <row r="6" spans="1:16" s="22" customFormat="1" x14ac:dyDescent="0.25">
      <c r="A6" s="17">
        <v>7.90162037037037E-2</v>
      </c>
      <c r="B6" s="18">
        <v>6826.9999999999991</v>
      </c>
      <c r="C6" s="19">
        <v>22</v>
      </c>
      <c r="D6" s="31">
        <v>110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21" t="s">
        <v>37</v>
      </c>
    </row>
    <row r="7" spans="1:16" s="22" customFormat="1" x14ac:dyDescent="0.25">
      <c r="A7" s="17">
        <v>9.5347222222222208E-2</v>
      </c>
      <c r="B7" s="18">
        <v>8237.9999999999982</v>
      </c>
      <c r="C7" s="19">
        <v>27</v>
      </c>
      <c r="D7" s="31">
        <v>143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21" t="s">
        <v>38</v>
      </c>
    </row>
    <row r="8" spans="1:16" s="22" customFormat="1" x14ac:dyDescent="0.25">
      <c r="A8" s="24">
        <v>0.11537037037037036</v>
      </c>
      <c r="B8" s="25">
        <v>9968</v>
      </c>
      <c r="C8" s="26">
        <v>31</v>
      </c>
      <c r="D8" s="31">
        <v>90</v>
      </c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7" t="s">
        <v>39</v>
      </c>
    </row>
    <row r="9" spans="1:16" s="22" customFormat="1" x14ac:dyDescent="0.25">
      <c r="A9" s="17">
        <v>0.12287037037037037</v>
      </c>
      <c r="B9" s="18">
        <v>10616</v>
      </c>
      <c r="C9" s="19">
        <v>33</v>
      </c>
      <c r="D9" s="31">
        <v>138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21" t="s">
        <v>38</v>
      </c>
    </row>
    <row r="10" spans="1:16" s="22" customFormat="1" x14ac:dyDescent="0.25">
      <c r="A10" s="17">
        <v>0.14340277777777777</v>
      </c>
      <c r="B10" s="18">
        <v>12390</v>
      </c>
      <c r="C10" s="19">
        <v>39</v>
      </c>
      <c r="D10" s="31">
        <v>171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21" t="s">
        <v>40</v>
      </c>
    </row>
    <row r="11" spans="1:16" s="22" customFormat="1" x14ac:dyDescent="0.25">
      <c r="A11" s="24">
        <v>0.15118055555555557</v>
      </c>
      <c r="B11" s="25">
        <v>13062.000000000004</v>
      </c>
      <c r="C11" s="26">
        <v>41</v>
      </c>
      <c r="D11" s="31">
        <v>98</v>
      </c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7" t="s">
        <v>41</v>
      </c>
    </row>
    <row r="12" spans="1:16" s="22" customFormat="1" x14ac:dyDescent="0.25">
      <c r="A12" s="17">
        <v>0.15752314814814813</v>
      </c>
      <c r="B12" s="18">
        <v>13609.999999999998</v>
      </c>
      <c r="C12" s="19">
        <v>43</v>
      </c>
      <c r="D12" s="31">
        <v>109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21" t="s">
        <v>42</v>
      </c>
    </row>
    <row r="13" spans="1:16" s="22" customFormat="1" x14ac:dyDescent="0.25">
      <c r="A13" s="28">
        <v>0.16832175925925927</v>
      </c>
      <c r="B13" s="18">
        <v>14543</v>
      </c>
      <c r="C13" s="19">
        <v>47</v>
      </c>
      <c r="D13" s="31">
        <v>170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21" t="s">
        <v>43</v>
      </c>
    </row>
    <row r="14" spans="1:16" s="22" customFormat="1" x14ac:dyDescent="0.25">
      <c r="A14" s="29">
        <v>0.17716435185185186</v>
      </c>
      <c r="B14" s="25">
        <v>15307</v>
      </c>
      <c r="C14" s="26">
        <v>50</v>
      </c>
      <c r="D14" s="32">
        <v>145</v>
      </c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7" t="s">
        <v>44</v>
      </c>
    </row>
    <row r="15" spans="1:16" s="22" customFormat="1" x14ac:dyDescent="0.25">
      <c r="A15" s="28">
        <v>0.18484953703703702</v>
      </c>
      <c r="B15" s="18">
        <v>15971</v>
      </c>
      <c r="C15" s="19">
        <v>52</v>
      </c>
      <c r="D15" s="31">
        <v>84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27" t="s">
        <v>45</v>
      </c>
    </row>
    <row r="16" spans="1:16" s="22" customFormat="1" x14ac:dyDescent="0.25">
      <c r="A16" s="17">
        <v>0.19023148148148147</v>
      </c>
      <c r="B16" s="18">
        <v>16435.999999999996</v>
      </c>
      <c r="C16" s="19">
        <v>54</v>
      </c>
      <c r="D16" s="31">
        <v>168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27" t="s">
        <v>46</v>
      </c>
    </row>
    <row r="18" spans="1:16" x14ac:dyDescent="0.25">
      <c r="A18" s="36" t="s">
        <v>61</v>
      </c>
    </row>
    <row r="19" spans="1:16" s="22" customFormat="1" x14ac:dyDescent="0.25">
      <c r="A19" s="17">
        <v>7.5347222222222213E-3</v>
      </c>
      <c r="B19" s="18">
        <v>651</v>
      </c>
      <c r="C19" s="19">
        <v>2</v>
      </c>
      <c r="D19" s="31">
        <v>154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1" t="s">
        <v>47</v>
      </c>
    </row>
    <row r="20" spans="1:16" s="22" customFormat="1" x14ac:dyDescent="0.25">
      <c r="A20" s="17">
        <v>2.3009259259259257E-2</v>
      </c>
      <c r="B20" s="18">
        <v>1988</v>
      </c>
      <c r="C20" s="19">
        <v>7</v>
      </c>
      <c r="D20" s="31">
        <v>71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21" t="s">
        <v>48</v>
      </c>
    </row>
    <row r="21" spans="1:16" s="22" customFormat="1" x14ac:dyDescent="0.25">
      <c r="A21" s="17">
        <v>3.1041666666666665E-2</v>
      </c>
      <c r="B21" s="18">
        <v>2682</v>
      </c>
      <c r="C21" s="19">
        <v>10</v>
      </c>
      <c r="D21" s="31">
        <v>122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21" t="s">
        <v>49</v>
      </c>
    </row>
    <row r="22" spans="1:16" s="22" customFormat="1" x14ac:dyDescent="0.25">
      <c r="A22" s="30">
        <v>4.238425925925926E-2</v>
      </c>
      <c r="B22" s="25">
        <v>3662</v>
      </c>
      <c r="C22" s="26">
        <v>13</v>
      </c>
      <c r="D22" s="31">
        <v>125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7" t="s">
        <v>50</v>
      </c>
    </row>
    <row r="23" spans="1:16" s="22" customFormat="1" x14ac:dyDescent="0.25">
      <c r="A23" s="17">
        <v>5.1249999999999997E-2</v>
      </c>
      <c r="B23" s="18">
        <v>4428</v>
      </c>
      <c r="C23" s="19">
        <v>16</v>
      </c>
      <c r="D23" s="31">
        <v>88</v>
      </c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21" t="s">
        <v>51</v>
      </c>
    </row>
    <row r="24" spans="1:16" s="22" customFormat="1" x14ac:dyDescent="0.25">
      <c r="A24" s="23">
        <v>5.9236111111111107E-2</v>
      </c>
      <c r="B24" s="18">
        <v>5118</v>
      </c>
      <c r="C24" s="19">
        <v>19</v>
      </c>
      <c r="D24" s="31">
        <v>119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21" t="s">
        <v>52</v>
      </c>
    </row>
    <row r="25" spans="1:16" s="22" customFormat="1" x14ac:dyDescent="0.25">
      <c r="A25" s="17">
        <v>6.6689814814814813E-2</v>
      </c>
      <c r="B25" s="18">
        <v>5762</v>
      </c>
      <c r="C25" s="19">
        <v>22</v>
      </c>
      <c r="D25" s="31">
        <v>90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21" t="s">
        <v>53</v>
      </c>
    </row>
    <row r="26" spans="1:16" s="22" customFormat="1" x14ac:dyDescent="0.25">
      <c r="A26" s="17">
        <v>7.8009259259259264E-2</v>
      </c>
      <c r="B26" s="18">
        <v>6740</v>
      </c>
      <c r="C26" s="19">
        <v>25</v>
      </c>
      <c r="D26" s="32">
        <v>123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1" t="s">
        <v>54</v>
      </c>
    </row>
    <row r="27" spans="1:16" s="22" customFormat="1" x14ac:dyDescent="0.25">
      <c r="A27" s="17">
        <v>8.3310185185185182E-2</v>
      </c>
      <c r="B27" s="18">
        <v>7198</v>
      </c>
      <c r="C27" s="19">
        <v>27</v>
      </c>
      <c r="D27" s="31">
        <v>121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21" t="s">
        <v>55</v>
      </c>
    </row>
    <row r="28" spans="1:16" s="22" customFormat="1" x14ac:dyDescent="0.25">
      <c r="A28" s="24">
        <v>9.5740740740740737E-2</v>
      </c>
      <c r="B28" s="25">
        <v>8272</v>
      </c>
      <c r="C28" s="26">
        <v>31</v>
      </c>
      <c r="D28" s="31">
        <v>73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7" t="s">
        <v>56</v>
      </c>
    </row>
    <row r="29" spans="1:16" s="22" customFormat="1" x14ac:dyDescent="0.25">
      <c r="A29" s="17">
        <v>0.10072916666666666</v>
      </c>
      <c r="B29" s="18">
        <v>8703</v>
      </c>
      <c r="C29" s="19">
        <v>33</v>
      </c>
      <c r="D29" s="31">
        <v>75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21" t="s">
        <v>57</v>
      </c>
    </row>
    <row r="30" spans="1:16" s="22" customFormat="1" x14ac:dyDescent="0.25">
      <c r="A30" s="17">
        <v>0.11118055555555556</v>
      </c>
      <c r="B30" s="18">
        <v>9606</v>
      </c>
      <c r="C30" s="19">
        <v>37</v>
      </c>
      <c r="D30" s="31">
        <v>96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1" t="s">
        <v>58</v>
      </c>
    </row>
    <row r="31" spans="1:16" s="22" customFormat="1" x14ac:dyDescent="0.25">
      <c r="A31" s="17">
        <v>0.12489583333333333</v>
      </c>
      <c r="B31" s="18">
        <v>10791</v>
      </c>
      <c r="C31" s="19">
        <v>41</v>
      </c>
      <c r="D31" s="31">
        <v>105</v>
      </c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21" t="s">
        <v>59</v>
      </c>
    </row>
    <row r="34" spans="1:9" x14ac:dyDescent="0.25">
      <c r="A34" s="49" t="s">
        <v>65</v>
      </c>
      <c r="B34" s="49"/>
      <c r="C34" s="49"/>
      <c r="D34" s="49"/>
      <c r="E34" s="49"/>
      <c r="F34" s="49"/>
      <c r="G34" s="49"/>
      <c r="H34" s="49"/>
      <c r="I34" s="49"/>
    </row>
    <row r="35" spans="1:9" x14ac:dyDescent="0.25">
      <c r="A35" s="46" t="s">
        <v>30</v>
      </c>
      <c r="B35" s="46"/>
      <c r="C35" s="46"/>
      <c r="D35" s="46"/>
      <c r="E35" s="46"/>
      <c r="F35" s="46"/>
      <c r="G35" s="46"/>
      <c r="H35" s="46"/>
      <c r="I35" s="46"/>
    </row>
    <row r="36" spans="1:9" ht="16.5" x14ac:dyDescent="0.3">
      <c r="A36" s="3" t="s">
        <v>18</v>
      </c>
      <c r="B36" s="34" t="s">
        <v>20</v>
      </c>
      <c r="C36" s="34" t="s">
        <v>0</v>
      </c>
      <c r="D36" s="34" t="s">
        <v>13</v>
      </c>
      <c r="E36" s="34" t="s">
        <v>7</v>
      </c>
      <c r="F36" s="34" t="s">
        <v>8</v>
      </c>
      <c r="G36" s="34" t="s">
        <v>9</v>
      </c>
      <c r="H36" s="34" t="s">
        <v>10</v>
      </c>
      <c r="I36" s="34" t="s">
        <v>11</v>
      </c>
    </row>
    <row r="37" spans="1:9" x14ac:dyDescent="0.25">
      <c r="A37" s="1" t="s">
        <v>27</v>
      </c>
      <c r="B37" s="5" t="s">
        <v>12</v>
      </c>
      <c r="C37" s="47" t="s">
        <v>16</v>
      </c>
      <c r="D37" s="47" t="s">
        <v>17</v>
      </c>
      <c r="E37" s="34">
        <v>2.447318544914705</v>
      </c>
      <c r="F37" s="34">
        <v>1.8697691248398904</v>
      </c>
      <c r="G37" s="34">
        <v>1.9967258173055482</v>
      </c>
      <c r="H37" s="34">
        <v>2.4372593174458999</v>
      </c>
      <c r="I37" s="34">
        <v>2.2392019212682559</v>
      </c>
    </row>
    <row r="38" spans="1:9" x14ac:dyDescent="0.25">
      <c r="A38" s="1" t="s">
        <v>28</v>
      </c>
      <c r="B38" s="5" t="s">
        <v>12</v>
      </c>
      <c r="C38" s="47"/>
      <c r="D38" s="47"/>
      <c r="E38" s="34">
        <v>2.4261923525625305E-2</v>
      </c>
      <c r="F38" s="34">
        <v>2.6570356030734356E-2</v>
      </c>
      <c r="G38" s="34">
        <v>2.7007529057756201E-2</v>
      </c>
      <c r="H38" s="34">
        <v>2.3163936768124647E-2</v>
      </c>
      <c r="I38" s="34">
        <v>2.7421679346658651E-2</v>
      </c>
    </row>
    <row r="39" spans="1:9" x14ac:dyDescent="0.25">
      <c r="A39" s="1" t="s">
        <v>19</v>
      </c>
      <c r="B39" s="5" t="s">
        <v>12</v>
      </c>
      <c r="C39" s="47"/>
      <c r="D39" s="47"/>
      <c r="E39" s="34">
        <v>0.99160859411489743</v>
      </c>
      <c r="F39" s="34">
        <v>0.97511347237840151</v>
      </c>
      <c r="G39" s="34">
        <v>0.97744207444260289</v>
      </c>
      <c r="H39" s="34">
        <v>0.99289506582525444</v>
      </c>
      <c r="I39" s="34">
        <v>0.98315047555540747</v>
      </c>
    </row>
    <row r="40" spans="1:9" x14ac:dyDescent="0.25">
      <c r="A40" s="1" t="s">
        <v>27</v>
      </c>
      <c r="B40" s="5" t="s">
        <v>12</v>
      </c>
      <c r="C40" s="48" t="s">
        <v>16</v>
      </c>
      <c r="D40" s="16"/>
      <c r="E40" s="34">
        <v>2.6647675456817836</v>
      </c>
      <c r="F40" s="34">
        <v>2.25</v>
      </c>
      <c r="G40" s="34">
        <v>2.36</v>
      </c>
      <c r="H40" s="34">
        <v>2.6607208735103729</v>
      </c>
      <c r="I40" s="34">
        <v>3.3580020462897791</v>
      </c>
    </row>
    <row r="41" spans="1:9" x14ac:dyDescent="0.25">
      <c r="A41" s="1" t="s">
        <v>28</v>
      </c>
      <c r="B41" s="5" t="s">
        <v>12</v>
      </c>
      <c r="C41" s="48"/>
      <c r="D41" s="16"/>
      <c r="E41" s="34">
        <v>2.3804907948164571E-2</v>
      </c>
      <c r="F41" s="34">
        <v>2.4889999999999999E-2</v>
      </c>
      <c r="G41" s="34">
        <v>2.581E-2</v>
      </c>
      <c r="H41" s="34">
        <v>2.3845974920809167E-2</v>
      </c>
      <c r="I41" s="34">
        <v>2.1336354105893771E-2</v>
      </c>
    </row>
    <row r="42" spans="1:9" x14ac:dyDescent="0.25">
      <c r="A42" s="1" t="s">
        <v>19</v>
      </c>
      <c r="B42" s="5" t="s">
        <v>12</v>
      </c>
      <c r="C42" s="48"/>
      <c r="D42" s="16"/>
      <c r="E42" s="34">
        <v>0.98939710009818616</v>
      </c>
      <c r="F42" s="34">
        <v>0.97009999999999996</v>
      </c>
      <c r="G42" s="34">
        <v>0.97</v>
      </c>
      <c r="H42" s="34">
        <v>0.98</v>
      </c>
      <c r="I42" s="34">
        <v>0.91881232183793105</v>
      </c>
    </row>
  </sheetData>
  <mergeCells count="5">
    <mergeCell ref="A35:I35"/>
    <mergeCell ref="C37:C39"/>
    <mergeCell ref="D37:D39"/>
    <mergeCell ref="C40:C42"/>
    <mergeCell ref="A34:I3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calc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standard</dc:creator>
  <cp:lastModifiedBy>Schwindt Sebastian</cp:lastModifiedBy>
  <cp:lastPrinted>2016-01-29T13:25:05Z</cp:lastPrinted>
  <dcterms:created xsi:type="dcterms:W3CDTF">2015-12-04T20:19:59Z</dcterms:created>
  <dcterms:modified xsi:type="dcterms:W3CDTF">2016-08-15T07:52:54Z</dcterms:modified>
</cp:coreProperties>
</file>