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\NonConstricted\DataAcquisition\"/>
    </mc:Choice>
  </mc:AlternateContent>
  <bookViews>
    <workbookView xWindow="0" yWindow="0" windowWidth="20490" windowHeight="7755"/>
  </bookViews>
  <sheets>
    <sheet name="summary" sheetId="1" r:id="rId1"/>
  </sheets>
  <definedNames>
    <definedName name="g">9.81</definedName>
    <definedName name="J">0.055</definedName>
    <definedName name="m">2.1984</definedName>
    <definedName name="s">2.68</definedName>
    <definedName name="w0">0.0944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10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T3" i="1" l="1"/>
  <c r="T2" i="1"/>
  <c r="E8" i="1" l="1"/>
  <c r="E9" i="1"/>
  <c r="E7" i="1"/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W19" i="1" l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8" i="1"/>
  <c r="W9" i="1"/>
  <c r="W10" i="1"/>
  <c r="W11" i="1"/>
  <c r="W12" i="1"/>
  <c r="W13" i="1"/>
  <c r="W14" i="1"/>
  <c r="W15" i="1"/>
  <c r="W16" i="1"/>
  <c r="W17" i="1"/>
  <c r="W18" i="1"/>
  <c r="T62" i="1" l="1"/>
  <c r="U62" i="1"/>
  <c r="V62" i="1"/>
  <c r="X62" i="1"/>
  <c r="Y62" i="1"/>
  <c r="T63" i="1"/>
  <c r="U63" i="1"/>
  <c r="V63" i="1"/>
  <c r="X63" i="1"/>
  <c r="Y63" i="1"/>
  <c r="T59" i="1"/>
  <c r="U59" i="1"/>
  <c r="V59" i="1"/>
  <c r="X59" i="1"/>
  <c r="Y59" i="1"/>
  <c r="T60" i="1"/>
  <c r="U60" i="1"/>
  <c r="V60" i="1"/>
  <c r="X60" i="1"/>
  <c r="Y60" i="1"/>
  <c r="T61" i="1"/>
  <c r="U61" i="1"/>
  <c r="V61" i="1"/>
  <c r="X61" i="1"/>
  <c r="Y61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8" i="1"/>
  <c r="T9" i="1" l="1"/>
  <c r="U9" i="1"/>
  <c r="V9" i="1"/>
  <c r="X9" i="1"/>
  <c r="T10" i="1"/>
  <c r="U10" i="1"/>
  <c r="V10" i="1"/>
  <c r="X10" i="1"/>
  <c r="T11" i="1"/>
  <c r="U11" i="1"/>
  <c r="V11" i="1"/>
  <c r="X11" i="1"/>
  <c r="T12" i="1"/>
  <c r="U12" i="1"/>
  <c r="V12" i="1"/>
  <c r="X12" i="1"/>
  <c r="T13" i="1"/>
  <c r="U13" i="1"/>
  <c r="V13" i="1"/>
  <c r="X13" i="1"/>
  <c r="T14" i="1"/>
  <c r="U14" i="1"/>
  <c r="V14" i="1"/>
  <c r="X14" i="1"/>
  <c r="T15" i="1"/>
  <c r="U15" i="1"/>
  <c r="V15" i="1"/>
  <c r="X15" i="1"/>
  <c r="T16" i="1"/>
  <c r="U16" i="1"/>
  <c r="V16" i="1"/>
  <c r="X16" i="1"/>
  <c r="T17" i="1"/>
  <c r="U17" i="1"/>
  <c r="V17" i="1"/>
  <c r="X17" i="1"/>
  <c r="T18" i="1"/>
  <c r="U18" i="1"/>
  <c r="V18" i="1"/>
  <c r="X18" i="1"/>
  <c r="T19" i="1"/>
  <c r="U19" i="1"/>
  <c r="V19" i="1"/>
  <c r="X19" i="1"/>
  <c r="T20" i="1"/>
  <c r="U20" i="1"/>
  <c r="V20" i="1"/>
  <c r="X20" i="1"/>
  <c r="T21" i="1"/>
  <c r="U21" i="1"/>
  <c r="V21" i="1"/>
  <c r="X21" i="1"/>
  <c r="T22" i="1"/>
  <c r="U22" i="1"/>
  <c r="V22" i="1"/>
  <c r="X22" i="1"/>
  <c r="T23" i="1"/>
  <c r="U23" i="1"/>
  <c r="V23" i="1"/>
  <c r="X23" i="1"/>
  <c r="T24" i="1"/>
  <c r="U24" i="1"/>
  <c r="V24" i="1"/>
  <c r="X24" i="1"/>
  <c r="T25" i="1"/>
  <c r="U25" i="1"/>
  <c r="V25" i="1"/>
  <c r="X25" i="1"/>
  <c r="T26" i="1"/>
  <c r="U26" i="1"/>
  <c r="V26" i="1"/>
  <c r="X26" i="1"/>
  <c r="T27" i="1"/>
  <c r="U27" i="1"/>
  <c r="V27" i="1"/>
  <c r="X27" i="1"/>
  <c r="T28" i="1"/>
  <c r="U28" i="1"/>
  <c r="V28" i="1"/>
  <c r="X28" i="1"/>
  <c r="T29" i="1"/>
  <c r="U29" i="1"/>
  <c r="V29" i="1"/>
  <c r="X29" i="1"/>
  <c r="T30" i="1"/>
  <c r="U30" i="1"/>
  <c r="V30" i="1"/>
  <c r="X30" i="1"/>
  <c r="T31" i="1"/>
  <c r="U31" i="1"/>
  <c r="V31" i="1"/>
  <c r="X31" i="1"/>
  <c r="T32" i="1"/>
  <c r="U32" i="1"/>
  <c r="V32" i="1"/>
  <c r="X32" i="1"/>
  <c r="T33" i="1"/>
  <c r="U33" i="1"/>
  <c r="V33" i="1"/>
  <c r="X33" i="1"/>
  <c r="T34" i="1"/>
  <c r="U34" i="1"/>
  <c r="V34" i="1"/>
  <c r="X34" i="1"/>
  <c r="T35" i="1"/>
  <c r="U35" i="1"/>
  <c r="V35" i="1"/>
  <c r="X35" i="1"/>
  <c r="T36" i="1"/>
  <c r="U36" i="1"/>
  <c r="V36" i="1"/>
  <c r="X36" i="1"/>
  <c r="T37" i="1"/>
  <c r="U37" i="1"/>
  <c r="V37" i="1"/>
  <c r="X37" i="1"/>
  <c r="T38" i="1"/>
  <c r="U38" i="1"/>
  <c r="V38" i="1"/>
  <c r="X38" i="1"/>
  <c r="T39" i="1"/>
  <c r="U39" i="1"/>
  <c r="V39" i="1"/>
  <c r="X39" i="1"/>
  <c r="T40" i="1"/>
  <c r="U40" i="1"/>
  <c r="V40" i="1"/>
  <c r="X40" i="1"/>
  <c r="T41" i="1"/>
  <c r="U41" i="1"/>
  <c r="V41" i="1"/>
  <c r="X41" i="1"/>
  <c r="T42" i="1"/>
  <c r="U42" i="1"/>
  <c r="V42" i="1"/>
  <c r="X42" i="1"/>
  <c r="T43" i="1"/>
  <c r="U43" i="1"/>
  <c r="V43" i="1"/>
  <c r="X43" i="1"/>
  <c r="T44" i="1"/>
  <c r="U44" i="1"/>
  <c r="V44" i="1"/>
  <c r="X44" i="1"/>
  <c r="T45" i="1"/>
  <c r="U45" i="1"/>
  <c r="V45" i="1"/>
  <c r="X45" i="1"/>
  <c r="T46" i="1"/>
  <c r="U46" i="1"/>
  <c r="V46" i="1"/>
  <c r="X46" i="1"/>
  <c r="T47" i="1"/>
  <c r="U47" i="1"/>
  <c r="V47" i="1"/>
  <c r="X47" i="1"/>
  <c r="T48" i="1"/>
  <c r="U48" i="1"/>
  <c r="V48" i="1"/>
  <c r="X48" i="1"/>
  <c r="T49" i="1"/>
  <c r="U49" i="1"/>
  <c r="V49" i="1"/>
  <c r="X49" i="1"/>
  <c r="T50" i="1"/>
  <c r="U50" i="1"/>
  <c r="V50" i="1"/>
  <c r="X50" i="1"/>
  <c r="T51" i="1"/>
  <c r="U51" i="1"/>
  <c r="V51" i="1"/>
  <c r="X51" i="1"/>
  <c r="T52" i="1"/>
  <c r="U52" i="1"/>
  <c r="V52" i="1"/>
  <c r="X52" i="1"/>
  <c r="T53" i="1"/>
  <c r="U53" i="1"/>
  <c r="V53" i="1"/>
  <c r="X53" i="1"/>
  <c r="T54" i="1"/>
  <c r="U54" i="1"/>
  <c r="V54" i="1"/>
  <c r="X54" i="1"/>
  <c r="T55" i="1"/>
  <c r="U55" i="1"/>
  <c r="V55" i="1"/>
  <c r="X55" i="1"/>
  <c r="T56" i="1"/>
  <c r="U56" i="1"/>
  <c r="V56" i="1"/>
  <c r="X56" i="1"/>
  <c r="T57" i="1"/>
  <c r="U57" i="1"/>
  <c r="V57" i="1"/>
  <c r="X57" i="1"/>
  <c r="T58" i="1"/>
  <c r="U58" i="1"/>
  <c r="V58" i="1"/>
  <c r="X58" i="1"/>
  <c r="U8" i="1"/>
  <c r="V8" i="1"/>
  <c r="X8" i="1"/>
  <c r="T8" i="1"/>
</calcChain>
</file>

<file path=xl/sharedStrings.xml><?xml version="1.0" encoding="utf-8"?>
<sst xmlns="http://schemas.openxmlformats.org/spreadsheetml/2006/main" count="96" uniqueCount="55">
  <si>
    <t xml:space="preserve">Q </t>
  </si>
  <si>
    <t>[l/s]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</si>
  <si>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</si>
  <si>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</si>
  <si>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</si>
  <si>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</si>
  <si>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</si>
  <si>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</si>
  <si>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</si>
  <si>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</si>
  <si>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</si>
  <si>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</si>
  <si>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-/-</t>
  </si>
  <si>
    <t>Q</t>
  </si>
  <si>
    <t>Measurements</t>
  </si>
  <si>
    <t>var</t>
  </si>
  <si>
    <t>no</t>
  </si>
  <si>
    <t>Var. Name</t>
  </si>
  <si>
    <t>R²</t>
  </si>
  <si>
    <t>Remark</t>
  </si>
  <si>
    <t>h</t>
  </si>
  <si>
    <t>Curve fit: US 1</t>
  </si>
  <si>
    <t>Curve fit: US 2</t>
  </si>
  <si>
    <t>Curve fit: US 3</t>
  </si>
  <si>
    <t>Curve fit: US 4</t>
  </si>
  <si>
    <t>Curve fit: US 5</t>
  </si>
  <si>
    <t>p1</t>
  </si>
  <si>
    <t>p2</t>
  </si>
  <si>
    <t>LINEAR</t>
  </si>
  <si>
    <t>MATLAB Output - Data regression analysis (Q-h): h = p1*Q+p2</t>
  </si>
  <si>
    <t>Qs</t>
  </si>
  <si>
    <t>Qb</t>
  </si>
  <si>
    <t>Curve fit: Qb</t>
  </si>
  <si>
    <r>
      <t>Q</t>
    </r>
    <r>
      <rPr>
        <vertAlign val="subscript"/>
        <sz val="11"/>
        <color theme="1" tint="4.9989318521683403E-2"/>
        <rFont val="Times New Roman"/>
        <family val="1"/>
      </rPr>
      <t>b</t>
    </r>
  </si>
  <si>
    <t>p3/R²</t>
  </si>
  <si>
    <t>c</t>
  </si>
  <si>
    <t>[m¹'²/s]</t>
  </si>
  <si>
    <t>fit: C</t>
  </si>
  <si>
    <t>fit: C + BL</t>
  </si>
  <si>
    <t>a</t>
  </si>
  <si>
    <t>b</t>
  </si>
  <si>
    <t>par.</t>
  </si>
  <si>
    <t>Chézy fit (from chezy.xlsx)</t>
  </si>
  <si>
    <t>Interpolation of τ *,cr</t>
  </si>
  <si>
    <t>f(x) = p1*x+p2</t>
  </si>
  <si>
    <t>Interpolation of Qb(Fr)</t>
  </si>
  <si>
    <t>f(x) = a*x^b+c</t>
  </si>
  <si>
    <r>
      <t>Q</t>
    </r>
    <r>
      <rPr>
        <vertAlign val="subscript"/>
        <sz val="11"/>
        <color theme="1"/>
        <rFont val="Times New Roman"/>
        <family val="1"/>
      </rPr>
      <t>b</t>
    </r>
  </si>
  <si>
    <t>Interpolation of Qb(Q)</t>
  </si>
  <si>
    <t>[m³/s]</t>
  </si>
  <si>
    <t>h US 4 + BL</t>
  </si>
  <si>
    <t>w</t>
  </si>
  <si>
    <t>α</t>
  </si>
  <si>
    <t>Rh</t>
  </si>
  <si>
    <t>tauxcr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</si>
</sst>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.000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CH" sz="1400"/>
              <a:t>Q - Qb</a:t>
            </a:r>
          </a:p>
        </c:rich>
      </c:tx>
      <c:layout>
        <c:manualLayout>
          <c:xMode val="edge"/>
          <c:yMode val="edge"/>
          <c:x val="0.20305555555555554"/>
          <c:y val="7.0948012232415897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536223048237"/>
          <c:y val="3.9606444903836427E-2"/>
          <c:w val="0.68000882886809333"/>
          <c:h val="0.72904370439933552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summary!$B$13</c:f>
              <c:strCache>
                <c:ptCount val="1"/>
                <c:pt idx="0">
                  <c:v>03000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ED7D31">
                  <a:lumMod val="40000"/>
                  <a:lumOff val="60000"/>
                </a:srgbClr>
              </a:solidFill>
              <a:ln w="12700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xVal>
            <c:numRef>
              <c:f>summary!$D$13:$D$37</c:f>
              <c:numCache>
                <c:formatCode>General</c:formatCode>
                <c:ptCount val="25"/>
                <c:pt idx="0">
                  <c:v>5.1909090909090941E-3</c:v>
                </c:pt>
                <c:pt idx="1">
                  <c:v>5.0809523809523839E-3</c:v>
                </c:pt>
                <c:pt idx="2">
                  <c:v>5.5258426966292191E-3</c:v>
                </c:pt>
                <c:pt idx="3">
                  <c:v>6.058749999999999E-3</c:v>
                </c:pt>
                <c:pt idx="4">
                  <c:v>6.4648351648351667E-3</c:v>
                </c:pt>
                <c:pt idx="5">
                  <c:v>6.2452830188679219E-3</c:v>
                </c:pt>
                <c:pt idx="6">
                  <c:v>6.8438775510204046E-3</c:v>
                </c:pt>
                <c:pt idx="7">
                  <c:v>7.1361445783132554E-3</c:v>
                </c:pt>
                <c:pt idx="8">
                  <c:v>7.0864077669902928E-3</c:v>
                </c:pt>
                <c:pt idx="9">
                  <c:v>6.9150442477876111E-3</c:v>
                </c:pt>
                <c:pt idx="10">
                  <c:v>7.4189999999999985E-3</c:v>
                </c:pt>
                <c:pt idx="11">
                  <c:v>7.5962025316455677E-3</c:v>
                </c:pt>
                <c:pt idx="12">
                  <c:v>7.8049382716049382E-3</c:v>
                </c:pt>
                <c:pt idx="13">
                  <c:v>7.9733333333333305E-3</c:v>
                </c:pt>
                <c:pt idx="14">
                  <c:v>8.278823529411769E-3</c:v>
                </c:pt>
                <c:pt idx="15">
                  <c:v>8.1860759493670877E-3</c:v>
                </c:pt>
                <c:pt idx="16">
                  <c:v>8.4303797468354459E-3</c:v>
                </c:pt>
                <c:pt idx="17">
                  <c:v>8.4142857142857162E-3</c:v>
                </c:pt>
                <c:pt idx="18">
                  <c:v>9.0442857142857148E-3</c:v>
                </c:pt>
                <c:pt idx="19">
                  <c:v>9.1361702127659584E-3</c:v>
                </c:pt>
                <c:pt idx="20">
                  <c:v>9.3857142857142872E-3</c:v>
                </c:pt>
                <c:pt idx="21">
                  <c:v>9.4333333333333352E-3</c:v>
                </c:pt>
                <c:pt idx="22">
                  <c:v>9.8157303370786462E-3</c:v>
                </c:pt>
                <c:pt idx="23">
                  <c:v>1.0117187500000006E-2</c:v>
                </c:pt>
                <c:pt idx="24">
                  <c:v>1.0005208333333338E-2</c:v>
                </c:pt>
              </c:numCache>
            </c:numRef>
          </c:xVal>
          <c:yVal>
            <c:numRef>
              <c:f>summary!$E$13:$E$37</c:f>
              <c:numCache>
                <c:formatCode>General</c:formatCode>
                <c:ptCount val="25"/>
                <c:pt idx="0">
                  <c:v>0.20408163265306123</c:v>
                </c:pt>
                <c:pt idx="1">
                  <c:v>0.19277108433734941</c:v>
                </c:pt>
                <c:pt idx="2">
                  <c:v>0.25</c:v>
                </c:pt>
                <c:pt idx="3">
                  <c:v>0.29113924050632911</c:v>
                </c:pt>
                <c:pt idx="4">
                  <c:v>0.32222222222222224</c:v>
                </c:pt>
                <c:pt idx="5">
                  <c:v>0.29523809523809524</c:v>
                </c:pt>
                <c:pt idx="6">
                  <c:v>0.33505154639175255</c:v>
                </c:pt>
                <c:pt idx="7">
                  <c:v>0.36585365853658536</c:v>
                </c:pt>
                <c:pt idx="8">
                  <c:v>0.36274509803921567</c:v>
                </c:pt>
                <c:pt idx="9">
                  <c:v>0.34375</c:v>
                </c:pt>
                <c:pt idx="10">
                  <c:v>0.40404040404040403</c:v>
                </c:pt>
                <c:pt idx="11">
                  <c:v>0.42307692307692307</c:v>
                </c:pt>
                <c:pt idx="12">
                  <c:v>0.44374999999999998</c:v>
                </c:pt>
                <c:pt idx="13">
                  <c:v>0.4606741573033708</c:v>
                </c:pt>
                <c:pt idx="14">
                  <c:v>0.47023809523809523</c:v>
                </c:pt>
                <c:pt idx="15">
                  <c:v>0.47435897435897434</c:v>
                </c:pt>
                <c:pt idx="16">
                  <c:v>0.47435897435897434</c:v>
                </c:pt>
                <c:pt idx="17">
                  <c:v>0.48192771084337349</c:v>
                </c:pt>
                <c:pt idx="18">
                  <c:v>0.5</c:v>
                </c:pt>
                <c:pt idx="19">
                  <c:v>0.510752688172043</c:v>
                </c:pt>
                <c:pt idx="20">
                  <c:v>0.52631578947368418</c:v>
                </c:pt>
                <c:pt idx="21">
                  <c:v>0.54069767441860461</c:v>
                </c:pt>
                <c:pt idx="22">
                  <c:v>0.54545454545454541</c:v>
                </c:pt>
                <c:pt idx="23">
                  <c:v>0.55555555555555558</c:v>
                </c:pt>
                <c:pt idx="24">
                  <c:v>0.55789473684210522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summary!$Y$5</c:f>
              <c:strCache>
                <c:ptCount val="1"/>
                <c:pt idx="0">
                  <c:v>Curve fit: Qb</c:v>
                </c:pt>
              </c:strCache>
            </c:strRef>
          </c:tx>
          <c:spPr>
            <a:ln w="1905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summary!$S$8:$S$63</c:f>
              <c:numCache>
                <c:formatCode>General</c:formatCode>
                <c:ptCount val="56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  <c:pt idx="51">
                  <c:v>1.01E-2</c:v>
                </c:pt>
                <c:pt idx="52">
                  <c:v>1.0200000000000001E-2</c:v>
                </c:pt>
                <c:pt idx="53">
                  <c:v>1.03E-2</c:v>
                </c:pt>
                <c:pt idx="54">
                  <c:v>1.04E-2</c:v>
                </c:pt>
                <c:pt idx="55">
                  <c:v>1.0500000000000001E-2</c:v>
                </c:pt>
              </c:numCache>
            </c:numRef>
          </c:xVal>
          <c:yVal>
            <c:numRef>
              <c:f>summary!$Y$8:$Y$63</c:f>
              <c:numCache>
                <c:formatCode>General</c:formatCode>
                <c:ptCount val="56"/>
                <c:pt idx="0">
                  <c:v>0.18026946172465141</c:v>
                </c:pt>
                <c:pt idx="1">
                  <c:v>0.19166392124373033</c:v>
                </c:pt>
                <c:pt idx="2">
                  <c:v>0.2028075766831039</c:v>
                </c:pt>
                <c:pt idx="3">
                  <c:v>0.21371061510907374</c:v>
                </c:pt>
                <c:pt idx="4">
                  <c:v>0.22438262733539105</c:v>
                </c:pt>
                <c:pt idx="5">
                  <c:v>0.23483265311161361</c:v>
                </c:pt>
                <c:pt idx="6">
                  <c:v>0.24506922213501614</c:v>
                </c:pt>
                <c:pt idx="7">
                  <c:v>0.2551003913390204</c:v>
                </c:pt>
                <c:pt idx="8">
                  <c:v>0.26493377885506675</c:v>
                </c:pt>
                <c:pt idx="9">
                  <c:v>0.27457659499643228</c:v>
                </c:pt>
                <c:pt idx="10">
                  <c:v>0.2840356705707423</c:v>
                </c:pt>
                <c:pt idx="11">
                  <c:v>0.29331748279182257</c:v>
                </c:pt>
                <c:pt idx="12">
                  <c:v>0.30242817903011865</c:v>
                </c:pt>
                <c:pt idx="13">
                  <c:v>0.31137359861366853</c:v>
                </c:pt>
                <c:pt idx="14">
                  <c:v>0.32015929286778722</c:v>
                </c:pt>
                <c:pt idx="15">
                  <c:v>0.32879054356083603</c:v>
                </c:pt>
                <c:pt idx="16">
                  <c:v>0.33727237990524017</c:v>
                </c:pt>
                <c:pt idx="17">
                  <c:v>0.34560959424691884</c:v>
                </c:pt>
                <c:pt idx="18">
                  <c:v>0.35380675656223026</c:v>
                </c:pt>
                <c:pt idx="19">
                  <c:v>0.36186822786913808</c:v>
                </c:pt>
                <c:pt idx="20">
                  <c:v>0.36979817264837145</c:v>
                </c:pt>
                <c:pt idx="21">
                  <c:v>0.37760057036064332</c:v>
                </c:pt>
                <c:pt idx="22">
                  <c:v>0.38527922613743648</c:v>
                </c:pt>
                <c:pt idx="23">
                  <c:v>0.39283778071522324</c:v>
                </c:pt>
                <c:pt idx="24">
                  <c:v>0.40027971967622555</c:v>
                </c:pt>
                <c:pt idx="25">
                  <c:v>0.40760838205276162</c:v>
                </c:pt>
                <c:pt idx="26">
                  <c:v>0.41482696834687083</c:v>
                </c:pt>
                <c:pt idx="27">
                  <c:v>0.4219385480120561</c:v>
                </c:pt>
                <c:pt idx="28">
                  <c:v>0.42894606643969357</c:v>
                </c:pt>
                <c:pt idx="29">
                  <c:v>0.43585235148879509</c:v>
                </c:pt>
                <c:pt idx="30">
                  <c:v>0.44266011959433449</c:v>
                </c:pt>
                <c:pt idx="31">
                  <c:v>0.44937198148623425</c:v>
                </c:pt>
                <c:pt idx="32">
                  <c:v>0.45599044754828322</c:v>
                </c:pt>
                <c:pt idx="33">
                  <c:v>0.46251793284376719</c:v>
                </c:pt>
                <c:pt idx="34">
                  <c:v>0.46895676183225943</c:v>
                </c:pt>
                <c:pt idx="35">
                  <c:v>0.47530917279999141</c:v>
                </c:pt>
                <c:pt idx="36">
                  <c:v>0.48157732202433401</c:v>
                </c:pt>
                <c:pt idx="37">
                  <c:v>0.48776328769123634</c:v>
                </c:pt>
                <c:pt idx="38">
                  <c:v>0.49386907358292698</c:v>
                </c:pt>
                <c:pt idx="39">
                  <c:v>0.49989661255180895</c:v>
                </c:pt>
                <c:pt idx="40">
                  <c:v>0.50584776979516466</c:v>
                </c:pt>
                <c:pt idx="41">
                  <c:v>0.51172434594419336</c:v>
                </c:pt>
                <c:pt idx="42">
                  <c:v>0.51752807997980765</c:v>
                </c:pt>
                <c:pt idx="43">
                  <c:v>0.52326065198666827</c:v>
                </c:pt>
                <c:pt idx="44">
                  <c:v>0.52892368575608284</c:v>
                </c:pt>
                <c:pt idx="45">
                  <c:v>0.53451875124753911</c:v>
                </c:pt>
                <c:pt idx="46">
                  <c:v>0.54004736691799149</c:v>
                </c:pt>
                <c:pt idx="47">
                  <c:v>0.54551100192726931</c:v>
                </c:pt>
                <c:pt idx="48">
                  <c:v>0.55091107822741048</c:v>
                </c:pt>
                <c:pt idx="49">
                  <c:v>0.55624897254314654</c:v>
                </c:pt>
                <c:pt idx="50">
                  <c:v>0.56152601825024062</c:v>
                </c:pt>
                <c:pt idx="51">
                  <c:v>0.56674350715791588</c:v>
                </c:pt>
                <c:pt idx="52">
                  <c:v>0.57190269120115822</c:v>
                </c:pt>
                <c:pt idx="53">
                  <c:v>0.5770047840483028</c:v>
                </c:pt>
                <c:pt idx="54">
                  <c:v>0.58205096262890255</c:v>
                </c:pt>
                <c:pt idx="55">
                  <c:v>0.58704236858656422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48016"/>
        <c:axId val="253847456"/>
        <c:extLst/>
      </c:scatterChart>
      <c:scatterChart>
        <c:scatterStyle val="lineMarker"/>
        <c:varyColors val="0"/>
        <c:ser>
          <c:idx val="1"/>
          <c:order val="2"/>
          <c:tx>
            <c:strRef>
              <c:f>summary!$N$12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summary!$D$13:$D$37</c:f>
              <c:numCache>
                <c:formatCode>General</c:formatCode>
                <c:ptCount val="25"/>
                <c:pt idx="0">
                  <c:v>5.1909090909090941E-3</c:v>
                </c:pt>
                <c:pt idx="1">
                  <c:v>5.0809523809523839E-3</c:v>
                </c:pt>
                <c:pt idx="2">
                  <c:v>5.5258426966292191E-3</c:v>
                </c:pt>
                <c:pt idx="3">
                  <c:v>6.058749999999999E-3</c:v>
                </c:pt>
                <c:pt idx="4">
                  <c:v>6.4648351648351667E-3</c:v>
                </c:pt>
                <c:pt idx="5">
                  <c:v>6.2452830188679219E-3</c:v>
                </c:pt>
                <c:pt idx="6">
                  <c:v>6.8438775510204046E-3</c:v>
                </c:pt>
                <c:pt idx="7">
                  <c:v>7.1361445783132554E-3</c:v>
                </c:pt>
                <c:pt idx="8">
                  <c:v>7.0864077669902928E-3</c:v>
                </c:pt>
                <c:pt idx="9">
                  <c:v>6.9150442477876111E-3</c:v>
                </c:pt>
                <c:pt idx="10">
                  <c:v>7.4189999999999985E-3</c:v>
                </c:pt>
                <c:pt idx="11">
                  <c:v>7.5962025316455677E-3</c:v>
                </c:pt>
                <c:pt idx="12">
                  <c:v>7.8049382716049382E-3</c:v>
                </c:pt>
                <c:pt idx="13">
                  <c:v>7.9733333333333305E-3</c:v>
                </c:pt>
                <c:pt idx="14">
                  <c:v>8.278823529411769E-3</c:v>
                </c:pt>
                <c:pt idx="15">
                  <c:v>8.1860759493670877E-3</c:v>
                </c:pt>
                <c:pt idx="16">
                  <c:v>8.4303797468354459E-3</c:v>
                </c:pt>
                <c:pt idx="17">
                  <c:v>8.4142857142857162E-3</c:v>
                </c:pt>
                <c:pt idx="18">
                  <c:v>9.0442857142857148E-3</c:v>
                </c:pt>
                <c:pt idx="19">
                  <c:v>9.1361702127659584E-3</c:v>
                </c:pt>
                <c:pt idx="20">
                  <c:v>9.3857142857142872E-3</c:v>
                </c:pt>
                <c:pt idx="21">
                  <c:v>9.4333333333333352E-3</c:v>
                </c:pt>
                <c:pt idx="22">
                  <c:v>9.8157303370786462E-3</c:v>
                </c:pt>
                <c:pt idx="23">
                  <c:v>1.0117187500000006E-2</c:v>
                </c:pt>
                <c:pt idx="24">
                  <c:v>1.0005208333333338E-2</c:v>
                </c:pt>
              </c:numCache>
            </c:numRef>
          </c:xVal>
          <c:yVal>
            <c:numRef>
              <c:f>summary!$N$13:$N$37</c:f>
              <c:numCache>
                <c:formatCode>General</c:formatCode>
                <c:ptCount val="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46336"/>
        <c:axId val="253846896"/>
      </c:scatterChart>
      <c:valAx>
        <c:axId val="253848016"/>
        <c:scaling>
          <c:orientation val="minMax"/>
          <c:max val="1.05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Q [m³/s]</a:t>
                </a:r>
              </a:p>
            </c:rich>
          </c:tx>
          <c:layout>
            <c:manualLayout>
              <c:xMode val="edge"/>
              <c:yMode val="edge"/>
              <c:x val="0.37873505395158941"/>
              <c:y val="0.83011274049459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847456"/>
        <c:crosses val="autoZero"/>
        <c:crossBetween val="midCat"/>
        <c:majorUnit val="1.0000000000000002E-3"/>
        <c:minorUnit val="5.0000000000000012E-4"/>
      </c:valAx>
      <c:valAx>
        <c:axId val="2538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Qs [kg/s]</a:t>
                </a:r>
              </a:p>
            </c:rich>
          </c:tx>
          <c:layout>
            <c:manualLayout>
              <c:xMode val="edge"/>
              <c:yMode val="edge"/>
              <c:x val="9.1546767521761621E-3"/>
              <c:y val="0.31731099841033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848016"/>
        <c:crosses val="autoZero"/>
        <c:crossBetween val="midCat"/>
      </c:valAx>
      <c:valAx>
        <c:axId val="253846896"/>
        <c:scaling>
          <c:orientation val="minMax"/>
          <c:max val="2.8000000000000004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ratio Qb/Q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846336"/>
        <c:crosses val="max"/>
        <c:crossBetween val="midCat"/>
        <c:majorUnit val="4.000000000000001E-3"/>
      </c:valAx>
      <c:valAx>
        <c:axId val="2538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84689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6443321330456"/>
          <c:y val="0.89291473428206791"/>
          <c:w val="0.60314642914498462"/>
          <c:h val="5.255931999325772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CH" sz="1400"/>
              <a:t>Q - h</a:t>
            </a:r>
          </a:p>
        </c:rich>
      </c:tx>
      <c:layout>
        <c:manualLayout>
          <c:xMode val="edge"/>
          <c:yMode val="edge"/>
          <c:x val="0.50861111111111112"/>
          <c:y val="7.8287461773700301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25721784776902"/>
          <c:y val="3.9606444903836427E-2"/>
          <c:w val="0.76111657917760278"/>
          <c:h val="0.72904370439933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summary!$T$5</c:f>
              <c:strCache>
                <c:ptCount val="1"/>
                <c:pt idx="0">
                  <c:v>Curve fit: US 1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ysClr val="windowText" lastClr="000000">
                  <a:lumMod val="50000"/>
                  <a:lumOff val="50000"/>
                </a:sys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summary!$S$8:$S$58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</c:numCache>
              <c:extLst xmlns:c15="http://schemas.microsoft.com/office/drawing/2012/chart"/>
            </c:numRef>
          </c:xVal>
          <c:yVal>
            <c:numRef>
              <c:f>summary!$T$8:$T$58</c:f>
              <c:numCache>
                <c:formatCode>General</c:formatCode>
                <c:ptCount val="51"/>
                <c:pt idx="0">
                  <c:v>2.8601710844174046E-2</c:v>
                </c:pt>
                <c:pt idx="1">
                  <c:v>2.8813873210999492E-2</c:v>
                </c:pt>
                <c:pt idx="2">
                  <c:v>2.9026035577824943E-2</c:v>
                </c:pt>
                <c:pt idx="3">
                  <c:v>2.923819794465039E-2</c:v>
                </c:pt>
                <c:pt idx="4">
                  <c:v>2.945036031147584E-2</c:v>
                </c:pt>
                <c:pt idx="5">
                  <c:v>2.9662522678301287E-2</c:v>
                </c:pt>
                <c:pt idx="6">
                  <c:v>2.9874685045126734E-2</c:v>
                </c:pt>
                <c:pt idx="7">
                  <c:v>3.0086847411952181E-2</c:v>
                </c:pt>
                <c:pt idx="8">
                  <c:v>3.0299009778777627E-2</c:v>
                </c:pt>
                <c:pt idx="9">
                  <c:v>3.0511172145603081E-2</c:v>
                </c:pt>
                <c:pt idx="10">
                  <c:v>3.0723334512428528E-2</c:v>
                </c:pt>
                <c:pt idx="11">
                  <c:v>3.0935496879253975E-2</c:v>
                </c:pt>
                <c:pt idx="12">
                  <c:v>3.1147659246079422E-2</c:v>
                </c:pt>
                <c:pt idx="13">
                  <c:v>3.1359821612904869E-2</c:v>
                </c:pt>
                <c:pt idx="14">
                  <c:v>3.1571983979730323E-2</c:v>
                </c:pt>
                <c:pt idx="15">
                  <c:v>3.1784146346555749E-2</c:v>
                </c:pt>
                <c:pt idx="16">
                  <c:v>3.1996308713381195E-2</c:v>
                </c:pt>
                <c:pt idx="17">
                  <c:v>3.2208471080206642E-2</c:v>
                </c:pt>
                <c:pt idx="18">
                  <c:v>3.2420633447032089E-2</c:v>
                </c:pt>
                <c:pt idx="19">
                  <c:v>3.2632795813857536E-2</c:v>
                </c:pt>
                <c:pt idx="20">
                  <c:v>3.284495818068299E-2</c:v>
                </c:pt>
                <c:pt idx="21">
                  <c:v>3.3057120547508437E-2</c:v>
                </c:pt>
                <c:pt idx="22">
                  <c:v>3.3269282914333884E-2</c:v>
                </c:pt>
                <c:pt idx="23">
                  <c:v>3.348144528115933E-2</c:v>
                </c:pt>
                <c:pt idx="24">
                  <c:v>3.3693607647984777E-2</c:v>
                </c:pt>
                <c:pt idx="25">
                  <c:v>3.3905770014810224E-2</c:v>
                </c:pt>
                <c:pt idx="26">
                  <c:v>3.4117932381635671E-2</c:v>
                </c:pt>
                <c:pt idx="27">
                  <c:v>3.4330094748461125E-2</c:v>
                </c:pt>
                <c:pt idx="28">
                  <c:v>3.4542257115286572E-2</c:v>
                </c:pt>
                <c:pt idx="29">
                  <c:v>3.4754419482112019E-2</c:v>
                </c:pt>
                <c:pt idx="30">
                  <c:v>3.4966581848937466E-2</c:v>
                </c:pt>
                <c:pt idx="31">
                  <c:v>3.5178744215762919E-2</c:v>
                </c:pt>
                <c:pt idx="32">
                  <c:v>3.5390906582588366E-2</c:v>
                </c:pt>
                <c:pt idx="33">
                  <c:v>3.5603068949413813E-2</c:v>
                </c:pt>
                <c:pt idx="34">
                  <c:v>3.581523131623926E-2</c:v>
                </c:pt>
                <c:pt idx="35">
                  <c:v>3.6027393683064707E-2</c:v>
                </c:pt>
                <c:pt idx="36">
                  <c:v>3.6239556049890161E-2</c:v>
                </c:pt>
                <c:pt idx="37">
                  <c:v>3.6451718416715607E-2</c:v>
                </c:pt>
                <c:pt idx="38">
                  <c:v>3.6663880783541047E-2</c:v>
                </c:pt>
                <c:pt idx="39">
                  <c:v>3.6876043150366494E-2</c:v>
                </c:pt>
                <c:pt idx="40">
                  <c:v>3.7088205517191941E-2</c:v>
                </c:pt>
                <c:pt idx="41">
                  <c:v>3.7300367884017402E-2</c:v>
                </c:pt>
                <c:pt idx="42">
                  <c:v>3.7512530250842849E-2</c:v>
                </c:pt>
                <c:pt idx="43">
                  <c:v>3.7724692617668268E-2</c:v>
                </c:pt>
                <c:pt idx="44">
                  <c:v>3.7936854984493722E-2</c:v>
                </c:pt>
                <c:pt idx="45">
                  <c:v>3.8149017351319169E-2</c:v>
                </c:pt>
                <c:pt idx="46">
                  <c:v>3.8361179718144615E-2</c:v>
                </c:pt>
                <c:pt idx="47">
                  <c:v>3.8573342084970062E-2</c:v>
                </c:pt>
                <c:pt idx="48">
                  <c:v>3.8785504451795509E-2</c:v>
                </c:pt>
                <c:pt idx="49">
                  <c:v>3.8997666818620963E-2</c:v>
                </c:pt>
                <c:pt idx="50">
                  <c:v>3.920982918544641E-2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1"/>
          <c:tx>
            <c:strRef>
              <c:f>summary!$F$3</c:f>
              <c:strCache>
                <c:ptCount val="1"/>
                <c:pt idx="0">
                  <c:v>h US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summary!$D$38:$D$62</c:f>
              <c:numCache>
                <c:formatCode>General</c:formatCode>
                <c:ptCount val="25"/>
                <c:pt idx="0">
                  <c:v>5.1285714285714311E-3</c:v>
                </c:pt>
                <c:pt idx="1">
                  <c:v>5.0121212121212065E-3</c:v>
                </c:pt>
                <c:pt idx="2">
                  <c:v>5.6243243243243261E-3</c:v>
                </c:pt>
                <c:pt idx="3">
                  <c:v>5.9905882352941173E-3</c:v>
                </c:pt>
                <c:pt idx="4">
                  <c:v>6.3847953216374202E-3</c:v>
                </c:pt>
                <c:pt idx="5">
                  <c:v>6.3157407407407398E-3</c:v>
                </c:pt>
                <c:pt idx="6">
                  <c:v>6.8134328358208972E-3</c:v>
                </c:pt>
                <c:pt idx="7">
                  <c:v>7.1731707317073219E-3</c:v>
                </c:pt>
                <c:pt idx="8">
                  <c:v>7.1562130177514815E-3</c:v>
                </c:pt>
                <c:pt idx="9">
                  <c:v>6.9505494505494453E-3</c:v>
                </c:pt>
                <c:pt idx="10">
                  <c:v>7.4271999999999923E-3</c:v>
                </c:pt>
                <c:pt idx="11">
                  <c:v>7.5462686567164218E-3</c:v>
                </c:pt>
                <c:pt idx="12">
                  <c:v>7.7556338028168959E-3</c:v>
                </c:pt>
                <c:pt idx="13">
                  <c:v>8.0015999999999993E-3</c:v>
                </c:pt>
                <c:pt idx="14">
                  <c:v>8.1735999999999979E-3</c:v>
                </c:pt>
                <c:pt idx="15">
                  <c:v>8.1615999999999946E-3</c:v>
                </c:pt>
                <c:pt idx="16">
                  <c:v>8.32209302325582E-3</c:v>
                </c:pt>
                <c:pt idx="17">
                  <c:v>8.4240740740740578E-3</c:v>
                </c:pt>
                <c:pt idx="18">
                  <c:v>8.9518072289156616E-3</c:v>
                </c:pt>
                <c:pt idx="19">
                  <c:v>9.1212765957446665E-3</c:v>
                </c:pt>
                <c:pt idx="20">
                  <c:v>9.2375000000000027E-3</c:v>
                </c:pt>
                <c:pt idx="21">
                  <c:v>9.4630136986301443E-3</c:v>
                </c:pt>
                <c:pt idx="22">
                  <c:v>9.7362500000000018E-3</c:v>
                </c:pt>
                <c:pt idx="23">
                  <c:v>1.0039583333333336E-2</c:v>
                </c:pt>
                <c:pt idx="24">
                  <c:v>1.0021428571428572E-2</c:v>
                </c:pt>
              </c:numCache>
            </c:numRef>
          </c:xVal>
          <c:yVal>
            <c:numRef>
              <c:f>summary!$F$38:$F$62</c:f>
              <c:numCache>
                <c:formatCode>0.000000</c:formatCode>
                <c:ptCount val="25"/>
                <c:pt idx="0">
                  <c:v>2.8503606793261291E-2</c:v>
                </c:pt>
                <c:pt idx="1">
                  <c:v>2.8788095290826224E-2</c:v>
                </c:pt>
                <c:pt idx="2">
                  <c:v>2.9648178005381897E-2</c:v>
                </c:pt>
                <c:pt idx="3">
                  <c:v>3.0696942481136153E-2</c:v>
                </c:pt>
                <c:pt idx="4">
                  <c:v>3.2103946141564962E-2</c:v>
                </c:pt>
                <c:pt idx="5">
                  <c:v>3.1705769010872457E-2</c:v>
                </c:pt>
                <c:pt idx="6" formatCode="General">
                  <c:v>3.295385781972672E-2</c:v>
                </c:pt>
                <c:pt idx="7">
                  <c:v>3.3430214104764128E-2</c:v>
                </c:pt>
                <c:pt idx="8">
                  <c:v>3.3157462678479917E-2</c:v>
                </c:pt>
                <c:pt idx="9" formatCode="General">
                  <c:v>3.226412103199431E-2</c:v>
                </c:pt>
                <c:pt idx="11" formatCode="General">
                  <c:v>3.4026658283467487E-2</c:v>
                </c:pt>
                <c:pt idx="12" formatCode="General">
                  <c:v>3.4112582733325923E-2</c:v>
                </c:pt>
                <c:pt idx="13" formatCode="General">
                  <c:v>3.4778267966089585E-2</c:v>
                </c:pt>
                <c:pt idx="14" formatCode="General">
                  <c:v>3.5014472528734859E-2</c:v>
                </c:pt>
                <c:pt idx="15" formatCode="General">
                  <c:v>3.495877424931574E-2</c:v>
                </c:pt>
                <c:pt idx="16" formatCode="General">
                  <c:v>3.5407787909091271E-2</c:v>
                </c:pt>
                <c:pt idx="17" formatCode="General">
                  <c:v>3.6216316568640577E-2</c:v>
                </c:pt>
                <c:pt idx="18" formatCode="General">
                  <c:v>3.6926637379436494E-2</c:v>
                </c:pt>
                <c:pt idx="19" formatCode="General">
                  <c:v>3.753602662808838E-2</c:v>
                </c:pt>
                <c:pt idx="20">
                  <c:v>3.8343925940313994E-2</c:v>
                </c:pt>
                <c:pt idx="21">
                  <c:v>3.804151259740856E-2</c:v>
                </c:pt>
                <c:pt idx="22">
                  <c:v>3.9008477649587904E-2</c:v>
                </c:pt>
                <c:pt idx="23">
                  <c:v>3.9100483567018375E-2</c:v>
                </c:pt>
                <c:pt idx="24">
                  <c:v>3.8893747037782513E-2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summary!$U$5</c:f>
              <c:strCache>
                <c:ptCount val="1"/>
                <c:pt idx="0">
                  <c:v>Curve fit: US 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summary!$S$8:$S$58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</c:numCache>
              <c:extLst xmlns:c15="http://schemas.microsoft.com/office/drawing/2012/chart"/>
            </c:numRef>
          </c:xVal>
          <c:yVal>
            <c:numRef>
              <c:f>summary!$U$8:$U$58</c:f>
              <c:numCache>
                <c:formatCode>General</c:formatCode>
                <c:ptCount val="51"/>
                <c:pt idx="0">
                  <c:v>2.6358205457511025E-2</c:v>
                </c:pt>
                <c:pt idx="1">
                  <c:v>2.655272485424999E-2</c:v>
                </c:pt>
                <c:pt idx="2">
                  <c:v>2.6747244250988962E-2</c:v>
                </c:pt>
                <c:pt idx="3">
                  <c:v>2.6941763647727934E-2</c:v>
                </c:pt>
                <c:pt idx="4">
                  <c:v>2.7136283044466906E-2</c:v>
                </c:pt>
                <c:pt idx="5">
                  <c:v>2.7330802441205872E-2</c:v>
                </c:pt>
                <c:pt idx="6">
                  <c:v>2.7525321837944844E-2</c:v>
                </c:pt>
                <c:pt idx="7">
                  <c:v>2.7719841234683816E-2</c:v>
                </c:pt>
                <c:pt idx="8">
                  <c:v>2.7914360631422785E-2</c:v>
                </c:pt>
                <c:pt idx="9">
                  <c:v>2.8108880028161757E-2</c:v>
                </c:pt>
                <c:pt idx="10">
                  <c:v>2.8303399424900726E-2</c:v>
                </c:pt>
                <c:pt idx="11">
                  <c:v>2.8497918821639698E-2</c:v>
                </c:pt>
                <c:pt idx="12">
                  <c:v>2.869243821837867E-2</c:v>
                </c:pt>
                <c:pt idx="13">
                  <c:v>2.8886957615117635E-2</c:v>
                </c:pt>
                <c:pt idx="14">
                  <c:v>2.9081477011856607E-2</c:v>
                </c:pt>
                <c:pt idx="15">
                  <c:v>2.9275996408595559E-2</c:v>
                </c:pt>
                <c:pt idx="16">
                  <c:v>2.9470515805334531E-2</c:v>
                </c:pt>
                <c:pt idx="17">
                  <c:v>2.9665035202073503E-2</c:v>
                </c:pt>
                <c:pt idx="18">
                  <c:v>2.9859554598812468E-2</c:v>
                </c:pt>
                <c:pt idx="19">
                  <c:v>3.005407399555144E-2</c:v>
                </c:pt>
                <c:pt idx="20">
                  <c:v>3.0248593392290413E-2</c:v>
                </c:pt>
                <c:pt idx="21">
                  <c:v>3.0443112789029381E-2</c:v>
                </c:pt>
                <c:pt idx="22">
                  <c:v>3.063763218576835E-2</c:v>
                </c:pt>
                <c:pt idx="23">
                  <c:v>3.0832151582507322E-2</c:v>
                </c:pt>
                <c:pt idx="24">
                  <c:v>3.1026670979246291E-2</c:v>
                </c:pt>
                <c:pt idx="25">
                  <c:v>3.1221190375985263E-2</c:v>
                </c:pt>
                <c:pt idx="26">
                  <c:v>3.1415709772724232E-2</c:v>
                </c:pt>
                <c:pt idx="27">
                  <c:v>3.1610229169463204E-2</c:v>
                </c:pt>
                <c:pt idx="28">
                  <c:v>3.1804748566202176E-2</c:v>
                </c:pt>
                <c:pt idx="29">
                  <c:v>3.1999267962941141E-2</c:v>
                </c:pt>
                <c:pt idx="30">
                  <c:v>3.2193787359680114E-2</c:v>
                </c:pt>
                <c:pt idx="31">
                  <c:v>3.2388306756419086E-2</c:v>
                </c:pt>
                <c:pt idx="32">
                  <c:v>3.2582826153158051E-2</c:v>
                </c:pt>
                <c:pt idx="33">
                  <c:v>3.2777345549897023E-2</c:v>
                </c:pt>
                <c:pt idx="34">
                  <c:v>3.2971864946635995E-2</c:v>
                </c:pt>
                <c:pt idx="35">
                  <c:v>3.3166384343374967E-2</c:v>
                </c:pt>
                <c:pt idx="36">
                  <c:v>3.336090374011394E-2</c:v>
                </c:pt>
                <c:pt idx="37">
                  <c:v>3.3555423136852905E-2</c:v>
                </c:pt>
                <c:pt idx="38">
                  <c:v>3.3749942533591877E-2</c:v>
                </c:pt>
                <c:pt idx="39">
                  <c:v>3.3944461930330849E-2</c:v>
                </c:pt>
                <c:pt idx="40">
                  <c:v>3.4138981327069814E-2</c:v>
                </c:pt>
                <c:pt idx="41">
                  <c:v>3.4333500723808794E-2</c:v>
                </c:pt>
                <c:pt idx="42">
                  <c:v>3.4528020120547759E-2</c:v>
                </c:pt>
                <c:pt idx="43">
                  <c:v>3.472253951728671E-2</c:v>
                </c:pt>
                <c:pt idx="44">
                  <c:v>3.4917058914025682E-2</c:v>
                </c:pt>
                <c:pt idx="45">
                  <c:v>3.5111578310764655E-2</c:v>
                </c:pt>
                <c:pt idx="46">
                  <c:v>3.530609770750362E-2</c:v>
                </c:pt>
                <c:pt idx="47">
                  <c:v>3.5500617104242592E-2</c:v>
                </c:pt>
                <c:pt idx="48">
                  <c:v>3.5695136500981564E-2</c:v>
                </c:pt>
                <c:pt idx="49">
                  <c:v>3.5889655897720536E-2</c:v>
                </c:pt>
                <c:pt idx="50">
                  <c:v>3.6084175294459508E-2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3"/>
          <c:tx>
            <c:strRef>
              <c:f>summary!$G$3</c:f>
              <c:strCache>
                <c:ptCount val="1"/>
                <c:pt idx="0">
                  <c:v>h US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summary!$D$38:$D$62</c:f>
              <c:numCache>
                <c:formatCode>General</c:formatCode>
                <c:ptCount val="25"/>
                <c:pt idx="0">
                  <c:v>5.1285714285714311E-3</c:v>
                </c:pt>
                <c:pt idx="1">
                  <c:v>5.0121212121212065E-3</c:v>
                </c:pt>
                <c:pt idx="2">
                  <c:v>5.6243243243243261E-3</c:v>
                </c:pt>
                <c:pt idx="3">
                  <c:v>5.9905882352941173E-3</c:v>
                </c:pt>
                <c:pt idx="4">
                  <c:v>6.3847953216374202E-3</c:v>
                </c:pt>
                <c:pt idx="5">
                  <c:v>6.3157407407407398E-3</c:v>
                </c:pt>
                <c:pt idx="6">
                  <c:v>6.8134328358208972E-3</c:v>
                </c:pt>
                <c:pt idx="7">
                  <c:v>7.1731707317073219E-3</c:v>
                </c:pt>
                <c:pt idx="8">
                  <c:v>7.1562130177514815E-3</c:v>
                </c:pt>
                <c:pt idx="9">
                  <c:v>6.9505494505494453E-3</c:v>
                </c:pt>
                <c:pt idx="10">
                  <c:v>7.4271999999999923E-3</c:v>
                </c:pt>
                <c:pt idx="11">
                  <c:v>7.5462686567164218E-3</c:v>
                </c:pt>
                <c:pt idx="12">
                  <c:v>7.7556338028168959E-3</c:v>
                </c:pt>
                <c:pt idx="13">
                  <c:v>8.0015999999999993E-3</c:v>
                </c:pt>
                <c:pt idx="14">
                  <c:v>8.1735999999999979E-3</c:v>
                </c:pt>
                <c:pt idx="15">
                  <c:v>8.1615999999999946E-3</c:v>
                </c:pt>
                <c:pt idx="16">
                  <c:v>8.32209302325582E-3</c:v>
                </c:pt>
                <c:pt idx="17">
                  <c:v>8.4240740740740578E-3</c:v>
                </c:pt>
                <c:pt idx="18">
                  <c:v>8.9518072289156616E-3</c:v>
                </c:pt>
                <c:pt idx="19">
                  <c:v>9.1212765957446665E-3</c:v>
                </c:pt>
                <c:pt idx="20">
                  <c:v>9.2375000000000027E-3</c:v>
                </c:pt>
                <c:pt idx="21">
                  <c:v>9.4630136986301443E-3</c:v>
                </c:pt>
                <c:pt idx="22">
                  <c:v>9.7362500000000018E-3</c:v>
                </c:pt>
                <c:pt idx="23">
                  <c:v>1.0039583333333336E-2</c:v>
                </c:pt>
                <c:pt idx="24">
                  <c:v>1.0021428571428572E-2</c:v>
                </c:pt>
              </c:numCache>
            </c:numRef>
          </c:xVal>
          <c:yVal>
            <c:numRef>
              <c:f>summary!$G$38:$G$62</c:f>
              <c:numCache>
                <c:formatCode>0.000000</c:formatCode>
                <c:ptCount val="25"/>
                <c:pt idx="0">
                  <c:v>2.6798063696395081E-2</c:v>
                </c:pt>
                <c:pt idx="1">
                  <c:v>2.6652051383568954E-2</c:v>
                </c:pt>
                <c:pt idx="2">
                  <c:v>2.7838709946337723E-2</c:v>
                </c:pt>
                <c:pt idx="3">
                  <c:v>2.8404154867181893E-2</c:v>
                </c:pt>
                <c:pt idx="4">
                  <c:v>2.9001954194440675E-2</c:v>
                </c:pt>
                <c:pt idx="5">
                  <c:v>2.8879251208971415E-2</c:v>
                </c:pt>
                <c:pt idx="6" formatCode="General">
                  <c:v>2.9744846636597124E-2</c:v>
                </c:pt>
                <c:pt idx="7">
                  <c:v>3.0528871314514469E-2</c:v>
                </c:pt>
                <c:pt idx="8">
                  <c:v>3.0482223107367985E-2</c:v>
                </c:pt>
                <c:pt idx="9" formatCode="General">
                  <c:v>2.9874037958619815E-2</c:v>
                </c:pt>
                <c:pt idx="11" formatCode="General">
                  <c:v>3.1273706563322921E-2</c:v>
                </c:pt>
                <c:pt idx="12" formatCode="General">
                  <c:v>3.1631612841098715E-2</c:v>
                </c:pt>
                <c:pt idx="13" formatCode="General">
                  <c:v>3.1748020683763804E-2</c:v>
                </c:pt>
                <c:pt idx="14" formatCode="General">
                  <c:v>3.2322062654405403E-2</c:v>
                </c:pt>
                <c:pt idx="15" formatCode="General">
                  <c:v>3.1501417567658743E-2</c:v>
                </c:pt>
                <c:pt idx="16" formatCode="General">
                  <c:v>3.2517148104274571E-2</c:v>
                </c:pt>
                <c:pt idx="17" formatCode="General">
                  <c:v>3.3244937556374858E-2</c:v>
                </c:pt>
                <c:pt idx="18" formatCode="General">
                  <c:v>3.3901110327272492E-2</c:v>
                </c:pt>
                <c:pt idx="19" formatCode="General">
                  <c:v>3.4316693325835243E-2</c:v>
                </c:pt>
                <c:pt idx="20">
                  <c:v>3.5117069023256765E-2</c:v>
                </c:pt>
                <c:pt idx="21">
                  <c:v>3.5250206023639409E-2</c:v>
                </c:pt>
                <c:pt idx="22">
                  <c:v>3.5560620208329403E-2</c:v>
                </c:pt>
                <c:pt idx="23">
                  <c:v>3.6242800904342891E-2</c:v>
                </c:pt>
                <c:pt idx="24">
                  <c:v>3.6578206941389184E-2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summary!$V$5</c:f>
              <c:strCache>
                <c:ptCount val="1"/>
                <c:pt idx="0">
                  <c:v>Curve fit: US 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summary!$S$8:$S$58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</c:numCache>
              <c:extLst xmlns:c15="http://schemas.microsoft.com/office/drawing/2012/chart"/>
            </c:numRef>
          </c:xVal>
          <c:yVal>
            <c:numRef>
              <c:f>summary!$V$8:$V$58</c:f>
              <c:numCache>
                <c:formatCode>General</c:formatCode>
                <c:ptCount val="51"/>
                <c:pt idx="0">
                  <c:v>2.9232335454697517E-2</c:v>
                </c:pt>
                <c:pt idx="1">
                  <c:v>2.9452103020240275E-2</c:v>
                </c:pt>
                <c:pt idx="2">
                  <c:v>2.9671870585783033E-2</c:v>
                </c:pt>
                <c:pt idx="3">
                  <c:v>2.989163815132579E-2</c:v>
                </c:pt>
                <c:pt idx="4">
                  <c:v>3.0111405716868548E-2</c:v>
                </c:pt>
                <c:pt idx="5">
                  <c:v>3.0331173282411306E-2</c:v>
                </c:pt>
                <c:pt idx="6">
                  <c:v>3.055094084795406E-2</c:v>
                </c:pt>
                <c:pt idx="7">
                  <c:v>3.0770708413496821E-2</c:v>
                </c:pt>
                <c:pt idx="8">
                  <c:v>3.0990475979039575E-2</c:v>
                </c:pt>
                <c:pt idx="9">
                  <c:v>3.1210243544582336E-2</c:v>
                </c:pt>
                <c:pt idx="10">
                  <c:v>3.143001111012509E-2</c:v>
                </c:pt>
                <c:pt idx="11">
                  <c:v>3.1649778675667845E-2</c:v>
                </c:pt>
                <c:pt idx="12">
                  <c:v>3.1869546241210606E-2</c:v>
                </c:pt>
                <c:pt idx="13">
                  <c:v>3.2089313806753367E-2</c:v>
                </c:pt>
                <c:pt idx="14">
                  <c:v>3.2309081372296121E-2</c:v>
                </c:pt>
                <c:pt idx="15">
                  <c:v>3.2528848937838854E-2</c:v>
                </c:pt>
                <c:pt idx="16">
                  <c:v>3.2748616503381615E-2</c:v>
                </c:pt>
                <c:pt idx="17">
                  <c:v>3.296838406892437E-2</c:v>
                </c:pt>
                <c:pt idx="18">
                  <c:v>3.3188151634467131E-2</c:v>
                </c:pt>
                <c:pt idx="19">
                  <c:v>3.3407919200009885E-2</c:v>
                </c:pt>
                <c:pt idx="20">
                  <c:v>3.3627686765552646E-2</c:v>
                </c:pt>
                <c:pt idx="21">
                  <c:v>3.38474543310954E-2</c:v>
                </c:pt>
                <c:pt idx="22">
                  <c:v>3.4067221896638161E-2</c:v>
                </c:pt>
                <c:pt idx="23">
                  <c:v>3.4286989462180915E-2</c:v>
                </c:pt>
                <c:pt idx="24">
                  <c:v>3.450675702772367E-2</c:v>
                </c:pt>
                <c:pt idx="25">
                  <c:v>3.4726524593266431E-2</c:v>
                </c:pt>
                <c:pt idx="26">
                  <c:v>3.4946292158809192E-2</c:v>
                </c:pt>
                <c:pt idx="27">
                  <c:v>3.5166059724351946E-2</c:v>
                </c:pt>
                <c:pt idx="28">
                  <c:v>3.53858272898947E-2</c:v>
                </c:pt>
                <c:pt idx="29">
                  <c:v>3.5605594855437461E-2</c:v>
                </c:pt>
                <c:pt idx="30">
                  <c:v>3.5825362420980222E-2</c:v>
                </c:pt>
                <c:pt idx="31">
                  <c:v>3.6045129986522977E-2</c:v>
                </c:pt>
                <c:pt idx="32">
                  <c:v>3.6264897552065731E-2</c:v>
                </c:pt>
                <c:pt idx="33">
                  <c:v>3.6484665117608492E-2</c:v>
                </c:pt>
                <c:pt idx="34">
                  <c:v>3.6704432683151246E-2</c:v>
                </c:pt>
                <c:pt idx="35">
                  <c:v>3.6924200248694E-2</c:v>
                </c:pt>
                <c:pt idx="36">
                  <c:v>3.7143967814236761E-2</c:v>
                </c:pt>
                <c:pt idx="37">
                  <c:v>3.7363735379779522E-2</c:v>
                </c:pt>
                <c:pt idx="38">
                  <c:v>3.7583502945322277E-2</c:v>
                </c:pt>
                <c:pt idx="39">
                  <c:v>3.7803270510865031E-2</c:v>
                </c:pt>
                <c:pt idx="40">
                  <c:v>3.8023038076407792E-2</c:v>
                </c:pt>
                <c:pt idx="41">
                  <c:v>3.8242805641950553E-2</c:v>
                </c:pt>
                <c:pt idx="42">
                  <c:v>3.8462573207493314E-2</c:v>
                </c:pt>
                <c:pt idx="43">
                  <c:v>3.8682340773036047E-2</c:v>
                </c:pt>
                <c:pt idx="44">
                  <c:v>3.8902108338578802E-2</c:v>
                </c:pt>
                <c:pt idx="45">
                  <c:v>3.9121875904121556E-2</c:v>
                </c:pt>
                <c:pt idx="46">
                  <c:v>3.9341643469664317E-2</c:v>
                </c:pt>
                <c:pt idx="47">
                  <c:v>3.9561411035207071E-2</c:v>
                </c:pt>
                <c:pt idx="48">
                  <c:v>3.9781178600749825E-2</c:v>
                </c:pt>
                <c:pt idx="49">
                  <c:v>4.0000946166292586E-2</c:v>
                </c:pt>
                <c:pt idx="50">
                  <c:v>4.0220713731835347E-2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summary!$H$3</c:f>
              <c:strCache>
                <c:ptCount val="1"/>
                <c:pt idx="0">
                  <c:v>h US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</c:marker>
          <c:xVal>
            <c:numRef>
              <c:f>summary!$D$38:$D$62</c:f>
              <c:numCache>
                <c:formatCode>General</c:formatCode>
                <c:ptCount val="25"/>
                <c:pt idx="0">
                  <c:v>5.1285714285714311E-3</c:v>
                </c:pt>
                <c:pt idx="1">
                  <c:v>5.0121212121212065E-3</c:v>
                </c:pt>
                <c:pt idx="2">
                  <c:v>5.6243243243243261E-3</c:v>
                </c:pt>
                <c:pt idx="3">
                  <c:v>5.9905882352941173E-3</c:v>
                </c:pt>
                <c:pt idx="4">
                  <c:v>6.3847953216374202E-3</c:v>
                </c:pt>
                <c:pt idx="5">
                  <c:v>6.3157407407407398E-3</c:v>
                </c:pt>
                <c:pt idx="6">
                  <c:v>6.8134328358208972E-3</c:v>
                </c:pt>
                <c:pt idx="7">
                  <c:v>7.1731707317073219E-3</c:v>
                </c:pt>
                <c:pt idx="8">
                  <c:v>7.1562130177514815E-3</c:v>
                </c:pt>
                <c:pt idx="9">
                  <c:v>6.9505494505494453E-3</c:v>
                </c:pt>
                <c:pt idx="10">
                  <c:v>7.4271999999999923E-3</c:v>
                </c:pt>
                <c:pt idx="11">
                  <c:v>7.5462686567164218E-3</c:v>
                </c:pt>
                <c:pt idx="12">
                  <c:v>7.7556338028168959E-3</c:v>
                </c:pt>
                <c:pt idx="13">
                  <c:v>8.0015999999999993E-3</c:v>
                </c:pt>
                <c:pt idx="14">
                  <c:v>8.1735999999999979E-3</c:v>
                </c:pt>
                <c:pt idx="15">
                  <c:v>8.1615999999999946E-3</c:v>
                </c:pt>
                <c:pt idx="16">
                  <c:v>8.32209302325582E-3</c:v>
                </c:pt>
                <c:pt idx="17">
                  <c:v>8.4240740740740578E-3</c:v>
                </c:pt>
                <c:pt idx="18">
                  <c:v>8.9518072289156616E-3</c:v>
                </c:pt>
                <c:pt idx="19">
                  <c:v>9.1212765957446665E-3</c:v>
                </c:pt>
                <c:pt idx="20">
                  <c:v>9.2375000000000027E-3</c:v>
                </c:pt>
                <c:pt idx="21">
                  <c:v>9.4630136986301443E-3</c:v>
                </c:pt>
                <c:pt idx="22">
                  <c:v>9.7362500000000018E-3</c:v>
                </c:pt>
                <c:pt idx="23">
                  <c:v>1.0039583333333336E-2</c:v>
                </c:pt>
                <c:pt idx="24">
                  <c:v>1.0021428571428572E-2</c:v>
                </c:pt>
              </c:numCache>
            </c:numRef>
          </c:xVal>
          <c:yVal>
            <c:numRef>
              <c:f>summary!$H$38:$H$62</c:f>
              <c:numCache>
                <c:formatCode>0.000000</c:formatCode>
                <c:ptCount val="25"/>
                <c:pt idx="0">
                  <c:v>2.9550973186931492E-2</c:v>
                </c:pt>
                <c:pt idx="1">
                  <c:v>2.923346964660866E-2</c:v>
                </c:pt>
                <c:pt idx="2">
                  <c:v>3.0346700612243701E-2</c:v>
                </c:pt>
                <c:pt idx="3">
                  <c:v>3.1708824986272865E-2</c:v>
                </c:pt>
                <c:pt idx="4">
                  <c:v>3.1969572627167195E-2</c:v>
                </c:pt>
                <c:pt idx="5">
                  <c:v>3.2121621348643374E-2</c:v>
                </c:pt>
                <c:pt idx="6" formatCode="General">
                  <c:v>3.3256357716877974E-2</c:v>
                </c:pt>
                <c:pt idx="7">
                  <c:v>3.3854678973788695E-2</c:v>
                </c:pt>
                <c:pt idx="8">
                  <c:v>3.4057755343505802E-2</c:v>
                </c:pt>
                <c:pt idx="9" formatCode="General">
                  <c:v>3.3521597225790192E-2</c:v>
                </c:pt>
                <c:pt idx="11" formatCode="General">
                  <c:v>3.4549970546957964E-2</c:v>
                </c:pt>
                <c:pt idx="12" formatCode="General">
                  <c:v>3.5516323629285217E-2</c:v>
                </c:pt>
                <c:pt idx="13" formatCode="General">
                  <c:v>3.6585777879973191E-2</c:v>
                </c:pt>
                <c:pt idx="14" formatCode="General">
                  <c:v>3.6662229564793584E-2</c:v>
                </c:pt>
                <c:pt idx="15" formatCode="General">
                  <c:v>3.4619959407028521E-2</c:v>
                </c:pt>
                <c:pt idx="16" formatCode="General">
                  <c:v>3.6875389013459721E-2</c:v>
                </c:pt>
                <c:pt idx="17" formatCode="General">
                  <c:v>3.8253498909096573E-2</c:v>
                </c:pt>
                <c:pt idx="18" formatCode="General">
                  <c:v>3.756975068491774E-2</c:v>
                </c:pt>
                <c:pt idx="19" formatCode="General">
                  <c:v>3.7392370931363675E-2</c:v>
                </c:pt>
                <c:pt idx="20">
                  <c:v>3.8159198637457883E-2</c:v>
                </c:pt>
                <c:pt idx="21">
                  <c:v>3.863462744684909E-2</c:v>
                </c:pt>
                <c:pt idx="22">
                  <c:v>4.0176217369788179E-2</c:v>
                </c:pt>
                <c:pt idx="23">
                  <c:v>4.0849846642393967E-2</c:v>
                </c:pt>
                <c:pt idx="24">
                  <c:v>3.9947086583217897E-2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summary!$W$5</c:f>
              <c:strCache>
                <c:ptCount val="1"/>
                <c:pt idx="0">
                  <c:v>Curve fit: US 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summary!$S$8:$S$58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</c:numCache>
              <c:extLst xmlns:c15="http://schemas.microsoft.com/office/drawing/2012/chart"/>
            </c:numRef>
          </c:xVal>
          <c:yVal>
            <c:numRef>
              <c:f>summary!$W$8:$W$58</c:f>
              <c:numCache>
                <c:formatCode>General</c:formatCode>
                <c:ptCount val="51"/>
                <c:pt idx="0">
                  <c:v>3.5366551643678239E-2</c:v>
                </c:pt>
                <c:pt idx="1">
                  <c:v>3.5603329652545493E-2</c:v>
                </c:pt>
                <c:pt idx="2">
                  <c:v>3.5840107661412747E-2</c:v>
                </c:pt>
                <c:pt idx="3">
                  <c:v>3.6076885670279994E-2</c:v>
                </c:pt>
                <c:pt idx="4">
                  <c:v>3.6313663679147248E-2</c:v>
                </c:pt>
                <c:pt idx="5">
                  <c:v>3.6550441688014502E-2</c:v>
                </c:pt>
                <c:pt idx="6">
                  <c:v>3.6787219696881757E-2</c:v>
                </c:pt>
                <c:pt idx="7">
                  <c:v>3.7023997705749004E-2</c:v>
                </c:pt>
                <c:pt idx="8">
                  <c:v>3.7260775714616258E-2</c:v>
                </c:pt>
                <c:pt idx="9">
                  <c:v>3.7497553723483512E-2</c:v>
                </c:pt>
                <c:pt idx="10">
                  <c:v>3.7734331732350766E-2</c:v>
                </c:pt>
                <c:pt idx="11">
                  <c:v>3.7971109741218013E-2</c:v>
                </c:pt>
                <c:pt idx="12">
                  <c:v>3.8207887750085268E-2</c:v>
                </c:pt>
                <c:pt idx="13">
                  <c:v>3.8444665758952522E-2</c:v>
                </c:pt>
                <c:pt idx="14">
                  <c:v>3.8681443767819776E-2</c:v>
                </c:pt>
                <c:pt idx="15">
                  <c:v>3.8918221776687002E-2</c:v>
                </c:pt>
                <c:pt idx="16">
                  <c:v>3.9154999785554256E-2</c:v>
                </c:pt>
                <c:pt idx="17">
                  <c:v>3.9391777794421504E-2</c:v>
                </c:pt>
                <c:pt idx="18">
                  <c:v>3.9628555803288765E-2</c:v>
                </c:pt>
                <c:pt idx="19">
                  <c:v>3.9865333812156012E-2</c:v>
                </c:pt>
                <c:pt idx="20">
                  <c:v>4.0102111821023266E-2</c:v>
                </c:pt>
                <c:pt idx="21">
                  <c:v>4.033888982989052E-2</c:v>
                </c:pt>
                <c:pt idx="22">
                  <c:v>4.0575667838757767E-2</c:v>
                </c:pt>
                <c:pt idx="23">
                  <c:v>4.0812445847625022E-2</c:v>
                </c:pt>
                <c:pt idx="24">
                  <c:v>4.1049223856492276E-2</c:v>
                </c:pt>
                <c:pt idx="25">
                  <c:v>4.1286001865359523E-2</c:v>
                </c:pt>
                <c:pt idx="26">
                  <c:v>4.1522779874226784E-2</c:v>
                </c:pt>
                <c:pt idx="27">
                  <c:v>4.1759557883094031E-2</c:v>
                </c:pt>
                <c:pt idx="28">
                  <c:v>4.1996335891961285E-2</c:v>
                </c:pt>
                <c:pt idx="29">
                  <c:v>4.2233113900828539E-2</c:v>
                </c:pt>
                <c:pt idx="30">
                  <c:v>4.2469891909695787E-2</c:v>
                </c:pt>
                <c:pt idx="31">
                  <c:v>4.2706669918563048E-2</c:v>
                </c:pt>
                <c:pt idx="32">
                  <c:v>4.2943447927430295E-2</c:v>
                </c:pt>
                <c:pt idx="33">
                  <c:v>4.3180225936297542E-2</c:v>
                </c:pt>
                <c:pt idx="34">
                  <c:v>4.3417003945164796E-2</c:v>
                </c:pt>
                <c:pt idx="35">
                  <c:v>4.365378195403205E-2</c:v>
                </c:pt>
                <c:pt idx="36">
                  <c:v>4.3890559962899305E-2</c:v>
                </c:pt>
                <c:pt idx="37">
                  <c:v>4.4127337971766559E-2</c:v>
                </c:pt>
                <c:pt idx="38">
                  <c:v>4.4364115980633806E-2</c:v>
                </c:pt>
                <c:pt idx="39">
                  <c:v>4.460089398950106E-2</c:v>
                </c:pt>
                <c:pt idx="40">
                  <c:v>4.4837671998368314E-2</c:v>
                </c:pt>
                <c:pt idx="41">
                  <c:v>4.5074450007235568E-2</c:v>
                </c:pt>
                <c:pt idx="42">
                  <c:v>4.5311228016102822E-2</c:v>
                </c:pt>
                <c:pt idx="43">
                  <c:v>4.5548006024970042E-2</c:v>
                </c:pt>
                <c:pt idx="44">
                  <c:v>4.5784784033837303E-2</c:v>
                </c:pt>
                <c:pt idx="45">
                  <c:v>4.602156204270455E-2</c:v>
                </c:pt>
                <c:pt idx="46">
                  <c:v>4.6258340051571804E-2</c:v>
                </c:pt>
                <c:pt idx="47">
                  <c:v>4.6495118060439058E-2</c:v>
                </c:pt>
                <c:pt idx="48">
                  <c:v>4.6731896069306306E-2</c:v>
                </c:pt>
                <c:pt idx="49">
                  <c:v>4.6968674078173567E-2</c:v>
                </c:pt>
                <c:pt idx="50">
                  <c:v>4.7205452087040814E-2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summary!$W$6</c:f>
              <c:strCache>
                <c:ptCount val="1"/>
                <c:pt idx="0">
                  <c:v>h US 4 + BL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ysClr val="window" lastClr="FFFFFF">
                  <a:lumMod val="75000"/>
                </a:sysClr>
              </a:solidFill>
              <a:ln w="1270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  <a:effectLst/>
            </c:spPr>
          </c:marker>
          <c:xVal>
            <c:numRef>
              <c:f>summary!$D$13:$D$37</c:f>
              <c:numCache>
                <c:formatCode>General</c:formatCode>
                <c:ptCount val="25"/>
                <c:pt idx="0">
                  <c:v>5.1909090909090941E-3</c:v>
                </c:pt>
                <c:pt idx="1">
                  <c:v>5.0809523809523839E-3</c:v>
                </c:pt>
                <c:pt idx="2">
                  <c:v>5.5258426966292191E-3</c:v>
                </c:pt>
                <c:pt idx="3">
                  <c:v>6.058749999999999E-3</c:v>
                </c:pt>
                <c:pt idx="4">
                  <c:v>6.4648351648351667E-3</c:v>
                </c:pt>
                <c:pt idx="5">
                  <c:v>6.2452830188679219E-3</c:v>
                </c:pt>
                <c:pt idx="6">
                  <c:v>6.8438775510204046E-3</c:v>
                </c:pt>
                <c:pt idx="7">
                  <c:v>7.1361445783132554E-3</c:v>
                </c:pt>
                <c:pt idx="8">
                  <c:v>7.0864077669902928E-3</c:v>
                </c:pt>
                <c:pt idx="9">
                  <c:v>6.9150442477876111E-3</c:v>
                </c:pt>
                <c:pt idx="10">
                  <c:v>7.4189999999999985E-3</c:v>
                </c:pt>
                <c:pt idx="11">
                  <c:v>7.5962025316455677E-3</c:v>
                </c:pt>
                <c:pt idx="12">
                  <c:v>7.8049382716049382E-3</c:v>
                </c:pt>
                <c:pt idx="13">
                  <c:v>7.9733333333333305E-3</c:v>
                </c:pt>
                <c:pt idx="14">
                  <c:v>8.278823529411769E-3</c:v>
                </c:pt>
                <c:pt idx="15">
                  <c:v>8.1860759493670877E-3</c:v>
                </c:pt>
                <c:pt idx="16">
                  <c:v>8.4303797468354459E-3</c:v>
                </c:pt>
                <c:pt idx="17">
                  <c:v>8.4142857142857162E-3</c:v>
                </c:pt>
                <c:pt idx="18">
                  <c:v>9.0442857142857148E-3</c:v>
                </c:pt>
                <c:pt idx="19">
                  <c:v>9.1361702127659584E-3</c:v>
                </c:pt>
                <c:pt idx="20">
                  <c:v>9.3857142857142872E-3</c:v>
                </c:pt>
                <c:pt idx="21">
                  <c:v>9.4333333333333352E-3</c:v>
                </c:pt>
                <c:pt idx="22">
                  <c:v>9.8157303370786462E-3</c:v>
                </c:pt>
                <c:pt idx="23">
                  <c:v>1.0117187500000006E-2</c:v>
                </c:pt>
                <c:pt idx="24">
                  <c:v>1.0005208333333338E-2</c:v>
                </c:pt>
              </c:numCache>
            </c:numRef>
          </c:xVal>
          <c:yVal>
            <c:numRef>
              <c:f>summary!$I$13:$I$37</c:f>
              <c:numCache>
                <c:formatCode>0.000000</c:formatCode>
                <c:ptCount val="25"/>
                <c:pt idx="0">
                  <c:v>3.4697209589044577E-2</c:v>
                </c:pt>
                <c:pt idx="1">
                  <c:v>3.4792463904420097E-2</c:v>
                </c:pt>
                <c:pt idx="2">
                  <c:v>3.6985024246124092E-2</c:v>
                </c:pt>
                <c:pt idx="3">
                  <c:v>3.8709170220978042E-2</c:v>
                </c:pt>
                <c:pt idx="4">
                  <c:v>3.8876821921694601E-2</c:v>
                </c:pt>
                <c:pt idx="5">
                  <c:v>3.8500171285652689E-2</c:v>
                </c:pt>
                <c:pt idx="6">
                  <c:v>3.9564182681133354E-2</c:v>
                </c:pt>
                <c:pt idx="7">
                  <c:v>4.1419051707417463E-2</c:v>
                </c:pt>
                <c:pt idx="8">
                  <c:v>4.0945903496301374E-2</c:v>
                </c:pt>
                <c:pt idx="9">
                  <c:v>4.0349516419664722E-2</c:v>
                </c:pt>
                <c:pt idx="11">
                  <c:v>4.1111883495455484E-2</c:v>
                </c:pt>
                <c:pt idx="12">
                  <c:v>4.1420344239725335E-2</c:v>
                </c:pt>
                <c:pt idx="13">
                  <c:v>4.2016235536366048E-2</c:v>
                </c:pt>
                <c:pt idx="14">
                  <c:v>4.2690320944144211E-2</c:v>
                </c:pt>
                <c:pt idx="15">
                  <c:v>4.2751507700664153E-2</c:v>
                </c:pt>
                <c:pt idx="16">
                  <c:v>4.3477631691317797E-2</c:v>
                </c:pt>
                <c:pt idx="17">
                  <c:v>4.3885413671830242E-2</c:v>
                </c:pt>
                <c:pt idx="18">
                  <c:v>4.4392966263566869E-2</c:v>
                </c:pt>
                <c:pt idx="19">
                  <c:v>4.5527017474854298E-2</c:v>
                </c:pt>
                <c:pt idx="20">
                  <c:v>4.5940524709003977E-2</c:v>
                </c:pt>
                <c:pt idx="21">
                  <c:v>4.6102801107591504E-2</c:v>
                </c:pt>
                <c:pt idx="22">
                  <c:v>4.7043294157588726E-2</c:v>
                </c:pt>
                <c:pt idx="23">
                  <c:v>4.6809546968340124E-2</c:v>
                </c:pt>
                <c:pt idx="24">
                  <c:v>4.7263797529657904E-2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summary!$X$5</c:f>
              <c:strCache>
                <c:ptCount val="1"/>
                <c:pt idx="0">
                  <c:v>Curve fit: US 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summary!$S$8:$S$58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6.4999999999999902E-3</c:v>
                </c:pt>
                <c:pt idx="16">
                  <c:v>6.5999999999999904E-3</c:v>
                </c:pt>
                <c:pt idx="17">
                  <c:v>6.6999999999999907E-3</c:v>
                </c:pt>
                <c:pt idx="18">
                  <c:v>6.7999999999999901E-3</c:v>
                </c:pt>
                <c:pt idx="19">
                  <c:v>6.8999999999999895E-3</c:v>
                </c:pt>
                <c:pt idx="20">
                  <c:v>6.9999999999999906E-3</c:v>
                </c:pt>
                <c:pt idx="21">
                  <c:v>7.09999999999999E-3</c:v>
                </c:pt>
                <c:pt idx="22">
                  <c:v>7.1999999999999903E-3</c:v>
                </c:pt>
                <c:pt idx="23">
                  <c:v>7.2999999999999905E-3</c:v>
                </c:pt>
                <c:pt idx="24">
                  <c:v>7.3999999999999899E-3</c:v>
                </c:pt>
                <c:pt idx="25">
                  <c:v>7.4999999999999902E-3</c:v>
                </c:pt>
                <c:pt idx="26">
                  <c:v>7.5999999999999904E-3</c:v>
                </c:pt>
                <c:pt idx="27">
                  <c:v>7.6999999999999907E-3</c:v>
                </c:pt>
                <c:pt idx="28">
                  <c:v>7.7999999999999901E-3</c:v>
                </c:pt>
                <c:pt idx="29">
                  <c:v>7.8999999999999904E-3</c:v>
                </c:pt>
                <c:pt idx="30">
                  <c:v>7.9999999999999898E-3</c:v>
                </c:pt>
                <c:pt idx="31">
                  <c:v>8.0999999999999909E-3</c:v>
                </c:pt>
                <c:pt idx="32">
                  <c:v>8.1999999999999903E-3</c:v>
                </c:pt>
                <c:pt idx="33">
                  <c:v>8.2999999999999897E-3</c:v>
                </c:pt>
                <c:pt idx="34">
                  <c:v>8.3999999999999891E-3</c:v>
                </c:pt>
                <c:pt idx="35">
                  <c:v>8.4999999999999902E-3</c:v>
                </c:pt>
                <c:pt idx="36">
                  <c:v>8.5999999999999913E-3</c:v>
                </c:pt>
                <c:pt idx="37">
                  <c:v>8.6999999999999907E-3</c:v>
                </c:pt>
                <c:pt idx="38">
                  <c:v>8.7999999999999901E-3</c:v>
                </c:pt>
                <c:pt idx="39">
                  <c:v>8.8999999999999895E-3</c:v>
                </c:pt>
                <c:pt idx="40">
                  <c:v>8.9999999999999889E-3</c:v>
                </c:pt>
                <c:pt idx="41">
                  <c:v>9.0999999999999918E-3</c:v>
                </c:pt>
                <c:pt idx="42">
                  <c:v>9.1999999999999912E-3</c:v>
                </c:pt>
                <c:pt idx="43">
                  <c:v>9.2999999999999802E-3</c:v>
                </c:pt>
                <c:pt idx="44">
                  <c:v>9.3999999999999813E-3</c:v>
                </c:pt>
                <c:pt idx="45">
                  <c:v>9.4999999999999807E-3</c:v>
                </c:pt>
                <c:pt idx="46">
                  <c:v>9.5999999999999801E-3</c:v>
                </c:pt>
                <c:pt idx="47">
                  <c:v>9.6999999999999795E-3</c:v>
                </c:pt>
                <c:pt idx="48">
                  <c:v>9.7999999999999789E-3</c:v>
                </c:pt>
                <c:pt idx="49">
                  <c:v>9.8999999999999817E-3</c:v>
                </c:pt>
                <c:pt idx="50">
                  <c:v>9.9999999999999811E-3</c:v>
                </c:pt>
              </c:numCache>
              <c:extLst xmlns:c15="http://schemas.microsoft.com/office/drawing/2012/chart"/>
            </c:numRef>
          </c:xVal>
          <c:yVal>
            <c:numRef>
              <c:f>summary!$X$8:$X$58</c:f>
              <c:numCache>
                <c:formatCode>General</c:formatCode>
                <c:ptCount val="51"/>
                <c:pt idx="0">
                  <c:v>3.1748447200758229E-2</c:v>
                </c:pt>
                <c:pt idx="1">
                  <c:v>3.1995454669026119E-2</c:v>
                </c:pt>
                <c:pt idx="2">
                  <c:v>3.2242462137294023E-2</c:v>
                </c:pt>
                <c:pt idx="3">
                  <c:v>3.248946960556192E-2</c:v>
                </c:pt>
                <c:pt idx="4">
                  <c:v>3.2736477073829824E-2</c:v>
                </c:pt>
                <c:pt idx="5">
                  <c:v>3.2983484542097721E-2</c:v>
                </c:pt>
                <c:pt idx="6">
                  <c:v>3.3230492010365618E-2</c:v>
                </c:pt>
                <c:pt idx="7">
                  <c:v>3.3477499478633523E-2</c:v>
                </c:pt>
                <c:pt idx="8">
                  <c:v>3.372450694690142E-2</c:v>
                </c:pt>
                <c:pt idx="9">
                  <c:v>3.3971514415169324E-2</c:v>
                </c:pt>
                <c:pt idx="10">
                  <c:v>3.4218521883437214E-2</c:v>
                </c:pt>
                <c:pt idx="11">
                  <c:v>3.4465529351705118E-2</c:v>
                </c:pt>
                <c:pt idx="12">
                  <c:v>3.4712536819973015E-2</c:v>
                </c:pt>
                <c:pt idx="13">
                  <c:v>3.4959544288240912E-2</c:v>
                </c:pt>
                <c:pt idx="14">
                  <c:v>3.5206551756508817E-2</c:v>
                </c:pt>
                <c:pt idx="15">
                  <c:v>3.5453559224776693E-2</c:v>
                </c:pt>
                <c:pt idx="16">
                  <c:v>3.570056669304459E-2</c:v>
                </c:pt>
                <c:pt idx="17">
                  <c:v>3.5947574161312487E-2</c:v>
                </c:pt>
                <c:pt idx="18">
                  <c:v>3.6194581629580391E-2</c:v>
                </c:pt>
                <c:pt idx="19">
                  <c:v>3.6441589097848281E-2</c:v>
                </c:pt>
                <c:pt idx="20">
                  <c:v>3.6688596566116186E-2</c:v>
                </c:pt>
                <c:pt idx="21">
                  <c:v>3.6935604034384083E-2</c:v>
                </c:pt>
                <c:pt idx="22">
                  <c:v>3.718261150265198E-2</c:v>
                </c:pt>
                <c:pt idx="23">
                  <c:v>3.7429618970919884E-2</c:v>
                </c:pt>
                <c:pt idx="24">
                  <c:v>3.7676626439187781E-2</c:v>
                </c:pt>
                <c:pt idx="25">
                  <c:v>3.7923633907455678E-2</c:v>
                </c:pt>
                <c:pt idx="26">
                  <c:v>3.8170641375723582E-2</c:v>
                </c:pt>
                <c:pt idx="27">
                  <c:v>3.841764884399148E-2</c:v>
                </c:pt>
                <c:pt idx="28">
                  <c:v>3.8664656312259377E-2</c:v>
                </c:pt>
                <c:pt idx="29">
                  <c:v>3.8911663780527281E-2</c:v>
                </c:pt>
                <c:pt idx="30">
                  <c:v>3.9158671248795178E-2</c:v>
                </c:pt>
                <c:pt idx="31">
                  <c:v>3.9405678717063075E-2</c:v>
                </c:pt>
                <c:pt idx="32">
                  <c:v>3.9652686185330979E-2</c:v>
                </c:pt>
                <c:pt idx="33">
                  <c:v>3.9899693653598869E-2</c:v>
                </c:pt>
                <c:pt idx="34">
                  <c:v>4.0146701121866774E-2</c:v>
                </c:pt>
                <c:pt idx="35">
                  <c:v>4.0393708590134678E-2</c:v>
                </c:pt>
                <c:pt idx="36">
                  <c:v>4.0640716058402575E-2</c:v>
                </c:pt>
                <c:pt idx="37">
                  <c:v>4.0887723526670472E-2</c:v>
                </c:pt>
                <c:pt idx="38">
                  <c:v>4.1134730994938376E-2</c:v>
                </c:pt>
                <c:pt idx="39">
                  <c:v>4.1381738463206266E-2</c:v>
                </c:pt>
                <c:pt idx="40">
                  <c:v>4.162874593147417E-2</c:v>
                </c:pt>
                <c:pt idx="41">
                  <c:v>4.1875753399742074E-2</c:v>
                </c:pt>
                <c:pt idx="42">
                  <c:v>4.2122760868009972E-2</c:v>
                </c:pt>
                <c:pt idx="43">
                  <c:v>4.2369768336277841E-2</c:v>
                </c:pt>
                <c:pt idx="44">
                  <c:v>4.2616775804545745E-2</c:v>
                </c:pt>
                <c:pt idx="45">
                  <c:v>4.2863783272813642E-2</c:v>
                </c:pt>
                <c:pt idx="46">
                  <c:v>4.3110790741081539E-2</c:v>
                </c:pt>
                <c:pt idx="47">
                  <c:v>4.3357798209349437E-2</c:v>
                </c:pt>
                <c:pt idx="48">
                  <c:v>4.3604805677617334E-2</c:v>
                </c:pt>
                <c:pt idx="49">
                  <c:v>4.3851813145885238E-2</c:v>
                </c:pt>
                <c:pt idx="50">
                  <c:v>4.4098820614153142E-2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summary!$J$3</c:f>
              <c:strCache>
                <c:ptCount val="1"/>
                <c:pt idx="0">
                  <c:v>h US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</c:marker>
          <c:xVal>
            <c:numRef>
              <c:f>summary!$D$38:$D$62</c:f>
              <c:numCache>
                <c:formatCode>General</c:formatCode>
                <c:ptCount val="25"/>
                <c:pt idx="0">
                  <c:v>5.1285714285714311E-3</c:v>
                </c:pt>
                <c:pt idx="1">
                  <c:v>5.0121212121212065E-3</c:v>
                </c:pt>
                <c:pt idx="2">
                  <c:v>5.6243243243243261E-3</c:v>
                </c:pt>
                <c:pt idx="3">
                  <c:v>5.9905882352941173E-3</c:v>
                </c:pt>
                <c:pt idx="4">
                  <c:v>6.3847953216374202E-3</c:v>
                </c:pt>
                <c:pt idx="5">
                  <c:v>6.3157407407407398E-3</c:v>
                </c:pt>
                <c:pt idx="6">
                  <c:v>6.8134328358208972E-3</c:v>
                </c:pt>
                <c:pt idx="7">
                  <c:v>7.1731707317073219E-3</c:v>
                </c:pt>
                <c:pt idx="8">
                  <c:v>7.1562130177514815E-3</c:v>
                </c:pt>
                <c:pt idx="9">
                  <c:v>6.9505494505494453E-3</c:v>
                </c:pt>
                <c:pt idx="10">
                  <c:v>7.4271999999999923E-3</c:v>
                </c:pt>
                <c:pt idx="11">
                  <c:v>7.5462686567164218E-3</c:v>
                </c:pt>
                <c:pt idx="12">
                  <c:v>7.7556338028168959E-3</c:v>
                </c:pt>
                <c:pt idx="13">
                  <c:v>8.0015999999999993E-3</c:v>
                </c:pt>
                <c:pt idx="14">
                  <c:v>8.1735999999999979E-3</c:v>
                </c:pt>
                <c:pt idx="15">
                  <c:v>8.1615999999999946E-3</c:v>
                </c:pt>
                <c:pt idx="16">
                  <c:v>8.32209302325582E-3</c:v>
                </c:pt>
                <c:pt idx="17">
                  <c:v>8.4240740740740578E-3</c:v>
                </c:pt>
                <c:pt idx="18">
                  <c:v>8.9518072289156616E-3</c:v>
                </c:pt>
                <c:pt idx="19">
                  <c:v>9.1212765957446665E-3</c:v>
                </c:pt>
                <c:pt idx="20">
                  <c:v>9.2375000000000027E-3</c:v>
                </c:pt>
                <c:pt idx="21">
                  <c:v>9.4630136986301443E-3</c:v>
                </c:pt>
                <c:pt idx="22">
                  <c:v>9.7362500000000018E-3</c:v>
                </c:pt>
                <c:pt idx="23">
                  <c:v>1.0039583333333336E-2</c:v>
                </c:pt>
                <c:pt idx="24">
                  <c:v>1.0021428571428572E-2</c:v>
                </c:pt>
              </c:numCache>
            </c:numRef>
          </c:xVal>
          <c:yVal>
            <c:numRef>
              <c:f>summary!$J$38:$J$62</c:f>
              <c:numCache>
                <c:formatCode>0.000000</c:formatCode>
                <c:ptCount val="25"/>
                <c:pt idx="0">
                  <c:v>3.1059802678585085E-2</c:v>
                </c:pt>
                <c:pt idx="1">
                  <c:v>3.0548669064079673E-2</c:v>
                </c:pt>
                <c:pt idx="2">
                  <c:v>3.2413966729733762E-2</c:v>
                </c:pt>
                <c:pt idx="3">
                  <c:v>3.4102413814233512E-2</c:v>
                </c:pt>
                <c:pt idx="4">
                  <c:v>3.5358584770619227E-2</c:v>
                </c:pt>
                <c:pt idx="5">
                  <c:v>3.5196892790174072E-2</c:v>
                </c:pt>
                <c:pt idx="6" formatCode="General">
                  <c:v>3.6507542276728082E-2</c:v>
                </c:pt>
                <c:pt idx="7">
                  <c:v>3.7801683184982483E-2</c:v>
                </c:pt>
                <c:pt idx="8">
                  <c:v>3.7636212639134643E-2</c:v>
                </c:pt>
                <c:pt idx="9" formatCode="General">
                  <c:v>3.7532767990798757E-2</c:v>
                </c:pt>
                <c:pt idx="11" formatCode="General">
                  <c:v>3.8527594779315756E-2</c:v>
                </c:pt>
                <c:pt idx="12" formatCode="General">
                  <c:v>3.8998540136951816E-2</c:v>
                </c:pt>
                <c:pt idx="13" formatCode="General">
                  <c:v>3.9516661927687997E-2</c:v>
                </c:pt>
                <c:pt idx="14" formatCode="General">
                  <c:v>4.0142602496108737E-2</c:v>
                </c:pt>
                <c:pt idx="15" formatCode="General">
                  <c:v>3.9286037865676762E-2</c:v>
                </c:pt>
                <c:pt idx="16" formatCode="General">
                  <c:v>3.9932995823885854E-2</c:v>
                </c:pt>
                <c:pt idx="17" formatCode="General">
                  <c:v>4.0993677912156488E-2</c:v>
                </c:pt>
                <c:pt idx="18" formatCode="General">
                  <c:v>4.1472072533263023E-2</c:v>
                </c:pt>
                <c:pt idx="19" formatCode="General">
                  <c:v>4.1554509492649008E-2</c:v>
                </c:pt>
                <c:pt idx="20">
                  <c:v>4.2377632205845804E-2</c:v>
                </c:pt>
                <c:pt idx="21">
                  <c:v>4.2718055934285445E-2</c:v>
                </c:pt>
                <c:pt idx="22">
                  <c:v>4.2772343739313295E-2</c:v>
                </c:pt>
                <c:pt idx="23">
                  <c:v>4.335527256051503E-2</c:v>
                </c:pt>
                <c:pt idx="24">
                  <c:v>4.3446359809729281E-2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summary!$I$12</c:f>
              <c:strCache>
                <c:ptCount val="1"/>
                <c:pt idx="0">
                  <c:v>h US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ED7D31">
                  <a:lumMod val="40000"/>
                  <a:lumOff val="60000"/>
                </a:srgbClr>
              </a:solidFill>
              <a:ln w="12700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xVal>
            <c:numRef>
              <c:f>summary!$D$38:$D$62</c:f>
              <c:numCache>
                <c:formatCode>General</c:formatCode>
                <c:ptCount val="25"/>
                <c:pt idx="0">
                  <c:v>5.1285714285714311E-3</c:v>
                </c:pt>
                <c:pt idx="1">
                  <c:v>5.0121212121212065E-3</c:v>
                </c:pt>
                <c:pt idx="2">
                  <c:v>5.6243243243243261E-3</c:v>
                </c:pt>
                <c:pt idx="3">
                  <c:v>5.9905882352941173E-3</c:v>
                </c:pt>
                <c:pt idx="4">
                  <c:v>6.3847953216374202E-3</c:v>
                </c:pt>
                <c:pt idx="5">
                  <c:v>6.3157407407407398E-3</c:v>
                </c:pt>
                <c:pt idx="6">
                  <c:v>6.8134328358208972E-3</c:v>
                </c:pt>
                <c:pt idx="7">
                  <c:v>7.1731707317073219E-3</c:v>
                </c:pt>
                <c:pt idx="8">
                  <c:v>7.1562130177514815E-3</c:v>
                </c:pt>
                <c:pt idx="9">
                  <c:v>6.9505494505494453E-3</c:v>
                </c:pt>
                <c:pt idx="10">
                  <c:v>7.4271999999999923E-3</c:v>
                </c:pt>
                <c:pt idx="11">
                  <c:v>7.5462686567164218E-3</c:v>
                </c:pt>
                <c:pt idx="12">
                  <c:v>7.7556338028168959E-3</c:v>
                </c:pt>
                <c:pt idx="13">
                  <c:v>8.0015999999999993E-3</c:v>
                </c:pt>
                <c:pt idx="14">
                  <c:v>8.1735999999999979E-3</c:v>
                </c:pt>
                <c:pt idx="15">
                  <c:v>8.1615999999999946E-3</c:v>
                </c:pt>
                <c:pt idx="16">
                  <c:v>8.32209302325582E-3</c:v>
                </c:pt>
                <c:pt idx="17">
                  <c:v>8.4240740740740578E-3</c:v>
                </c:pt>
                <c:pt idx="18">
                  <c:v>8.9518072289156616E-3</c:v>
                </c:pt>
                <c:pt idx="19">
                  <c:v>9.1212765957446665E-3</c:v>
                </c:pt>
                <c:pt idx="20">
                  <c:v>9.2375000000000027E-3</c:v>
                </c:pt>
                <c:pt idx="21">
                  <c:v>9.4630136986301443E-3</c:v>
                </c:pt>
                <c:pt idx="22">
                  <c:v>9.7362500000000018E-3</c:v>
                </c:pt>
                <c:pt idx="23">
                  <c:v>1.0039583333333336E-2</c:v>
                </c:pt>
                <c:pt idx="24">
                  <c:v>1.0021428571428572E-2</c:v>
                </c:pt>
              </c:numCache>
            </c:numRef>
          </c:xVal>
          <c:yVal>
            <c:numRef>
              <c:f>summary!$I$38:$I$62</c:f>
              <c:numCache>
                <c:formatCode>0.000000</c:formatCode>
                <c:ptCount val="25"/>
                <c:pt idx="0">
                  <c:v>3.2367630135441583E-2</c:v>
                </c:pt>
                <c:pt idx="1">
                  <c:v>3.212713782636871E-2</c:v>
                </c:pt>
                <c:pt idx="2">
                  <c:v>3.3481064396929799E-2</c:v>
                </c:pt>
                <c:pt idx="3">
                  <c:v>3.5302947020434627E-2</c:v>
                </c:pt>
                <c:pt idx="4">
                  <c:v>3.5565792903065468E-2</c:v>
                </c:pt>
                <c:pt idx="5">
                  <c:v>3.5497774074014408E-2</c:v>
                </c:pt>
                <c:pt idx="6">
                  <c:v>3.6606549565108289E-2</c:v>
                </c:pt>
                <c:pt idx="7">
                  <c:v>3.7641417915176487E-2</c:v>
                </c:pt>
                <c:pt idx="8">
                  <c:v>3.7866583434842678E-2</c:v>
                </c:pt>
                <c:pt idx="9">
                  <c:v>3.6395051661683255E-2</c:v>
                </c:pt>
                <c:pt idx="11">
                  <c:v>3.8190582204766094E-2</c:v>
                </c:pt>
                <c:pt idx="12">
                  <c:v>3.8895010491363881E-2</c:v>
                </c:pt>
                <c:pt idx="13">
                  <c:v>3.8896680228956509E-2</c:v>
                </c:pt>
                <c:pt idx="14">
                  <c:v>3.9828065604092543E-2</c:v>
                </c:pt>
                <c:pt idx="15">
                  <c:v>3.9095208237984361E-2</c:v>
                </c:pt>
                <c:pt idx="16">
                  <c:v>4.0363470160379278E-2</c:v>
                </c:pt>
                <c:pt idx="17">
                  <c:v>4.0945069639540636E-2</c:v>
                </c:pt>
                <c:pt idx="18">
                  <c:v>4.128918378964707E-2</c:v>
                </c:pt>
                <c:pt idx="19">
                  <c:v>4.2437647621228584E-2</c:v>
                </c:pt>
                <c:pt idx="20">
                  <c:v>4.297798385392429E-2</c:v>
                </c:pt>
                <c:pt idx="21">
                  <c:v>4.2780257696563968E-2</c:v>
                </c:pt>
                <c:pt idx="22">
                  <c:v>4.3028012291479005E-2</c:v>
                </c:pt>
                <c:pt idx="23">
                  <c:v>4.4598782556345452E-2</c:v>
                </c:pt>
                <c:pt idx="24">
                  <c:v>4.4418755863195658E-2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44032"/>
        <c:axId val="255744592"/>
        <c:extLst/>
      </c:scatterChart>
      <c:valAx>
        <c:axId val="255744032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Q [m³/s]</a:t>
                </a:r>
              </a:p>
            </c:rich>
          </c:tx>
          <c:layout>
            <c:manualLayout>
              <c:xMode val="edge"/>
              <c:yMode val="edge"/>
              <c:x val="0.37873505395158941"/>
              <c:y val="0.83011274049459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5744592"/>
        <c:crosses val="autoZero"/>
        <c:crossBetween val="midCat"/>
        <c:majorUnit val="1.0000000000000002E-3"/>
        <c:minorUnit val="5.0000000000000012E-4"/>
      </c:valAx>
      <c:valAx>
        <c:axId val="255744592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Flow depth [m]</a:t>
                </a:r>
              </a:p>
            </c:rich>
          </c:tx>
          <c:layout>
            <c:manualLayout>
              <c:xMode val="edge"/>
              <c:yMode val="edge"/>
              <c:x val="9.1546767521761621E-3"/>
              <c:y val="0.31731099841033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5744032"/>
        <c:crosses val="autoZero"/>
        <c:crossBetween val="midCat"/>
        <c:majorUnit val="5.000000000000001E-3"/>
        <c:minorUnit val="2.5000000000000005E-3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8802172303712867"/>
          <c:w val="0.85982539024727167"/>
          <c:h val="9.357245060086552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247650</xdr:colOff>
      <xdr:row>2</xdr:row>
      <xdr:rowOff>123825</xdr:rowOff>
    </xdr:from>
    <xdr:to>
      <xdr:col>35</xdr:col>
      <xdr:colOff>571499</xdr:colOff>
      <xdr:row>29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447674</xdr:colOff>
      <xdr:row>32</xdr:row>
      <xdr:rowOff>161925</xdr:rowOff>
    </xdr:from>
    <xdr:to>
      <xdr:col>29</xdr:col>
      <xdr:colOff>342900</xdr:colOff>
      <xdr:row>64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M62" totalsRowShown="0" headerRowDxfId="13" dataDxfId="12">
  <autoFilter ref="B12:M62"/>
  <tableColumns count="12">
    <tableColumn id="1" name="Exp." dataDxfId="11"/>
    <tableColumn id="2" name="File" dataDxfId="10"/>
    <tableColumn id="3" name="Q " dataDxfId="9"/>
    <tableColumn id="4" name="Qb" dataDxfId="8"/>
    <tableColumn id="5" name="h US 1" dataDxfId="7"/>
    <tableColumn id="6" name="h US 2" dataDxfId="6"/>
    <tableColumn id="7" name="h US 3" dataDxfId="5"/>
    <tableColumn id="8" name="h US 4" dataDxfId="4"/>
    <tableColumn id="9" name="h US 5" dataDxfId="3"/>
    <tableColumn id="10" name="c" dataDxfId="2">
      <calculatedColumnFormula>IF(ISNUMBER(Table2[[#This Row],[Qb]]),$Q$4*Table2[[#This Row],[Q ]]^$Q$5+$Q$6,$P$4*Table2[[#This Row],[Q ]]^$P$5+$P$6)</calculatedColumnFormula>
    </tableColumn>
    <tableColumn id="11" name="Rh" dataDxfId="1">
      <calculatedColumnFormula>Table2[[#This Row],[h US 4]]*(w0+Table2[[#This Row],[h US 4]]*m)/(w0+2*Table2[[#This Row],[h US 4]]*(m^2+1)^0.5)</calculatedColumnFormula>
    </tableColumn>
    <tableColumn id="12" name="tauxcr" dataDxfId="0">
      <calculatedColumnFormula>Table2[[#This Row],[Rh]]*J/((s-1)*0.01368)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abSelected="1" zoomScaleNormal="100" workbookViewId="0">
      <selection activeCell="M9" sqref="M9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8" width="9.140625" style="2"/>
    <col min="9" max="9" width="13.140625" style="2" customWidth="1"/>
    <col min="10" max="10" width="9.140625" style="2"/>
    <col min="11" max="11" width="9.42578125" style="2" bestFit="1" customWidth="1"/>
    <col min="12" max="12" width="10.7109375" style="2" customWidth="1"/>
    <col min="13" max="13" width="12.42578125" style="1" customWidth="1"/>
    <col min="14" max="14" width="9.7109375" style="1" customWidth="1"/>
    <col min="15" max="15" width="5.28515625" style="17" customWidth="1"/>
    <col min="16" max="16" width="13.85546875" style="1" customWidth="1"/>
    <col min="17" max="17" width="10.5703125" style="1" customWidth="1"/>
    <col min="18" max="18" width="10.85546875" style="1" customWidth="1"/>
    <col min="19" max="16384" width="9.140625" style="1"/>
  </cols>
  <sheetData>
    <row r="1" spans="1:25" x14ac:dyDescent="0.25">
      <c r="B1" s="9"/>
    </row>
    <row r="2" spans="1:25" x14ac:dyDescent="0.25">
      <c r="B2" s="28" t="s">
        <v>29</v>
      </c>
      <c r="C2" s="28"/>
      <c r="D2" s="28"/>
      <c r="E2" s="28"/>
      <c r="F2" s="28"/>
      <c r="G2" s="28"/>
      <c r="H2" s="28"/>
      <c r="I2" s="28"/>
      <c r="J2" s="28"/>
      <c r="K2" s="15"/>
      <c r="L2" s="28"/>
      <c r="M2" s="28"/>
      <c r="N2" s="17"/>
      <c r="O2" s="28" t="s">
        <v>42</v>
      </c>
      <c r="P2" s="28"/>
      <c r="Q2" s="28"/>
      <c r="R2" s="17"/>
      <c r="S2" s="1" t="s">
        <v>51</v>
      </c>
      <c r="T2" s="1">
        <f>AVERAGE(0.08226322,0.106565948)</f>
        <v>9.4414583999999996E-2</v>
      </c>
    </row>
    <row r="3" spans="1:25" ht="16.5" x14ac:dyDescent="0.3">
      <c r="B3" s="3" t="s">
        <v>17</v>
      </c>
      <c r="C3" s="2" t="s">
        <v>19</v>
      </c>
      <c r="D3" s="2" t="s">
        <v>0</v>
      </c>
      <c r="E3" s="2" t="s">
        <v>47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M3" s="18"/>
      <c r="N3" s="18"/>
      <c r="O3" s="17" t="s">
        <v>41</v>
      </c>
      <c r="P3" s="17" t="s">
        <v>37</v>
      </c>
      <c r="Q3" s="17" t="s">
        <v>38</v>
      </c>
      <c r="S3" s="1" t="s">
        <v>52</v>
      </c>
      <c r="T3" s="1">
        <f>AVERAGE(23.125354905,25.794297589)</f>
        <v>24.459826246999999</v>
      </c>
    </row>
    <row r="4" spans="1:25" x14ac:dyDescent="0.25">
      <c r="B4" s="1" t="s">
        <v>26</v>
      </c>
      <c r="C4" s="5" t="s">
        <v>12</v>
      </c>
      <c r="D4" s="29" t="s">
        <v>15</v>
      </c>
      <c r="E4" s="29" t="s">
        <v>16</v>
      </c>
      <c r="F4" s="2">
        <v>2.1216236682544811</v>
      </c>
      <c r="G4" s="2">
        <v>1.9451939673897038</v>
      </c>
      <c r="H4" s="2">
        <v>2.1976756554275743</v>
      </c>
      <c r="I4" s="2">
        <v>2.4232670870515589</v>
      </c>
      <c r="J4" s="2">
        <v>2.4700746826789923</v>
      </c>
      <c r="M4" s="18"/>
      <c r="N4" s="18"/>
      <c r="O4" s="18" t="s">
        <v>39</v>
      </c>
      <c r="P4" s="18">
        <v>-1.2401999544051161E-9</v>
      </c>
      <c r="Q4" s="18">
        <v>-5.5080301391924671E-4</v>
      </c>
      <c r="T4" s="28" t="s">
        <v>28</v>
      </c>
      <c r="U4" s="28"/>
      <c r="V4" s="28"/>
      <c r="W4" s="28"/>
      <c r="X4" s="28"/>
      <c r="Y4" s="1" t="s">
        <v>31</v>
      </c>
    </row>
    <row r="5" spans="1:25" x14ac:dyDescent="0.25">
      <c r="B5" s="1" t="s">
        <v>27</v>
      </c>
      <c r="C5" s="5" t="s">
        <v>12</v>
      </c>
      <c r="D5" s="29"/>
      <c r="E5" s="29"/>
      <c r="F5" s="2">
        <v>1.799359250290164E-2</v>
      </c>
      <c r="G5" s="2">
        <v>1.6632235620562503E-2</v>
      </c>
      <c r="H5" s="2">
        <v>1.8243957177559646E-2</v>
      </c>
      <c r="I5" s="2">
        <v>2.0051892640225617E-2</v>
      </c>
      <c r="J5" s="2">
        <v>1.9398073787363263E-2</v>
      </c>
      <c r="L5" s="27"/>
      <c r="M5" s="18"/>
      <c r="N5" s="18"/>
      <c r="O5" s="18" t="s">
        <v>40</v>
      </c>
      <c r="P5" s="18">
        <v>-4.1160994970186344</v>
      </c>
      <c r="Q5" s="18">
        <v>-1.7775963137481412</v>
      </c>
      <c r="T5" s="1" t="s">
        <v>21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32</v>
      </c>
    </row>
    <row r="6" spans="1:25" x14ac:dyDescent="0.25">
      <c r="B6" s="1" t="s">
        <v>18</v>
      </c>
      <c r="C6" s="5" t="s">
        <v>12</v>
      </c>
      <c r="D6" s="29"/>
      <c r="E6" s="29"/>
      <c r="F6" s="8">
        <v>0.98768512122042784</v>
      </c>
      <c r="G6" s="8">
        <v>0.99106741496905681</v>
      </c>
      <c r="H6" s="8">
        <v>0.97589570404440495</v>
      </c>
      <c r="I6" s="8">
        <v>0.98581272447802182</v>
      </c>
      <c r="J6" s="8">
        <v>0.96981280050992547</v>
      </c>
      <c r="K6" s="8"/>
      <c r="L6" s="19"/>
      <c r="M6" s="20"/>
      <c r="N6" s="20"/>
      <c r="O6" s="18" t="s">
        <v>35</v>
      </c>
      <c r="P6" s="18">
        <v>35.039897603095255</v>
      </c>
      <c r="Q6" s="18">
        <v>32.068577866465979</v>
      </c>
      <c r="S6" s="1" t="s">
        <v>13</v>
      </c>
      <c r="T6" s="1" t="s">
        <v>20</v>
      </c>
      <c r="U6" s="1" t="s">
        <v>20</v>
      </c>
      <c r="V6" s="1" t="s">
        <v>20</v>
      </c>
      <c r="W6" s="1" t="s">
        <v>50</v>
      </c>
      <c r="X6" s="1" t="s">
        <v>20</v>
      </c>
      <c r="Y6" s="1" t="s">
        <v>30</v>
      </c>
    </row>
    <row r="7" spans="1:25" x14ac:dyDescent="0.25">
      <c r="B7" s="1" t="s">
        <v>26</v>
      </c>
      <c r="C7" s="5" t="s">
        <v>12</v>
      </c>
      <c r="D7" s="30" t="s">
        <v>15</v>
      </c>
      <c r="E7" s="16">
        <f>P17</f>
        <v>-2.0875728819751518</v>
      </c>
      <c r="F7" s="2">
        <v>2.017531489658221</v>
      </c>
      <c r="G7" s="2">
        <v>1.9090439384964397</v>
      </c>
      <c r="H7" s="2">
        <v>1.7453385078706645</v>
      </c>
      <c r="I7" s="2">
        <v>2.3677800886725242</v>
      </c>
      <c r="J7" s="2">
        <v>2.6418764112683584</v>
      </c>
      <c r="K7" s="8"/>
      <c r="L7" s="8"/>
      <c r="M7" s="18"/>
      <c r="N7" s="18"/>
      <c r="S7" s="1" t="s">
        <v>1</v>
      </c>
      <c r="T7" s="1" t="s">
        <v>6</v>
      </c>
      <c r="U7" s="1" t="s">
        <v>6</v>
      </c>
      <c r="V7" s="1" t="s">
        <v>6</v>
      </c>
      <c r="W7" s="1" t="s">
        <v>6</v>
      </c>
      <c r="X7" s="1" t="s">
        <v>6</v>
      </c>
      <c r="Y7" s="1" t="s">
        <v>5</v>
      </c>
    </row>
    <row r="8" spans="1:25" x14ac:dyDescent="0.25">
      <c r="B8" s="1" t="s">
        <v>27</v>
      </c>
      <c r="C8" s="5" t="s">
        <v>12</v>
      </c>
      <c r="D8" s="30"/>
      <c r="E8" s="16">
        <f t="shared" ref="E8:E9" si="0">P18</f>
        <v>-0.13498854411867559</v>
      </c>
      <c r="F8" s="2">
        <v>2.2164211812478345E-2</v>
      </c>
      <c r="G8" s="2">
        <v>2.0436138068041045E-2</v>
      </c>
      <c r="H8" s="2">
        <v>2.4874868167752265E-2</v>
      </c>
      <c r="I8" s="2">
        <v>2.3527651200315618E-2</v>
      </c>
      <c r="J8" s="2">
        <v>2.2168437141964124E-2</v>
      </c>
      <c r="L8" s="4"/>
      <c r="M8" s="18">
        <f>_xlfn.STDEV.P(Table2[tauxcr])</f>
        <v>4.7974389538361171E-3</v>
      </c>
      <c r="N8" s="18"/>
      <c r="O8" s="15" t="s">
        <v>43</v>
      </c>
      <c r="P8" s="15"/>
      <c r="Q8" s="15"/>
      <c r="S8" s="1">
        <v>5.0000000000000001E-3</v>
      </c>
      <c r="T8" s="1">
        <f>F$4*$S8+F$5</f>
        <v>2.8601710844174046E-2</v>
      </c>
      <c r="U8" s="1">
        <f>G$4*$S8+G$5</f>
        <v>2.6358205457511025E-2</v>
      </c>
      <c r="V8" s="1">
        <f>H$4*$S8+H$5</f>
        <v>2.9232335454697517E-2</v>
      </c>
      <c r="W8" s="1">
        <f t="shared" ref="W8:W17" si="1">I$7*$S8+I$8</f>
        <v>3.5366551643678239E-2</v>
      </c>
      <c r="X8" s="1">
        <f>J$4*$S8+J$5</f>
        <v>3.1748447200758229E-2</v>
      </c>
      <c r="Y8" s="1">
        <f>$E$7*S8^$E$8+$E$9</f>
        <v>0.18026946172465141</v>
      </c>
    </row>
    <row r="9" spans="1:25" x14ac:dyDescent="0.25">
      <c r="B9" s="1" t="s">
        <v>34</v>
      </c>
      <c r="C9" s="5" t="s">
        <v>12</v>
      </c>
      <c r="D9" s="30"/>
      <c r="E9" s="16">
        <f t="shared" si="0"/>
        <v>4.4485635575600977</v>
      </c>
      <c r="F9" s="8">
        <v>0.98872394900481797</v>
      </c>
      <c r="G9" s="8">
        <v>0.98322304894064327</v>
      </c>
      <c r="H9" s="8">
        <v>0.92881267762268116</v>
      </c>
      <c r="I9" s="8">
        <v>0.97564121900816303</v>
      </c>
      <c r="J9" s="8">
        <v>0.91157094135908845</v>
      </c>
      <c r="K9" s="8"/>
      <c r="L9" s="8"/>
      <c r="O9" s="15" t="s">
        <v>44</v>
      </c>
      <c r="P9" s="15"/>
      <c r="Q9" s="15"/>
      <c r="S9" s="1">
        <v>5.0999999999999995E-3</v>
      </c>
      <c r="T9" s="1">
        <f t="shared" ref="T9:T58" si="2">F$4*$S9+F$5</f>
        <v>2.8813873210999492E-2</v>
      </c>
      <c r="U9" s="1">
        <f t="shared" ref="U9:U58" si="3">G$4*$S9+G$5</f>
        <v>2.655272485424999E-2</v>
      </c>
      <c r="V9" s="1">
        <f t="shared" ref="V9:V58" si="4">H$4*$S9+H$5</f>
        <v>2.9452103020240275E-2</v>
      </c>
      <c r="W9" s="1">
        <f t="shared" si="1"/>
        <v>3.5603329652545493E-2</v>
      </c>
      <c r="X9" s="1">
        <f t="shared" ref="X9:X58" si="5">J$4*$S9+J$5</f>
        <v>3.1995454669026119E-2</v>
      </c>
      <c r="Y9" s="1">
        <f t="shared" ref="Y9:Y58" si="6">$E$7*S9^$E$8+$E$9</f>
        <v>0.19166392124373033</v>
      </c>
    </row>
    <row r="10" spans="1:25" x14ac:dyDescent="0.25">
      <c r="B10" s="28" t="s">
        <v>14</v>
      </c>
      <c r="C10" s="28"/>
      <c r="D10" s="28"/>
      <c r="E10" s="28"/>
      <c r="F10" s="28"/>
      <c r="G10" s="28"/>
      <c r="H10" s="28"/>
      <c r="I10" s="28"/>
      <c r="J10" s="28"/>
      <c r="L10" s="4"/>
      <c r="M10" s="1">
        <f>AVERAGE(Table2[tauxcr])</f>
        <v>6.1056841560805701E-2</v>
      </c>
      <c r="O10" s="18" t="s">
        <v>26</v>
      </c>
      <c r="P10" s="18">
        <v>2.39</v>
      </c>
      <c r="Q10" s="18"/>
      <c r="S10" s="1">
        <v>5.2000000000000006E-3</v>
      </c>
      <c r="T10" s="1">
        <f t="shared" si="2"/>
        <v>2.9026035577824943E-2</v>
      </c>
      <c r="U10" s="1">
        <f t="shared" si="3"/>
        <v>2.6747244250988962E-2</v>
      </c>
      <c r="V10" s="1">
        <f t="shared" si="4"/>
        <v>2.9671870585783033E-2</v>
      </c>
      <c r="W10" s="1">
        <f t="shared" si="1"/>
        <v>3.5840107661412747E-2</v>
      </c>
      <c r="X10" s="1">
        <f t="shared" si="5"/>
        <v>3.2242462137294023E-2</v>
      </c>
      <c r="Y10" s="1">
        <f t="shared" si="6"/>
        <v>0.2028075766831039</v>
      </c>
    </row>
    <row r="11" spans="1:25" x14ac:dyDescent="0.25">
      <c r="B11" s="6" t="s">
        <v>4</v>
      </c>
      <c r="C11" s="7" t="s">
        <v>4</v>
      </c>
      <c r="D11" s="7" t="s">
        <v>49</v>
      </c>
      <c r="E11" s="7" t="s">
        <v>5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36</v>
      </c>
      <c r="L11" s="7"/>
      <c r="M11" s="7"/>
      <c r="N11" s="7"/>
      <c r="O11" s="18" t="s">
        <v>27</v>
      </c>
      <c r="P11" s="18">
        <v>3.9750000000000001E-2</v>
      </c>
      <c r="Q11" s="18"/>
      <c r="S11" s="1">
        <v>5.3E-3</v>
      </c>
      <c r="T11" s="1">
        <f t="shared" si="2"/>
        <v>2.923819794465039E-2</v>
      </c>
      <c r="U11" s="1">
        <f t="shared" si="3"/>
        <v>2.6941763647727934E-2</v>
      </c>
      <c r="V11" s="1">
        <f t="shared" si="4"/>
        <v>2.989163815132579E-2</v>
      </c>
      <c r="W11" s="1">
        <f t="shared" si="1"/>
        <v>3.6076885670279994E-2</v>
      </c>
      <c r="X11" s="1">
        <f t="shared" si="5"/>
        <v>3.248946960556192E-2</v>
      </c>
      <c r="Y11" s="1">
        <f t="shared" si="6"/>
        <v>0.21371061510907374</v>
      </c>
    </row>
    <row r="12" spans="1:25" ht="16.5" x14ac:dyDescent="0.3">
      <c r="B12" s="10" t="s">
        <v>2</v>
      </c>
      <c r="C12" s="11" t="s">
        <v>3</v>
      </c>
      <c r="D12" s="11" t="s">
        <v>0</v>
      </c>
      <c r="E12" s="11" t="s">
        <v>33</v>
      </c>
      <c r="F12" s="11" t="s">
        <v>7</v>
      </c>
      <c r="G12" s="11" t="s">
        <v>8</v>
      </c>
      <c r="H12" s="11" t="s">
        <v>9</v>
      </c>
      <c r="I12" s="11" t="s">
        <v>10</v>
      </c>
      <c r="J12" s="11" t="s">
        <v>11</v>
      </c>
      <c r="K12" s="11" t="s">
        <v>35</v>
      </c>
      <c r="L12" s="32" t="s">
        <v>53</v>
      </c>
      <c r="M12" s="32" t="s">
        <v>54</v>
      </c>
      <c r="N12" s="11"/>
      <c r="O12" s="18" t="s">
        <v>18</v>
      </c>
      <c r="P12" s="18">
        <v>0.74060000000000004</v>
      </c>
      <c r="Q12" s="18"/>
      <c r="S12" s="1">
        <v>5.4000000000000003E-3</v>
      </c>
      <c r="T12" s="1">
        <f t="shared" si="2"/>
        <v>2.945036031147584E-2</v>
      </c>
      <c r="U12" s="1">
        <f t="shared" si="3"/>
        <v>2.7136283044466906E-2</v>
      </c>
      <c r="V12" s="1">
        <f t="shared" si="4"/>
        <v>3.0111405716868548E-2</v>
      </c>
      <c r="W12" s="1">
        <f t="shared" si="1"/>
        <v>3.6313663679147248E-2</v>
      </c>
      <c r="X12" s="1">
        <f t="shared" si="5"/>
        <v>3.2736477073829824E-2</v>
      </c>
      <c r="Y12" s="1">
        <f t="shared" si="6"/>
        <v>0.22438262733539105</v>
      </c>
    </row>
    <row r="13" spans="1:25" x14ac:dyDescent="0.25">
      <c r="A13" s="1">
        <v>1</v>
      </c>
      <c r="B13" s="21">
        <v>3000</v>
      </c>
      <c r="C13" s="22">
        <v>9</v>
      </c>
      <c r="D13" s="22">
        <v>5.1909090909090941E-3</v>
      </c>
      <c r="E13" s="22">
        <v>0.20408163265306123</v>
      </c>
      <c r="F13" s="23">
        <v>3.0818786752029294E-2</v>
      </c>
      <c r="G13" s="23">
        <v>2.8996185772949424E-2</v>
      </c>
      <c r="H13" s="23">
        <v>3.1910444230452945E-2</v>
      </c>
      <c r="I13" s="23">
        <v>3.4697209589044577E-2</v>
      </c>
      <c r="J13" s="23">
        <v>3.3411463018440439E-2</v>
      </c>
      <c r="K13" s="22">
        <f>IF(ISNUMBER(Table2[[#This Row],[Qb]]),$Q$4*Table2[[#This Row],[Q ]]^$Q$5+$Q$6,$P$4*Table2[[#This Row],[Q ]]^$P$5+$P$6)</f>
        <v>25.724460966413417</v>
      </c>
      <c r="L13" s="31">
        <f>Table2[[#This Row],[h US 4]]*(w0+Table2[[#This Row],[h US 4]]*m)/(w0+2*Table2[[#This Row],[h US 4]]*(m^2+1)^0.5)</f>
        <v>2.2603453627005152E-2</v>
      </c>
      <c r="M13" s="31">
        <f>Table2[[#This Row],[Rh]]*J/((s-1)*0.01368)</f>
        <v>5.4093129937921341E-2</v>
      </c>
      <c r="N13" s="24"/>
      <c r="S13" s="1">
        <v>5.4999999999999997E-3</v>
      </c>
      <c r="T13" s="1">
        <f t="shared" si="2"/>
        <v>2.9662522678301287E-2</v>
      </c>
      <c r="U13" s="1">
        <f t="shared" si="3"/>
        <v>2.7330802441205872E-2</v>
      </c>
      <c r="V13" s="1">
        <f t="shared" si="4"/>
        <v>3.0331173282411306E-2</v>
      </c>
      <c r="W13" s="1">
        <f t="shared" si="1"/>
        <v>3.6550441688014502E-2</v>
      </c>
      <c r="X13" s="1">
        <f t="shared" si="5"/>
        <v>3.2983484542097721E-2</v>
      </c>
      <c r="Y13" s="1">
        <f t="shared" si="6"/>
        <v>0.23483265311161361</v>
      </c>
    </row>
    <row r="14" spans="1:25" x14ac:dyDescent="0.25">
      <c r="A14" s="1">
        <v>2</v>
      </c>
      <c r="B14" s="21">
        <v>3000</v>
      </c>
      <c r="C14" s="22">
        <v>13</v>
      </c>
      <c r="D14" s="22">
        <v>5.0809523809523839E-3</v>
      </c>
      <c r="E14" s="22">
        <v>0.19277108433734941</v>
      </c>
      <c r="F14" s="23">
        <v>3.0783822207932639E-2</v>
      </c>
      <c r="G14" s="23">
        <v>2.8911513678126697E-2</v>
      </c>
      <c r="H14" s="23">
        <v>3.2328840398537437E-2</v>
      </c>
      <c r="I14" s="23">
        <v>3.4792463904420097E-2</v>
      </c>
      <c r="J14" s="23">
        <v>3.3613822014491583E-2</v>
      </c>
      <c r="K14" s="22">
        <f>IF(ISNUMBER(Table2[[#This Row],[Qb]]),$Q$4*Table2[[#This Row],[Q ]]^$Q$5+$Q$6,$P$4*Table2[[#This Row],[Q ]]^$P$5+$P$6)</f>
        <v>25.478359610389081</v>
      </c>
      <c r="L14" s="31">
        <f>Table2[[#This Row],[h US 4]]*(w0+Table2[[#This Row],[h US 4]]*m)/(w0+2*Table2[[#This Row],[h US 4]]*(m^2+1)^0.5)</f>
        <v>2.2653532531430993E-2</v>
      </c>
      <c r="M14" s="31">
        <f>Table2[[#This Row],[Rh]]*J/((s-1)*0.01368)</f>
        <v>5.4212975547754137E-2</v>
      </c>
      <c r="N14" s="24"/>
      <c r="S14" s="1">
        <v>5.5999999999999999E-3</v>
      </c>
      <c r="T14" s="1">
        <f t="shared" si="2"/>
        <v>2.9874685045126734E-2</v>
      </c>
      <c r="U14" s="1">
        <f t="shared" si="3"/>
        <v>2.7525321837944844E-2</v>
      </c>
      <c r="V14" s="1">
        <f t="shared" si="4"/>
        <v>3.055094084795406E-2</v>
      </c>
      <c r="W14" s="1">
        <f t="shared" si="1"/>
        <v>3.6787219696881757E-2</v>
      </c>
      <c r="X14" s="1">
        <f t="shared" si="5"/>
        <v>3.3230492010365618E-2</v>
      </c>
      <c r="Y14" s="1">
        <f t="shared" si="6"/>
        <v>0.24506922213501614</v>
      </c>
    </row>
    <row r="15" spans="1:25" x14ac:dyDescent="0.25">
      <c r="A15" s="1">
        <v>3</v>
      </c>
      <c r="B15" s="21">
        <v>3000</v>
      </c>
      <c r="C15" s="22">
        <v>16</v>
      </c>
      <c r="D15" s="22">
        <v>5.5258426966292191E-3</v>
      </c>
      <c r="E15" s="22">
        <v>0.25</v>
      </c>
      <c r="F15" s="23">
        <v>3.2984289375753401E-2</v>
      </c>
      <c r="G15" s="23">
        <v>3.0600968117894822E-2</v>
      </c>
      <c r="H15" s="23">
        <v>3.4025268933271895E-2</v>
      </c>
      <c r="I15" s="23">
        <v>3.6985024246124092E-2</v>
      </c>
      <c r="J15" s="23">
        <v>3.5821673641393319E-2</v>
      </c>
      <c r="K15" s="22">
        <f>IF(ISNUMBER(Table2[[#This Row],[Qb]]),$Q$4*Table2[[#This Row],[Q ]]^$Q$5+$Q$6,$P$4*Table2[[#This Row],[Q ]]^$P$5+$P$6)</f>
        <v>26.391819865461994</v>
      </c>
      <c r="L15" s="31">
        <f>Table2[[#This Row],[h US 4]]*(w0+Table2[[#This Row],[h US 4]]*m)/(w0+2*Table2[[#This Row],[h US 4]]*(m^2+1)^0.5)</f>
        <v>2.379998095678796E-2</v>
      </c>
      <c r="M15" s="31">
        <f>Table2[[#This Row],[Rh]]*J/((s-1)*0.01368)</f>
        <v>5.6956582107322899E-2</v>
      </c>
      <c r="N15" s="24"/>
      <c r="O15" s="15" t="s">
        <v>48</v>
      </c>
      <c r="P15" s="15"/>
      <c r="S15" s="1">
        <v>5.7000000000000002E-3</v>
      </c>
      <c r="T15" s="1">
        <f t="shared" si="2"/>
        <v>3.0086847411952181E-2</v>
      </c>
      <c r="U15" s="1">
        <f t="shared" si="3"/>
        <v>2.7719841234683816E-2</v>
      </c>
      <c r="V15" s="1">
        <f t="shared" si="4"/>
        <v>3.0770708413496821E-2</v>
      </c>
      <c r="W15" s="1">
        <f t="shared" si="1"/>
        <v>3.7023997705749004E-2</v>
      </c>
      <c r="X15" s="1">
        <f t="shared" si="5"/>
        <v>3.3477499478633523E-2</v>
      </c>
      <c r="Y15" s="1">
        <f t="shared" si="6"/>
        <v>0.2551003913390204</v>
      </c>
    </row>
    <row r="16" spans="1:25" x14ac:dyDescent="0.25">
      <c r="A16" s="1">
        <v>4</v>
      </c>
      <c r="B16" s="21">
        <v>3000</v>
      </c>
      <c r="C16" s="22">
        <v>19</v>
      </c>
      <c r="D16" s="22">
        <v>6.058749999999999E-3</v>
      </c>
      <c r="E16" s="22">
        <v>0.29113924050632911</v>
      </c>
      <c r="F16" s="22">
        <v>3.424991368954515E-2</v>
      </c>
      <c r="G16" s="22">
        <v>3.2295144621981631E-2</v>
      </c>
      <c r="H16" s="22">
        <v>3.5825428730319339E-2</v>
      </c>
      <c r="I16" s="23">
        <v>3.8709170220978042E-2</v>
      </c>
      <c r="J16" s="22">
        <v>3.8248135560343871E-2</v>
      </c>
      <c r="K16" s="22">
        <f>IF(ISNUMBER(Table2[[#This Row],[Qb]]),$Q$4*Table2[[#This Row],[Q ]]^$Q$5+$Q$6,$P$4*Table2[[#This Row],[Q ]]^$P$5+$P$6)</f>
        <v>27.248832945881173</v>
      </c>
      <c r="L16" s="31">
        <f>Table2[[#This Row],[h US 4]]*(w0+Table2[[#This Row],[h US 4]]*m)/(w0+2*Table2[[#This Row],[h US 4]]*(m^2+1)^0.5)</f>
        <v>2.4693649826521627E-2</v>
      </c>
      <c r="M16" s="31">
        <f>Table2[[#This Row],[Rh]]*J/((s-1)*0.01368)</f>
        <v>5.9095252909125651E-2</v>
      </c>
      <c r="N16" s="24"/>
      <c r="O16" s="15" t="s">
        <v>46</v>
      </c>
      <c r="P16" s="15"/>
      <c r="S16" s="1">
        <v>5.7999999999999996E-3</v>
      </c>
      <c r="T16" s="1">
        <f t="shared" si="2"/>
        <v>3.0299009778777627E-2</v>
      </c>
      <c r="U16" s="1">
        <f t="shared" si="3"/>
        <v>2.7914360631422785E-2</v>
      </c>
      <c r="V16" s="1">
        <f t="shared" si="4"/>
        <v>3.0990475979039575E-2</v>
      </c>
      <c r="W16" s="1">
        <f t="shared" si="1"/>
        <v>3.7260775714616258E-2</v>
      </c>
      <c r="X16" s="1">
        <f t="shared" si="5"/>
        <v>3.372450694690142E-2</v>
      </c>
      <c r="Y16" s="1">
        <f t="shared" si="6"/>
        <v>0.26493377885506675</v>
      </c>
    </row>
    <row r="17" spans="1:25" x14ac:dyDescent="0.25">
      <c r="A17" s="1">
        <v>5</v>
      </c>
      <c r="B17" s="21">
        <v>3000</v>
      </c>
      <c r="C17" s="22">
        <v>23</v>
      </c>
      <c r="D17" s="22">
        <v>6.4648351648351667E-3</v>
      </c>
      <c r="E17" s="22">
        <v>0.32222222222222224</v>
      </c>
      <c r="F17" s="22">
        <v>3.5558236907938724E-2</v>
      </c>
      <c r="G17" s="22">
        <v>3.2762019611206915E-2</v>
      </c>
      <c r="H17" s="22">
        <v>3.6273297899824898E-2</v>
      </c>
      <c r="I17" s="23">
        <v>3.8876821921694601E-2</v>
      </c>
      <c r="J17" s="22">
        <v>3.9222184129089836E-2</v>
      </c>
      <c r="K17" s="22">
        <f>IF(ISNUMBER(Table2[[#This Row],[Qb]]),$Q$4*Table2[[#This Row],[Q ]]^$Q$5+$Q$6,$P$4*Table2[[#This Row],[Q ]]^$P$5+$P$6)</f>
        <v>27.773794096357932</v>
      </c>
      <c r="L17" s="31">
        <f>Table2[[#This Row],[h US 4]]*(w0+Table2[[#This Row],[h US 4]]*m)/(w0+2*Table2[[#This Row],[h US 4]]*(m^2+1)^0.5)</f>
        <v>2.4780204874611404E-2</v>
      </c>
      <c r="M17" s="31">
        <f>Table2[[#This Row],[Rh]]*J/((s-1)*0.01368)</f>
        <v>5.9302390877524855E-2</v>
      </c>
      <c r="N17" s="24"/>
      <c r="O17" s="18" t="s">
        <v>39</v>
      </c>
      <c r="P17" s="16">
        <v>-2.0875728819751518</v>
      </c>
      <c r="S17" s="1">
        <v>5.9000000000000007E-3</v>
      </c>
      <c r="T17" s="1">
        <f t="shared" si="2"/>
        <v>3.0511172145603081E-2</v>
      </c>
      <c r="U17" s="1">
        <f t="shared" si="3"/>
        <v>2.8108880028161757E-2</v>
      </c>
      <c r="V17" s="1">
        <f t="shared" si="4"/>
        <v>3.1210243544582336E-2</v>
      </c>
      <c r="W17" s="1">
        <f t="shared" si="1"/>
        <v>3.7497553723483512E-2</v>
      </c>
      <c r="X17" s="1">
        <f t="shared" si="5"/>
        <v>3.3971514415169324E-2</v>
      </c>
      <c r="Y17" s="1">
        <f t="shared" si="6"/>
        <v>0.27457659499643228</v>
      </c>
    </row>
    <row r="18" spans="1:25" x14ac:dyDescent="0.25">
      <c r="A18" s="1">
        <v>6</v>
      </c>
      <c r="B18" s="21">
        <v>3000</v>
      </c>
      <c r="C18" s="22">
        <v>25</v>
      </c>
      <c r="D18" s="22">
        <v>6.2452830188679219E-3</v>
      </c>
      <c r="E18" s="22">
        <v>0.29523809523809524</v>
      </c>
      <c r="F18" s="23">
        <v>3.498663471424545E-2</v>
      </c>
      <c r="G18" s="23">
        <v>3.2138785146486278E-2</v>
      </c>
      <c r="H18" s="23">
        <v>3.5911105360527967E-2</v>
      </c>
      <c r="I18" s="23">
        <v>3.8500171285652689E-2</v>
      </c>
      <c r="J18" s="23">
        <v>3.8596914789385893E-2</v>
      </c>
      <c r="K18" s="22">
        <f>IF(ISNUMBER(Table2[[#This Row],[Qb]]),$Q$4*Table2[[#This Row],[Q ]]^$Q$5+$Q$6,$P$4*Table2[[#This Row],[Q ]]^$P$5+$P$6)</f>
        <v>27.501749122133148</v>
      </c>
      <c r="L18" s="31">
        <f>Table2[[#This Row],[h US 4]]*(w0+Table2[[#This Row],[h US 4]]*m)/(w0+2*Table2[[#This Row],[h US 4]]*(m^2+1)^0.5)</f>
        <v>2.4585665134461109E-2</v>
      </c>
      <c r="M18" s="31">
        <f>Table2[[#This Row],[Rh]]*J/((s-1)*0.01368)</f>
        <v>5.883683089648431E-2</v>
      </c>
      <c r="N18" s="24"/>
      <c r="O18" s="18" t="s">
        <v>40</v>
      </c>
      <c r="P18" s="16">
        <v>-0.13498854411867559</v>
      </c>
      <c r="S18" s="1">
        <v>6.0000000000000001E-3</v>
      </c>
      <c r="T18" s="1">
        <f t="shared" si="2"/>
        <v>3.0723334512428528E-2</v>
      </c>
      <c r="U18" s="1">
        <f t="shared" si="3"/>
        <v>2.8303399424900726E-2</v>
      </c>
      <c r="V18" s="1">
        <f t="shared" si="4"/>
        <v>3.143001111012509E-2</v>
      </c>
      <c r="W18" s="1">
        <f>I$7*$S18+I$8</f>
        <v>3.7734331732350766E-2</v>
      </c>
      <c r="X18" s="1">
        <f t="shared" si="5"/>
        <v>3.4218521883437214E-2</v>
      </c>
      <c r="Y18" s="1">
        <f t="shared" si="6"/>
        <v>0.2840356705707423</v>
      </c>
    </row>
    <row r="19" spans="1:25" x14ac:dyDescent="0.25">
      <c r="A19" s="1">
        <v>7</v>
      </c>
      <c r="B19" s="21">
        <v>3000</v>
      </c>
      <c r="C19" s="22">
        <v>29</v>
      </c>
      <c r="D19" s="22">
        <v>6.8438775510204046E-3</v>
      </c>
      <c r="E19" s="22">
        <v>0.33505154639175255</v>
      </c>
      <c r="F19" s="22">
        <v>3.5516147342122023E-2</v>
      </c>
      <c r="G19" s="22">
        <v>3.2917558802545037E-2</v>
      </c>
      <c r="H19" s="22">
        <v>3.662581944052265E-2</v>
      </c>
      <c r="I19" s="23">
        <v>3.9564182681133354E-2</v>
      </c>
      <c r="J19" s="22">
        <v>4.0528866566966408E-2</v>
      </c>
      <c r="K19" s="22">
        <f>IF(ISNUMBER(Table2[[#This Row],[Qb]]),$Q$4*Table2[[#This Row],[Q ]]^$Q$5+$Q$6,$P$4*Table2[[#This Row],[Q ]]^$P$5+$P$6)</f>
        <v>28.187475629626359</v>
      </c>
      <c r="L19" s="31">
        <f>Table2[[#This Row],[h US 4]]*(w0+Table2[[#This Row],[h US 4]]*m)/(w0+2*Table2[[#This Row],[h US 4]]*(m^2+1)^0.5)</f>
        <v>2.5134466747039355E-2</v>
      </c>
      <c r="M19" s="31">
        <f>Table2[[#This Row],[Rh]]*J/((s-1)*0.01368)</f>
        <v>6.0150187582113469E-2</v>
      </c>
      <c r="N19" s="24"/>
      <c r="O19" s="18" t="s">
        <v>35</v>
      </c>
      <c r="P19" s="16">
        <v>4.4485635575600977</v>
      </c>
      <c r="S19" s="1">
        <v>6.0999999999999995E-3</v>
      </c>
      <c r="T19" s="1">
        <f t="shared" si="2"/>
        <v>3.0935496879253975E-2</v>
      </c>
      <c r="U19" s="1">
        <f t="shared" si="3"/>
        <v>2.8497918821639698E-2</v>
      </c>
      <c r="V19" s="1">
        <f t="shared" si="4"/>
        <v>3.1649778675667845E-2</v>
      </c>
      <c r="W19" s="1">
        <f t="shared" ref="W19:W63" si="7">I$7*$S19+I$8</f>
        <v>3.7971109741218013E-2</v>
      </c>
      <c r="X19" s="1">
        <f t="shared" si="5"/>
        <v>3.4465529351705118E-2</v>
      </c>
      <c r="Y19" s="1">
        <f t="shared" si="6"/>
        <v>0.29331748279182257</v>
      </c>
    </row>
    <row r="20" spans="1:25" x14ac:dyDescent="0.25">
      <c r="A20" s="1">
        <v>8</v>
      </c>
      <c r="B20" s="21">
        <v>3000</v>
      </c>
      <c r="C20" s="22">
        <v>32</v>
      </c>
      <c r="D20" s="22">
        <v>7.1361445783132554E-3</v>
      </c>
      <c r="E20" s="22">
        <v>0.36585365853658536</v>
      </c>
      <c r="F20" s="23">
        <v>3.6477106139504299E-2</v>
      </c>
      <c r="G20" s="23">
        <v>3.4552926623382461E-2</v>
      </c>
      <c r="H20" s="23">
        <v>3.8188901180163382E-2</v>
      </c>
      <c r="I20" s="23">
        <v>4.1419051707417463E-2</v>
      </c>
      <c r="J20" s="23">
        <v>4.4580460916412962E-2</v>
      </c>
      <c r="K20" s="22">
        <f>IF(ISNUMBER(Table2[[#This Row],[Qb]]),$Q$4*Table2[[#This Row],[Q ]]^$Q$5+$Q$6,$P$4*Table2[[#This Row],[Q ]]^$P$5+$P$6)</f>
        <v>28.46551841314221</v>
      </c>
      <c r="L20" s="31">
        <f>Table2[[#This Row],[h US 4]]*(w0+Table2[[#This Row],[h US 4]]*m)/(w0+2*Table2[[#This Row],[h US 4]]*(m^2+1)^0.5)</f>
        <v>2.6085794032077825E-2</v>
      </c>
      <c r="M20" s="31">
        <f>Table2[[#This Row],[Rh]]*J/((s-1)*0.01368)</f>
        <v>6.2426842791191539E-2</v>
      </c>
      <c r="N20" s="24"/>
      <c r="O20" s="18" t="s">
        <v>18</v>
      </c>
      <c r="P20" s="1">
        <v>0.98699999999999999</v>
      </c>
      <c r="S20" s="1">
        <v>6.2000000000000006E-3</v>
      </c>
      <c r="T20" s="1">
        <f t="shared" si="2"/>
        <v>3.1147659246079422E-2</v>
      </c>
      <c r="U20" s="1">
        <f t="shared" si="3"/>
        <v>2.869243821837867E-2</v>
      </c>
      <c r="V20" s="1">
        <f t="shared" si="4"/>
        <v>3.1869546241210606E-2</v>
      </c>
      <c r="W20" s="1">
        <f t="shared" si="7"/>
        <v>3.8207887750085268E-2</v>
      </c>
      <c r="X20" s="1">
        <f t="shared" si="5"/>
        <v>3.4712536819973015E-2</v>
      </c>
      <c r="Y20" s="1">
        <f t="shared" si="6"/>
        <v>0.30242817903011865</v>
      </c>
    </row>
    <row r="21" spans="1:25" x14ac:dyDescent="0.25">
      <c r="A21" s="1">
        <v>9</v>
      </c>
      <c r="B21" s="21">
        <v>3000</v>
      </c>
      <c r="C21" s="22">
        <v>35</v>
      </c>
      <c r="D21" s="22">
        <v>7.0864077669902928E-3</v>
      </c>
      <c r="E21" s="22">
        <v>0.36274509803921567</v>
      </c>
      <c r="F21" s="23">
        <v>3.6810528237340337E-2</v>
      </c>
      <c r="G21" s="23">
        <v>3.435849711288233E-2</v>
      </c>
      <c r="H21" s="23">
        <v>3.7996781775231012E-2</v>
      </c>
      <c r="I21" s="23">
        <v>4.0945903496301374E-2</v>
      </c>
      <c r="J21" s="23">
        <v>4.2309989623962041E-2</v>
      </c>
      <c r="K21" s="22">
        <f>IF(ISNUMBER(Table2[[#This Row],[Qb]]),$Q$4*Table2[[#This Row],[Q ]]^$Q$5+$Q$6,$P$4*Table2[[#This Row],[Q ]]^$P$5+$P$6)</f>
        <v>28.420443047741685</v>
      </c>
      <c r="L21" s="31">
        <f>Table2[[#This Row],[h US 4]]*(w0+Table2[[#This Row],[h US 4]]*m)/(w0+2*Table2[[#This Row],[h US 4]]*(m^2+1)^0.5)</f>
        <v>2.5843749456222895E-2</v>
      </c>
      <c r="M21" s="31">
        <f>Table2[[#This Row],[Rh]]*J/((s-1)*0.01368)</f>
        <v>6.184759729585506E-2</v>
      </c>
      <c r="N21" s="24"/>
      <c r="S21" s="1">
        <v>6.3E-3</v>
      </c>
      <c r="T21" s="1">
        <f t="shared" si="2"/>
        <v>3.1359821612904869E-2</v>
      </c>
      <c r="U21" s="1">
        <f t="shared" si="3"/>
        <v>2.8886957615117635E-2</v>
      </c>
      <c r="V21" s="1">
        <f t="shared" si="4"/>
        <v>3.2089313806753367E-2</v>
      </c>
      <c r="W21" s="1">
        <f t="shared" si="7"/>
        <v>3.8444665758952522E-2</v>
      </c>
      <c r="X21" s="1">
        <f t="shared" si="5"/>
        <v>3.4959544288240912E-2</v>
      </c>
      <c r="Y21" s="1">
        <f t="shared" si="6"/>
        <v>0.31137359861366853</v>
      </c>
    </row>
    <row r="22" spans="1:25" x14ac:dyDescent="0.25">
      <c r="A22" s="1">
        <v>10</v>
      </c>
      <c r="B22" s="21">
        <v>3000</v>
      </c>
      <c r="C22" s="22">
        <v>38</v>
      </c>
      <c r="D22" s="22">
        <v>6.9150442477876111E-3</v>
      </c>
      <c r="E22" s="22">
        <v>0.34375</v>
      </c>
      <c r="F22" s="22">
        <v>3.6448023423745778E-2</v>
      </c>
      <c r="G22" s="22">
        <v>3.4237618542559183E-2</v>
      </c>
      <c r="H22" s="22">
        <v>3.7720016114658472E-2</v>
      </c>
      <c r="I22" s="23">
        <v>4.0349516419664722E-2</v>
      </c>
      <c r="J22" s="22">
        <v>4.1370347573551104E-2</v>
      </c>
      <c r="K22" s="22">
        <f>IF(ISNUMBER(Table2[[#This Row],[Qb]]),$Q$4*Table2[[#This Row],[Q ]]^$Q$5+$Q$6,$P$4*Table2[[#This Row],[Q ]]^$P$5+$P$6)</f>
        <v>28.258193225103458</v>
      </c>
      <c r="L22" s="31">
        <f>Table2[[#This Row],[h US 4]]*(w0+Table2[[#This Row],[h US 4]]*m)/(w0+2*Table2[[#This Row],[h US 4]]*(m^2+1)^0.5)</f>
        <v>2.5538059542570778E-2</v>
      </c>
      <c r="M22" s="31">
        <f>Table2[[#This Row],[Rh]]*J/((s-1)*0.01368)</f>
        <v>6.1116039875791603E-2</v>
      </c>
      <c r="N22" s="24"/>
      <c r="S22" s="1">
        <v>6.4000000000000003E-3</v>
      </c>
      <c r="T22" s="1">
        <f t="shared" si="2"/>
        <v>3.1571983979730323E-2</v>
      </c>
      <c r="U22" s="1">
        <f t="shared" si="3"/>
        <v>2.9081477011856607E-2</v>
      </c>
      <c r="V22" s="1">
        <f t="shared" si="4"/>
        <v>3.2309081372296121E-2</v>
      </c>
      <c r="W22" s="1">
        <f t="shared" si="7"/>
        <v>3.8681443767819776E-2</v>
      </c>
      <c r="X22" s="1">
        <f t="shared" si="5"/>
        <v>3.5206551756508817E-2</v>
      </c>
      <c r="Y22" s="1">
        <f t="shared" si="6"/>
        <v>0.32015929286778722</v>
      </c>
    </row>
    <row r="23" spans="1:25" x14ac:dyDescent="0.25">
      <c r="A23" s="1">
        <v>11</v>
      </c>
      <c r="B23" s="21">
        <v>3000</v>
      </c>
      <c r="C23" s="22">
        <v>41</v>
      </c>
      <c r="D23" s="22">
        <v>7.4189999999999985E-3</v>
      </c>
      <c r="E23" s="22">
        <v>0.40404040404040403</v>
      </c>
      <c r="F23" s="25"/>
      <c r="G23" s="25"/>
      <c r="H23" s="25"/>
      <c r="I23" s="26"/>
      <c r="J23" s="25"/>
      <c r="K23" s="22">
        <f>IF(ISNUMBER(Table2[[#This Row],[Qb]]),$Q$4*Table2[[#This Row],[Q ]]^$Q$5+$Q$6,$P$4*Table2[[#This Row],[Q ]]^$P$5+$P$6)</f>
        <v>28.706076063216084</v>
      </c>
      <c r="L23" s="31">
        <f>Table2[[#This Row],[h US 4]]*(w0+Table2[[#This Row],[h US 4]]*m)/(w0+2*Table2[[#This Row],[h US 4]]*(m^2+1)^0.5)</f>
        <v>0</v>
      </c>
      <c r="M23" s="31"/>
      <c r="N23" s="24"/>
      <c r="O23" s="15" t="s">
        <v>45</v>
      </c>
      <c r="P23" s="15"/>
      <c r="S23" s="1">
        <v>6.4999999999999902E-3</v>
      </c>
      <c r="T23" s="1">
        <f t="shared" si="2"/>
        <v>3.1784146346555749E-2</v>
      </c>
      <c r="U23" s="1">
        <f t="shared" si="3"/>
        <v>2.9275996408595559E-2</v>
      </c>
      <c r="V23" s="1">
        <f t="shared" si="4"/>
        <v>3.2528848937838854E-2</v>
      </c>
      <c r="W23" s="1">
        <f t="shared" si="7"/>
        <v>3.8918221776687002E-2</v>
      </c>
      <c r="X23" s="1">
        <f t="shared" si="5"/>
        <v>3.5453559224776693E-2</v>
      </c>
      <c r="Y23" s="1">
        <f t="shared" si="6"/>
        <v>0.32879054356083603</v>
      </c>
    </row>
    <row r="24" spans="1:25" x14ac:dyDescent="0.25">
      <c r="A24" s="1">
        <v>12</v>
      </c>
      <c r="B24" s="21">
        <v>3000</v>
      </c>
      <c r="C24" s="22">
        <v>44</v>
      </c>
      <c r="D24" s="22">
        <v>7.5962025316455677E-3</v>
      </c>
      <c r="E24" s="22">
        <v>0.42307692307692307</v>
      </c>
      <c r="F24" s="23">
        <v>3.7598978941118695E-2</v>
      </c>
      <c r="G24" s="23">
        <v>3.5247393421065289E-2</v>
      </c>
      <c r="H24" s="23">
        <v>3.8644623219835368E-2</v>
      </c>
      <c r="I24" s="23">
        <v>4.1111883495455484E-2</v>
      </c>
      <c r="J24" s="23">
        <v>4.2483058535103063E-2</v>
      </c>
      <c r="K24" s="22">
        <f>IF(ISNUMBER(Table2[[#This Row],[Qb]]),$Q$4*Table2[[#This Row],[Q ]]^$Q$5+$Q$6,$P$4*Table2[[#This Row],[Q ]]^$P$5+$P$6)</f>
        <v>28.844243339144235</v>
      </c>
      <c r="L24" s="31">
        <f>Table2[[#This Row],[h US 4]]*(w0+Table2[[#This Row],[h US 4]]*m)/(w0+2*Table2[[#This Row],[h US 4]]*(m^2+1)^0.5)</f>
        <v>2.592870592904532E-2</v>
      </c>
      <c r="M24" s="31">
        <f>Table2[[#This Row],[Rh]]*J/((s-1)*0.01368)</f>
        <v>6.2050909656845787E-2</v>
      </c>
      <c r="N24" s="24"/>
      <c r="O24" s="15" t="s">
        <v>46</v>
      </c>
      <c r="P24" s="15"/>
      <c r="S24" s="1">
        <v>6.5999999999999904E-3</v>
      </c>
      <c r="T24" s="1">
        <f t="shared" si="2"/>
        <v>3.1996308713381195E-2</v>
      </c>
      <c r="U24" s="1">
        <f t="shared" si="3"/>
        <v>2.9470515805334531E-2</v>
      </c>
      <c r="V24" s="1">
        <f t="shared" si="4"/>
        <v>3.2748616503381615E-2</v>
      </c>
      <c r="W24" s="1">
        <f t="shared" si="7"/>
        <v>3.9154999785554256E-2</v>
      </c>
      <c r="X24" s="1">
        <f t="shared" si="5"/>
        <v>3.570056669304459E-2</v>
      </c>
      <c r="Y24" s="1">
        <f t="shared" si="6"/>
        <v>0.33727237990524017</v>
      </c>
    </row>
    <row r="25" spans="1:25" x14ac:dyDescent="0.25">
      <c r="A25" s="1">
        <v>13</v>
      </c>
      <c r="B25" s="21">
        <v>3000</v>
      </c>
      <c r="C25" s="22">
        <v>48</v>
      </c>
      <c r="D25" s="22">
        <v>7.8049382716049382E-3</v>
      </c>
      <c r="E25" s="22">
        <v>0.44374999999999998</v>
      </c>
      <c r="F25" s="22">
        <v>3.7842919806480566E-2</v>
      </c>
      <c r="G25" s="22">
        <v>3.537649163464069E-2</v>
      </c>
      <c r="H25" s="22">
        <v>3.9335761754712428E-2</v>
      </c>
      <c r="I25" s="23">
        <v>4.1420344239725335E-2</v>
      </c>
      <c r="J25" s="22">
        <v>4.3193255498612942E-2</v>
      </c>
      <c r="K25" s="22">
        <f>IF(ISNUMBER(Table2[[#This Row],[Qb]]),$Q$4*Table2[[#This Row],[Q ]]^$Q$5+$Q$6,$P$4*Table2[[#This Row],[Q ]]^$P$5+$P$6)</f>
        <v>28.995931610421874</v>
      </c>
      <c r="L25" s="31">
        <f>Table2[[#This Row],[h US 4]]*(w0+Table2[[#This Row],[h US 4]]*m)/(w0+2*Table2[[#This Row],[h US 4]]*(m^2+1)^0.5)</f>
        <v>2.6086454674620597E-2</v>
      </c>
      <c r="M25" s="31">
        <f>Table2[[#This Row],[Rh]]*J/((s-1)*0.01368)</f>
        <v>6.2428423798390628E-2</v>
      </c>
      <c r="N25" s="24"/>
      <c r="O25" s="18" t="s">
        <v>39</v>
      </c>
      <c r="P25" s="18"/>
      <c r="S25" s="1">
        <v>6.6999999999999907E-3</v>
      </c>
      <c r="T25" s="1">
        <f t="shared" si="2"/>
        <v>3.2208471080206642E-2</v>
      </c>
      <c r="U25" s="1">
        <f t="shared" si="3"/>
        <v>2.9665035202073503E-2</v>
      </c>
      <c r="V25" s="1">
        <f t="shared" si="4"/>
        <v>3.296838406892437E-2</v>
      </c>
      <c r="W25" s="1">
        <f t="shared" si="7"/>
        <v>3.9391777794421504E-2</v>
      </c>
      <c r="X25" s="1">
        <f t="shared" si="5"/>
        <v>3.5947574161312487E-2</v>
      </c>
      <c r="Y25" s="1">
        <f t="shared" si="6"/>
        <v>0.34560959424691884</v>
      </c>
    </row>
    <row r="26" spans="1:25" x14ac:dyDescent="0.25">
      <c r="A26" s="1">
        <v>14</v>
      </c>
      <c r="B26" s="21">
        <v>3000</v>
      </c>
      <c r="C26" s="22">
        <v>50</v>
      </c>
      <c r="D26" s="22">
        <v>7.9733333333333305E-3</v>
      </c>
      <c r="E26" s="22">
        <v>0.4606741573033708</v>
      </c>
      <c r="F26" s="23">
        <v>3.8024348065214424E-2</v>
      </c>
      <c r="G26" s="23">
        <v>3.553737168955963E-2</v>
      </c>
      <c r="H26" s="23">
        <v>3.949950797430913E-2</v>
      </c>
      <c r="I26" s="23">
        <v>4.2016235536366048E-2</v>
      </c>
      <c r="J26" s="23">
        <v>4.5203334923467044E-2</v>
      </c>
      <c r="K26" s="22">
        <f>IF(ISNUMBER(Table2[[#This Row],[Qb]]),$Q$4*Table2[[#This Row],[Q ]]^$Q$5+$Q$6,$P$4*Table2[[#This Row],[Q ]]^$P$5+$P$6)</f>
        <v>29.110337560290976</v>
      </c>
      <c r="L26" s="31">
        <f>Table2[[#This Row],[h US 4]]*(w0+Table2[[#This Row],[h US 4]]*m)/(w0+2*Table2[[#This Row],[h US 4]]*(m^2+1)^0.5)</f>
        <v>2.639070451872268E-2</v>
      </c>
      <c r="M26" s="31">
        <f>Table2[[#This Row],[Rh]]*J/((s-1)*0.01368)</f>
        <v>6.3156534936723213E-2</v>
      </c>
      <c r="N26" s="24"/>
      <c r="O26" s="18" t="s">
        <v>40</v>
      </c>
      <c r="P26" s="18"/>
      <c r="S26" s="1">
        <v>6.7999999999999901E-3</v>
      </c>
      <c r="T26" s="1">
        <f t="shared" si="2"/>
        <v>3.2420633447032089E-2</v>
      </c>
      <c r="U26" s="1">
        <f t="shared" si="3"/>
        <v>2.9859554598812468E-2</v>
      </c>
      <c r="V26" s="1">
        <f t="shared" si="4"/>
        <v>3.3188151634467131E-2</v>
      </c>
      <c r="W26" s="1">
        <f t="shared" si="7"/>
        <v>3.9628555803288765E-2</v>
      </c>
      <c r="X26" s="1">
        <f t="shared" si="5"/>
        <v>3.6194581629580391E-2</v>
      </c>
      <c r="Y26" s="1">
        <f t="shared" si="6"/>
        <v>0.35380675656223026</v>
      </c>
    </row>
    <row r="27" spans="1:25" x14ac:dyDescent="0.25">
      <c r="A27" s="1">
        <v>15</v>
      </c>
      <c r="B27" s="21">
        <v>3000</v>
      </c>
      <c r="C27" s="22">
        <v>54</v>
      </c>
      <c r="D27" s="22">
        <v>8.278823529411769E-3</v>
      </c>
      <c r="E27" s="22">
        <v>0.47023809523809523</v>
      </c>
      <c r="F27" s="22">
        <v>3.8914400649027701E-2</v>
      </c>
      <c r="G27" s="22">
        <v>3.6104111361736371E-2</v>
      </c>
      <c r="H27" s="22">
        <v>3.9728798234383834E-2</v>
      </c>
      <c r="I27" s="23">
        <v>4.2690320944144211E-2</v>
      </c>
      <c r="J27" s="22">
        <v>4.4891433736433804E-2</v>
      </c>
      <c r="K27" s="22">
        <f>IF(ISNUMBER(Table2[[#This Row],[Qb]]),$Q$4*Table2[[#This Row],[Q ]]^$Q$5+$Q$6,$P$4*Table2[[#This Row],[Q ]]^$P$5+$P$6)</f>
        <v>29.301587769909634</v>
      </c>
      <c r="L27" s="31">
        <f>Table2[[#This Row],[h US 4]]*(w0+Table2[[#This Row],[h US 4]]*m)/(w0+2*Table2[[#This Row],[h US 4]]*(m^2+1)^0.5)</f>
        <v>2.6734115868883683E-2</v>
      </c>
      <c r="M27" s="31">
        <f>Table2[[#This Row],[Rh]]*J/((s-1)*0.01368)</f>
        <v>6.3978364870013682E-2</v>
      </c>
      <c r="N27" s="24"/>
      <c r="O27" s="18" t="s">
        <v>35</v>
      </c>
      <c r="P27" s="18"/>
      <c r="S27" s="1">
        <v>6.8999999999999895E-3</v>
      </c>
      <c r="T27" s="1">
        <f t="shared" si="2"/>
        <v>3.2632795813857536E-2</v>
      </c>
      <c r="U27" s="1">
        <f t="shared" si="3"/>
        <v>3.005407399555144E-2</v>
      </c>
      <c r="V27" s="1">
        <f t="shared" si="4"/>
        <v>3.3407919200009885E-2</v>
      </c>
      <c r="W27" s="1">
        <f t="shared" si="7"/>
        <v>3.9865333812156012E-2</v>
      </c>
      <c r="X27" s="1">
        <f t="shared" si="5"/>
        <v>3.6441589097848281E-2</v>
      </c>
      <c r="Y27" s="1">
        <f t="shared" si="6"/>
        <v>0.36186822786913808</v>
      </c>
    </row>
    <row r="28" spans="1:25" x14ac:dyDescent="0.25">
      <c r="A28" s="1">
        <v>16</v>
      </c>
      <c r="B28" s="21">
        <v>3000</v>
      </c>
      <c r="C28" s="22">
        <v>58</v>
      </c>
      <c r="D28" s="22">
        <v>8.1860759493670877E-3</v>
      </c>
      <c r="E28" s="22">
        <v>0.47435897435897434</v>
      </c>
      <c r="F28" s="23">
        <v>3.8534123690428225E-2</v>
      </c>
      <c r="G28" s="23">
        <v>3.602545004481153E-2</v>
      </c>
      <c r="H28" s="23">
        <v>3.8880810733705071E-2</v>
      </c>
      <c r="I28" s="23">
        <v>4.2751507700664153E-2</v>
      </c>
      <c r="J28" s="23">
        <v>4.3815699992840698E-2</v>
      </c>
      <c r="K28" s="22">
        <f>IF(ISNUMBER(Table2[[#This Row],[Qb]]),$Q$4*Table2[[#This Row],[Q ]]^$Q$5+$Q$6,$P$4*Table2[[#This Row],[Q ]]^$P$5+$P$6)</f>
        <v>29.245615250319169</v>
      </c>
      <c r="L28" s="31">
        <f>Table2[[#This Row],[h US 4]]*(w0+Table2[[#This Row],[h US 4]]*m)/(w0+2*Table2[[#This Row],[h US 4]]*(m^2+1)^0.5)</f>
        <v>2.6765248098855096E-2</v>
      </c>
      <c r="M28" s="31">
        <f>Table2[[#This Row],[Rh]]*J/((s-1)*0.01368)</f>
        <v>6.4052868518389303E-2</v>
      </c>
      <c r="N28" s="24"/>
      <c r="O28" s="18" t="s">
        <v>18</v>
      </c>
      <c r="S28" s="1">
        <v>6.9999999999999906E-3</v>
      </c>
      <c r="T28" s="1">
        <f t="shared" si="2"/>
        <v>3.284495818068299E-2</v>
      </c>
      <c r="U28" s="1">
        <f t="shared" si="3"/>
        <v>3.0248593392290413E-2</v>
      </c>
      <c r="V28" s="1">
        <f t="shared" si="4"/>
        <v>3.3627686765552646E-2</v>
      </c>
      <c r="W28" s="1">
        <f t="shared" si="7"/>
        <v>4.0102111821023266E-2</v>
      </c>
      <c r="X28" s="1">
        <f t="shared" si="5"/>
        <v>3.6688596566116186E-2</v>
      </c>
      <c r="Y28" s="1">
        <f t="shared" si="6"/>
        <v>0.36979817264837145</v>
      </c>
    </row>
    <row r="29" spans="1:25" x14ac:dyDescent="0.25">
      <c r="A29" s="1">
        <v>17</v>
      </c>
      <c r="B29" s="21">
        <v>3000</v>
      </c>
      <c r="C29" s="22">
        <v>60</v>
      </c>
      <c r="D29" s="22">
        <v>8.4303797468354459E-3</v>
      </c>
      <c r="E29" s="22">
        <v>0.47435897435897434</v>
      </c>
      <c r="F29" s="23">
        <v>3.872624324256059E-2</v>
      </c>
      <c r="G29" s="23">
        <v>3.6288633451644743E-2</v>
      </c>
      <c r="H29" s="23">
        <v>3.9808842952644377E-2</v>
      </c>
      <c r="I29" s="23">
        <v>4.3477631691317797E-2</v>
      </c>
      <c r="J29" s="23">
        <v>4.4776409276245897E-2</v>
      </c>
      <c r="K29" s="22">
        <f>IF(ISNUMBER(Table2[[#This Row],[Qb]]),$Q$4*Table2[[#This Row],[Q ]]^$Q$5+$Q$6,$P$4*Table2[[#This Row],[Q ]]^$P$5+$P$6)</f>
        <v>29.389392330991001</v>
      </c>
      <c r="L29" s="31">
        <f>Table2[[#This Row],[h US 4]]*(w0+Table2[[#This Row],[h US 4]]*m)/(w0+2*Table2[[#This Row],[h US 4]]*(m^2+1)^0.5)</f>
        <v>2.7134217878156144E-2</v>
      </c>
      <c r="M29" s="31">
        <f>Table2[[#This Row],[Rh]]*J/((s-1)*0.01368)</f>
        <v>6.4935863238764782E-2</v>
      </c>
      <c r="N29" s="24"/>
      <c r="S29" s="1">
        <v>7.09999999999999E-3</v>
      </c>
      <c r="T29" s="1">
        <f t="shared" si="2"/>
        <v>3.3057120547508437E-2</v>
      </c>
      <c r="U29" s="1">
        <f t="shared" si="3"/>
        <v>3.0443112789029381E-2</v>
      </c>
      <c r="V29" s="1">
        <f t="shared" si="4"/>
        <v>3.38474543310954E-2</v>
      </c>
      <c r="W29" s="1">
        <f t="shared" si="7"/>
        <v>4.033888982989052E-2</v>
      </c>
      <c r="X29" s="1">
        <f t="shared" si="5"/>
        <v>3.6935604034384083E-2</v>
      </c>
      <c r="Y29" s="1">
        <f t="shared" si="6"/>
        <v>0.37760057036064332</v>
      </c>
    </row>
    <row r="30" spans="1:25" x14ac:dyDescent="0.25">
      <c r="A30" s="1">
        <v>18</v>
      </c>
      <c r="B30" s="21">
        <v>3000</v>
      </c>
      <c r="C30" s="22">
        <v>63</v>
      </c>
      <c r="D30" s="22">
        <v>8.4142857142857162E-3</v>
      </c>
      <c r="E30" s="22">
        <v>0.48192771084337349</v>
      </c>
      <c r="F30" s="23">
        <v>3.9725961913443832E-2</v>
      </c>
      <c r="G30" s="23">
        <v>3.7131599040518749E-2</v>
      </c>
      <c r="H30" s="23">
        <v>3.9632971747628275E-2</v>
      </c>
      <c r="I30" s="23">
        <v>4.3885413671830242E-2</v>
      </c>
      <c r="J30" s="23">
        <v>4.5641402788322509E-2</v>
      </c>
      <c r="K30" s="22">
        <f>IF(ISNUMBER(Table2[[#This Row],[Qb]]),$Q$4*Table2[[#This Row],[Q ]]^$Q$5+$Q$6,$P$4*Table2[[#This Row],[Q ]]^$P$5+$P$6)</f>
        <v>29.38027628828328</v>
      </c>
      <c r="L30" s="31">
        <f>Table2[[#This Row],[h US 4]]*(w0+Table2[[#This Row],[h US 4]]*m)/(w0+2*Table2[[#This Row],[h US 4]]*(m^2+1)^0.5)</f>
        <v>2.7341040172281769E-2</v>
      </c>
      <c r="M30" s="31">
        <f>Table2[[#This Row],[Rh]]*J/((s-1)*0.01368)</f>
        <v>6.5430817037189212E-2</v>
      </c>
      <c r="N30" s="24"/>
      <c r="S30" s="1">
        <v>7.1999999999999903E-3</v>
      </c>
      <c r="T30" s="1">
        <f t="shared" si="2"/>
        <v>3.3269282914333884E-2</v>
      </c>
      <c r="U30" s="1">
        <f t="shared" si="3"/>
        <v>3.063763218576835E-2</v>
      </c>
      <c r="V30" s="1">
        <f t="shared" si="4"/>
        <v>3.4067221896638161E-2</v>
      </c>
      <c r="W30" s="1">
        <f t="shared" si="7"/>
        <v>4.0575667838757767E-2</v>
      </c>
      <c r="X30" s="1">
        <f t="shared" si="5"/>
        <v>3.718261150265198E-2</v>
      </c>
      <c r="Y30" s="1">
        <f t="shared" si="6"/>
        <v>0.38527922613743648</v>
      </c>
    </row>
    <row r="31" spans="1:25" x14ac:dyDescent="0.25">
      <c r="A31" s="1">
        <v>19</v>
      </c>
      <c r="B31" s="21">
        <v>3000</v>
      </c>
      <c r="C31" s="22">
        <v>67</v>
      </c>
      <c r="D31" s="22">
        <v>9.0442857142857148E-3</v>
      </c>
      <c r="E31" s="22">
        <v>0.5</v>
      </c>
      <c r="F31" s="23">
        <v>4.0182955903864177E-2</v>
      </c>
      <c r="G31" s="23">
        <v>3.7493162805143233E-2</v>
      </c>
      <c r="H31" s="23">
        <v>3.9862515704033659E-2</v>
      </c>
      <c r="I31" s="23">
        <v>4.4392966263566869E-2</v>
      </c>
      <c r="J31" s="23">
        <v>4.5470931883383602E-2</v>
      </c>
      <c r="K31" s="22">
        <f>IF(ISNUMBER(Table2[[#This Row],[Qb]]),$Q$4*Table2[[#This Row],[Q ]]^$Q$5+$Q$6,$P$4*Table2[[#This Row],[Q ]]^$P$5+$P$6)</f>
        <v>29.704085773256239</v>
      </c>
      <c r="L31" s="31">
        <f>Table2[[#This Row],[h US 4]]*(w0+Table2[[#This Row],[h US 4]]*m)/(w0+2*Table2[[#This Row],[h US 4]]*(m^2+1)^0.5)</f>
        <v>2.7598086666181985E-2</v>
      </c>
      <c r="M31" s="31">
        <f>Table2[[#This Row],[Rh]]*J/((s-1)*0.01368)</f>
        <v>6.6045964156920475E-2</v>
      </c>
      <c r="N31" s="24"/>
      <c r="S31" s="1">
        <v>7.2999999999999905E-3</v>
      </c>
      <c r="T31" s="1">
        <f t="shared" si="2"/>
        <v>3.348144528115933E-2</v>
      </c>
      <c r="U31" s="1">
        <f t="shared" si="3"/>
        <v>3.0832151582507322E-2</v>
      </c>
      <c r="V31" s="1">
        <f t="shared" si="4"/>
        <v>3.4286989462180915E-2</v>
      </c>
      <c r="W31" s="1">
        <f t="shared" si="7"/>
        <v>4.0812445847625022E-2</v>
      </c>
      <c r="X31" s="1">
        <f t="shared" si="5"/>
        <v>3.7429618970919884E-2</v>
      </c>
      <c r="Y31" s="1">
        <f t="shared" si="6"/>
        <v>0.39283778071522324</v>
      </c>
    </row>
    <row r="32" spans="1:25" x14ac:dyDescent="0.25">
      <c r="A32" s="1">
        <v>20</v>
      </c>
      <c r="B32" s="21">
        <v>3000</v>
      </c>
      <c r="C32" s="22">
        <v>69</v>
      </c>
      <c r="D32" s="22">
        <v>9.1361702127659584E-3</v>
      </c>
      <c r="E32" s="22">
        <v>0.510752688172043</v>
      </c>
      <c r="F32" s="23">
        <v>4.0765971774010659E-2</v>
      </c>
      <c r="G32" s="23">
        <v>3.7888911621215396E-2</v>
      </c>
      <c r="H32" s="23">
        <v>3.9977711018217676E-2</v>
      </c>
      <c r="I32" s="23">
        <v>4.5527017474854298E-2</v>
      </c>
      <c r="J32" s="23">
        <v>4.6276308465003552E-2</v>
      </c>
      <c r="K32" s="22">
        <f>IF(ISNUMBER(Table2[[#This Row],[Qb]]),$Q$4*Table2[[#This Row],[Q ]]^$Q$5+$Q$6,$P$4*Table2[[#This Row],[Q ]]^$P$5+$P$6)</f>
        <v>29.746191995565955</v>
      </c>
      <c r="L32" s="31">
        <f>Table2[[#This Row],[h US 4]]*(w0+Table2[[#This Row],[h US 4]]*m)/(w0+2*Table2[[#This Row],[h US 4]]*(m^2+1)^0.5)</f>
        <v>2.8170950877381654E-2</v>
      </c>
      <c r="M32" s="31">
        <f>Table2[[#This Row],[Rh]]*J/((s-1)*0.01368)</f>
        <v>6.7416905904343793E-2</v>
      </c>
      <c r="N32" s="24"/>
      <c r="S32" s="1">
        <v>7.3999999999999899E-3</v>
      </c>
      <c r="T32" s="1">
        <f t="shared" si="2"/>
        <v>3.3693607647984777E-2</v>
      </c>
      <c r="U32" s="1">
        <f t="shared" si="3"/>
        <v>3.1026670979246291E-2</v>
      </c>
      <c r="V32" s="1">
        <f t="shared" si="4"/>
        <v>3.450675702772367E-2</v>
      </c>
      <c r="W32" s="1">
        <f t="shared" si="7"/>
        <v>4.1049223856492276E-2</v>
      </c>
      <c r="X32" s="1">
        <f t="shared" si="5"/>
        <v>3.7676626439187781E-2</v>
      </c>
      <c r="Y32" s="1">
        <f t="shared" si="6"/>
        <v>0.40027971967622555</v>
      </c>
    </row>
    <row r="33" spans="1:25" x14ac:dyDescent="0.25">
      <c r="A33" s="1">
        <v>21</v>
      </c>
      <c r="B33" s="21">
        <v>3000</v>
      </c>
      <c r="C33" s="22">
        <v>73</v>
      </c>
      <c r="D33" s="22">
        <v>9.3857142857142872E-3</v>
      </c>
      <c r="E33" s="22">
        <v>0.52631578947368418</v>
      </c>
      <c r="F33" s="23">
        <v>4.1363700287012986E-2</v>
      </c>
      <c r="G33" s="23">
        <v>3.8314950275958E-2</v>
      </c>
      <c r="H33" s="23">
        <v>4.037233271148713E-2</v>
      </c>
      <c r="I33" s="23">
        <v>4.5940524709003977E-2</v>
      </c>
      <c r="J33" s="23">
        <v>4.6586571418257616E-2</v>
      </c>
      <c r="K33" s="22">
        <f>IF(ISNUMBER(Table2[[#This Row],[Qb]]),$Q$4*Table2[[#This Row],[Q ]]^$Q$5+$Q$6,$P$4*Table2[[#This Row],[Q ]]^$P$5+$P$6)</f>
        <v>29.854815965159464</v>
      </c>
      <c r="L33" s="31">
        <f>Table2[[#This Row],[h US 4]]*(w0+Table2[[#This Row],[h US 4]]*m)/(w0+2*Table2[[#This Row],[h US 4]]*(m^2+1)^0.5)</f>
        <v>2.8379344586724489E-2</v>
      </c>
      <c r="M33" s="31">
        <f>Table2[[#This Row],[Rh]]*J/((s-1)*0.01368)</f>
        <v>6.7915620312493347E-2</v>
      </c>
      <c r="N33" s="24"/>
      <c r="S33" s="1">
        <v>7.4999999999999902E-3</v>
      </c>
      <c r="T33" s="1">
        <f t="shared" si="2"/>
        <v>3.3905770014810224E-2</v>
      </c>
      <c r="U33" s="1">
        <f t="shared" si="3"/>
        <v>3.1221190375985263E-2</v>
      </c>
      <c r="V33" s="1">
        <f t="shared" si="4"/>
        <v>3.4726524593266431E-2</v>
      </c>
      <c r="W33" s="1">
        <f t="shared" si="7"/>
        <v>4.1286001865359523E-2</v>
      </c>
      <c r="X33" s="1">
        <f t="shared" si="5"/>
        <v>3.7923633907455678E-2</v>
      </c>
      <c r="Y33" s="1">
        <f t="shared" si="6"/>
        <v>0.40760838205276162</v>
      </c>
    </row>
    <row r="34" spans="1:25" x14ac:dyDescent="0.25">
      <c r="A34" s="1">
        <v>22</v>
      </c>
      <c r="B34" s="21">
        <v>3000</v>
      </c>
      <c r="C34" s="22">
        <v>75</v>
      </c>
      <c r="D34" s="22">
        <v>9.4333333333333352E-3</v>
      </c>
      <c r="E34" s="22">
        <v>0.54069767441860461</v>
      </c>
      <c r="F34" s="23">
        <v>4.1128247677761486E-2</v>
      </c>
      <c r="G34" s="23">
        <v>3.8596228062646933E-2</v>
      </c>
      <c r="H34" s="23">
        <v>4.0728361497431045E-2</v>
      </c>
      <c r="I34" s="23">
        <v>4.6102801107591504E-2</v>
      </c>
      <c r="J34" s="23">
        <v>4.7148983670479053E-2</v>
      </c>
      <c r="K34" s="22">
        <f>IF(ISNUMBER(Table2[[#This Row],[Qb]]),$Q$4*Table2[[#This Row],[Q ]]^$Q$5+$Q$6,$P$4*Table2[[#This Row],[Q ]]^$P$5+$P$6)</f>
        <v>29.874641552161517</v>
      </c>
      <c r="L34" s="31">
        <f>Table2[[#This Row],[h US 4]]*(w0+Table2[[#This Row],[h US 4]]*m)/(w0+2*Table2[[#This Row],[h US 4]]*(m^2+1)^0.5)</f>
        <v>2.846105690712946E-2</v>
      </c>
      <c r="M34" s="31">
        <f>Table2[[#This Row],[Rh]]*J/((s-1)*0.01368)</f>
        <v>6.811116897678747E-2</v>
      </c>
      <c r="N34" s="24"/>
      <c r="S34" s="1">
        <v>7.5999999999999904E-3</v>
      </c>
      <c r="T34" s="1">
        <f t="shared" si="2"/>
        <v>3.4117932381635671E-2</v>
      </c>
      <c r="U34" s="1">
        <f t="shared" si="3"/>
        <v>3.1415709772724232E-2</v>
      </c>
      <c r="V34" s="1">
        <f t="shared" si="4"/>
        <v>3.4946292158809192E-2</v>
      </c>
      <c r="W34" s="1">
        <f t="shared" si="7"/>
        <v>4.1522779874226784E-2</v>
      </c>
      <c r="X34" s="1">
        <f t="shared" si="5"/>
        <v>3.8170641375723582E-2</v>
      </c>
      <c r="Y34" s="1">
        <f t="shared" si="6"/>
        <v>0.41482696834687083</v>
      </c>
    </row>
    <row r="35" spans="1:25" x14ac:dyDescent="0.25">
      <c r="A35" s="1">
        <v>23</v>
      </c>
      <c r="B35" s="21">
        <v>3000</v>
      </c>
      <c r="C35" s="22">
        <v>78</v>
      </c>
      <c r="D35" s="22">
        <v>9.8157303370786462E-3</v>
      </c>
      <c r="E35" s="22">
        <v>0.54545454545454541</v>
      </c>
      <c r="F35" s="22">
        <v>4.1818860125869009E-2</v>
      </c>
      <c r="G35" s="22">
        <v>3.8887197553362569E-2</v>
      </c>
      <c r="H35" s="22">
        <v>4.2309850167825638E-2</v>
      </c>
      <c r="I35" s="23">
        <v>4.7043294157588726E-2</v>
      </c>
      <c r="J35" s="22">
        <v>4.7129402583377285E-2</v>
      </c>
      <c r="K35" s="22">
        <f>IF(ISNUMBER(Table2[[#This Row],[Qb]]),$Q$4*Table2[[#This Row],[Q ]]^$Q$5+$Q$6,$P$4*Table2[[#This Row],[Q ]]^$P$5+$P$6)</f>
        <v>30.024265486339058</v>
      </c>
      <c r="L35" s="31">
        <f>Table2[[#This Row],[h US 4]]*(w0+Table2[[#This Row],[h US 4]]*m)/(w0+2*Table2[[#This Row],[h US 4]]*(m^2+1)^0.5)</f>
        <v>2.8933876770122938E-2</v>
      </c>
      <c r="M35" s="31">
        <f>Table2[[#This Row],[Rh]]*J/((s-1)*0.01368)</f>
        <v>6.9242691031257034E-2</v>
      </c>
      <c r="N35" s="24"/>
      <c r="S35" s="1">
        <v>7.6999999999999907E-3</v>
      </c>
      <c r="T35" s="1">
        <f t="shared" si="2"/>
        <v>3.4330094748461125E-2</v>
      </c>
      <c r="U35" s="1">
        <f t="shared" si="3"/>
        <v>3.1610229169463204E-2</v>
      </c>
      <c r="V35" s="1">
        <f t="shared" si="4"/>
        <v>3.5166059724351946E-2</v>
      </c>
      <c r="W35" s="1">
        <f t="shared" si="7"/>
        <v>4.1759557883094031E-2</v>
      </c>
      <c r="X35" s="1">
        <f t="shared" si="5"/>
        <v>3.841764884399148E-2</v>
      </c>
      <c r="Y35" s="1">
        <f t="shared" si="6"/>
        <v>0.4219385480120561</v>
      </c>
    </row>
    <row r="36" spans="1:25" x14ac:dyDescent="0.25">
      <c r="A36" s="1">
        <v>24</v>
      </c>
      <c r="B36" s="21">
        <v>3000</v>
      </c>
      <c r="C36" s="22">
        <v>82</v>
      </c>
      <c r="D36" s="22">
        <v>1.0117187500000006E-2</v>
      </c>
      <c r="E36" s="22">
        <v>0.55555555555555558</v>
      </c>
      <c r="F36" s="23">
        <v>4.2278971983893132E-2</v>
      </c>
      <c r="G36" s="23">
        <v>3.96646179605517E-2</v>
      </c>
      <c r="H36" s="23">
        <v>4.2844390600450775E-2</v>
      </c>
      <c r="I36" s="23">
        <v>4.6809546968340124E-2</v>
      </c>
      <c r="J36" s="23">
        <v>4.7092479511293445E-2</v>
      </c>
      <c r="K36" s="22">
        <f>IF(ISNUMBER(Table2[[#This Row],[Qb]]),$Q$4*Table2[[#This Row],[Q ]]^$Q$5+$Q$6,$P$4*Table2[[#This Row],[Q ]]^$P$5+$P$6)</f>
        <v>30.131287781095068</v>
      </c>
      <c r="L36" s="31">
        <f>Table2[[#This Row],[h US 4]]*(w0+Table2[[#This Row],[h US 4]]*m)/(w0+2*Table2[[#This Row],[h US 4]]*(m^2+1)^0.5)</f>
        <v>2.8816482140798825E-2</v>
      </c>
      <c r="M36" s="31">
        <f>Table2[[#This Row],[Rh]]*J/((s-1)*0.01368)</f>
        <v>6.896174976259814E-2</v>
      </c>
      <c r="N36" s="24"/>
      <c r="S36" s="1">
        <v>7.7999999999999901E-3</v>
      </c>
      <c r="T36" s="1">
        <f t="shared" si="2"/>
        <v>3.4542257115286572E-2</v>
      </c>
      <c r="U36" s="1">
        <f t="shared" si="3"/>
        <v>3.1804748566202176E-2</v>
      </c>
      <c r="V36" s="1">
        <f t="shared" si="4"/>
        <v>3.53858272898947E-2</v>
      </c>
      <c r="W36" s="1">
        <f t="shared" si="7"/>
        <v>4.1996335891961285E-2</v>
      </c>
      <c r="X36" s="1">
        <f t="shared" si="5"/>
        <v>3.8664656312259377E-2</v>
      </c>
      <c r="Y36" s="1">
        <f t="shared" si="6"/>
        <v>0.42894606643969357</v>
      </c>
    </row>
    <row r="37" spans="1:25" x14ac:dyDescent="0.25">
      <c r="A37" s="1">
        <v>25</v>
      </c>
      <c r="B37" s="21">
        <v>3000</v>
      </c>
      <c r="C37" s="22">
        <v>84</v>
      </c>
      <c r="D37" s="22">
        <v>1.0005208333333338E-2</v>
      </c>
      <c r="E37" s="22">
        <v>0.55789473684210522</v>
      </c>
      <c r="F37" s="23">
        <v>4.2634335442315353E-2</v>
      </c>
      <c r="G37" s="23">
        <v>3.9501974665577394E-2</v>
      </c>
      <c r="H37" s="23">
        <v>4.1907775688174297E-2</v>
      </c>
      <c r="I37" s="23">
        <v>4.7263797529657904E-2</v>
      </c>
      <c r="J37" s="23">
        <v>4.739755867396462E-2</v>
      </c>
      <c r="K37" s="22">
        <f>IF(ISNUMBER(Table2[[#This Row],[Qb]]),$Q$4*Table2[[#This Row],[Q ]]^$Q$5+$Q$6,$P$4*Table2[[#This Row],[Q ]]^$P$5+$P$6)</f>
        <v>30.092577791686736</v>
      </c>
      <c r="L37" s="31">
        <f>Table2[[#This Row],[h US 4]]*(w0+Table2[[#This Row],[h US 4]]*m)/(w0+2*Table2[[#This Row],[h US 4]]*(m^2+1)^0.5)</f>
        <v>2.9044549348890857E-2</v>
      </c>
      <c r="M37" s="31">
        <f>Table2[[#This Row],[Rh]]*J/((s-1)*0.01368)</f>
        <v>6.9507545521311831E-2</v>
      </c>
      <c r="N37" s="24"/>
      <c r="S37" s="1">
        <v>7.8999999999999904E-3</v>
      </c>
      <c r="T37" s="1">
        <f t="shared" si="2"/>
        <v>3.4754419482112019E-2</v>
      </c>
      <c r="U37" s="1">
        <f t="shared" si="3"/>
        <v>3.1999267962941141E-2</v>
      </c>
      <c r="V37" s="1">
        <f t="shared" si="4"/>
        <v>3.5605594855437461E-2</v>
      </c>
      <c r="W37" s="1">
        <f t="shared" si="7"/>
        <v>4.2233113900828539E-2</v>
      </c>
      <c r="X37" s="1">
        <f t="shared" si="5"/>
        <v>3.8911663780527281E-2</v>
      </c>
      <c r="Y37" s="1">
        <f t="shared" si="6"/>
        <v>0.43585235148879509</v>
      </c>
    </row>
    <row r="38" spans="1:25" x14ac:dyDescent="0.25">
      <c r="A38" s="1">
        <v>26</v>
      </c>
      <c r="B38" s="21">
        <v>3000</v>
      </c>
      <c r="C38" s="22">
        <v>2</v>
      </c>
      <c r="D38" s="22">
        <v>5.1285714285714311E-3</v>
      </c>
      <c r="E38" s="22"/>
      <c r="F38" s="23">
        <v>2.8503606793261291E-2</v>
      </c>
      <c r="G38" s="23">
        <v>2.6798063696395081E-2</v>
      </c>
      <c r="H38" s="23">
        <v>2.9550973186931492E-2</v>
      </c>
      <c r="I38" s="23">
        <v>3.2367630135441583E-2</v>
      </c>
      <c r="J38" s="23">
        <v>3.1059802678585085E-2</v>
      </c>
      <c r="K38" s="22">
        <f>IF(ISNUMBER(Table2[[#This Row],[Qb]]),$Q$4*Table2[[#This Row],[Q ]]^$Q$5+$Q$6,$P$4*Table2[[#This Row],[Q ]]^$P$5+$P$6)</f>
        <v>31.733353331187359</v>
      </c>
      <c r="L38" s="31">
        <f>Table2[[#This Row],[h US 4]]*(w0+Table2[[#This Row],[h US 4]]*m)/(w0+2*Table2[[#This Row],[h US 4]]*(m^2+1)^0.5)</f>
        <v>2.1371019046048219E-2</v>
      </c>
      <c r="M38" s="31">
        <f>Table2[[#This Row],[Rh]]*J/((s-1)*0.01368)</f>
        <v>5.1143746846832878E-2</v>
      </c>
      <c r="N38" s="24"/>
      <c r="S38" s="1">
        <v>7.9999999999999898E-3</v>
      </c>
      <c r="T38" s="1">
        <f t="shared" si="2"/>
        <v>3.4966581848937466E-2</v>
      </c>
      <c r="U38" s="1">
        <f t="shared" si="3"/>
        <v>3.2193787359680114E-2</v>
      </c>
      <c r="V38" s="1">
        <f t="shared" si="4"/>
        <v>3.5825362420980222E-2</v>
      </c>
      <c r="W38" s="1">
        <f t="shared" si="7"/>
        <v>4.2469891909695787E-2</v>
      </c>
      <c r="X38" s="1">
        <f t="shared" si="5"/>
        <v>3.9158671248795178E-2</v>
      </c>
      <c r="Y38" s="1">
        <f t="shared" si="6"/>
        <v>0.44266011959433449</v>
      </c>
    </row>
    <row r="39" spans="1:25" x14ac:dyDescent="0.25">
      <c r="A39" s="1">
        <v>27</v>
      </c>
      <c r="B39" s="21">
        <v>3000</v>
      </c>
      <c r="C39" s="22">
        <v>12</v>
      </c>
      <c r="D39" s="22">
        <v>5.0121212121212065E-3</v>
      </c>
      <c r="E39" s="22"/>
      <c r="F39" s="23">
        <v>2.8788095290826224E-2</v>
      </c>
      <c r="G39" s="23">
        <v>2.6652051383568954E-2</v>
      </c>
      <c r="H39" s="23">
        <v>2.923346964660866E-2</v>
      </c>
      <c r="I39" s="23">
        <v>3.212713782636871E-2</v>
      </c>
      <c r="J39" s="23">
        <v>3.0548669064079673E-2</v>
      </c>
      <c r="K39" s="22">
        <f>IF(ISNUMBER(Table2[[#This Row],[Qb]]),$Q$4*Table2[[#This Row],[Q ]]^$Q$5+$Q$6,$P$4*Table2[[#This Row],[Q ]]^$P$5+$P$6)</f>
        <v>31.405505425127757</v>
      </c>
      <c r="L39" s="31">
        <f>Table2[[#This Row],[h US 4]]*(w0+Table2[[#This Row],[h US 4]]*m)/(w0+2*Table2[[#This Row],[h US 4]]*(m^2+1)^0.5)</f>
        <v>2.1242905504836984E-2</v>
      </c>
      <c r="M39" s="31">
        <f>Table2[[#This Row],[Rh]]*J/((s-1)*0.01368)</f>
        <v>5.0837153768363362E-2</v>
      </c>
      <c r="N39" s="24"/>
      <c r="S39" s="1">
        <v>8.0999999999999909E-3</v>
      </c>
      <c r="T39" s="1">
        <f t="shared" si="2"/>
        <v>3.5178744215762919E-2</v>
      </c>
      <c r="U39" s="1">
        <f t="shared" si="3"/>
        <v>3.2388306756419086E-2</v>
      </c>
      <c r="V39" s="1">
        <f t="shared" si="4"/>
        <v>3.6045129986522977E-2</v>
      </c>
      <c r="W39" s="1">
        <f t="shared" si="7"/>
        <v>4.2706669918563048E-2</v>
      </c>
      <c r="X39" s="1">
        <f t="shared" si="5"/>
        <v>3.9405678717063075E-2</v>
      </c>
      <c r="Y39" s="1">
        <f t="shared" si="6"/>
        <v>0.44937198148623425</v>
      </c>
    </row>
    <row r="40" spans="1:25" x14ac:dyDescent="0.25">
      <c r="A40" s="1">
        <v>28</v>
      </c>
      <c r="B40" s="21">
        <v>3000</v>
      </c>
      <c r="C40" s="22">
        <v>15</v>
      </c>
      <c r="D40" s="22">
        <v>5.6243243243243261E-3</v>
      </c>
      <c r="E40" s="22"/>
      <c r="F40" s="23">
        <v>2.9648178005381897E-2</v>
      </c>
      <c r="G40" s="23">
        <v>2.7838709946337723E-2</v>
      </c>
      <c r="H40" s="23">
        <v>3.0346700612243701E-2</v>
      </c>
      <c r="I40" s="23">
        <v>3.3481064396929799E-2</v>
      </c>
      <c r="J40" s="23">
        <v>3.2413966729733762E-2</v>
      </c>
      <c r="K40" s="22">
        <f>IF(ISNUMBER(Table2[[#This Row],[Qb]]),$Q$4*Table2[[#This Row],[Q ]]^$Q$5+$Q$6,$P$4*Table2[[#This Row],[Q ]]^$P$5+$P$6)</f>
        <v>32.778244532761164</v>
      </c>
      <c r="L40" s="31">
        <f>Table2[[#This Row],[h US 4]]*(w0+Table2[[#This Row],[h US 4]]*m)/(w0+2*Table2[[#This Row],[h US 4]]*(m^2+1)^0.5)</f>
        <v>2.1961954859172218E-2</v>
      </c>
      <c r="M40" s="31">
        <f>Table2[[#This Row],[Rh]]*J/((s-1)*0.01368)</f>
        <v>5.2557936388474308E-2</v>
      </c>
      <c r="N40" s="24"/>
      <c r="S40" s="1">
        <v>8.1999999999999903E-3</v>
      </c>
      <c r="T40" s="1">
        <f t="shared" si="2"/>
        <v>3.5390906582588366E-2</v>
      </c>
      <c r="U40" s="1">
        <f t="shared" si="3"/>
        <v>3.2582826153158051E-2</v>
      </c>
      <c r="V40" s="1">
        <f t="shared" si="4"/>
        <v>3.6264897552065731E-2</v>
      </c>
      <c r="W40" s="1">
        <f t="shared" si="7"/>
        <v>4.2943447927430295E-2</v>
      </c>
      <c r="X40" s="1">
        <f t="shared" si="5"/>
        <v>3.9652686185330979E-2</v>
      </c>
      <c r="Y40" s="1">
        <f t="shared" si="6"/>
        <v>0.45599044754828322</v>
      </c>
    </row>
    <row r="41" spans="1:25" x14ac:dyDescent="0.25">
      <c r="A41" s="1">
        <v>29</v>
      </c>
      <c r="B41" s="21">
        <v>3000</v>
      </c>
      <c r="C41" s="22">
        <v>18</v>
      </c>
      <c r="D41" s="22">
        <v>5.9905882352941173E-3</v>
      </c>
      <c r="E41" s="22"/>
      <c r="F41" s="23">
        <v>3.0696942481136153E-2</v>
      </c>
      <c r="G41" s="23">
        <v>2.8404154867181893E-2</v>
      </c>
      <c r="H41" s="23">
        <v>3.1708824986272865E-2</v>
      </c>
      <c r="I41" s="23">
        <v>3.5302947020434627E-2</v>
      </c>
      <c r="J41" s="23">
        <v>3.4102413814233512E-2</v>
      </c>
      <c r="K41" s="22">
        <f>IF(ISNUMBER(Table2[[#This Row],[Qb]]),$Q$4*Table2[[#This Row],[Q ]]^$Q$5+$Q$6,$P$4*Table2[[#This Row],[Q ]]^$P$5+$P$6)</f>
        <v>33.29548783181184</v>
      </c>
      <c r="L41" s="31">
        <f>Table2[[#This Row],[h US 4]]*(w0+Table2[[#This Row],[h US 4]]*m)/(w0+2*Table2[[#This Row],[h US 4]]*(m^2+1)^0.5)</f>
        <v>2.2921515284961103E-2</v>
      </c>
      <c r="M41" s="31">
        <f>Table2[[#This Row],[Rh]]*J/((s-1)*0.01368)</f>
        <v>5.4854294619920488E-2</v>
      </c>
      <c r="N41" s="24"/>
      <c r="S41" s="1">
        <v>8.2999999999999897E-3</v>
      </c>
      <c r="T41" s="1">
        <f t="shared" si="2"/>
        <v>3.5603068949413813E-2</v>
      </c>
      <c r="U41" s="1">
        <f t="shared" si="3"/>
        <v>3.2777345549897023E-2</v>
      </c>
      <c r="V41" s="1">
        <f t="shared" si="4"/>
        <v>3.6484665117608492E-2</v>
      </c>
      <c r="W41" s="1">
        <f t="shared" si="7"/>
        <v>4.3180225936297542E-2</v>
      </c>
      <c r="X41" s="1">
        <f t="shared" si="5"/>
        <v>3.9899693653598869E-2</v>
      </c>
      <c r="Y41" s="1">
        <f t="shared" si="6"/>
        <v>0.46251793284376719</v>
      </c>
    </row>
    <row r="42" spans="1:25" x14ac:dyDescent="0.25">
      <c r="A42" s="1">
        <v>30</v>
      </c>
      <c r="B42" s="21">
        <v>3000</v>
      </c>
      <c r="C42" s="22">
        <v>21</v>
      </c>
      <c r="D42" s="22">
        <v>6.3847953216374202E-3</v>
      </c>
      <c r="E42" s="22"/>
      <c r="F42" s="23">
        <v>3.2103946141564962E-2</v>
      </c>
      <c r="G42" s="23">
        <v>2.9001954194440675E-2</v>
      </c>
      <c r="H42" s="23">
        <v>3.1969572627167195E-2</v>
      </c>
      <c r="I42" s="23">
        <v>3.5565792903065468E-2</v>
      </c>
      <c r="J42" s="23">
        <v>3.5358584770619227E-2</v>
      </c>
      <c r="K42" s="22">
        <f>IF(ISNUMBER(Table2[[#This Row],[Qb]]),$Q$4*Table2[[#This Row],[Q ]]^$Q$5+$Q$6,$P$4*Table2[[#This Row],[Q ]]^$P$5+$P$6)</f>
        <v>33.697982241743759</v>
      </c>
      <c r="L42" s="31">
        <f>Table2[[#This Row],[h US 4]]*(w0+Table2[[#This Row],[h US 4]]*m)/(w0+2*Table2[[#This Row],[h US 4]]*(m^2+1)^0.5)</f>
        <v>2.3059241047960907E-2</v>
      </c>
      <c r="M42" s="31">
        <f>Table2[[#This Row],[Rh]]*J/((s-1)*0.01368)</f>
        <v>5.5183891048709008E-2</v>
      </c>
      <c r="N42" s="24"/>
      <c r="S42" s="1">
        <v>8.3999999999999891E-3</v>
      </c>
      <c r="T42" s="1">
        <f t="shared" si="2"/>
        <v>3.581523131623926E-2</v>
      </c>
      <c r="U42" s="1">
        <f t="shared" si="3"/>
        <v>3.2971864946635995E-2</v>
      </c>
      <c r="V42" s="1">
        <f t="shared" si="4"/>
        <v>3.6704432683151246E-2</v>
      </c>
      <c r="W42" s="1">
        <f t="shared" si="7"/>
        <v>4.3417003945164796E-2</v>
      </c>
      <c r="X42" s="1">
        <f t="shared" si="5"/>
        <v>4.0146701121866774E-2</v>
      </c>
      <c r="Y42" s="1">
        <f t="shared" si="6"/>
        <v>0.46895676183225943</v>
      </c>
    </row>
    <row r="43" spans="1:25" x14ac:dyDescent="0.25">
      <c r="A43" s="1">
        <v>31</v>
      </c>
      <c r="B43" s="21">
        <v>3000</v>
      </c>
      <c r="C43" s="22">
        <v>24</v>
      </c>
      <c r="D43" s="22">
        <v>6.3157407407407398E-3</v>
      </c>
      <c r="E43" s="22"/>
      <c r="F43" s="23">
        <v>3.1705769010872457E-2</v>
      </c>
      <c r="G43" s="23">
        <v>2.8879251208971415E-2</v>
      </c>
      <c r="H43" s="23">
        <v>3.2121621348643374E-2</v>
      </c>
      <c r="I43" s="23">
        <v>3.5497774074014408E-2</v>
      </c>
      <c r="J43" s="23">
        <v>3.5196892790174072E-2</v>
      </c>
      <c r="K43" s="22">
        <f>IF(ISNUMBER(Table2[[#This Row],[Qb]]),$Q$4*Table2[[#This Row],[Q ]]^$Q$5+$Q$6,$P$4*Table2[[#This Row],[Q ]]^$P$5+$P$6)</f>
        <v>33.63655351963223</v>
      </c>
      <c r="L43" s="31">
        <f>Table2[[#This Row],[h US 4]]*(w0+Table2[[#This Row],[h US 4]]*m)/(w0+2*Table2[[#This Row],[h US 4]]*(m^2+1)^0.5)</f>
        <v>2.3023617176758913E-2</v>
      </c>
      <c r="M43" s="31">
        <f>Table2[[#This Row],[Rh]]*J/((s-1)*0.01368)</f>
        <v>5.5098638293726514E-2</v>
      </c>
      <c r="N43" s="24"/>
      <c r="S43" s="1">
        <v>8.4999999999999902E-3</v>
      </c>
      <c r="T43" s="1">
        <f t="shared" si="2"/>
        <v>3.6027393683064707E-2</v>
      </c>
      <c r="U43" s="1">
        <f t="shared" si="3"/>
        <v>3.3166384343374967E-2</v>
      </c>
      <c r="V43" s="1">
        <f t="shared" si="4"/>
        <v>3.6924200248694E-2</v>
      </c>
      <c r="W43" s="1">
        <f t="shared" si="7"/>
        <v>4.365378195403205E-2</v>
      </c>
      <c r="X43" s="1">
        <f t="shared" si="5"/>
        <v>4.0393708590134678E-2</v>
      </c>
      <c r="Y43" s="1">
        <f t="shared" si="6"/>
        <v>0.47530917279999141</v>
      </c>
    </row>
    <row r="44" spans="1:25" x14ac:dyDescent="0.25">
      <c r="A44" s="1">
        <v>32</v>
      </c>
      <c r="B44" s="21">
        <v>3000</v>
      </c>
      <c r="C44" s="22">
        <v>27</v>
      </c>
      <c r="D44" s="22">
        <v>6.8134328358208972E-3</v>
      </c>
      <c r="E44" s="22"/>
      <c r="F44" s="22">
        <v>3.295385781972672E-2</v>
      </c>
      <c r="G44" s="22">
        <v>2.9744846636597124E-2</v>
      </c>
      <c r="H44" s="22">
        <v>3.3256357716877974E-2</v>
      </c>
      <c r="I44" s="23">
        <v>3.6606549565108289E-2</v>
      </c>
      <c r="J44" s="22">
        <v>3.6507542276728082E-2</v>
      </c>
      <c r="K44" s="22">
        <f>IF(ISNUMBER(Table2[[#This Row],[Qb]]),$Q$4*Table2[[#This Row],[Q ]]^$Q$5+$Q$6,$P$4*Table2[[#This Row],[Q ]]^$P$5+$P$6)</f>
        <v>34.012891760215979</v>
      </c>
      <c r="L44" s="31">
        <f>Table2[[#This Row],[h US 4]]*(w0+Table2[[#This Row],[h US 4]]*m)/(w0+2*Table2[[#This Row],[h US 4]]*(m^2+1)^0.5)</f>
        <v>2.3602912174497649E-2</v>
      </c>
      <c r="M44" s="31">
        <f>Table2[[#This Row],[Rh]]*J/((s-1)*0.01368)</f>
        <v>5.6484969785460644E-2</v>
      </c>
      <c r="N44" s="24"/>
      <c r="S44" s="1">
        <v>8.5999999999999913E-3</v>
      </c>
      <c r="T44" s="1">
        <f t="shared" si="2"/>
        <v>3.6239556049890161E-2</v>
      </c>
      <c r="U44" s="1">
        <f t="shared" si="3"/>
        <v>3.336090374011394E-2</v>
      </c>
      <c r="V44" s="1">
        <f t="shared" si="4"/>
        <v>3.7143967814236761E-2</v>
      </c>
      <c r="W44" s="1">
        <f t="shared" si="7"/>
        <v>4.3890559962899305E-2</v>
      </c>
      <c r="X44" s="1">
        <f t="shared" si="5"/>
        <v>4.0640716058402575E-2</v>
      </c>
      <c r="Y44" s="1">
        <f t="shared" si="6"/>
        <v>0.48157732202433401</v>
      </c>
    </row>
    <row r="45" spans="1:25" x14ac:dyDescent="0.25">
      <c r="A45" s="1">
        <v>33</v>
      </c>
      <c r="B45" s="21">
        <v>3000</v>
      </c>
      <c r="C45" s="22">
        <v>31</v>
      </c>
      <c r="D45" s="22">
        <v>7.1731707317073219E-3</v>
      </c>
      <c r="E45" s="22"/>
      <c r="F45" s="23">
        <v>3.3430214104764128E-2</v>
      </c>
      <c r="G45" s="23">
        <v>3.0528871314514469E-2</v>
      </c>
      <c r="H45" s="23">
        <v>3.3854678973788695E-2</v>
      </c>
      <c r="I45" s="23">
        <v>3.7641417915176487E-2</v>
      </c>
      <c r="J45" s="23">
        <v>3.7801683184982483E-2</v>
      </c>
      <c r="K45" s="22">
        <f>IF(ISNUMBER(Table2[[#This Row],[Qb]]),$Q$4*Table2[[#This Row],[Q ]]^$Q$5+$Q$6,$P$4*Table2[[#This Row],[Q ]]^$P$5+$P$6)</f>
        <v>34.208903590265415</v>
      </c>
      <c r="L45" s="31">
        <f>Table2[[#This Row],[h US 4]]*(w0+Table2[[#This Row],[h US 4]]*m)/(w0+2*Table2[[#This Row],[h US 4]]*(m^2+1)^0.5)</f>
        <v>2.4140981129259914E-2</v>
      </c>
      <c r="M45" s="31">
        <f>Table2[[#This Row],[Rh]]*J/((s-1)*0.01368)</f>
        <v>5.7772641765407237E-2</v>
      </c>
      <c r="N45" s="24"/>
      <c r="S45" s="1">
        <v>8.6999999999999907E-3</v>
      </c>
      <c r="T45" s="1">
        <f t="shared" si="2"/>
        <v>3.6451718416715607E-2</v>
      </c>
      <c r="U45" s="1">
        <f t="shared" si="3"/>
        <v>3.3555423136852905E-2</v>
      </c>
      <c r="V45" s="1">
        <f t="shared" si="4"/>
        <v>3.7363735379779522E-2</v>
      </c>
      <c r="W45" s="1">
        <f t="shared" si="7"/>
        <v>4.4127337971766559E-2</v>
      </c>
      <c r="X45" s="1">
        <f t="shared" si="5"/>
        <v>4.0887723526670472E-2</v>
      </c>
      <c r="Y45" s="1">
        <f t="shared" si="6"/>
        <v>0.48776328769123634</v>
      </c>
    </row>
    <row r="46" spans="1:25" x14ac:dyDescent="0.25">
      <c r="A46" s="1">
        <v>34</v>
      </c>
      <c r="B46" s="21">
        <v>3000</v>
      </c>
      <c r="C46" s="22">
        <v>34</v>
      </c>
      <c r="D46" s="22">
        <v>7.1562130177514815E-3</v>
      </c>
      <c r="E46" s="22"/>
      <c r="F46" s="23">
        <v>3.3157462678479917E-2</v>
      </c>
      <c r="G46" s="23">
        <v>3.0482223107367985E-2</v>
      </c>
      <c r="H46" s="23">
        <v>3.4057755343505802E-2</v>
      </c>
      <c r="I46" s="23">
        <v>3.7866583434842678E-2</v>
      </c>
      <c r="J46" s="23">
        <v>3.7636212639134643E-2</v>
      </c>
      <c r="K46" s="22">
        <f>IF(ISNUMBER(Table2[[#This Row],[Qb]]),$Q$4*Table2[[#This Row],[Q ]]^$Q$5+$Q$6,$P$4*Table2[[#This Row],[Q ]]^$P$5+$P$6)</f>
        <v>34.200768339343846</v>
      </c>
      <c r="L46" s="31">
        <f>Table2[[#This Row],[h US 4]]*(w0+Table2[[#This Row],[h US 4]]*m)/(w0+2*Table2[[#This Row],[h US 4]]*(m^2+1)^0.5)</f>
        <v>2.425773327965948E-2</v>
      </c>
      <c r="M46" s="31">
        <f>Table2[[#This Row],[Rh]]*J/((s-1)*0.01368)</f>
        <v>5.805204549486874E-2</v>
      </c>
      <c r="N46" s="24"/>
      <c r="S46" s="1">
        <v>8.7999999999999901E-3</v>
      </c>
      <c r="T46" s="1">
        <f t="shared" si="2"/>
        <v>3.6663880783541047E-2</v>
      </c>
      <c r="U46" s="1">
        <f t="shared" si="3"/>
        <v>3.3749942533591877E-2</v>
      </c>
      <c r="V46" s="1">
        <f t="shared" si="4"/>
        <v>3.7583502945322277E-2</v>
      </c>
      <c r="W46" s="1">
        <f t="shared" si="7"/>
        <v>4.4364115980633806E-2</v>
      </c>
      <c r="X46" s="1">
        <f t="shared" si="5"/>
        <v>4.1134730994938376E-2</v>
      </c>
      <c r="Y46" s="1">
        <f t="shared" si="6"/>
        <v>0.49386907358292698</v>
      </c>
    </row>
    <row r="47" spans="1:25" x14ac:dyDescent="0.25">
      <c r="A47" s="1">
        <v>35</v>
      </c>
      <c r="B47" s="21">
        <v>3000</v>
      </c>
      <c r="C47" s="22">
        <v>37</v>
      </c>
      <c r="D47" s="22">
        <v>6.9505494505494453E-3</v>
      </c>
      <c r="E47" s="22"/>
      <c r="F47" s="22">
        <v>3.226412103199431E-2</v>
      </c>
      <c r="G47" s="22">
        <v>2.9874037958619815E-2</v>
      </c>
      <c r="H47" s="22">
        <v>3.3521597225790192E-2</v>
      </c>
      <c r="I47" s="23">
        <v>3.6395051661683255E-2</v>
      </c>
      <c r="J47" s="22">
        <v>3.7532767990798757E-2</v>
      </c>
      <c r="K47" s="22">
        <f>IF(ISNUMBER(Table2[[#This Row],[Qb]]),$Q$4*Table2[[#This Row],[Q ]]^$Q$5+$Q$6,$P$4*Table2[[#This Row],[Q ]]^$P$5+$P$6)</f>
        <v>34.093757058258475</v>
      </c>
      <c r="L47" s="31">
        <f>Table2[[#This Row],[h US 4]]*(w0+Table2[[#This Row],[h US 4]]*m)/(w0+2*Table2[[#This Row],[h US 4]]*(m^2+1)^0.5)</f>
        <v>2.3492640630840948E-2</v>
      </c>
      <c r="M47" s="31">
        <f>Table2[[#This Row],[Rh]]*J/((s-1)*0.01368)</f>
        <v>5.6221075026814088E-2</v>
      </c>
      <c r="N47" s="24"/>
      <c r="S47" s="1">
        <v>8.8999999999999895E-3</v>
      </c>
      <c r="T47" s="1">
        <f t="shared" si="2"/>
        <v>3.6876043150366494E-2</v>
      </c>
      <c r="U47" s="1">
        <f t="shared" si="3"/>
        <v>3.3944461930330849E-2</v>
      </c>
      <c r="V47" s="1">
        <f t="shared" si="4"/>
        <v>3.7803270510865031E-2</v>
      </c>
      <c r="W47" s="1">
        <f t="shared" si="7"/>
        <v>4.460089398950106E-2</v>
      </c>
      <c r="X47" s="1">
        <f t="shared" si="5"/>
        <v>4.1381738463206266E-2</v>
      </c>
      <c r="Y47" s="1">
        <f t="shared" si="6"/>
        <v>0.49989661255180895</v>
      </c>
    </row>
    <row r="48" spans="1:25" x14ac:dyDescent="0.25">
      <c r="A48" s="1">
        <v>36</v>
      </c>
      <c r="B48" s="21">
        <v>3000</v>
      </c>
      <c r="C48" s="22">
        <v>40</v>
      </c>
      <c r="D48" s="22">
        <v>7.4271999999999923E-3</v>
      </c>
      <c r="E48" s="22"/>
      <c r="F48" s="25"/>
      <c r="G48" s="25"/>
      <c r="H48" s="25"/>
      <c r="I48" s="26"/>
      <c r="J48" s="25"/>
      <c r="K48" s="22">
        <f>IF(ISNUMBER(Table2[[#This Row],[Qb]]),$Q$4*Table2[[#This Row],[Q ]]^$Q$5+$Q$6,$P$4*Table2[[#This Row],[Q ]]^$P$5+$P$6)</f>
        <v>34.31980662671252</v>
      </c>
      <c r="L48" s="31">
        <f>Table2[[#This Row],[h US 4]]*(w0+Table2[[#This Row],[h US 4]]*m)/(w0+2*Table2[[#This Row],[h US 4]]*(m^2+1)^0.5)</f>
        <v>0</v>
      </c>
      <c r="M48" s="31"/>
      <c r="N48" s="24"/>
      <c r="S48" s="1">
        <v>8.9999999999999889E-3</v>
      </c>
      <c r="T48" s="1">
        <f t="shared" si="2"/>
        <v>3.7088205517191941E-2</v>
      </c>
      <c r="U48" s="1">
        <f t="shared" si="3"/>
        <v>3.4138981327069814E-2</v>
      </c>
      <c r="V48" s="1">
        <f t="shared" si="4"/>
        <v>3.8023038076407792E-2</v>
      </c>
      <c r="W48" s="1">
        <f t="shared" si="7"/>
        <v>4.4837671998368314E-2</v>
      </c>
      <c r="X48" s="1">
        <f t="shared" si="5"/>
        <v>4.162874593147417E-2</v>
      </c>
      <c r="Y48" s="1">
        <f t="shared" si="6"/>
        <v>0.50584776979516466</v>
      </c>
    </row>
    <row r="49" spans="1:25" x14ac:dyDescent="0.25">
      <c r="A49" s="1">
        <v>37</v>
      </c>
      <c r="B49" s="21">
        <v>3000</v>
      </c>
      <c r="C49" s="22">
        <v>43</v>
      </c>
      <c r="D49" s="22">
        <v>7.5462686567164218E-3</v>
      </c>
      <c r="E49" s="22"/>
      <c r="F49" s="22">
        <v>3.4026658283467487E-2</v>
      </c>
      <c r="G49" s="22">
        <v>3.1273706563322921E-2</v>
      </c>
      <c r="H49" s="22">
        <v>3.4549970546957964E-2</v>
      </c>
      <c r="I49" s="23">
        <v>3.8190582204766094E-2</v>
      </c>
      <c r="J49" s="22">
        <v>3.8527594779315756E-2</v>
      </c>
      <c r="K49" s="22">
        <f>IF(ISNUMBER(Table2[[#This Row],[Qb]]),$Q$4*Table2[[#This Row],[Q ]]^$Q$5+$Q$6,$P$4*Table2[[#This Row],[Q ]]^$P$5+$P$6)</f>
        <v>34.365436547973616</v>
      </c>
      <c r="L49" s="31">
        <f>Table2[[#This Row],[h US 4]]*(w0+Table2[[#This Row],[h US 4]]*m)/(w0+2*Table2[[#This Row],[h US 4]]*(m^2+1)^0.5)</f>
        <v>2.4425536789147526E-2</v>
      </c>
      <c r="M49" s="31">
        <f>Table2[[#This Row],[Rh]]*J/((s-1)*0.01368)</f>
        <v>5.8453622050051945E-2</v>
      </c>
      <c r="N49" s="24"/>
      <c r="S49" s="1">
        <v>9.0999999999999918E-3</v>
      </c>
      <c r="T49" s="1">
        <f t="shared" si="2"/>
        <v>3.7300367884017402E-2</v>
      </c>
      <c r="U49" s="1">
        <f t="shared" si="3"/>
        <v>3.4333500723808794E-2</v>
      </c>
      <c r="V49" s="1">
        <f t="shared" si="4"/>
        <v>3.8242805641950553E-2</v>
      </c>
      <c r="W49" s="1">
        <f t="shared" si="7"/>
        <v>4.5074450007235568E-2</v>
      </c>
      <c r="X49" s="1">
        <f t="shared" si="5"/>
        <v>4.1875753399742074E-2</v>
      </c>
      <c r="Y49" s="1">
        <f t="shared" si="6"/>
        <v>0.51172434594419336</v>
      </c>
    </row>
    <row r="50" spans="1:25" x14ac:dyDescent="0.25">
      <c r="A50" s="1">
        <v>38</v>
      </c>
      <c r="B50" s="21">
        <v>3000</v>
      </c>
      <c r="C50" s="22">
        <v>46</v>
      </c>
      <c r="D50" s="22">
        <v>7.7556338028168959E-3</v>
      </c>
      <c r="E50" s="22"/>
      <c r="F50" s="22">
        <v>3.4112582733325923E-2</v>
      </c>
      <c r="G50" s="22">
        <v>3.1631612841098715E-2</v>
      </c>
      <c r="H50" s="22">
        <v>3.5516323629285217E-2</v>
      </c>
      <c r="I50" s="23">
        <v>3.8895010491363881E-2</v>
      </c>
      <c r="J50" s="22">
        <v>3.8998540136951816E-2</v>
      </c>
      <c r="K50" s="22">
        <f>IF(ISNUMBER(Table2[[#This Row],[Qb]]),$Q$4*Table2[[#This Row],[Q ]]^$Q$5+$Q$6,$P$4*Table2[[#This Row],[Q ]]^$P$5+$P$6)</f>
        <v>34.437286814988774</v>
      </c>
      <c r="L50" s="31">
        <f>Table2[[#This Row],[h US 4]]*(w0+Table2[[#This Row],[h US 4]]*m)/(w0+2*Table2[[#This Row],[h US 4]]*(m^2+1)^0.5)</f>
        <v>2.478959171354303E-2</v>
      </c>
      <c r="M50" s="31">
        <f>Table2[[#This Row],[Rh]]*J/((s-1)*0.01368)</f>
        <v>5.9324854856101478E-2</v>
      </c>
      <c r="N50" s="24"/>
      <c r="S50" s="1">
        <v>9.1999999999999912E-3</v>
      </c>
      <c r="T50" s="1">
        <f t="shared" si="2"/>
        <v>3.7512530250842849E-2</v>
      </c>
      <c r="U50" s="1">
        <f t="shared" si="3"/>
        <v>3.4528020120547759E-2</v>
      </c>
      <c r="V50" s="1">
        <f t="shared" si="4"/>
        <v>3.8462573207493314E-2</v>
      </c>
      <c r="W50" s="1">
        <f t="shared" si="7"/>
        <v>4.5311228016102822E-2</v>
      </c>
      <c r="X50" s="1">
        <f t="shared" si="5"/>
        <v>4.2122760868009972E-2</v>
      </c>
      <c r="Y50" s="1">
        <f t="shared" si="6"/>
        <v>0.51752807997980765</v>
      </c>
    </row>
    <row r="51" spans="1:25" x14ac:dyDescent="0.25">
      <c r="A51" s="1">
        <v>39</v>
      </c>
      <c r="B51" s="21">
        <v>3000</v>
      </c>
      <c r="C51" s="22">
        <v>49</v>
      </c>
      <c r="D51" s="22">
        <v>8.0015999999999993E-3</v>
      </c>
      <c r="E51" s="22"/>
      <c r="F51" s="22">
        <v>3.4778267966089585E-2</v>
      </c>
      <c r="G51" s="22">
        <v>3.1748020683763804E-2</v>
      </c>
      <c r="H51" s="22">
        <v>3.6585777879973191E-2</v>
      </c>
      <c r="I51" s="23">
        <v>3.8896680228956509E-2</v>
      </c>
      <c r="J51" s="22">
        <v>3.9516661927687997E-2</v>
      </c>
      <c r="K51" s="22">
        <f>IF(ISNUMBER(Table2[[#This Row],[Qb]]),$Q$4*Table2[[#This Row],[Q ]]^$Q$5+$Q$6,$P$4*Table2[[#This Row],[Q ]]^$P$5+$P$6)</f>
        <v>34.509960317661189</v>
      </c>
      <c r="L51" s="31">
        <f>Table2[[#This Row],[h US 4]]*(w0+Table2[[#This Row],[h US 4]]*m)/(w0+2*Table2[[#This Row],[h US 4]]*(m^2+1)^0.5)</f>
        <v>2.4790453404651198E-2</v>
      </c>
      <c r="M51" s="31">
        <f>Table2[[#This Row],[Rh]]*J/((s-1)*0.01368)</f>
        <v>5.9326916999783132E-2</v>
      </c>
      <c r="N51" s="24"/>
      <c r="S51" s="1">
        <v>9.2999999999999802E-3</v>
      </c>
      <c r="T51" s="1">
        <f t="shared" si="2"/>
        <v>3.7724692617668268E-2</v>
      </c>
      <c r="U51" s="1">
        <f t="shared" si="3"/>
        <v>3.472253951728671E-2</v>
      </c>
      <c r="V51" s="1">
        <f t="shared" si="4"/>
        <v>3.8682340773036047E-2</v>
      </c>
      <c r="W51" s="1">
        <f t="shared" si="7"/>
        <v>4.5548006024970042E-2</v>
      </c>
      <c r="X51" s="1">
        <f t="shared" si="5"/>
        <v>4.2369768336277841E-2</v>
      </c>
      <c r="Y51" s="1">
        <f t="shared" si="6"/>
        <v>0.52326065198666827</v>
      </c>
    </row>
    <row r="52" spans="1:25" x14ac:dyDescent="0.25">
      <c r="A52" s="1">
        <v>40</v>
      </c>
      <c r="B52" s="21">
        <v>3000</v>
      </c>
      <c r="C52" s="22">
        <v>52</v>
      </c>
      <c r="D52" s="22">
        <v>8.1735999999999979E-3</v>
      </c>
      <c r="E52" s="22"/>
      <c r="F52" s="22">
        <v>3.5014472528734859E-2</v>
      </c>
      <c r="G52" s="22">
        <v>3.2322062654405403E-2</v>
      </c>
      <c r="H52" s="22">
        <v>3.6662229564793584E-2</v>
      </c>
      <c r="I52" s="23">
        <v>3.9828065604092543E-2</v>
      </c>
      <c r="J52" s="22">
        <v>4.0142602496108737E-2</v>
      </c>
      <c r="K52" s="22">
        <f>IF(ISNUMBER(Table2[[#This Row],[Qb]]),$Q$4*Table2[[#This Row],[Q ]]^$Q$5+$Q$6,$P$4*Table2[[#This Row],[Q ]]^$P$5+$P$6)</f>
        <v>34.554378920496269</v>
      </c>
      <c r="L52" s="31">
        <f>Table2[[#This Row],[h US 4]]*(w0+Table2[[#This Row],[h US 4]]*m)/(w0+2*Table2[[#This Row],[h US 4]]*(m^2+1)^0.5)</f>
        <v>2.5270215715068461E-2</v>
      </c>
      <c r="M52" s="31">
        <f>Table2[[#This Row],[Rh]]*J/((s-1)*0.01368)</f>
        <v>6.0475053272450452E-2</v>
      </c>
      <c r="N52" s="24"/>
      <c r="S52" s="1">
        <v>9.3999999999999813E-3</v>
      </c>
      <c r="T52" s="1">
        <f t="shared" si="2"/>
        <v>3.7936854984493722E-2</v>
      </c>
      <c r="U52" s="1">
        <f t="shared" si="3"/>
        <v>3.4917058914025682E-2</v>
      </c>
      <c r="V52" s="1">
        <f t="shared" si="4"/>
        <v>3.8902108338578802E-2</v>
      </c>
      <c r="W52" s="1">
        <f t="shared" si="7"/>
        <v>4.5784784033837303E-2</v>
      </c>
      <c r="X52" s="1">
        <f t="shared" si="5"/>
        <v>4.2616775804545745E-2</v>
      </c>
      <c r="Y52" s="1">
        <f t="shared" si="6"/>
        <v>0.52892368575608284</v>
      </c>
    </row>
    <row r="53" spans="1:25" x14ac:dyDescent="0.25">
      <c r="A53" s="1">
        <v>41</v>
      </c>
      <c r="B53" s="21">
        <v>3000</v>
      </c>
      <c r="C53" s="22">
        <v>55</v>
      </c>
      <c r="D53" s="22">
        <v>8.1615999999999946E-3</v>
      </c>
      <c r="E53" s="22"/>
      <c r="F53" s="22">
        <v>3.495877424931574E-2</v>
      </c>
      <c r="G53" s="22">
        <v>3.1501417567658743E-2</v>
      </c>
      <c r="H53" s="22">
        <v>3.4619959407028521E-2</v>
      </c>
      <c r="I53" s="23">
        <v>3.9095208237984361E-2</v>
      </c>
      <c r="J53" s="22">
        <v>3.9286037865676762E-2</v>
      </c>
      <c r="K53" s="22">
        <f>IF(ISNUMBER(Table2[[#This Row],[Qb]]),$Q$4*Table2[[#This Row],[Q ]]^$Q$5+$Q$6,$P$4*Table2[[#This Row],[Q ]]^$P$5+$P$6)</f>
        <v>34.551433871501459</v>
      </c>
      <c r="L53" s="31">
        <f>Table2[[#This Row],[h US 4]]*(w0+Table2[[#This Row],[h US 4]]*m)/(w0+2*Table2[[#This Row],[h US 4]]*(m^2+1)^0.5)</f>
        <v>2.4892865218176317E-2</v>
      </c>
      <c r="M53" s="31">
        <f>Table2[[#This Row],[Rh]]*J/((s-1)*0.01368)</f>
        <v>5.9572002358313204E-2</v>
      </c>
      <c r="N53" s="24"/>
      <c r="S53" s="1">
        <v>9.4999999999999807E-3</v>
      </c>
      <c r="T53" s="1">
        <f t="shared" si="2"/>
        <v>3.8149017351319169E-2</v>
      </c>
      <c r="U53" s="1">
        <f t="shared" si="3"/>
        <v>3.5111578310764655E-2</v>
      </c>
      <c r="V53" s="1">
        <f t="shared" si="4"/>
        <v>3.9121875904121556E-2</v>
      </c>
      <c r="W53" s="1">
        <f t="shared" si="7"/>
        <v>4.602156204270455E-2</v>
      </c>
      <c r="X53" s="1">
        <f t="shared" si="5"/>
        <v>4.2863783272813642E-2</v>
      </c>
      <c r="Y53" s="1">
        <f t="shared" si="6"/>
        <v>0.53451875124753911</v>
      </c>
    </row>
    <row r="54" spans="1:25" x14ac:dyDescent="0.25">
      <c r="A54" s="1">
        <v>42</v>
      </c>
      <c r="B54" s="21">
        <v>3000</v>
      </c>
      <c r="C54" s="22">
        <v>59</v>
      </c>
      <c r="D54" s="22">
        <v>8.32209302325582E-3</v>
      </c>
      <c r="E54" s="22"/>
      <c r="F54" s="22">
        <v>3.5407787909091271E-2</v>
      </c>
      <c r="G54" s="22">
        <v>3.2517148104274571E-2</v>
      </c>
      <c r="H54" s="22">
        <v>3.6875389013459721E-2</v>
      </c>
      <c r="I54" s="23">
        <v>4.0363470160379278E-2</v>
      </c>
      <c r="J54" s="22">
        <v>3.9932995823885854E-2</v>
      </c>
      <c r="K54" s="22">
        <f>IF(ISNUMBER(Table2[[#This Row],[Qb]]),$Q$4*Table2[[#This Row],[Q ]]^$Q$5+$Q$6,$P$4*Table2[[#This Row],[Q ]]^$P$5+$P$6)</f>
        <v>34.589058683692656</v>
      </c>
      <c r="L54" s="31">
        <f>Table2[[#This Row],[h US 4]]*(w0+Table2[[#This Row],[h US 4]]*m)/(w0+2*Table2[[#This Row],[h US 4]]*(m^2+1)^0.5)</f>
        <v>2.5545219599434576E-2</v>
      </c>
      <c r="M54" s="31">
        <f>Table2[[#This Row],[Rh]]*J/((s-1)*0.01368)</f>
        <v>6.1133174862890806E-2</v>
      </c>
      <c r="N54" s="24"/>
      <c r="S54" s="1">
        <v>9.5999999999999801E-3</v>
      </c>
      <c r="T54" s="1">
        <f t="shared" si="2"/>
        <v>3.8361179718144615E-2</v>
      </c>
      <c r="U54" s="1">
        <f t="shared" si="3"/>
        <v>3.530609770750362E-2</v>
      </c>
      <c r="V54" s="1">
        <f t="shared" si="4"/>
        <v>3.9341643469664317E-2</v>
      </c>
      <c r="W54" s="1">
        <f t="shared" si="7"/>
        <v>4.6258340051571804E-2</v>
      </c>
      <c r="X54" s="1">
        <f t="shared" si="5"/>
        <v>4.3110790741081539E-2</v>
      </c>
      <c r="Y54" s="1">
        <f t="shared" si="6"/>
        <v>0.54004736691799149</v>
      </c>
    </row>
    <row r="55" spans="1:25" x14ac:dyDescent="0.25">
      <c r="A55" s="1">
        <v>43</v>
      </c>
      <c r="B55" s="21">
        <v>3000</v>
      </c>
      <c r="C55" s="22">
        <v>62</v>
      </c>
      <c r="D55" s="22">
        <v>8.4240740740740578E-3</v>
      </c>
      <c r="E55" s="22"/>
      <c r="F55" s="22">
        <v>3.6216316568640577E-2</v>
      </c>
      <c r="G55" s="22">
        <v>3.3244937556374858E-2</v>
      </c>
      <c r="H55" s="22">
        <v>3.8253498909096573E-2</v>
      </c>
      <c r="I55" s="23">
        <v>4.0945069639540636E-2</v>
      </c>
      <c r="J55" s="22">
        <v>4.0993677912156488E-2</v>
      </c>
      <c r="K55" s="22">
        <f>IF(ISNUMBER(Table2[[#This Row],[Qb]]),$Q$4*Table2[[#This Row],[Q ]]^$Q$5+$Q$6,$P$4*Table2[[#This Row],[Q ]]^$P$5+$P$6)</f>
        <v>34.61110346972422</v>
      </c>
      <c r="L55" s="31">
        <f>Table2[[#This Row],[h US 4]]*(w0+Table2[[#This Row],[h US 4]]*m)/(w0+2*Table2[[#This Row],[h US 4]]*(m^2+1)^0.5)</f>
        <v>2.5843322518162102E-2</v>
      </c>
      <c r="M55" s="31">
        <f>Table2[[#This Row],[Rh]]*J/((s-1)*0.01368)</f>
        <v>6.1846575575175596E-2</v>
      </c>
      <c r="N55" s="24"/>
      <c r="S55" s="1">
        <v>9.6999999999999795E-3</v>
      </c>
      <c r="T55" s="1">
        <f t="shared" si="2"/>
        <v>3.8573342084970062E-2</v>
      </c>
      <c r="U55" s="1">
        <f t="shared" si="3"/>
        <v>3.5500617104242592E-2</v>
      </c>
      <c r="V55" s="1">
        <f t="shared" si="4"/>
        <v>3.9561411035207071E-2</v>
      </c>
      <c r="W55" s="1">
        <f t="shared" si="7"/>
        <v>4.6495118060439058E-2</v>
      </c>
      <c r="X55" s="1">
        <f t="shared" si="5"/>
        <v>4.3357798209349437E-2</v>
      </c>
      <c r="Y55" s="1">
        <f t="shared" si="6"/>
        <v>0.54551100192726931</v>
      </c>
    </row>
    <row r="56" spans="1:25" x14ac:dyDescent="0.25">
      <c r="A56" s="1">
        <v>44</v>
      </c>
      <c r="B56" s="21">
        <v>3000</v>
      </c>
      <c r="C56" s="22">
        <v>65</v>
      </c>
      <c r="D56" s="22">
        <v>8.9518072289156616E-3</v>
      </c>
      <c r="E56" s="22"/>
      <c r="F56" s="22">
        <v>3.6926637379436494E-2</v>
      </c>
      <c r="G56" s="22">
        <v>3.3901110327272492E-2</v>
      </c>
      <c r="H56" s="22">
        <v>3.756975068491774E-2</v>
      </c>
      <c r="I56" s="23">
        <v>4.128918378964707E-2</v>
      </c>
      <c r="J56" s="22">
        <v>4.1472072533263023E-2</v>
      </c>
      <c r="K56" s="22">
        <f>IF(ISNUMBER(Table2[[#This Row],[Qb]]),$Q$4*Table2[[#This Row],[Q ]]^$Q$5+$Q$6,$P$4*Table2[[#This Row],[Q ]]^$P$5+$P$6)</f>
        <v>34.705986422883278</v>
      </c>
      <c r="L56" s="31">
        <f>Table2[[#This Row],[h US 4]]*(w0+Table2[[#This Row],[h US 4]]*m)/(w0+2*Table2[[#This Row],[h US 4]]*(m^2+1)^0.5)</f>
        <v>2.6019399918026816E-2</v>
      </c>
      <c r="M56" s="31">
        <f>Table2[[#This Row],[Rh]]*J/((s-1)*0.01368)</f>
        <v>6.2267952672108877E-2</v>
      </c>
      <c r="N56" s="24"/>
      <c r="S56" s="1">
        <v>9.7999999999999789E-3</v>
      </c>
      <c r="T56" s="1">
        <f t="shared" si="2"/>
        <v>3.8785504451795509E-2</v>
      </c>
      <c r="U56" s="1">
        <f t="shared" si="3"/>
        <v>3.5695136500981564E-2</v>
      </c>
      <c r="V56" s="1">
        <f t="shared" si="4"/>
        <v>3.9781178600749825E-2</v>
      </c>
      <c r="W56" s="1">
        <f t="shared" si="7"/>
        <v>4.6731896069306306E-2</v>
      </c>
      <c r="X56" s="1">
        <f t="shared" si="5"/>
        <v>4.3604805677617334E-2</v>
      </c>
      <c r="Y56" s="1">
        <f t="shared" si="6"/>
        <v>0.55091107822741048</v>
      </c>
    </row>
    <row r="57" spans="1:25" x14ac:dyDescent="0.25">
      <c r="A57" s="1">
        <v>45</v>
      </c>
      <c r="B57" s="21">
        <v>3000</v>
      </c>
      <c r="C57" s="22">
        <v>68</v>
      </c>
      <c r="D57" s="22">
        <v>9.1212765957446665E-3</v>
      </c>
      <c r="E57" s="22"/>
      <c r="F57" s="22">
        <v>3.753602662808838E-2</v>
      </c>
      <c r="G57" s="22">
        <v>3.4316693325835243E-2</v>
      </c>
      <c r="H57" s="22">
        <v>3.7392370931363675E-2</v>
      </c>
      <c r="I57" s="23">
        <v>4.2437647621228584E-2</v>
      </c>
      <c r="J57" s="22">
        <v>4.1554509492649008E-2</v>
      </c>
      <c r="K57" s="22">
        <f>IF(ISNUMBER(Table2[[#This Row],[Qb]]),$Q$4*Table2[[#This Row],[Q ]]^$Q$5+$Q$6,$P$4*Table2[[#This Row],[Q ]]^$P$5+$P$6)</f>
        <v>34.730792820596136</v>
      </c>
      <c r="L57" s="31">
        <f>Table2[[#This Row],[h US 4]]*(w0+Table2[[#This Row],[h US 4]]*m)/(w0+2*Table2[[#This Row],[h US 4]]*(m^2+1)^0.5)</f>
        <v>2.6605485312958425E-2</v>
      </c>
      <c r="M57" s="31">
        <f>Table2[[#This Row],[Rh]]*J/((s-1)*0.01368)</f>
        <v>6.3670534505217619E-2</v>
      </c>
      <c r="N57" s="24"/>
      <c r="S57" s="1">
        <v>9.8999999999999817E-3</v>
      </c>
      <c r="T57" s="1">
        <f t="shared" si="2"/>
        <v>3.8997666818620963E-2</v>
      </c>
      <c r="U57" s="1">
        <f t="shared" si="3"/>
        <v>3.5889655897720536E-2</v>
      </c>
      <c r="V57" s="1">
        <f t="shared" si="4"/>
        <v>4.0000946166292586E-2</v>
      </c>
      <c r="W57" s="1">
        <f t="shared" si="7"/>
        <v>4.6968674078173567E-2</v>
      </c>
      <c r="X57" s="1">
        <f t="shared" si="5"/>
        <v>4.3851813145885238E-2</v>
      </c>
      <c r="Y57" s="1">
        <f t="shared" si="6"/>
        <v>0.55624897254314654</v>
      </c>
    </row>
    <row r="58" spans="1:25" x14ac:dyDescent="0.25">
      <c r="A58" s="1">
        <v>46</v>
      </c>
      <c r="B58" s="21">
        <v>3000</v>
      </c>
      <c r="C58" s="22">
        <v>71</v>
      </c>
      <c r="D58" s="22">
        <v>9.2375000000000027E-3</v>
      </c>
      <c r="E58" s="22"/>
      <c r="F58" s="23">
        <v>3.8343925940313994E-2</v>
      </c>
      <c r="G58" s="23">
        <v>3.5117069023256765E-2</v>
      </c>
      <c r="H58" s="23">
        <v>3.8159198637457883E-2</v>
      </c>
      <c r="I58" s="23">
        <v>4.297798385392429E-2</v>
      </c>
      <c r="J58" s="23">
        <v>4.2377632205845804E-2</v>
      </c>
      <c r="K58" s="22">
        <f>IF(ISNUMBER(Table2[[#This Row],[Qb]]),$Q$4*Table2[[#This Row],[Q ]]^$Q$5+$Q$6,$P$4*Table2[[#This Row],[Q ]]^$P$5+$P$6)</f>
        <v>34.746489563040889</v>
      </c>
      <c r="L58" s="31">
        <f>Table2[[#This Row],[h US 4]]*(w0+Table2[[#This Row],[h US 4]]*m)/(w0+2*Table2[[#This Row],[h US 4]]*(m^2+1)^0.5)</f>
        <v>2.6880424740601264E-2</v>
      </c>
      <c r="M58" s="31">
        <f>Table2[[#This Row],[Rh]]*J/((s-1)*0.01368)</f>
        <v>6.4328501841977748E-2</v>
      </c>
      <c r="N58" s="24"/>
      <c r="S58" s="1">
        <v>9.9999999999999811E-3</v>
      </c>
      <c r="T58" s="1">
        <f t="shared" si="2"/>
        <v>3.920982918544641E-2</v>
      </c>
      <c r="U58" s="1">
        <f t="shared" si="3"/>
        <v>3.6084175294459508E-2</v>
      </c>
      <c r="V58" s="1">
        <f t="shared" si="4"/>
        <v>4.0220713731835347E-2</v>
      </c>
      <c r="W58" s="1">
        <f t="shared" si="7"/>
        <v>4.7205452087040814E-2</v>
      </c>
      <c r="X58" s="1">
        <f t="shared" si="5"/>
        <v>4.4098820614153142E-2</v>
      </c>
      <c r="Y58" s="1">
        <f t="shared" si="6"/>
        <v>0.56152601825024062</v>
      </c>
    </row>
    <row r="59" spans="1:25" x14ac:dyDescent="0.25">
      <c r="A59" s="1">
        <v>47</v>
      </c>
      <c r="B59" s="21">
        <v>3000</v>
      </c>
      <c r="C59" s="22">
        <v>74</v>
      </c>
      <c r="D59" s="22">
        <v>9.4630136986301443E-3</v>
      </c>
      <c r="E59" s="22"/>
      <c r="F59" s="23">
        <v>3.804151259740856E-2</v>
      </c>
      <c r="G59" s="23">
        <v>3.5250206023639409E-2</v>
      </c>
      <c r="H59" s="23">
        <v>3.863462744684909E-2</v>
      </c>
      <c r="I59" s="23">
        <v>4.2780257696563968E-2</v>
      </c>
      <c r="J59" s="23">
        <v>4.2718055934285445E-2</v>
      </c>
      <c r="K59" s="22">
        <f>IF(ISNUMBER(Table2[[#This Row],[Qb]]),$Q$4*Table2[[#This Row],[Q ]]^$Q$5+$Q$6,$P$4*Table2[[#This Row],[Q ]]^$P$5+$P$6)</f>
        <v>34.774219478710464</v>
      </c>
      <c r="L59" s="31">
        <f>Table2[[#This Row],[h US 4]]*(w0+Table2[[#This Row],[h US 4]]*m)/(w0+2*Table2[[#This Row],[h US 4]]*(m^2+1)^0.5)</f>
        <v>2.6779874061511433E-2</v>
      </c>
      <c r="M59" s="31">
        <f>Table2[[#This Row],[Rh]]*J/((s-1)*0.01368)</f>
        <v>6.408787043055246E-2</v>
      </c>
      <c r="N59" s="24"/>
      <c r="S59" s="1">
        <v>1.01E-2</v>
      </c>
      <c r="T59" s="1">
        <f t="shared" ref="T59:T63" si="8">F$4*$S59+F$5</f>
        <v>3.9421991552271898E-2</v>
      </c>
      <c r="U59" s="1">
        <f t="shared" ref="U59:U63" si="9">G$4*$S59+G$5</f>
        <v>3.6278694691198515E-2</v>
      </c>
      <c r="V59" s="1">
        <f t="shared" ref="V59:V63" si="10">H$4*$S59+H$5</f>
        <v>4.0440481297378143E-2</v>
      </c>
      <c r="W59" s="1">
        <f t="shared" si="7"/>
        <v>4.7442230095908117E-2</v>
      </c>
      <c r="X59" s="1">
        <f t="shared" ref="X59:X63" si="11">J$4*$S59+J$5</f>
        <v>4.4345828082421088E-2</v>
      </c>
      <c r="Y59" s="1">
        <f t="shared" ref="Y59:Y63" si="12">$E$7*S59^$E$8+$E$9</f>
        <v>0.56674350715791588</v>
      </c>
    </row>
    <row r="60" spans="1:25" x14ac:dyDescent="0.25">
      <c r="A60" s="1">
        <v>48</v>
      </c>
      <c r="B60" s="21">
        <v>3000</v>
      </c>
      <c r="C60" s="22">
        <v>77</v>
      </c>
      <c r="D60" s="22">
        <v>9.7362500000000018E-3</v>
      </c>
      <c r="E60" s="22"/>
      <c r="F60" s="23">
        <v>3.9008477649587904E-2</v>
      </c>
      <c r="G60" s="23">
        <v>3.5560620208329403E-2</v>
      </c>
      <c r="H60" s="23">
        <v>4.0176217369788179E-2</v>
      </c>
      <c r="I60" s="23">
        <v>4.3028012291479005E-2</v>
      </c>
      <c r="J60" s="23">
        <v>4.2772343739313295E-2</v>
      </c>
      <c r="K60" s="22">
        <f>IF(ISNUMBER(Table2[[#This Row],[Qb]]),$Q$4*Table2[[#This Row],[Q ]]^$Q$5+$Q$6,$P$4*Table2[[#This Row],[Q ]]^$P$5+$P$6)</f>
        <v>34.803593341716422</v>
      </c>
      <c r="L60" s="31">
        <f>Table2[[#This Row],[h US 4]]*(w0+Table2[[#This Row],[h US 4]]*m)/(w0+2*Table2[[#This Row],[h US 4]]*(m^2+1)^0.5)</f>
        <v>2.6905855374309128E-2</v>
      </c>
      <c r="M60" s="31">
        <f>Table2[[#This Row],[Rh]]*J/((s-1)*0.01368)</f>
        <v>6.4389360797262346E-2</v>
      </c>
      <c r="N60" s="24"/>
      <c r="S60" s="1">
        <v>1.0200000000000001E-2</v>
      </c>
      <c r="T60" s="1">
        <f t="shared" si="8"/>
        <v>3.9634153919097345E-2</v>
      </c>
      <c r="U60" s="1">
        <f t="shared" si="9"/>
        <v>3.6473214087937481E-2</v>
      </c>
      <c r="V60" s="1">
        <f t="shared" si="10"/>
        <v>4.0660248862920904E-2</v>
      </c>
      <c r="W60" s="1">
        <f t="shared" si="7"/>
        <v>4.7679008104775364E-2</v>
      </c>
      <c r="X60" s="1">
        <f t="shared" si="11"/>
        <v>4.4592835550688992E-2</v>
      </c>
      <c r="Y60" s="1">
        <f t="shared" si="12"/>
        <v>0.57190269120115822</v>
      </c>
    </row>
    <row r="61" spans="1:25" x14ac:dyDescent="0.25">
      <c r="A61" s="1">
        <v>49</v>
      </c>
      <c r="B61" s="21">
        <v>3000</v>
      </c>
      <c r="C61" s="22">
        <v>80</v>
      </c>
      <c r="D61" s="22">
        <v>1.0039583333333336E-2</v>
      </c>
      <c r="E61" s="22"/>
      <c r="F61" s="23">
        <v>3.9100483567018375E-2</v>
      </c>
      <c r="G61" s="23">
        <v>3.6242800904342891E-2</v>
      </c>
      <c r="H61" s="23">
        <v>4.0849846642393967E-2</v>
      </c>
      <c r="I61" s="23">
        <v>4.4598782556345452E-2</v>
      </c>
      <c r="J61" s="23">
        <v>4.335527256051503E-2</v>
      </c>
      <c r="K61" s="22">
        <f>IF(ISNUMBER(Table2[[#This Row],[Qb]]),$Q$4*Table2[[#This Row],[Q ]]^$Q$5+$Q$6,$P$4*Table2[[#This Row],[Q ]]^$P$5+$P$6)</f>
        <v>34.83162662396311</v>
      </c>
      <c r="L61" s="31">
        <f>Table2[[#This Row],[h US 4]]*(w0+Table2[[#This Row],[h US 4]]*m)/(w0+2*Table2[[#This Row],[h US 4]]*(m^2+1)^0.5)</f>
        <v>2.7702203436781293E-2</v>
      </c>
      <c r="M61" s="31">
        <f>Table2[[#This Row],[Rh]]*J/((s-1)*0.01368)</f>
        <v>6.6295129708949935E-2</v>
      </c>
      <c r="N61" s="24"/>
      <c r="S61" s="1">
        <v>1.03E-2</v>
      </c>
      <c r="T61" s="1">
        <f t="shared" si="8"/>
        <v>3.9846316285922792E-2</v>
      </c>
      <c r="U61" s="1">
        <f t="shared" si="9"/>
        <v>3.6667733484676453E-2</v>
      </c>
      <c r="V61" s="1">
        <f t="shared" si="10"/>
        <v>4.0880016428463659E-2</v>
      </c>
      <c r="W61" s="1">
        <f t="shared" si="7"/>
        <v>4.7915786113642618E-2</v>
      </c>
      <c r="X61" s="1">
        <f t="shared" si="11"/>
        <v>4.4839843018956882E-2</v>
      </c>
      <c r="Y61" s="1">
        <f t="shared" si="12"/>
        <v>0.5770047840483028</v>
      </c>
    </row>
    <row r="62" spans="1:25" x14ac:dyDescent="0.25">
      <c r="A62" s="1">
        <v>50</v>
      </c>
      <c r="B62" s="21">
        <v>3000</v>
      </c>
      <c r="C62" s="22">
        <v>83</v>
      </c>
      <c r="D62" s="22">
        <v>1.0021428571428572E-2</v>
      </c>
      <c r="E62" s="22"/>
      <c r="F62" s="23">
        <v>3.8893747037782513E-2</v>
      </c>
      <c r="G62" s="23">
        <v>3.6578206941389184E-2</v>
      </c>
      <c r="H62" s="23">
        <v>3.9947086583217897E-2</v>
      </c>
      <c r="I62" s="23">
        <v>4.4418755863195658E-2</v>
      </c>
      <c r="J62" s="23">
        <v>4.3446359809729281E-2</v>
      </c>
      <c r="K62" s="22">
        <f>IF(ISNUMBER(Table2[[#This Row],[Qb]]),$Q$4*Table2[[#This Row],[Q ]]^$Q$5+$Q$6,$P$4*Table2[[#This Row],[Q ]]^$P$5+$P$6)</f>
        <v>34.830069220267447</v>
      </c>
      <c r="L62" s="31">
        <f>Table2[[#This Row],[h US 4]]*(w0+Table2[[#This Row],[h US 4]]*m)/(w0+2*Table2[[#This Row],[h US 4]]*(m^2+1)^0.5)</f>
        <v>2.7611136594906126E-2</v>
      </c>
      <c r="M62" s="31">
        <f>Table2[[#This Row],[Rh]]*J/((s-1)*0.01368)</f>
        <v>6.6077194406147177E-2</v>
      </c>
      <c r="N62" s="24"/>
      <c r="S62" s="1">
        <v>1.04E-2</v>
      </c>
      <c r="T62" s="1">
        <f t="shared" si="8"/>
        <v>4.0058478652748239E-2</v>
      </c>
      <c r="U62" s="1">
        <f t="shared" si="9"/>
        <v>3.6862252881415425E-2</v>
      </c>
      <c r="V62" s="1">
        <f t="shared" si="10"/>
        <v>4.109978399400642E-2</v>
      </c>
      <c r="W62" s="1">
        <f t="shared" si="7"/>
        <v>4.8152564122509872E-2</v>
      </c>
      <c r="X62" s="1">
        <f t="shared" si="11"/>
        <v>4.5086850487224786E-2</v>
      </c>
      <c r="Y62" s="1">
        <f t="shared" si="12"/>
        <v>0.58205096262890255</v>
      </c>
    </row>
    <row r="63" spans="1:25" x14ac:dyDescent="0.25">
      <c r="B63" s="21"/>
      <c r="C63" s="22"/>
      <c r="D63" s="22"/>
      <c r="E63" s="22"/>
      <c r="F63" s="23"/>
      <c r="G63" s="23"/>
      <c r="H63" s="23"/>
      <c r="I63" s="23"/>
      <c r="J63" s="23"/>
      <c r="K63" s="22"/>
      <c r="L63" s="22"/>
      <c r="M63" s="22"/>
      <c r="N63" s="24"/>
      <c r="S63" s="1">
        <v>1.0500000000000001E-2</v>
      </c>
      <c r="T63" s="1">
        <f t="shared" si="8"/>
        <v>4.0270641019573693E-2</v>
      </c>
      <c r="U63" s="1">
        <f t="shared" si="9"/>
        <v>3.705677227815439E-2</v>
      </c>
      <c r="V63" s="1">
        <f t="shared" si="10"/>
        <v>4.1319551559549181E-2</v>
      </c>
      <c r="W63" s="1">
        <f t="shared" si="7"/>
        <v>4.8389342131377119E-2</v>
      </c>
      <c r="X63" s="1">
        <f t="shared" si="11"/>
        <v>4.5333857955492683E-2</v>
      </c>
      <c r="Y63" s="1">
        <f t="shared" si="12"/>
        <v>0.58704236858656422</v>
      </c>
    </row>
    <row r="64" spans="1:25" x14ac:dyDescent="0.25">
      <c r="B64" s="21"/>
      <c r="C64" s="22"/>
      <c r="D64" s="22"/>
      <c r="E64" s="22"/>
      <c r="F64" s="23"/>
      <c r="G64" s="23"/>
      <c r="H64" s="23"/>
      <c r="I64" s="23"/>
      <c r="J64" s="23"/>
      <c r="K64" s="22"/>
      <c r="L64" s="22"/>
      <c r="M64" s="22"/>
      <c r="N64" s="24"/>
    </row>
    <row r="65" spans="2:14" x14ac:dyDescent="0.25">
      <c r="B65" s="21"/>
      <c r="C65" s="22"/>
      <c r="D65" s="22"/>
      <c r="E65" s="22"/>
      <c r="F65" s="23"/>
      <c r="G65" s="23"/>
      <c r="H65" s="23"/>
      <c r="I65" s="23"/>
      <c r="J65" s="23"/>
      <c r="K65" s="22"/>
      <c r="L65" s="22"/>
      <c r="M65" s="22"/>
      <c r="N65" s="24"/>
    </row>
    <row r="66" spans="2:14" x14ac:dyDescent="0.25">
      <c r="B66" s="21"/>
      <c r="C66" s="22"/>
      <c r="D66" s="22"/>
      <c r="E66" s="22"/>
      <c r="F66" s="23"/>
      <c r="G66" s="23"/>
      <c r="H66" s="23"/>
      <c r="I66" s="23"/>
      <c r="J66" s="23"/>
      <c r="K66" s="22"/>
      <c r="L66" s="22"/>
      <c r="M66" s="22"/>
      <c r="N66" s="24"/>
    </row>
    <row r="67" spans="2:14" x14ac:dyDescent="0.25">
      <c r="B67" s="21"/>
      <c r="C67" s="22"/>
      <c r="D67" s="22"/>
      <c r="E67" s="22"/>
      <c r="F67" s="23"/>
      <c r="G67" s="23"/>
      <c r="H67" s="23"/>
      <c r="I67" s="23"/>
      <c r="J67" s="23"/>
      <c r="K67" s="22"/>
      <c r="L67" s="22"/>
      <c r="M67" s="22"/>
      <c r="N67" s="24"/>
    </row>
    <row r="68" spans="2:14" x14ac:dyDescent="0.25">
      <c r="B68" s="10"/>
      <c r="C68" s="11"/>
      <c r="D68" s="11"/>
      <c r="E68" s="11"/>
      <c r="F68" s="12"/>
      <c r="G68" s="12"/>
      <c r="H68" s="12"/>
      <c r="I68" s="12"/>
      <c r="J68" s="12"/>
      <c r="K68" s="11"/>
    </row>
    <row r="69" spans="2:14" x14ac:dyDescent="0.25">
      <c r="B69" s="10"/>
      <c r="C69" s="11"/>
      <c r="D69" s="11"/>
      <c r="E69" s="11"/>
      <c r="F69" s="12"/>
      <c r="G69" s="12"/>
      <c r="H69" s="12"/>
      <c r="I69" s="12"/>
      <c r="J69" s="12"/>
      <c r="K69" s="11"/>
    </row>
    <row r="70" spans="2:14" x14ac:dyDescent="0.25">
      <c r="B70" s="10"/>
      <c r="C70" s="11"/>
      <c r="D70" s="11"/>
      <c r="E70" s="11"/>
      <c r="F70" s="12"/>
      <c r="G70" s="12"/>
      <c r="H70" s="12"/>
      <c r="I70" s="12"/>
      <c r="J70" s="12"/>
      <c r="K70" s="11"/>
    </row>
    <row r="71" spans="2:14" x14ac:dyDescent="0.25">
      <c r="B71" s="10"/>
      <c r="C71" s="11"/>
      <c r="D71" s="11"/>
      <c r="E71" s="11"/>
      <c r="F71" s="12"/>
      <c r="G71" s="12"/>
      <c r="H71" s="12"/>
      <c r="I71" s="12"/>
      <c r="J71" s="12"/>
      <c r="K71" s="11"/>
    </row>
    <row r="72" spans="2:14" x14ac:dyDescent="0.25">
      <c r="B72" s="10"/>
      <c r="C72" s="11"/>
      <c r="D72" s="11"/>
      <c r="E72" s="11"/>
      <c r="F72" s="12"/>
      <c r="G72" s="12"/>
      <c r="H72" s="12"/>
      <c r="I72" s="12"/>
      <c r="J72" s="12"/>
      <c r="K72" s="11"/>
    </row>
    <row r="73" spans="2:14" x14ac:dyDescent="0.25">
      <c r="B73" s="10"/>
      <c r="C73" s="11"/>
      <c r="D73" s="11"/>
      <c r="E73" s="11"/>
      <c r="F73" s="12"/>
      <c r="G73" s="12"/>
      <c r="H73" s="12"/>
      <c r="I73" s="12"/>
      <c r="J73" s="12"/>
      <c r="K73" s="11"/>
    </row>
    <row r="74" spans="2:14" x14ac:dyDescent="0.25">
      <c r="B74" s="10"/>
      <c r="C74" s="11"/>
      <c r="D74" s="11"/>
      <c r="E74" s="11"/>
      <c r="F74" s="12"/>
      <c r="G74" s="12"/>
      <c r="H74" s="12"/>
      <c r="I74" s="12"/>
      <c r="J74" s="12"/>
      <c r="K74" s="11"/>
    </row>
    <row r="75" spans="2:14" x14ac:dyDescent="0.25">
      <c r="B75" s="10"/>
      <c r="C75" s="11"/>
      <c r="D75" s="11"/>
      <c r="E75" s="11"/>
      <c r="F75" s="12"/>
      <c r="G75" s="12"/>
      <c r="H75" s="12"/>
      <c r="I75" s="12"/>
      <c r="J75" s="12"/>
      <c r="K75" s="11"/>
    </row>
    <row r="76" spans="2:14" x14ac:dyDescent="0.25">
      <c r="B76" s="10"/>
      <c r="C76" s="11"/>
      <c r="D76" s="11"/>
      <c r="E76" s="11"/>
      <c r="F76" s="12"/>
      <c r="G76" s="12"/>
      <c r="H76" s="12"/>
      <c r="I76" s="12"/>
      <c r="J76" s="12"/>
      <c r="K76" s="11"/>
    </row>
    <row r="77" spans="2:14" x14ac:dyDescent="0.25">
      <c r="B77" s="10"/>
      <c r="C77" s="11"/>
      <c r="D77" s="11"/>
      <c r="E77" s="11"/>
      <c r="F77" s="12"/>
      <c r="G77" s="12"/>
      <c r="H77" s="12"/>
      <c r="I77" s="12"/>
      <c r="J77" s="12"/>
      <c r="K77" s="11"/>
    </row>
    <row r="78" spans="2:14" x14ac:dyDescent="0.25">
      <c r="B78" s="10"/>
      <c r="C78" s="11"/>
      <c r="D78" s="11"/>
      <c r="E78" s="11"/>
      <c r="F78" s="12"/>
      <c r="G78" s="12"/>
      <c r="H78" s="12"/>
      <c r="I78" s="12"/>
      <c r="J78" s="12"/>
      <c r="K78" s="11"/>
    </row>
    <row r="79" spans="2:14" x14ac:dyDescent="0.25">
      <c r="B79" s="10"/>
      <c r="C79" s="11"/>
      <c r="D79" s="11"/>
      <c r="E79" s="11"/>
      <c r="F79" s="12"/>
      <c r="G79" s="12"/>
      <c r="H79" s="12"/>
      <c r="I79" s="12"/>
      <c r="J79" s="12"/>
      <c r="K79" s="11"/>
    </row>
    <row r="80" spans="2:14" x14ac:dyDescent="0.25">
      <c r="B80" s="10"/>
      <c r="C80" s="11"/>
      <c r="D80" s="11"/>
      <c r="E80" s="11"/>
      <c r="F80" s="12"/>
      <c r="G80" s="12"/>
      <c r="H80" s="12"/>
      <c r="I80" s="12"/>
      <c r="J80" s="12"/>
      <c r="K80" s="11"/>
    </row>
    <row r="81" spans="2:11" x14ac:dyDescent="0.25">
      <c r="B81" s="10"/>
      <c r="C81" s="11"/>
      <c r="D81" s="11"/>
      <c r="E81" s="11"/>
      <c r="F81" s="12"/>
      <c r="G81" s="12"/>
      <c r="H81" s="12"/>
      <c r="I81" s="12"/>
      <c r="J81" s="12"/>
      <c r="K81" s="11"/>
    </row>
    <row r="82" spans="2:11" x14ac:dyDescent="0.25">
      <c r="B82" s="10"/>
      <c r="C82" s="11"/>
      <c r="D82" s="11"/>
      <c r="E82" s="11"/>
      <c r="F82" s="12"/>
      <c r="G82" s="12"/>
      <c r="H82" s="12"/>
      <c r="I82" s="12"/>
      <c r="J82" s="12"/>
      <c r="K82" s="11"/>
    </row>
    <row r="83" spans="2:11" x14ac:dyDescent="0.25">
      <c r="B83" s="10"/>
      <c r="C83" s="11"/>
      <c r="D83" s="11"/>
      <c r="E83" s="11"/>
      <c r="F83" s="12"/>
      <c r="G83" s="12"/>
      <c r="H83" s="12"/>
      <c r="I83" s="12"/>
      <c r="J83" s="12"/>
      <c r="K83" s="11"/>
    </row>
    <row r="84" spans="2:11" x14ac:dyDescent="0.25">
      <c r="B84" s="10"/>
      <c r="C84" s="11"/>
      <c r="D84" s="11"/>
      <c r="E84" s="11"/>
      <c r="F84" s="12"/>
      <c r="G84" s="12"/>
      <c r="H84" s="12"/>
      <c r="I84" s="12"/>
      <c r="J84" s="12"/>
      <c r="K84" s="11"/>
    </row>
    <row r="85" spans="2:11" x14ac:dyDescent="0.25">
      <c r="B85" s="10"/>
      <c r="C85" s="11"/>
      <c r="D85" s="11"/>
      <c r="E85" s="11"/>
      <c r="F85" s="12"/>
      <c r="G85" s="12"/>
      <c r="H85" s="12"/>
      <c r="I85" s="12"/>
      <c r="J85" s="12"/>
      <c r="K85" s="11"/>
    </row>
    <row r="86" spans="2:11" x14ac:dyDescent="0.25">
      <c r="B86" s="13"/>
      <c r="C86" s="14"/>
      <c r="D86" s="14"/>
      <c r="E86" s="14"/>
      <c r="F86" s="14"/>
      <c r="G86" s="14"/>
      <c r="H86" s="14"/>
      <c r="I86" s="12"/>
      <c r="J86" s="14"/>
      <c r="K86" s="11"/>
    </row>
    <row r="87" spans="2:11" x14ac:dyDescent="0.25">
      <c r="B87" s="13"/>
      <c r="C87" s="14"/>
      <c r="D87" s="14"/>
      <c r="E87" s="14"/>
      <c r="F87" s="14"/>
      <c r="G87" s="14"/>
      <c r="H87" s="14"/>
      <c r="I87" s="12"/>
      <c r="J87" s="14"/>
      <c r="K87" s="11"/>
    </row>
    <row r="88" spans="2:11" x14ac:dyDescent="0.25">
      <c r="B88" s="13"/>
      <c r="C88" s="14"/>
      <c r="D88" s="14"/>
      <c r="E88" s="14"/>
      <c r="F88" s="14"/>
      <c r="G88" s="14"/>
      <c r="H88" s="14"/>
      <c r="I88" s="12"/>
      <c r="J88" s="14"/>
      <c r="K88" s="11"/>
    </row>
    <row r="89" spans="2:11" x14ac:dyDescent="0.25">
      <c r="B89" s="13"/>
      <c r="C89" s="14"/>
      <c r="D89" s="14"/>
      <c r="E89" s="14"/>
      <c r="F89" s="14"/>
      <c r="G89" s="14"/>
      <c r="H89" s="14"/>
      <c r="I89" s="12"/>
      <c r="J89" s="14"/>
      <c r="K89" s="11"/>
    </row>
    <row r="90" spans="2:11" x14ac:dyDescent="0.25">
      <c r="B90" s="13"/>
      <c r="C90" s="14"/>
      <c r="D90" s="14"/>
      <c r="E90" s="14"/>
      <c r="F90" s="14"/>
      <c r="G90" s="14"/>
      <c r="H90" s="14"/>
      <c r="I90" s="12"/>
      <c r="J90" s="14"/>
      <c r="K90" s="11"/>
    </row>
    <row r="91" spans="2:11" x14ac:dyDescent="0.25">
      <c r="B91" s="13"/>
      <c r="C91" s="14"/>
      <c r="D91" s="14"/>
      <c r="E91" s="14"/>
      <c r="F91" s="14"/>
      <c r="G91" s="14"/>
      <c r="H91" s="14"/>
      <c r="I91" s="12"/>
      <c r="J91" s="14"/>
      <c r="K91" s="11"/>
    </row>
    <row r="92" spans="2:11" x14ac:dyDescent="0.25">
      <c r="B92" s="13"/>
      <c r="C92" s="14"/>
      <c r="D92" s="14"/>
      <c r="E92" s="14"/>
      <c r="F92" s="14"/>
      <c r="G92" s="14"/>
      <c r="H92" s="14"/>
      <c r="I92" s="12"/>
      <c r="J92" s="14"/>
      <c r="K92" s="11"/>
    </row>
    <row r="93" spans="2:11" x14ac:dyDescent="0.25">
      <c r="B93" s="13"/>
      <c r="C93" s="14"/>
      <c r="D93" s="14"/>
      <c r="E93" s="14"/>
      <c r="F93" s="14"/>
      <c r="G93" s="14"/>
      <c r="H93" s="14"/>
      <c r="I93" s="12"/>
      <c r="J93" s="14"/>
      <c r="K93" s="11"/>
    </row>
    <row r="94" spans="2:11" x14ac:dyDescent="0.25">
      <c r="B94" s="13"/>
      <c r="C94" s="14"/>
      <c r="D94" s="14"/>
      <c r="E94" s="14"/>
      <c r="F94" s="14"/>
      <c r="G94" s="14"/>
      <c r="H94" s="14"/>
      <c r="I94" s="12"/>
      <c r="J94" s="14"/>
      <c r="K94" s="11"/>
    </row>
    <row r="95" spans="2:11" x14ac:dyDescent="0.25">
      <c r="B95" s="13"/>
      <c r="C95" s="14"/>
      <c r="D95" s="14"/>
      <c r="E95" s="14"/>
      <c r="F95" s="14"/>
      <c r="G95" s="14"/>
      <c r="H95" s="14"/>
      <c r="I95" s="12"/>
      <c r="J95" s="14"/>
      <c r="K95" s="11"/>
    </row>
    <row r="96" spans="2:11" x14ac:dyDescent="0.25">
      <c r="B96" s="13"/>
      <c r="C96" s="14"/>
      <c r="D96" s="14"/>
      <c r="E96" s="14"/>
      <c r="F96" s="14"/>
      <c r="G96" s="14"/>
      <c r="H96" s="14"/>
      <c r="I96" s="12"/>
      <c r="J96" s="14"/>
      <c r="K96" s="11"/>
    </row>
    <row r="97" spans="2:11" x14ac:dyDescent="0.25">
      <c r="B97" s="13"/>
      <c r="C97" s="14"/>
      <c r="D97" s="14"/>
      <c r="E97" s="14"/>
      <c r="F97" s="14"/>
      <c r="G97" s="14"/>
      <c r="H97" s="14"/>
      <c r="I97" s="12"/>
      <c r="J97" s="14"/>
      <c r="K97" s="11"/>
    </row>
    <row r="98" spans="2:11" x14ac:dyDescent="0.25">
      <c r="B98" s="13"/>
      <c r="C98" s="14"/>
      <c r="D98" s="14"/>
      <c r="E98" s="14"/>
      <c r="F98" s="14"/>
      <c r="G98" s="14"/>
      <c r="H98" s="14"/>
      <c r="I98" s="12"/>
      <c r="J98" s="14"/>
      <c r="K98" s="11"/>
    </row>
    <row r="99" spans="2:11" x14ac:dyDescent="0.25">
      <c r="B99" s="13"/>
      <c r="C99" s="14"/>
      <c r="D99" s="14"/>
      <c r="E99" s="14"/>
      <c r="F99" s="14"/>
      <c r="G99" s="14"/>
      <c r="H99" s="14"/>
      <c r="I99" s="12"/>
      <c r="J99" s="14"/>
      <c r="K99" s="11"/>
    </row>
    <row r="100" spans="2:11" x14ac:dyDescent="0.25">
      <c r="B100" s="13"/>
      <c r="C100" s="14"/>
      <c r="D100" s="14"/>
      <c r="E100" s="14"/>
      <c r="F100" s="14"/>
      <c r="G100" s="14"/>
      <c r="H100" s="14"/>
      <c r="I100" s="12"/>
      <c r="J100" s="14"/>
      <c r="K100" s="11"/>
    </row>
    <row r="101" spans="2:11" x14ac:dyDescent="0.25">
      <c r="B101" s="13"/>
      <c r="C101" s="14"/>
      <c r="D101" s="14"/>
      <c r="E101" s="14"/>
      <c r="F101" s="14"/>
      <c r="G101" s="14"/>
      <c r="H101" s="14"/>
      <c r="I101" s="12"/>
      <c r="J101" s="14"/>
      <c r="K101" s="11"/>
    </row>
    <row r="102" spans="2:11" x14ac:dyDescent="0.25">
      <c r="B102" s="13"/>
      <c r="C102" s="14"/>
      <c r="D102" s="14"/>
      <c r="E102" s="14"/>
      <c r="F102" s="14"/>
      <c r="G102" s="14"/>
      <c r="H102" s="14"/>
      <c r="I102" s="12"/>
      <c r="J102" s="14"/>
      <c r="K102" s="11"/>
    </row>
    <row r="103" spans="2:11" x14ac:dyDescent="0.25">
      <c r="B103" s="13"/>
      <c r="C103" s="14"/>
      <c r="D103" s="14"/>
      <c r="E103" s="14"/>
      <c r="F103" s="14"/>
      <c r="G103" s="14"/>
      <c r="H103" s="14"/>
      <c r="I103" s="12"/>
      <c r="J103" s="14"/>
      <c r="K103" s="11"/>
    </row>
    <row r="104" spans="2:11" x14ac:dyDescent="0.25">
      <c r="B104" s="13"/>
      <c r="C104" s="14"/>
      <c r="D104" s="14"/>
      <c r="E104" s="14"/>
      <c r="F104" s="14"/>
      <c r="G104" s="14"/>
      <c r="H104" s="14"/>
      <c r="I104" s="12"/>
      <c r="J104" s="14"/>
      <c r="K104" s="11"/>
    </row>
    <row r="105" spans="2:11" x14ac:dyDescent="0.25">
      <c r="B105" s="13"/>
      <c r="C105" s="14"/>
      <c r="D105" s="14"/>
      <c r="E105" s="14"/>
      <c r="F105" s="14"/>
      <c r="G105" s="14"/>
      <c r="H105" s="14"/>
      <c r="I105" s="12"/>
      <c r="J105" s="14"/>
      <c r="K105" s="11"/>
    </row>
    <row r="106" spans="2:11" x14ac:dyDescent="0.25">
      <c r="B106" s="13"/>
      <c r="C106" s="14"/>
      <c r="D106" s="14"/>
      <c r="E106" s="14"/>
      <c r="F106" s="14"/>
      <c r="G106" s="14"/>
      <c r="H106" s="14"/>
      <c r="I106" s="12"/>
      <c r="J106" s="14"/>
      <c r="K106" s="11"/>
    </row>
    <row r="107" spans="2:11" x14ac:dyDescent="0.25">
      <c r="B107" s="13"/>
      <c r="C107" s="14"/>
      <c r="D107" s="14"/>
      <c r="E107" s="14"/>
      <c r="F107" s="14"/>
      <c r="G107" s="14"/>
      <c r="H107" s="14"/>
      <c r="I107" s="12"/>
      <c r="J107" s="14"/>
      <c r="K107" s="11"/>
    </row>
    <row r="108" spans="2:11" x14ac:dyDescent="0.25">
      <c r="B108" s="13"/>
      <c r="C108" s="14"/>
      <c r="D108" s="14"/>
      <c r="E108" s="14"/>
      <c r="F108" s="14"/>
      <c r="G108" s="14"/>
      <c r="H108" s="14"/>
      <c r="I108" s="12"/>
      <c r="J108" s="14"/>
      <c r="K108" s="11"/>
    </row>
    <row r="109" spans="2:11" x14ac:dyDescent="0.25">
      <c r="B109" s="13"/>
      <c r="C109" s="14"/>
      <c r="D109" s="14"/>
      <c r="E109" s="14"/>
      <c r="F109" s="14"/>
      <c r="G109" s="14"/>
      <c r="H109" s="14"/>
      <c r="I109" s="12"/>
      <c r="J109" s="14"/>
      <c r="K109" s="11"/>
    </row>
  </sheetData>
  <mergeCells count="8">
    <mergeCell ref="T4:X4"/>
    <mergeCell ref="B10:J10"/>
    <mergeCell ref="B2:J2"/>
    <mergeCell ref="D4:D6"/>
    <mergeCell ref="E4:E6"/>
    <mergeCell ref="D7:D9"/>
    <mergeCell ref="L2:M2"/>
    <mergeCell ref="O2:Q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Schwindt Sebastian</cp:lastModifiedBy>
  <cp:lastPrinted>2016-11-10T13:53:21Z</cp:lastPrinted>
  <dcterms:created xsi:type="dcterms:W3CDTF">2015-12-04T20:19:59Z</dcterms:created>
  <dcterms:modified xsi:type="dcterms:W3CDTF">2017-02-09T17:20:38Z</dcterms:modified>
</cp:coreProperties>
</file>