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ub-sediment-trap\ProcessedData\000_data_summary\Hydrograph\"/>
    </mc:Choice>
  </mc:AlternateContent>
  <bookViews>
    <workbookView xWindow="480" yWindow="180" windowWidth="27795" windowHeight="14310"/>
  </bookViews>
  <sheets>
    <sheet name="comparison" sheetId="2" r:id="rId1"/>
    <sheet name="export plot" sheetId="3" r:id="rId2"/>
  </sheets>
  <definedNames>
    <definedName name="rho_s" localSheetId="1">'export plot'!$R$3</definedName>
    <definedName name="rho_s">comparison!$S$3</definedName>
  </definedNames>
  <calcPr calcId="162913"/>
</workbook>
</file>

<file path=xl/calcChain.xml><?xml version="1.0" encoding="utf-8"?>
<calcChain xmlns="http://schemas.openxmlformats.org/spreadsheetml/2006/main">
  <c r="P10" i="3" l="1"/>
  <c r="P12" i="3"/>
  <c r="P13" i="3"/>
  <c r="P15" i="3"/>
  <c r="P16" i="3"/>
  <c r="P17" i="3"/>
  <c r="P18" i="3"/>
  <c r="P19" i="3"/>
  <c r="P9" i="3"/>
  <c r="J11" i="3" l="1"/>
  <c r="K11" i="3" s="1"/>
  <c r="G11" i="3"/>
  <c r="H11" i="3" s="1"/>
  <c r="D11" i="3"/>
  <c r="E11" i="3" s="1"/>
  <c r="J10" i="3"/>
  <c r="K10" i="3" s="1"/>
  <c r="G10" i="3"/>
  <c r="H10" i="3" s="1"/>
  <c r="D10" i="3"/>
  <c r="E10" i="3" s="1"/>
  <c r="D12" i="3"/>
  <c r="E12" i="3" s="1"/>
  <c r="M12" i="3" s="1"/>
  <c r="G12" i="3"/>
  <c r="H12" i="3" s="1"/>
  <c r="N12" i="3" s="1"/>
  <c r="J12" i="3"/>
  <c r="K12" i="3"/>
  <c r="D13" i="3"/>
  <c r="E13" i="3" s="1"/>
  <c r="M13" i="3" s="1"/>
  <c r="G13" i="3"/>
  <c r="H13" i="3" s="1"/>
  <c r="N13" i="3" s="1"/>
  <c r="J13" i="3"/>
  <c r="K13" i="3" s="1"/>
  <c r="D14" i="3"/>
  <c r="E14" i="3" s="1"/>
  <c r="G14" i="3"/>
  <c r="H14" i="3" s="1"/>
  <c r="J14" i="3"/>
  <c r="L14" i="3"/>
  <c r="P14" i="3" s="1"/>
  <c r="D15" i="3"/>
  <c r="E15" i="3" s="1"/>
  <c r="M15" i="3" s="1"/>
  <c r="G15" i="3"/>
  <c r="H15" i="3" s="1"/>
  <c r="N15" i="3" s="1"/>
  <c r="J15" i="3"/>
  <c r="K15" i="3" s="1"/>
  <c r="D16" i="3"/>
  <c r="E16" i="3" s="1"/>
  <c r="G16" i="3"/>
  <c r="H16" i="3" s="1"/>
  <c r="N16" i="3" s="1"/>
  <c r="J16" i="3"/>
  <c r="K16" i="3" s="1"/>
  <c r="D17" i="3"/>
  <c r="E17" i="3" s="1"/>
  <c r="G17" i="3"/>
  <c r="H17" i="3" s="1"/>
  <c r="N17" i="3" s="1"/>
  <c r="J17" i="3"/>
  <c r="K17" i="3" s="1"/>
  <c r="D18" i="3"/>
  <c r="E18" i="3" s="1"/>
  <c r="M18" i="3" s="1"/>
  <c r="G18" i="3"/>
  <c r="H18" i="3"/>
  <c r="N18" i="3" s="1"/>
  <c r="J18" i="3"/>
  <c r="K18" i="3" s="1"/>
  <c r="D19" i="3"/>
  <c r="E19" i="3" s="1"/>
  <c r="M19" i="3" s="1"/>
  <c r="G19" i="3"/>
  <c r="H19" i="3" s="1"/>
  <c r="N19" i="3" s="1"/>
  <c r="J19" i="3"/>
  <c r="N14" i="3" l="1"/>
  <c r="N20" i="3" s="1"/>
  <c r="M14" i="3"/>
  <c r="M20" i="3" s="1"/>
  <c r="K19" i="3"/>
  <c r="K14" i="3"/>
  <c r="J9" i="3"/>
  <c r="K9" i="3" s="1"/>
  <c r="G9" i="3"/>
  <c r="H9" i="3" s="1"/>
  <c r="N9" i="3" s="1"/>
  <c r="D9" i="3"/>
  <c r="E9" i="3" l="1"/>
  <c r="M9" i="3" s="1"/>
  <c r="G11" i="2" l="1"/>
  <c r="G12" i="2"/>
  <c r="G13" i="2"/>
  <c r="G14" i="2"/>
  <c r="G15" i="2"/>
  <c r="G16" i="2"/>
  <c r="G17" i="2"/>
  <c r="G18" i="2"/>
  <c r="G19" i="2"/>
  <c r="H16" i="2" l="1"/>
  <c r="N16" i="2" s="1"/>
  <c r="H15" i="2"/>
  <c r="N15" i="2" s="1"/>
  <c r="H12" i="2"/>
  <c r="N12" i="2" s="1"/>
  <c r="J15" i="2"/>
  <c r="K15" i="2" s="1"/>
  <c r="J10" i="2"/>
  <c r="K10" i="2" s="1"/>
  <c r="J11" i="2"/>
  <c r="K11" i="2" s="1"/>
  <c r="J12" i="2"/>
  <c r="K12" i="2"/>
  <c r="J13" i="2"/>
  <c r="K13" i="2" s="1"/>
  <c r="J14" i="2"/>
  <c r="K14" i="2" s="1"/>
  <c r="J16" i="2"/>
  <c r="K16" i="2" s="1"/>
  <c r="J17" i="2"/>
  <c r="K17" i="2" s="1"/>
  <c r="J18" i="2"/>
  <c r="K18" i="2" s="1"/>
  <c r="J19" i="2"/>
  <c r="K19" i="2" s="1"/>
  <c r="J9" i="2"/>
  <c r="K9" i="2" s="1"/>
  <c r="H14" i="2"/>
  <c r="N14" i="2" s="1"/>
  <c r="H17" i="2"/>
  <c r="N17" i="2" s="1"/>
  <c r="H18" i="2"/>
  <c r="N18" i="2" s="1"/>
  <c r="H19" i="2"/>
  <c r="D14" i="2"/>
  <c r="E14" i="2" s="1"/>
  <c r="M14" i="2" s="1"/>
  <c r="D15" i="2"/>
  <c r="E15" i="2" s="1"/>
  <c r="M15" i="2" s="1"/>
  <c r="O15" i="2"/>
  <c r="D16" i="2"/>
  <c r="O16" i="2" s="1"/>
  <c r="D17" i="2"/>
  <c r="D18" i="2"/>
  <c r="D19" i="2"/>
  <c r="H11" i="2"/>
  <c r="N11" i="2" s="1"/>
  <c r="G10" i="2"/>
  <c r="H10" i="2" s="1"/>
  <c r="N10" i="2" s="1"/>
  <c r="G9" i="2"/>
  <c r="H9" i="2" s="1"/>
  <c r="N9" i="2" s="1"/>
  <c r="L10" i="2"/>
  <c r="H13" i="2"/>
  <c r="N13" i="2" s="1"/>
  <c r="D11" i="2"/>
  <c r="E11" i="2" s="1"/>
  <c r="M11" i="2" s="1"/>
  <c r="D12" i="2"/>
  <c r="O12" i="2" s="1"/>
  <c r="D13" i="2"/>
  <c r="O13" i="2" s="1"/>
  <c r="D10" i="2"/>
  <c r="D9" i="2"/>
  <c r="E9" i="2" s="1"/>
  <c r="M9" i="2" s="1"/>
  <c r="E13" i="2"/>
  <c r="M13" i="2" s="1"/>
  <c r="E10" i="2"/>
  <c r="M10" i="2" s="1"/>
  <c r="E12" i="2" l="1"/>
  <c r="M12" i="2" s="1"/>
  <c r="O18" i="2"/>
  <c r="O14" i="2"/>
  <c r="O17" i="2"/>
  <c r="E16" i="2"/>
  <c r="M16" i="2" s="1"/>
  <c r="O10" i="2"/>
  <c r="E17" i="2"/>
  <c r="M17" i="2" s="1"/>
  <c r="E18" i="2"/>
  <c r="M18" i="2" s="1"/>
  <c r="E19" i="2"/>
  <c r="O9" i="2"/>
  <c r="O11" i="2"/>
</calcChain>
</file>

<file path=xl/comments1.xml><?xml version="1.0" encoding="utf-8"?>
<comments xmlns="http://schemas.openxmlformats.org/spreadsheetml/2006/main">
  <authors>
    <author>Schwindt Sebastian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subtraction of upstream deposited volume (out of sight)</t>
        </r>
      </text>
    </comment>
  </commentList>
</comments>
</file>

<file path=xl/sharedStrings.xml><?xml version="1.0" encoding="utf-8"?>
<sst xmlns="http://schemas.openxmlformats.org/spreadsheetml/2006/main" count="150" uniqueCount="73">
  <si>
    <t>[N°]</t>
  </si>
  <si>
    <t>[mm³]</t>
  </si>
  <si>
    <t>Reference</t>
  </si>
  <si>
    <t>06 501</t>
  </si>
  <si>
    <t>[m³]</t>
  </si>
  <si>
    <t>[kg]</t>
  </si>
  <si>
    <t>Balance measurements</t>
  </si>
  <si>
    <t>06 503</t>
  </si>
  <si>
    <t>Total volume</t>
  </si>
  <si>
    <t>Deposit volume</t>
  </si>
  <si>
    <t>--</t>
  </si>
  <si>
    <t>KINECT</t>
  </si>
  <si>
    <t>DIRECT</t>
  </si>
  <si>
    <t>DISTO</t>
  </si>
  <si>
    <t>06 502</t>
  </si>
  <si>
    <t>06 504</t>
  </si>
  <si>
    <t>06 505</t>
  </si>
  <si>
    <t>Deposit weight</t>
  </si>
  <si>
    <t>ERROR</t>
  </si>
  <si>
    <t>∆ DISTO
 - KINECT</t>
  </si>
  <si>
    <t>Experiment</t>
  </si>
  <si>
    <t>Number</t>
  </si>
  <si>
    <t>INPUT ALESSANDRO</t>
  </si>
  <si>
    <t>INPUT SEBASTIAN</t>
  </si>
  <si>
    <t>AUTO (DON'T TOUCH)</t>
  </si>
  <si>
    <t>FORMAT DEFINITIONS</t>
  </si>
  <si>
    <r>
      <rPr>
        <i/>
        <sz val="11"/>
        <color theme="1"/>
        <rFont val="Times New Roman"/>
        <family val="1"/>
      </rPr>
      <t>ε</t>
    </r>
    <r>
      <rPr>
        <i/>
        <vertAlign val="subscript"/>
        <sz val="11"/>
        <color theme="1"/>
        <rFont val="Arial Narrow"/>
        <family val="2"/>
      </rPr>
      <t>d</t>
    </r>
    <r>
      <rPr>
        <i/>
        <sz val="11"/>
        <color theme="1"/>
        <rFont val="Arial Narrow"/>
        <family val="2"/>
      </rPr>
      <t xml:space="preserve"> [%]</t>
    </r>
  </si>
  <si>
    <r>
      <rPr>
        <i/>
        <sz val="11"/>
        <color theme="1"/>
        <rFont val="Times New Roman"/>
        <family val="1"/>
      </rPr>
      <t>ε</t>
    </r>
    <r>
      <rPr>
        <i/>
        <vertAlign val="subscript"/>
        <sz val="11"/>
        <color theme="1"/>
        <rFont val="Arial Narrow"/>
        <family val="2"/>
      </rPr>
      <t>k</t>
    </r>
    <r>
      <rPr>
        <i/>
        <sz val="11"/>
        <color theme="1"/>
        <rFont val="Arial Narrow"/>
        <family val="2"/>
      </rPr>
      <t xml:space="preserve"> [%]</t>
    </r>
  </si>
  <si>
    <r>
      <rPr>
        <i/>
        <sz val="11"/>
        <color theme="1"/>
        <rFont val="Times New Roman"/>
        <family val="1"/>
      </rPr>
      <t>ε</t>
    </r>
    <r>
      <rPr>
        <i/>
        <vertAlign val="subscript"/>
        <sz val="11"/>
        <color theme="1"/>
        <rFont val="Cambria"/>
        <family val="1"/>
      </rPr>
      <t>∆dk</t>
    </r>
    <r>
      <rPr>
        <i/>
        <sz val="11"/>
        <color theme="1"/>
        <rFont val="Arial Narrow"/>
        <family val="2"/>
      </rPr>
      <t xml:space="preserve"> [%]</t>
    </r>
  </si>
  <si>
    <t>PARAMETERS</t>
  </si>
  <si>
    <r>
      <rPr>
        <b/>
        <i/>
        <sz val="11"/>
        <color theme="1"/>
        <rFont val="Times New Roman"/>
        <family val="1"/>
      </rPr>
      <t>ρ</t>
    </r>
    <r>
      <rPr>
        <b/>
        <i/>
        <vertAlign val="subscript"/>
        <sz val="11"/>
        <color theme="1"/>
        <rFont val="Arial Narrow"/>
        <family val="2"/>
      </rPr>
      <t>s</t>
    </r>
  </si>
  <si>
    <t>volumetric sediment density</t>
  </si>
  <si>
    <t>[kg/m³]</t>
  </si>
  <si>
    <t>Deposit 
vol. Disto</t>
  </si>
  <si>
    <t>Deposit 
weight Disto</t>
  </si>
  <si>
    <t>[m³-Dist]</t>
  </si>
  <si>
    <t>[kg-Dist]</t>
  </si>
  <si>
    <t>Volume
Disto</t>
  </si>
  <si>
    <t>[mm³-Dist]</t>
  </si>
  <si>
    <t>06 506</t>
  </si>
  <si>
    <t>06 507</t>
  </si>
  <si>
    <t>06 508</t>
  </si>
  <si>
    <t>06 509</t>
  </si>
  <si>
    <t>06 210</t>
  </si>
  <si>
    <t>06 211</t>
  </si>
  <si>
    <r>
      <t xml:space="preserve">2 </t>
    </r>
    <r>
      <rPr>
        <sz val="12"/>
        <color theme="1"/>
        <rFont val="Times New Roman"/>
        <family val="1"/>
      </rPr>
      <t>α</t>
    </r>
  </si>
  <si>
    <t>2 β</t>
  </si>
  <si>
    <t>3-1 α</t>
  </si>
  <si>
    <t>3-1 β</t>
  </si>
  <si>
    <t>3-2 α</t>
  </si>
  <si>
    <t>3-2 β</t>
  </si>
  <si>
    <t>3-3 α</t>
  </si>
  <si>
    <t>3-3 β</t>
  </si>
  <si>
    <t>1i - α</t>
  </si>
  <si>
    <r>
      <t xml:space="preserve">1i - </t>
    </r>
    <r>
      <rPr>
        <sz val="12"/>
        <color theme="1"/>
        <rFont val="Times New Roman"/>
        <family val="1"/>
      </rPr>
      <t>β</t>
    </r>
  </si>
  <si>
    <t>Laser</t>
  </si>
  <si>
    <t>Supply 
volume</t>
  </si>
  <si>
    <t>Relative
 retention</t>
  </si>
  <si>
    <t>TOTAL</t>
  </si>
  <si>
    <t>[%]</t>
  </si>
  <si>
    <t>06 500</t>
  </si>
  <si>
    <t>Motion sensing camera</t>
  </si>
  <si>
    <t>Hy - o</t>
  </si>
  <si>
    <t>Hy - no α</t>
  </si>
  <si>
    <r>
      <t xml:space="preserve">Hy - no  </t>
    </r>
    <r>
      <rPr>
        <sz val="12"/>
        <color theme="1"/>
        <rFont val="Times New Roman"/>
        <family val="1"/>
      </rPr>
      <t>β</t>
    </r>
  </si>
  <si>
    <r>
      <t xml:space="preserve">Mec </t>
    </r>
    <r>
      <rPr>
        <sz val="12"/>
        <color theme="1"/>
        <rFont val="Times New Roman"/>
        <family val="1"/>
      </rPr>
      <t>α</t>
    </r>
  </si>
  <si>
    <t>Mec β</t>
  </si>
  <si>
    <t>HyMec.a₁ β</t>
  </si>
  <si>
    <t>HyMec.a₂ β</t>
  </si>
  <si>
    <t>HyMec.a₁ α</t>
  </si>
  <si>
    <t>HyMec.a₂ α</t>
  </si>
  <si>
    <t>HyMec.a₃ α</t>
  </si>
  <si>
    <t>HyMec.a₃ 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</si>
</sst>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color theme="1"/>
      <name val="Times New Roman"/>
      <family val="1"/>
    </font>
    <font>
      <i/>
      <vertAlign val="subscript"/>
      <sz val="11"/>
      <color theme="1"/>
      <name val="Arial Narrow"/>
      <family val="2"/>
    </font>
    <font>
      <i/>
      <vertAlign val="subscript"/>
      <sz val="11"/>
      <color theme="1"/>
      <name val="Cambria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Arial Narrow"/>
      <family val="2"/>
    </font>
    <font>
      <b/>
      <i/>
      <sz val="11"/>
      <color rgb="FFC00000"/>
      <name val="Arial Narrow"/>
      <family val="2"/>
    </font>
    <font>
      <b/>
      <i/>
      <sz val="11"/>
      <color rgb="FF00B05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 Narrow"/>
      <family val="2"/>
    </font>
    <font>
      <sz val="11"/>
      <color theme="0" tint="-0.499984740745262"/>
      <name val="Arial Narrow"/>
      <family val="2"/>
    </font>
    <font>
      <sz val="12"/>
      <color theme="1"/>
      <name val="Times New Roman"/>
      <family val="1"/>
    </font>
    <font>
      <i/>
      <sz val="11"/>
      <color rgb="FFC00000"/>
      <name val="Arial Narrow"/>
      <family val="2"/>
    </font>
    <font>
      <i/>
      <sz val="11"/>
      <color rgb="FF00B050"/>
      <name val="Arial Narrow"/>
      <family val="2"/>
    </font>
    <font>
      <sz val="11"/>
      <color rgb="FF000000"/>
      <name val="Arial Narrow"/>
      <family val="2"/>
    </font>
    <font>
      <i/>
      <sz val="11"/>
      <color theme="1"/>
      <name val="Arial Narrow"/>
      <family val="2"/>
    </font>
    <font>
      <sz val="11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1" fontId="11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1" fillId="0" borderId="3" xfId="0" applyFont="1" applyBorder="1"/>
    <xf numFmtId="0" fontId="12" fillId="0" borderId="3" xfId="0" applyFont="1" applyBorder="1"/>
    <xf numFmtId="0" fontId="1" fillId="0" borderId="4" xfId="0" applyFont="1" applyBorder="1"/>
    <xf numFmtId="0" fontId="2" fillId="7" borderId="2" xfId="0" applyFont="1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5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2" fontId="16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0" fontId="1" fillId="0" borderId="0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quotePrefix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C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C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C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C0000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8661718432423"/>
          <c:y val="4.8087431693989074E-2"/>
          <c:w val="0.86008581623281788"/>
          <c:h val="0.9038251366120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comparison!$M$7</c:f>
              <c:strCache>
                <c:ptCount val="1"/>
                <c:pt idx="0">
                  <c:v>εd [%]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comparison!$A$10:$A$15</c:f>
              <c:strCache>
                <c:ptCount val="6"/>
                <c:pt idx="0">
                  <c:v>3-1 α</c:v>
                </c:pt>
                <c:pt idx="1">
                  <c:v>3-3 α</c:v>
                </c:pt>
                <c:pt idx="2">
                  <c:v>3-3 β</c:v>
                </c:pt>
                <c:pt idx="3">
                  <c:v>2 α</c:v>
                </c:pt>
                <c:pt idx="4">
                  <c:v>2 β</c:v>
                </c:pt>
                <c:pt idx="5">
                  <c:v>3-1 β</c:v>
                </c:pt>
              </c:strCache>
            </c:strRef>
          </c:cat>
          <c:val>
            <c:numRef>
              <c:f>comparison!$M$10:$M$15</c:f>
              <c:numCache>
                <c:formatCode>0.00</c:formatCode>
                <c:ptCount val="6"/>
                <c:pt idx="0">
                  <c:v>16.719139623756099</c:v>
                </c:pt>
                <c:pt idx="1">
                  <c:v>13.58198237238993</c:v>
                </c:pt>
                <c:pt idx="2">
                  <c:v>13.66365004935893</c:v>
                </c:pt>
                <c:pt idx="3">
                  <c:v>14.179476713492015</c:v>
                </c:pt>
                <c:pt idx="4">
                  <c:v>16.659101191764663</c:v>
                </c:pt>
                <c:pt idx="5">
                  <c:v>13.970868730984801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1-4C97-BB73-5C07FF650E2B}"/>
            </c:ext>
          </c:extLst>
        </c:ser>
        <c:ser>
          <c:idx val="1"/>
          <c:order val="1"/>
          <c:tx>
            <c:strRef>
              <c:f>comparison!$N$7</c:f>
              <c:strCache>
                <c:ptCount val="1"/>
                <c:pt idx="0">
                  <c:v>εk [%]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comparison!$A$10:$A$15</c:f>
              <c:strCache>
                <c:ptCount val="6"/>
                <c:pt idx="0">
                  <c:v>3-1 α</c:v>
                </c:pt>
                <c:pt idx="1">
                  <c:v>3-3 α</c:v>
                </c:pt>
                <c:pt idx="2">
                  <c:v>3-3 β</c:v>
                </c:pt>
                <c:pt idx="3">
                  <c:v>2 α</c:v>
                </c:pt>
                <c:pt idx="4">
                  <c:v>2 β</c:v>
                </c:pt>
                <c:pt idx="5">
                  <c:v>3-1 β</c:v>
                </c:pt>
              </c:strCache>
            </c:strRef>
          </c:cat>
          <c:val>
            <c:numRef>
              <c:f>comparison!$N$10:$N$16</c:f>
              <c:numCache>
                <c:formatCode>0.00</c:formatCode>
                <c:ptCount val="7"/>
                <c:pt idx="0">
                  <c:v>2.9357904097073182</c:v>
                </c:pt>
                <c:pt idx="1">
                  <c:v>2.3288239867610012</c:v>
                </c:pt>
                <c:pt idx="2">
                  <c:v>3.3305705615128125</c:v>
                </c:pt>
                <c:pt idx="3">
                  <c:v>3.1335659856084579</c:v>
                </c:pt>
                <c:pt idx="4">
                  <c:v>2.9165503221925082</c:v>
                </c:pt>
                <c:pt idx="5">
                  <c:v>1.3829063922348481</c:v>
                </c:pt>
                <c:pt idx="6">
                  <c:v>3.1185800867948612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1-4C97-BB73-5C07FF650E2B}"/>
            </c:ext>
          </c:extLst>
        </c:ser>
        <c:ser>
          <c:idx val="2"/>
          <c:order val="2"/>
          <c:tx>
            <c:strRef>
              <c:f>comparison!$O$7</c:f>
              <c:strCache>
                <c:ptCount val="1"/>
                <c:pt idx="0">
                  <c:v>ε∆dk [%]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comparison!$A$10:$A$15</c:f>
              <c:strCache>
                <c:ptCount val="6"/>
                <c:pt idx="0">
                  <c:v>3-1 α</c:v>
                </c:pt>
                <c:pt idx="1">
                  <c:v>3-3 α</c:v>
                </c:pt>
                <c:pt idx="2">
                  <c:v>3-3 β</c:v>
                </c:pt>
                <c:pt idx="3">
                  <c:v>2 α</c:v>
                </c:pt>
                <c:pt idx="4">
                  <c:v>2 β</c:v>
                </c:pt>
                <c:pt idx="5">
                  <c:v>3-1 β</c:v>
                </c:pt>
              </c:strCache>
            </c:strRef>
          </c:cat>
          <c:val>
            <c:numRef>
              <c:f>comparison!$O$9:$O$13</c:f>
              <c:numCache>
                <c:formatCode>0.00</c:formatCode>
                <c:ptCount val="5"/>
                <c:pt idx="0">
                  <c:v>-20.659506293370242</c:v>
                </c:pt>
                <c:pt idx="1">
                  <c:v>-7.1894589980487797</c:v>
                </c:pt>
                <c:pt idx="2">
                  <c:v>-5.6436939696540813</c:v>
                </c:pt>
                <c:pt idx="3">
                  <c:v>-4.4370612829743221</c:v>
                </c:pt>
                <c:pt idx="4">
                  <c:v>-2.7231779237565772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1-4C97-BB73-5C07FF65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8576"/>
        <c:axId val="108869136"/>
      </c:barChart>
      <c:catAx>
        <c:axId val="1088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869136"/>
        <c:crosses val="autoZero"/>
        <c:auto val="1"/>
        <c:lblAlgn val="ctr"/>
        <c:lblOffset val="100"/>
        <c:noMultiLvlLbl val="0"/>
      </c:catAx>
      <c:valAx>
        <c:axId val="10886913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Error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123951762245"/>
          <c:y val="0.66554244653844508"/>
          <c:w val="0.11315758570331672"/>
          <c:h val="0.210991609655350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8661718432423"/>
          <c:y val="4.8087431693989074E-2"/>
          <c:w val="0.86008581623281788"/>
          <c:h val="0.9038251366120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'export plot'!$M$7</c:f>
              <c:strCache>
                <c:ptCount val="1"/>
                <c:pt idx="0">
                  <c:v>Laser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'export plot'!$A$12:$A$19</c:f>
              <c:strCache>
                <c:ptCount val="8"/>
                <c:pt idx="0">
                  <c:v>Mec α</c:v>
                </c:pt>
                <c:pt idx="1">
                  <c:v>Mec β</c:v>
                </c:pt>
                <c:pt idx="2">
                  <c:v>HyMec.a₁ α</c:v>
                </c:pt>
                <c:pt idx="3">
                  <c:v>HyMec.a₁ β</c:v>
                </c:pt>
                <c:pt idx="4">
                  <c:v>HyMec.a₂ α</c:v>
                </c:pt>
                <c:pt idx="5">
                  <c:v>HyMec.a₂ β</c:v>
                </c:pt>
                <c:pt idx="6">
                  <c:v>HyMec.a₃ α</c:v>
                </c:pt>
                <c:pt idx="7">
                  <c:v>HyMec.a₃ β</c:v>
                </c:pt>
              </c:strCache>
            </c:strRef>
          </c:cat>
          <c:val>
            <c:numRef>
              <c:f>'export plot'!$M$12:$M$19</c:f>
              <c:numCache>
                <c:formatCode>0.00</c:formatCode>
                <c:ptCount val="8"/>
                <c:pt idx="0">
                  <c:v>-14.179476713492015</c:v>
                </c:pt>
                <c:pt idx="1">
                  <c:v>-16.659101191764663</c:v>
                </c:pt>
                <c:pt idx="2">
                  <c:v>-16.719139623756099</c:v>
                </c:pt>
                <c:pt idx="3">
                  <c:v>-13.970868730984801</c:v>
                </c:pt>
                <c:pt idx="6">
                  <c:v>-13.58198237238993</c:v>
                </c:pt>
                <c:pt idx="7">
                  <c:v>-13.66365004935893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E-4B85-A0D1-03186EC563F9}"/>
            </c:ext>
          </c:extLst>
        </c:ser>
        <c:ser>
          <c:idx val="1"/>
          <c:order val="1"/>
          <c:tx>
            <c:strRef>
              <c:f>'export plot'!$N$7</c:f>
              <c:strCache>
                <c:ptCount val="1"/>
                <c:pt idx="0">
                  <c:v>Motion sensing camera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'export plot'!$A$12:$A$19</c:f>
              <c:strCache>
                <c:ptCount val="8"/>
                <c:pt idx="0">
                  <c:v>Mec α</c:v>
                </c:pt>
                <c:pt idx="1">
                  <c:v>Mec β</c:v>
                </c:pt>
                <c:pt idx="2">
                  <c:v>HyMec.a₁ α</c:v>
                </c:pt>
                <c:pt idx="3">
                  <c:v>HyMec.a₁ β</c:v>
                </c:pt>
                <c:pt idx="4">
                  <c:v>HyMec.a₂ α</c:v>
                </c:pt>
                <c:pt idx="5">
                  <c:v>HyMec.a₂ β</c:v>
                </c:pt>
                <c:pt idx="6">
                  <c:v>HyMec.a₃ α</c:v>
                </c:pt>
                <c:pt idx="7">
                  <c:v>HyMec.a₃ β</c:v>
                </c:pt>
              </c:strCache>
            </c:strRef>
          </c:cat>
          <c:val>
            <c:numRef>
              <c:f>'export plot'!$N$12:$N$19</c:f>
              <c:numCache>
                <c:formatCode>0.00</c:formatCode>
                <c:ptCount val="8"/>
                <c:pt idx="0">
                  <c:v>-3.1335659856084579</c:v>
                </c:pt>
                <c:pt idx="1">
                  <c:v>-2.9165503221925082</c:v>
                </c:pt>
                <c:pt idx="2">
                  <c:v>-2.9357904097073182</c:v>
                </c:pt>
                <c:pt idx="3">
                  <c:v>-1.3829063922348481</c:v>
                </c:pt>
                <c:pt idx="4">
                  <c:v>-3.1185800867948612</c:v>
                </c:pt>
                <c:pt idx="5">
                  <c:v>-2.7161760701118149</c:v>
                </c:pt>
                <c:pt idx="6">
                  <c:v>-2.3288239867610012</c:v>
                </c:pt>
                <c:pt idx="7">
                  <c:v>-3.3305705615128125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E-4B85-A0D1-03186EC5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496"/>
        <c:axId val="108873056"/>
      </c:barChart>
      <c:catAx>
        <c:axId val="1088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873056"/>
        <c:crosses val="autoZero"/>
        <c:auto val="1"/>
        <c:lblAlgn val="ctr"/>
        <c:lblOffset val="100"/>
        <c:noMultiLvlLbl val="0"/>
      </c:catAx>
      <c:valAx>
        <c:axId val="10887305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Error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7123951762245"/>
          <c:y val="0.66554244653844508"/>
          <c:w val="0.11315758570331672"/>
          <c:h val="0.25861054006526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61718432423"/>
          <c:y val="4.8087431693989074E-2"/>
          <c:w val="0.86008581623281788"/>
          <c:h val="0.77395515084870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'export plot'!$P$6</c:f>
              <c:strCache>
                <c:ptCount val="1"/>
                <c:pt idx="0">
                  <c:v>Relative
 retention</c:v>
                </c:pt>
              </c:strCache>
            </c:strRef>
          </c:tx>
          <c:spPr>
            <a:solidFill>
              <a:schemeClr val="tx1">
                <a:alpha val="61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('export plot'!$A$9,'export plot'!$A$12:$A$19)</c:f>
              <c:strCache>
                <c:ptCount val="9"/>
                <c:pt idx="0">
                  <c:v>Hy - o</c:v>
                </c:pt>
                <c:pt idx="1">
                  <c:v>Mec α</c:v>
                </c:pt>
                <c:pt idx="2">
                  <c:v>Mec β</c:v>
                </c:pt>
                <c:pt idx="3">
                  <c:v>HyMec.a₁ α</c:v>
                </c:pt>
                <c:pt idx="4">
                  <c:v>HyMec.a₁ β</c:v>
                </c:pt>
                <c:pt idx="5">
                  <c:v>HyMec.a₂ α</c:v>
                </c:pt>
                <c:pt idx="6">
                  <c:v>HyMec.a₂ β</c:v>
                </c:pt>
                <c:pt idx="7">
                  <c:v>HyMec.a₃ α</c:v>
                </c:pt>
                <c:pt idx="8">
                  <c:v>HyMec.a₃ β</c:v>
                </c:pt>
              </c:strCache>
            </c:strRef>
          </c:cat>
          <c:val>
            <c:numRef>
              <c:f>('export plot'!$P$9,'export plot'!$P$12:$P$19)</c:f>
              <c:numCache>
                <c:formatCode>0.00</c:formatCode>
                <c:ptCount val="9"/>
                <c:pt idx="0">
                  <c:v>9.7791798107255516</c:v>
                </c:pt>
                <c:pt idx="1">
                  <c:v>55.425219941348971</c:v>
                </c:pt>
                <c:pt idx="2">
                  <c:v>52.676056338028168</c:v>
                </c:pt>
                <c:pt idx="3">
                  <c:v>56.318681318681321</c:v>
                </c:pt>
                <c:pt idx="4">
                  <c:v>40</c:v>
                </c:pt>
                <c:pt idx="5">
                  <c:v>38.11074918566775</c:v>
                </c:pt>
                <c:pt idx="6">
                  <c:v>71.461187214611883</c:v>
                </c:pt>
                <c:pt idx="7">
                  <c:v>49.532710280373834</c:v>
                </c:pt>
                <c:pt idx="8">
                  <c:v>55.714285714285715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0A7-AFA5-2E1721F6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5856"/>
        <c:axId val="214358800"/>
      </c:barChart>
      <c:catAx>
        <c:axId val="1088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4358800"/>
        <c:crosses val="autoZero"/>
        <c:auto val="1"/>
        <c:lblAlgn val="ctr"/>
        <c:lblOffset val="100"/>
        <c:noMultiLvlLbl val="0"/>
      </c:catAx>
      <c:valAx>
        <c:axId val="214358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V* x 100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88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12</xdr:row>
      <xdr:rowOff>57149</xdr:rowOff>
    </xdr:from>
    <xdr:to>
      <xdr:col>22</xdr:col>
      <xdr:colOff>552449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19</xdr:row>
      <xdr:rowOff>142874</xdr:rowOff>
    </xdr:from>
    <xdr:to>
      <xdr:col>6</xdr:col>
      <xdr:colOff>695324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9525</xdr:rowOff>
    </xdr:from>
    <xdr:to>
      <xdr:col>14</xdr:col>
      <xdr:colOff>85725</xdr:colOff>
      <xdr:row>35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isto" displayName="Disto" ref="C7:E19" totalsRowShown="0" headerRowDxfId="46" dataDxfId="45">
  <autoFilter ref="C7:E19"/>
  <tableColumns count="3">
    <tableColumn id="1" name="[mm³]" dataDxfId="44"/>
    <tableColumn id="2" name="[m³]" dataDxfId="43"/>
    <tableColumn id="3" name="[kg]" dataDxfId="42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0" name="ExpNo11" displayName="ExpNo11" ref="B7:B19" totalsRowShown="0" headerRowDxfId="4" dataDxfId="3">
  <autoFilter ref="B7:B19"/>
  <tableColumns count="1">
    <tableColumn id="1" name="[N°]" dataDxfId="2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O7:P19" totalsRowShown="0">
  <autoFilter ref="O7:P19"/>
  <tableColumns count="2">
    <tableColumn id="1" name="[kg]" dataDxfId="1"/>
    <tableColumn id="2" name="[%]" dataDxfId="0">
      <calculatedColumnFormula>Weight9[[#This Row],['[kg']]]/Table11[[#This Row],['[kg']]]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Kinect" displayName="Kinect" ref="F7:K19" totalsRowShown="0" headerRowDxfId="41">
  <autoFilter ref="F7:K19"/>
  <tableColumns count="6">
    <tableColumn id="1" name="[mm³]" dataDxfId="40"/>
    <tableColumn id="2" name="[m³]" dataDxfId="39"/>
    <tableColumn id="3" name="[kg]" dataDxfId="38"/>
    <tableColumn id="6" name="[mm³-Dist]" dataDxfId="37"/>
    <tableColumn id="4" name="[m³-Dist]" dataDxfId="36"/>
    <tableColumn id="5" name="[kg-Dist]" dataDxfId="35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4" name="Weight" displayName="Weight" ref="L7:L19" totalsRowShown="0" headerRowDxfId="34" dataDxfId="33">
  <autoFilter ref="L7:L19"/>
  <tableColumns count="1">
    <tableColumn id="1" name="[kg]" dataDxfId="3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5" name="ErrorTable" displayName="ErrorTable" ref="M7:O19" totalsRowShown="0" headerRowDxfId="31" dataDxfId="30">
  <autoFilter ref="M7:O19"/>
  <tableColumns count="3">
    <tableColumn id="1" name="εd [%]" dataDxfId="29"/>
    <tableColumn id="2" name="εk [%]" dataDxfId="28"/>
    <tableColumn id="3" name="ε∆dk [%]" dataDxfId="27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6" name="ExpNo" displayName="ExpNo" ref="B7:B19" totalsRowShown="0" headerRowDxfId="26" dataDxfId="25">
  <autoFilter ref="B7:B19"/>
  <tableColumns count="1">
    <tableColumn id="1" name="[N°]" dataDxfId="2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1" name="Disto2" displayName="Disto2" ref="C7:E19" totalsRowShown="0" headerRowDxfId="23" dataDxfId="22">
  <autoFilter ref="C7:E19"/>
  <tableColumns count="3">
    <tableColumn id="1" name="[mm³]" dataDxfId="21"/>
    <tableColumn id="2" name="[m³]" dataDxfId="20"/>
    <tableColumn id="3" name="[kg]" dataDxfId="19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id="7" name="Kinect8" displayName="Kinect8" ref="F7:K19" totalsRowShown="0" headerRowDxfId="18">
  <autoFilter ref="F7:K19"/>
  <tableColumns count="6">
    <tableColumn id="1" name="[mm³]" dataDxfId="17"/>
    <tableColumn id="2" name="[m³]" dataDxfId="16"/>
    <tableColumn id="3" name="[kg]" dataDxfId="15"/>
    <tableColumn id="6" name="[mm³-Dist]" dataDxfId="14"/>
    <tableColumn id="4" name="[m³-Dist]" dataDxfId="13"/>
    <tableColumn id="5" name="[kg-Dist]" dataDxfId="12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8" name="Weight9" displayName="Weight9" ref="L7:L19" totalsRowShown="0" headerRowDxfId="11" dataDxfId="10">
  <autoFilter ref="L7:L19"/>
  <tableColumns count="1">
    <tableColumn id="1" name="[kg]" dataDxfId="9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ErrorTable10" displayName="ErrorTable10" ref="M7:N19" totalsRowShown="0" headerRowDxfId="8" dataDxfId="7">
  <autoFilter ref="M7:N19"/>
  <tableColumns count="2">
    <tableColumn id="1" name="Laser" dataDxfId="6"/>
    <tableColumn id="2" name="Motion sensing camera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I36" sqref="I36"/>
    </sheetView>
  </sheetViews>
  <sheetFormatPr defaultRowHeight="16.5" x14ac:dyDescent="0.3"/>
  <cols>
    <col min="1" max="1" width="9.140625" style="2"/>
    <col min="2" max="2" width="13.42578125" style="3" customWidth="1"/>
    <col min="3" max="3" width="10.85546875" style="3" bestFit="1" customWidth="1"/>
    <col min="4" max="4" width="9.140625" style="3"/>
    <col min="5" max="5" width="11" style="3" bestFit="1" customWidth="1"/>
    <col min="6" max="6" width="14.5703125" style="3" customWidth="1"/>
    <col min="7" max="7" width="12" style="2" customWidth="1"/>
    <col min="8" max="8" width="10.5703125" style="2" customWidth="1"/>
    <col min="9" max="9" width="14.140625" style="2" customWidth="1"/>
    <col min="10" max="11" width="10.5703125" style="2" customWidth="1"/>
    <col min="12" max="12" width="20.85546875" style="3" customWidth="1"/>
    <col min="13" max="14" width="9.140625" style="2"/>
    <col min="15" max="15" width="12.7109375" style="2" customWidth="1"/>
    <col min="16" max="16" width="9.140625" style="2"/>
    <col min="17" max="17" width="9.140625" style="3"/>
    <col min="18" max="18" width="23.28515625" style="2" customWidth="1"/>
    <col min="19" max="19" width="7.5703125" style="2" customWidth="1"/>
    <col min="20" max="16384" width="9.140625" style="2"/>
  </cols>
  <sheetData>
    <row r="1" spans="1:20" ht="17.25" thickBot="1" x14ac:dyDescent="0.35"/>
    <row r="2" spans="1:20" x14ac:dyDescent="0.3">
      <c r="Q2" s="46" t="s">
        <v>29</v>
      </c>
      <c r="R2" s="47"/>
      <c r="S2" s="47"/>
      <c r="T2" s="48"/>
    </row>
    <row r="3" spans="1:20" ht="18.75" thickBot="1" x14ac:dyDescent="0.4">
      <c r="Q3" s="20" t="s">
        <v>30</v>
      </c>
      <c r="R3" s="21" t="s">
        <v>31</v>
      </c>
      <c r="S3" s="21">
        <v>1550</v>
      </c>
      <c r="T3" s="22" t="s">
        <v>32</v>
      </c>
    </row>
    <row r="5" spans="1:20" x14ac:dyDescent="0.3">
      <c r="B5" s="14" t="s">
        <v>20</v>
      </c>
      <c r="C5" s="44" t="s">
        <v>13</v>
      </c>
      <c r="D5" s="44"/>
      <c r="E5" s="44"/>
      <c r="F5" s="49" t="s">
        <v>11</v>
      </c>
      <c r="G5" s="49"/>
      <c r="H5" s="49"/>
      <c r="I5" s="49"/>
      <c r="J5" s="49"/>
      <c r="K5" s="49"/>
      <c r="L5" s="15" t="s">
        <v>12</v>
      </c>
      <c r="M5" s="45" t="s">
        <v>18</v>
      </c>
      <c r="N5" s="45"/>
      <c r="O5" s="45"/>
    </row>
    <row r="6" spans="1:20" s="1" customFormat="1" ht="33.75" thickBot="1" x14ac:dyDescent="0.3">
      <c r="B6" s="8" t="s">
        <v>21</v>
      </c>
      <c r="C6" s="9" t="s">
        <v>8</v>
      </c>
      <c r="D6" s="9" t="s">
        <v>9</v>
      </c>
      <c r="E6" s="9" t="s">
        <v>17</v>
      </c>
      <c r="F6" s="9" t="s">
        <v>8</v>
      </c>
      <c r="G6" s="9" t="s">
        <v>9</v>
      </c>
      <c r="H6" s="9" t="s">
        <v>17</v>
      </c>
      <c r="I6" s="25" t="s">
        <v>37</v>
      </c>
      <c r="J6" s="25" t="s">
        <v>33</v>
      </c>
      <c r="K6" s="25" t="s">
        <v>34</v>
      </c>
      <c r="L6" s="9" t="s">
        <v>6</v>
      </c>
      <c r="M6" s="8" t="s">
        <v>13</v>
      </c>
      <c r="N6" s="8" t="s">
        <v>11</v>
      </c>
      <c r="O6" s="9" t="s">
        <v>19</v>
      </c>
    </row>
    <row r="7" spans="1:20" s="3" customFormat="1" ht="18" x14ac:dyDescent="0.35">
      <c r="B7" s="7" t="s">
        <v>0</v>
      </c>
      <c r="C7" s="7" t="s">
        <v>1</v>
      </c>
      <c r="D7" s="7" t="s">
        <v>4</v>
      </c>
      <c r="E7" s="7" t="s">
        <v>5</v>
      </c>
      <c r="F7" s="7" t="s">
        <v>1</v>
      </c>
      <c r="G7" s="7" t="s">
        <v>4</v>
      </c>
      <c r="H7" s="7" t="s">
        <v>5</v>
      </c>
      <c r="I7" s="26" t="s">
        <v>38</v>
      </c>
      <c r="J7" s="27" t="s">
        <v>35</v>
      </c>
      <c r="K7" s="27" t="s">
        <v>36</v>
      </c>
      <c r="L7" s="7" t="s">
        <v>5</v>
      </c>
      <c r="M7" s="7" t="s">
        <v>26</v>
      </c>
      <c r="N7" s="7" t="s">
        <v>27</v>
      </c>
      <c r="O7" s="7" t="s">
        <v>28</v>
      </c>
      <c r="R7" s="19" t="s">
        <v>25</v>
      </c>
    </row>
    <row r="8" spans="1:20" x14ac:dyDescent="0.3">
      <c r="B8" s="3" t="s">
        <v>2</v>
      </c>
      <c r="C8" s="10">
        <v>322612751.76599997</v>
      </c>
      <c r="D8" s="6" t="s">
        <v>10</v>
      </c>
      <c r="E8" s="6" t="s">
        <v>10</v>
      </c>
      <c r="F8" s="5" t="s">
        <v>10</v>
      </c>
      <c r="G8" s="5" t="s">
        <v>10</v>
      </c>
      <c r="H8" s="5" t="s">
        <v>10</v>
      </c>
      <c r="I8" s="5"/>
      <c r="J8" s="5" t="s">
        <v>10</v>
      </c>
      <c r="K8" s="5" t="s">
        <v>10</v>
      </c>
      <c r="L8" s="6" t="s">
        <v>10</v>
      </c>
      <c r="M8" s="6" t="s">
        <v>10</v>
      </c>
      <c r="N8" s="6" t="s">
        <v>10</v>
      </c>
      <c r="O8" s="6" t="s">
        <v>10</v>
      </c>
      <c r="R8" s="16" t="s">
        <v>22</v>
      </c>
    </row>
    <row r="9" spans="1:20" x14ac:dyDescent="0.3">
      <c r="B9" s="3" t="s">
        <v>3</v>
      </c>
      <c r="C9" s="10">
        <v>467646656.65399998</v>
      </c>
      <c r="D9" s="2">
        <f>(C9-C$8)*10^-9</f>
        <v>0.14503390488800003</v>
      </c>
      <c r="E9" s="23">
        <f t="shared" ref="E9:E19" si="0">D9*rho_s</f>
        <v>224.80255257640005</v>
      </c>
      <c r="F9" s="13">
        <v>200775470.817</v>
      </c>
      <c r="G9" s="4">
        <f t="shared" ref="G9:G19" si="1">(F9)*10^-9</f>
        <v>0.20077547081700001</v>
      </c>
      <c r="H9" s="24">
        <f t="shared" ref="H9:H19" si="2">G9*rho_s</f>
        <v>311.20197976635001</v>
      </c>
      <c r="I9" s="24">
        <v>187152640.29899999</v>
      </c>
      <c r="J9" s="24">
        <f>Kinect[[#This Row],['[mm³-Dist']]]*10^-9</f>
        <v>0.187152640299</v>
      </c>
      <c r="K9" s="24">
        <f>Kinect[[#This Row],['[m³-Dist']]]*rho_s</f>
        <v>290.08659246345002</v>
      </c>
      <c r="L9" s="11">
        <v>316</v>
      </c>
      <c r="M9" s="23">
        <f>ABS(Disto[[#This Row],['[kg']]]-Weight[[#This Row],['[kg']]])/Weight[[#This Row],['[kg']]]*100</f>
        <v>28.859951716329103</v>
      </c>
      <c r="N9" s="23">
        <f>ABS(Kinect[[#This Row],['[kg']]]-Weight[[#This Row],['[kg']]])/Weight[[#This Row],['[kg']]]*100</f>
        <v>1.5183608334335419</v>
      </c>
      <c r="O9" s="23">
        <f>(Disto[[#This Row],['[m³']]]-Kinect[[#This Row],['[m³-Dist']]])/Weight[[#This Row],['[kg']]]*rho_s*100</f>
        <v>-20.659506293370242</v>
      </c>
      <c r="R9" s="17" t="s">
        <v>23</v>
      </c>
    </row>
    <row r="10" spans="1:20" ht="17.25" thickBot="1" x14ac:dyDescent="0.35">
      <c r="A10" s="30" t="s">
        <v>47</v>
      </c>
      <c r="B10" s="3" t="s">
        <v>14</v>
      </c>
      <c r="C10" s="10">
        <v>432758405.81199998</v>
      </c>
      <c r="D10" s="2">
        <f>(C10-C$8)*10^-9</f>
        <v>0.110145654046</v>
      </c>
      <c r="E10" s="23">
        <f t="shared" si="0"/>
        <v>170.7257637713</v>
      </c>
      <c r="F10" s="13">
        <v>128375244.942</v>
      </c>
      <c r="G10" s="3">
        <f t="shared" si="1"/>
        <v>0.12837524494200001</v>
      </c>
      <c r="H10" s="24">
        <f>G10*rho_s</f>
        <v>198.9816296601</v>
      </c>
      <c r="I10" s="24">
        <v>119654293.366</v>
      </c>
      <c r="J10" s="24">
        <f>Kinect[[#This Row],['[mm³-Dist']]]*10^-9</f>
        <v>0.119654293366</v>
      </c>
      <c r="K10" s="24">
        <f>Kinect[[#This Row],['[m³-Dist']]]*rho_s</f>
        <v>185.4641547173</v>
      </c>
      <c r="L10" s="11">
        <f>205</f>
        <v>205</v>
      </c>
      <c r="M10" s="23">
        <f>ABS(Disto[[#This Row],['[kg']]]-Weight[[#This Row],['[kg']]])/Weight[[#This Row],['[kg']]]*100</f>
        <v>16.719139623756099</v>
      </c>
      <c r="N10" s="23">
        <f>ABS(Kinect[[#This Row],['[kg']]]-Weight[[#This Row],['[kg']]])/Weight[[#This Row],['[kg']]]*100</f>
        <v>2.9357904097073182</v>
      </c>
      <c r="O10" s="23">
        <f>(Disto[[#This Row],['[m³']]]-Kinect[[#This Row],['[m³-Dist']]])/Weight[[#This Row],['[kg']]]*rho_s*100</f>
        <v>-7.1894589980487797</v>
      </c>
      <c r="R10" s="18" t="s">
        <v>24</v>
      </c>
    </row>
    <row r="11" spans="1:20" x14ac:dyDescent="0.3">
      <c r="A11" s="30" t="s">
        <v>51</v>
      </c>
      <c r="B11" s="3" t="s">
        <v>7</v>
      </c>
      <c r="C11" s="12">
        <v>411260911.78399998</v>
      </c>
      <c r="D11" s="2">
        <f t="shared" ref="D11:D13" si="3">(C11-C$8)*10^-9</f>
        <v>8.8648160018000008E-2</v>
      </c>
      <c r="E11" s="23">
        <f t="shared" si="0"/>
        <v>137.40464802790001</v>
      </c>
      <c r="F11" s="12">
        <v>100191722.491</v>
      </c>
      <c r="G11" s="3">
        <f t="shared" si="1"/>
        <v>0.100191722491</v>
      </c>
      <c r="H11" s="24">
        <f t="shared" si="2"/>
        <v>155.29716986105001</v>
      </c>
      <c r="I11" s="24">
        <v>94437497.702999994</v>
      </c>
      <c r="J11" s="24">
        <f>Kinect[[#This Row],['[mm³-Dist']]]*10^-9</f>
        <v>9.4437497703000001E-2</v>
      </c>
      <c r="K11" s="24">
        <f>Kinect[[#This Row],['[m³-Dist']]]*rho_s</f>
        <v>146.37812143964999</v>
      </c>
      <c r="L11" s="11">
        <v>159</v>
      </c>
      <c r="M11" s="23">
        <f>ABS(Disto[[#This Row],['[kg']]]-Weight[[#This Row],['[kg']]])/Weight[[#This Row],['[kg']]]*100</f>
        <v>13.58198237238993</v>
      </c>
      <c r="N11" s="23">
        <f>ABS(Kinect[[#This Row],['[kg']]]-Weight[[#This Row],['[kg']]])/Weight[[#This Row],['[kg']]]*100</f>
        <v>2.3288239867610012</v>
      </c>
      <c r="O11" s="23">
        <f>(Disto[[#This Row],['[m³']]]-Kinect[[#This Row],['[m³-Dist']]])/Weight[[#This Row],['[kg']]]*rho_s*100</f>
        <v>-5.6436939696540813</v>
      </c>
    </row>
    <row r="12" spans="1:20" x14ac:dyDescent="0.3">
      <c r="A12" s="30" t="s">
        <v>52</v>
      </c>
      <c r="B12" s="3" t="s">
        <v>15</v>
      </c>
      <c r="C12" s="12">
        <v>431229450.09100002</v>
      </c>
      <c r="D12" s="2">
        <f t="shared" si="3"/>
        <v>0.10861669832500005</v>
      </c>
      <c r="E12" s="23">
        <f t="shared" si="0"/>
        <v>168.35588240375009</v>
      </c>
      <c r="F12" s="12">
        <v>121616378.971</v>
      </c>
      <c r="G12" s="3">
        <f t="shared" si="1"/>
        <v>0.12161637897100001</v>
      </c>
      <c r="H12" s="24">
        <f t="shared" si="2"/>
        <v>188.50538740505002</v>
      </c>
      <c r="I12" s="24">
        <v>114198807.68099999</v>
      </c>
      <c r="J12" s="24">
        <f>Kinect[[#This Row],['[mm³-Dist']]]*10^-9</f>
        <v>0.11419880768100001</v>
      </c>
      <c r="K12" s="24">
        <f>Kinect[[#This Row],['[m³-Dist']]]*rho_s</f>
        <v>177.00815190555002</v>
      </c>
      <c r="L12" s="11">
        <v>195</v>
      </c>
      <c r="M12" s="23">
        <f>ABS(Disto[[#This Row],['[kg']]]-Weight[[#This Row],['[kg']]])/Weight[[#This Row],['[kg']]]*100</f>
        <v>13.66365004935893</v>
      </c>
      <c r="N12" s="23">
        <f>ABS(Kinect[[#This Row],['[kg']]]-Weight[[#This Row],['[kg']]])/Weight[[#This Row],['[kg']]]*100</f>
        <v>3.3305705615128125</v>
      </c>
      <c r="O12" s="23">
        <f>(Disto[[#This Row],['[m³']]]-Kinect[[#This Row],['[m³-Dist']]])/Weight[[#This Row],['[kg']]]*rho_s*100</f>
        <v>-4.4370612829743221</v>
      </c>
    </row>
    <row r="13" spans="1:20" x14ac:dyDescent="0.3">
      <c r="A13" s="30" t="s">
        <v>45</v>
      </c>
      <c r="B13" s="3" t="s">
        <v>16</v>
      </c>
      <c r="C13" s="12">
        <v>427258422.09600002</v>
      </c>
      <c r="D13" s="2">
        <f t="shared" si="3"/>
        <v>0.10464567033000005</v>
      </c>
      <c r="E13" s="23">
        <f t="shared" si="0"/>
        <v>162.20078901150009</v>
      </c>
      <c r="F13" s="12">
        <v>118114555.024</v>
      </c>
      <c r="G13" s="3">
        <f t="shared" si="1"/>
        <v>0.11811455502400001</v>
      </c>
      <c r="H13" s="24">
        <f t="shared" si="2"/>
        <v>183.07756028720001</v>
      </c>
      <c r="I13" s="24">
        <v>107966190.508</v>
      </c>
      <c r="J13" s="24">
        <f>Kinect[[#This Row],['[mm³-Dist']]]*10^-9</f>
        <v>0.10796619050800001</v>
      </c>
      <c r="K13" s="24">
        <f>Kinect[[#This Row],['[m³-Dist']]]*rho_s</f>
        <v>167.3475952874</v>
      </c>
      <c r="L13" s="11">
        <v>189</v>
      </c>
      <c r="M13" s="23">
        <f>ABS(Disto[[#This Row],['[kg']]]-Weight[[#This Row],['[kg']]])/Weight[[#This Row],['[kg']]]*100</f>
        <v>14.179476713492015</v>
      </c>
      <c r="N13" s="23">
        <f>ABS(Kinect[[#This Row],['[kg']]]-Weight[[#This Row],['[kg']]])/Weight[[#This Row],['[kg']]]*100</f>
        <v>3.1335659856084579</v>
      </c>
      <c r="O13" s="23">
        <f>(Disto[[#This Row],['[m³']]]-Kinect[[#This Row],['[m³-Dist']]])/Weight[[#This Row],['[kg']]]*rho_s*100</f>
        <v>-2.7231779237565772</v>
      </c>
    </row>
    <row r="14" spans="1:20" x14ac:dyDescent="0.3">
      <c r="A14" s="30" t="s">
        <v>46</v>
      </c>
      <c r="B14" s="3" t="s">
        <v>39</v>
      </c>
      <c r="C14" s="12">
        <v>423159513.55400002</v>
      </c>
      <c r="D14" s="2">
        <f t="shared" ref="D14:D19" si="4">(C14-C$8)*10^-9</f>
        <v>0.10054676178800005</v>
      </c>
      <c r="E14" s="23">
        <f t="shared" si="0"/>
        <v>155.84748077140009</v>
      </c>
      <c r="F14" s="12">
        <v>117126484.45</v>
      </c>
      <c r="G14" s="3">
        <f t="shared" si="1"/>
        <v>0.11712648445000001</v>
      </c>
      <c r="H14" s="24">
        <f t="shared" si="2"/>
        <v>181.54605089750001</v>
      </c>
      <c r="I14" s="24">
        <v>109944394.20900001</v>
      </c>
      <c r="J14" s="24">
        <f>Kinect[[#This Row],['[mm³-Dist']]]*10^-9</f>
        <v>0.10994439420900001</v>
      </c>
      <c r="K14" s="24">
        <f>Kinect[[#This Row],['[m³-Dist']]]*rho_s</f>
        <v>170.41381102395002</v>
      </c>
      <c r="L14" s="11">
        <v>187</v>
      </c>
      <c r="M14" s="23">
        <f>ABS(Disto[[#This Row],['[kg']]]-Weight[[#This Row],['[kg']]])/Weight[[#This Row],['[kg']]]*100</f>
        <v>16.659101191764663</v>
      </c>
      <c r="N14" s="23">
        <f>ABS(Kinect[[#This Row],['[kg']]]-Weight[[#This Row],['[kg']]])/Weight[[#This Row],['[kg']]]*100</f>
        <v>2.9165503221925082</v>
      </c>
      <c r="O14" s="23">
        <f>(Disto[[#This Row],['[m³']]]-Kinect[[#This Row],['[m³-Dist']]])/Weight[[#This Row],['[kg']]]*rho_s*100</f>
        <v>-7.7894814184759023</v>
      </c>
    </row>
    <row r="15" spans="1:20" x14ac:dyDescent="0.3">
      <c r="A15" s="30" t="s">
        <v>48</v>
      </c>
      <c r="B15" s="3" t="s">
        <v>40</v>
      </c>
      <c r="C15" s="12">
        <v>395876270.00800002</v>
      </c>
      <c r="D15" s="2">
        <f t="shared" si="4"/>
        <v>7.3263518242000045E-2</v>
      </c>
      <c r="E15" s="23">
        <f t="shared" si="0"/>
        <v>113.55845327510006</v>
      </c>
      <c r="F15" s="12">
        <v>83983589.394999996</v>
      </c>
      <c r="G15" s="3">
        <f t="shared" si="1"/>
        <v>8.3983589395000002E-2</v>
      </c>
      <c r="H15" s="24">
        <f t="shared" si="2"/>
        <v>130.17456356225</v>
      </c>
      <c r="I15" s="24">
        <v>82848549.019999996</v>
      </c>
      <c r="J15" s="24">
        <f>Kinect[[#This Row],['[mm³-Dist']]]*10^-9</f>
        <v>8.2848549019999995E-2</v>
      </c>
      <c r="K15" s="24">
        <f>Kinect[[#This Row],['[m³-Dist']]]*rho_s</f>
        <v>128.41525098099999</v>
      </c>
      <c r="L15" s="11">
        <v>132</v>
      </c>
      <c r="M15" s="23">
        <f>ABS(Disto[[#This Row],['[kg']]]-Weight[[#This Row],['[kg']]])/Weight[[#This Row],['[kg']]]*100</f>
        <v>13.970868730984801</v>
      </c>
      <c r="N15" s="23">
        <f>ABS(Kinect[[#This Row],['[kg']]]-Weight[[#This Row],['[kg']]])/Weight[[#This Row],['[kg']]]*100</f>
        <v>1.3829063922348481</v>
      </c>
      <c r="O15" s="23">
        <f>(Disto[[#This Row],['[m³']]]-Kinect[[#This Row],['[m³-Dist']]])/Weight[[#This Row],['[kg']]]*rho_s*100</f>
        <v>-11.255149777196911</v>
      </c>
    </row>
    <row r="16" spans="1:20" x14ac:dyDescent="0.3">
      <c r="A16" s="30" t="s">
        <v>49</v>
      </c>
      <c r="B16" s="3" t="s">
        <v>41</v>
      </c>
      <c r="C16" s="12"/>
      <c r="D16" s="2">
        <f t="shared" si="4"/>
        <v>-0.32261275176600002</v>
      </c>
      <c r="E16" s="23">
        <f t="shared" si="0"/>
        <v>-500.04976523730005</v>
      </c>
      <c r="F16" s="12">
        <v>73129845.998999998</v>
      </c>
      <c r="G16" s="3">
        <f t="shared" si="1"/>
        <v>7.3129845999000007E-2</v>
      </c>
      <c r="H16" s="24">
        <f t="shared" si="2"/>
        <v>113.35126129845001</v>
      </c>
      <c r="I16" s="24"/>
      <c r="J16" s="24">
        <f>Kinect[[#This Row],['[mm³-Dist']]]*10^-9</f>
        <v>0</v>
      </c>
      <c r="K16" s="24">
        <f>Kinect[[#This Row],['[m³-Dist']]]*rho_s</f>
        <v>0</v>
      </c>
      <c r="L16" s="11">
        <v>117</v>
      </c>
      <c r="M16" s="23">
        <f>ABS(Disto[[#This Row],['[kg']]]-Weight[[#This Row],['[kg']]])/Weight[[#This Row],['[kg']]]*100</f>
        <v>527.39296174128208</v>
      </c>
      <c r="N16" s="23">
        <f>ABS(Kinect[[#This Row],['[kg']]]-Weight[[#This Row],['[kg']]])/Weight[[#This Row],['[kg']]]*100</f>
        <v>3.1185800867948612</v>
      </c>
      <c r="O16" s="23">
        <f>(Disto[[#This Row],['[m³']]]-Kinect[[#This Row],['[m³-Dist']]])/Weight[[#This Row],['[kg']]]*rho_s*100</f>
        <v>-427.39296174128202</v>
      </c>
    </row>
    <row r="17" spans="1:15" x14ac:dyDescent="0.3">
      <c r="A17" s="30" t="s">
        <v>50</v>
      </c>
      <c r="B17" s="3" t="s">
        <v>42</v>
      </c>
      <c r="C17" s="12"/>
      <c r="D17" s="2">
        <f t="shared" si="4"/>
        <v>-0.32261275176600002</v>
      </c>
      <c r="E17" s="23">
        <f t="shared" si="0"/>
        <v>-500.04976523730005</v>
      </c>
      <c r="F17" s="12">
        <v>196450560.581</v>
      </c>
      <c r="G17" s="3">
        <f t="shared" si="1"/>
        <v>0.19645056058100002</v>
      </c>
      <c r="H17" s="24">
        <f t="shared" si="2"/>
        <v>304.49836890055002</v>
      </c>
      <c r="I17" s="24"/>
      <c r="J17" s="24">
        <f>Kinect[[#This Row],['[mm³-Dist']]]*10^-9</f>
        <v>0</v>
      </c>
      <c r="K17" s="24">
        <f>Kinect[[#This Row],['[m³-Dist']]]*rho_s</f>
        <v>0</v>
      </c>
      <c r="L17" s="11">
        <v>431</v>
      </c>
      <c r="M17" s="29">
        <f>ABS(Disto[[#This Row],['[kg']]]-Weight[[#This Row],['[kg']]])/Weight[[#This Row],['[kg']]]*100</f>
        <v>216.02082720122971</v>
      </c>
      <c r="N17" s="29">
        <f>ABS(Kinect[[#This Row],['[kg']]]-Weight[[#This Row],['[kg']]])/Weight[[#This Row],['[kg']]]*100</f>
        <v>29.350726473190253</v>
      </c>
      <c r="O17" s="29">
        <f>(Disto[[#This Row],['[m³']]]-Kinect[[#This Row],['[m³-Dist']]])/Weight[[#This Row],['[kg']]]*rho_s*100</f>
        <v>-116.02082720122971</v>
      </c>
    </row>
    <row r="18" spans="1:15" x14ac:dyDescent="0.3">
      <c r="A18" s="30" t="s">
        <v>53</v>
      </c>
      <c r="B18" s="3" t="s">
        <v>43</v>
      </c>
      <c r="C18" s="12"/>
      <c r="D18" s="2">
        <f t="shared" si="4"/>
        <v>-0.32261275176600002</v>
      </c>
      <c r="E18" s="23">
        <f t="shared" si="0"/>
        <v>-500.04976523730005</v>
      </c>
      <c r="F18" s="12">
        <v>140665899.55000001</v>
      </c>
      <c r="G18" s="3">
        <f t="shared" si="1"/>
        <v>0.14066589955000003</v>
      </c>
      <c r="H18" s="24">
        <f t="shared" si="2"/>
        <v>218.03214430250006</v>
      </c>
      <c r="I18" s="24"/>
      <c r="J18" s="24">
        <f>Kinect[[#This Row],['[mm³-Dist']]]*10^-9</f>
        <v>0</v>
      </c>
      <c r="K18" s="24">
        <f>Kinect[[#This Row],['[m³-Dist']]]*rho_s</f>
        <v>0</v>
      </c>
      <c r="L18" s="11">
        <v>479</v>
      </c>
      <c r="M18" s="29">
        <f>ABS(Disto[[#This Row],['[kg']]]-Weight[[#This Row],['[kg']]])/Weight[[#This Row],['[kg']]]*100</f>
        <v>204.39452301405012</v>
      </c>
      <c r="N18" s="29">
        <f>ABS(Kinect[[#This Row],['[kg']]]-Weight[[#This Row],['[kg']]])/Weight[[#This Row],['[kg']]]*100</f>
        <v>54.481807034968675</v>
      </c>
      <c r="O18" s="29">
        <f>(Disto[[#This Row],['[m³']]]-Kinect[[#This Row],['[m³-Dist']]])/Weight[[#This Row],['[kg']]]*rho_s*100</f>
        <v>-104.39452301405012</v>
      </c>
    </row>
    <row r="19" spans="1:15" x14ac:dyDescent="0.3">
      <c r="A19" s="30" t="s">
        <v>54</v>
      </c>
      <c r="B19" s="3" t="s">
        <v>44</v>
      </c>
      <c r="C19" s="12"/>
      <c r="D19" s="2">
        <f t="shared" si="4"/>
        <v>-0.32261275176600002</v>
      </c>
      <c r="E19" s="23">
        <f t="shared" si="0"/>
        <v>-500.04976523730005</v>
      </c>
      <c r="F19" s="12">
        <v>140755206.22799999</v>
      </c>
      <c r="G19" s="3">
        <f t="shared" si="1"/>
        <v>0.140755206228</v>
      </c>
      <c r="H19" s="24">
        <f t="shared" si="2"/>
        <v>218.17056965340001</v>
      </c>
      <c r="I19" s="24"/>
      <c r="J19" s="24">
        <f>Kinect[[#This Row],['[mm³-Dist']]]*10^-9</f>
        <v>0</v>
      </c>
      <c r="K19" s="24">
        <f>Kinect[[#This Row],['[m³-Dist']]]*rho_s</f>
        <v>0</v>
      </c>
      <c r="L19" s="28" t="s">
        <v>10</v>
      </c>
      <c r="M19" s="23"/>
      <c r="N19" s="23"/>
      <c r="O19" s="23"/>
    </row>
    <row r="20" spans="1:15" x14ac:dyDescent="0.3">
      <c r="M20" s="23"/>
      <c r="N20" s="23"/>
      <c r="O20" s="23"/>
    </row>
    <row r="21" spans="1:15" x14ac:dyDescent="0.3">
      <c r="M21" s="23"/>
      <c r="N21" s="23"/>
      <c r="O21" s="23"/>
    </row>
    <row r="22" spans="1:15" x14ac:dyDescent="0.3">
      <c r="M22" s="23"/>
      <c r="N22" s="23"/>
      <c r="O22" s="23"/>
    </row>
    <row r="23" spans="1:15" x14ac:dyDescent="0.3">
      <c r="M23" s="23"/>
      <c r="N23" s="23"/>
      <c r="O23" s="23"/>
    </row>
    <row r="24" spans="1:15" x14ac:dyDescent="0.3">
      <c r="M24" s="23"/>
      <c r="N24" s="23"/>
      <c r="O24" s="23"/>
    </row>
    <row r="25" spans="1:15" x14ac:dyDescent="0.3">
      <c r="M25" s="23"/>
      <c r="N25" s="23"/>
      <c r="O25" s="23"/>
    </row>
  </sheetData>
  <mergeCells count="4">
    <mergeCell ref="C5:E5"/>
    <mergeCell ref="M5:O5"/>
    <mergeCell ref="Q2:T2"/>
    <mergeCell ref="F5:K5"/>
  </mergeCells>
  <pageMargins left="0.7" right="0.7" top="0.75" bottom="0.75" header="0.3" footer="0.3"/>
  <pageSetup paperSize="9"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T22" sqref="T22"/>
    </sheetView>
  </sheetViews>
  <sheetFormatPr defaultRowHeight="16.5" x14ac:dyDescent="0.3"/>
  <cols>
    <col min="1" max="1" width="9.140625" style="2"/>
    <col min="2" max="2" width="13.42578125" style="3" customWidth="1"/>
    <col min="3" max="3" width="10.85546875" style="3" bestFit="1" customWidth="1"/>
    <col min="4" max="4" width="9.140625" style="3"/>
    <col min="5" max="5" width="11" style="3" bestFit="1" customWidth="1"/>
    <col min="6" max="6" width="14.5703125" style="3" customWidth="1"/>
    <col min="7" max="7" width="12" style="2" customWidth="1"/>
    <col min="8" max="8" width="10.5703125" style="2" customWidth="1"/>
    <col min="9" max="9" width="14.140625" style="2" customWidth="1"/>
    <col min="10" max="11" width="10.5703125" style="2" customWidth="1"/>
    <col min="12" max="12" width="20.85546875" style="3" customWidth="1"/>
    <col min="13" max="15" width="9.140625" style="2"/>
    <col min="16" max="16" width="9.140625" style="3"/>
    <col min="17" max="17" width="23.28515625" style="2" customWidth="1"/>
    <col min="18" max="18" width="7.5703125" style="2" customWidth="1"/>
    <col min="19" max="16384" width="9.140625" style="2"/>
  </cols>
  <sheetData>
    <row r="1" spans="1:19" ht="17.25" thickBot="1" x14ac:dyDescent="0.35"/>
    <row r="2" spans="1:19" x14ac:dyDescent="0.3">
      <c r="P2" s="46" t="s">
        <v>29</v>
      </c>
      <c r="Q2" s="47"/>
      <c r="R2" s="47"/>
      <c r="S2" s="48"/>
    </row>
    <row r="3" spans="1:19" ht="18.75" thickBot="1" x14ac:dyDescent="0.4">
      <c r="P3" s="20" t="s">
        <v>30</v>
      </c>
      <c r="Q3" s="21" t="s">
        <v>31</v>
      </c>
      <c r="R3" s="21">
        <v>1550</v>
      </c>
      <c r="S3" s="22" t="s">
        <v>32</v>
      </c>
    </row>
    <row r="5" spans="1:19" x14ac:dyDescent="0.3">
      <c r="B5" s="14" t="s">
        <v>20</v>
      </c>
      <c r="C5" s="44" t="s">
        <v>13</v>
      </c>
      <c r="D5" s="44"/>
      <c r="E5" s="44"/>
      <c r="F5" s="49" t="s">
        <v>11</v>
      </c>
      <c r="G5" s="49"/>
      <c r="H5" s="49"/>
      <c r="I5" s="49"/>
      <c r="J5" s="49"/>
      <c r="K5" s="49"/>
      <c r="L5" s="15" t="s">
        <v>12</v>
      </c>
      <c r="M5" s="50" t="s">
        <v>18</v>
      </c>
      <c r="N5" s="50"/>
      <c r="O5" s="51" t="s">
        <v>58</v>
      </c>
      <c r="P5" s="51"/>
    </row>
    <row r="6" spans="1:19" s="1" customFormat="1" ht="33" x14ac:dyDescent="0.25">
      <c r="B6" s="8" t="s">
        <v>21</v>
      </c>
      <c r="C6" s="9" t="s">
        <v>8</v>
      </c>
      <c r="D6" s="9" t="s">
        <v>9</v>
      </c>
      <c r="E6" s="9" t="s">
        <v>17</v>
      </c>
      <c r="F6" s="9" t="s">
        <v>8</v>
      </c>
      <c r="G6" s="9" t="s">
        <v>9</v>
      </c>
      <c r="H6" s="9" t="s">
        <v>17</v>
      </c>
      <c r="I6" s="25" t="s">
        <v>37</v>
      </c>
      <c r="J6" s="25" t="s">
        <v>33</v>
      </c>
      <c r="K6" s="25" t="s">
        <v>34</v>
      </c>
      <c r="L6" s="9" t="s">
        <v>6</v>
      </c>
      <c r="M6" s="8" t="s">
        <v>13</v>
      </c>
      <c r="N6" s="8" t="s">
        <v>11</v>
      </c>
      <c r="O6" s="38" t="s">
        <v>56</v>
      </c>
      <c r="P6" s="38" t="s">
        <v>57</v>
      </c>
    </row>
    <row r="7" spans="1:19" s="3" customFormat="1" x14ac:dyDescent="0.3">
      <c r="B7" s="7" t="s">
        <v>0</v>
      </c>
      <c r="C7" s="7" t="s">
        <v>1</v>
      </c>
      <c r="D7" s="7" t="s">
        <v>4</v>
      </c>
      <c r="E7" s="7" t="s">
        <v>5</v>
      </c>
      <c r="F7" s="7" t="s">
        <v>1</v>
      </c>
      <c r="G7" s="7" t="s">
        <v>4</v>
      </c>
      <c r="H7" s="7" t="s">
        <v>5</v>
      </c>
      <c r="I7" s="26" t="s">
        <v>38</v>
      </c>
      <c r="J7" s="27" t="s">
        <v>35</v>
      </c>
      <c r="K7" s="27" t="s">
        <v>36</v>
      </c>
      <c r="L7" s="7" t="s">
        <v>5</v>
      </c>
      <c r="M7" s="35" t="s">
        <v>55</v>
      </c>
      <c r="N7" s="35" t="s">
        <v>61</v>
      </c>
      <c r="O7" s="40" t="s">
        <v>5</v>
      </c>
      <c r="P7" s="7" t="s">
        <v>59</v>
      </c>
      <c r="Q7" s="34"/>
    </row>
    <row r="8" spans="1:19" x14ac:dyDescent="0.3">
      <c r="B8" s="3" t="s">
        <v>2</v>
      </c>
      <c r="C8" s="10">
        <v>322612751.76599997</v>
      </c>
      <c r="D8" s="6" t="s">
        <v>10</v>
      </c>
      <c r="E8" s="6" t="s">
        <v>10</v>
      </c>
      <c r="F8" s="5" t="s">
        <v>10</v>
      </c>
      <c r="G8" s="5" t="s">
        <v>10</v>
      </c>
      <c r="H8" s="5" t="s">
        <v>10</v>
      </c>
      <c r="I8" s="5"/>
      <c r="J8" s="5" t="s">
        <v>10</v>
      </c>
      <c r="K8" s="5" t="s">
        <v>10</v>
      </c>
      <c r="L8" s="6" t="s">
        <v>10</v>
      </c>
      <c r="M8" s="6" t="s">
        <v>10</v>
      </c>
      <c r="N8" s="6" t="s">
        <v>10</v>
      </c>
      <c r="O8" s="39">
        <v>0</v>
      </c>
      <c r="P8" s="42"/>
      <c r="Q8" s="32"/>
    </row>
    <row r="9" spans="1:19" x14ac:dyDescent="0.3">
      <c r="A9" s="37" t="s">
        <v>62</v>
      </c>
      <c r="B9" s="3" t="s">
        <v>60</v>
      </c>
      <c r="C9" s="10"/>
      <c r="D9" s="2">
        <f>(C9-C$8)*10^-9</f>
        <v>-0.32261275176600002</v>
      </c>
      <c r="E9" s="23">
        <f t="shared" ref="E9:E11" si="0">D9*rho_s</f>
        <v>-500.04976523730005</v>
      </c>
      <c r="F9" s="13"/>
      <c r="G9" s="4">
        <f t="shared" ref="G9:G11" si="1">(F9)*10^-9</f>
        <v>0</v>
      </c>
      <c r="H9" s="24">
        <f t="shared" ref="H9:H11" si="2">G9*rho_s</f>
        <v>0</v>
      </c>
      <c r="I9" s="24"/>
      <c r="J9" s="24">
        <f>Kinect8[[#This Row],['[mm³-Dist']]]*10^-9</f>
        <v>0</v>
      </c>
      <c r="K9" s="24">
        <f>Kinect8[[#This Row],['[m³-Dist']]]*rho_s</f>
        <v>0</v>
      </c>
      <c r="L9" s="11">
        <v>31</v>
      </c>
      <c r="M9" s="23">
        <f>(Disto2[[#This Row],['[kg']]]-Weight9[[#This Row],['[kg']]])/Weight9[[#This Row],['[kg']]]*100</f>
        <v>-1713.0637588300006</v>
      </c>
      <c r="N9" s="23">
        <f>(Kinect8[[#This Row],['[kg']]]-Weight9[[#This Row],['[kg']]])/Weight9[[#This Row],['[kg']]]*100</f>
        <v>-100</v>
      </c>
      <c r="O9" s="39">
        <v>317</v>
      </c>
      <c r="P9" s="43">
        <f>Weight9[[#This Row],['[kg']]]/Table11[[#This Row],['[kg']]]*100</f>
        <v>9.7791798107255516</v>
      </c>
      <c r="Q9" s="33"/>
    </row>
    <row r="10" spans="1:19" x14ac:dyDescent="0.3">
      <c r="A10" s="36" t="s">
        <v>63</v>
      </c>
      <c r="B10" s="3" t="s">
        <v>43</v>
      </c>
      <c r="C10" s="12"/>
      <c r="D10" s="2">
        <f t="shared" ref="D10:D11" si="3">(C10-C$8)*10^-9</f>
        <v>-0.32261275176600002</v>
      </c>
      <c r="E10" s="23">
        <f t="shared" si="0"/>
        <v>-500.04976523730005</v>
      </c>
      <c r="F10" s="12">
        <v>140665899.55000001</v>
      </c>
      <c r="G10" s="3">
        <f t="shared" si="1"/>
        <v>0.14066589955000003</v>
      </c>
      <c r="H10" s="24">
        <f t="shared" si="2"/>
        <v>218.03214430250006</v>
      </c>
      <c r="I10" s="24"/>
      <c r="J10" s="24">
        <f>Kinect8[[#This Row],['[mm³-Dist']]]*10^-9</f>
        <v>0</v>
      </c>
      <c r="K10" s="24">
        <f>Kinect8[[#This Row],['[m³-Dist']]]*rho_s</f>
        <v>0</v>
      </c>
      <c r="L10" s="11">
        <v>479</v>
      </c>
      <c r="M10" s="29"/>
      <c r="N10" s="29"/>
      <c r="O10" s="39">
        <v>496</v>
      </c>
      <c r="P10" s="43">
        <f>Weight9[[#This Row],['[kg']]]/Table11[[#This Row],['[kg']]]*100</f>
        <v>96.572580645161281</v>
      </c>
      <c r="Q10" s="31"/>
    </row>
    <row r="11" spans="1:19" x14ac:dyDescent="0.3">
      <c r="A11" s="37" t="s">
        <v>64</v>
      </c>
      <c r="B11" s="3" t="s">
        <v>44</v>
      </c>
      <c r="C11" s="12"/>
      <c r="D11" s="2">
        <f t="shared" si="3"/>
        <v>-0.32261275176600002</v>
      </c>
      <c r="E11" s="23">
        <f t="shared" si="0"/>
        <v>-500.04976523730005</v>
      </c>
      <c r="F11" s="12">
        <v>140755206.22799999</v>
      </c>
      <c r="G11" s="3">
        <f t="shared" si="1"/>
        <v>0.140755206228</v>
      </c>
      <c r="H11" s="24">
        <f t="shared" si="2"/>
        <v>218.17056965340001</v>
      </c>
      <c r="I11" s="24"/>
      <c r="J11" s="24">
        <f>Kinect8[[#This Row],['[mm³-Dist']]]*10^-9</f>
        <v>0</v>
      </c>
      <c r="K11" s="24">
        <f>Kinect8[[#This Row],['[m³-Dist']]]*rho_s</f>
        <v>0</v>
      </c>
      <c r="L11" s="28" t="s">
        <v>10</v>
      </c>
      <c r="M11" s="23"/>
      <c r="N11" s="23"/>
      <c r="O11" s="41" t="s">
        <v>10</v>
      </c>
      <c r="P11" s="43"/>
    </row>
    <row r="12" spans="1:19" x14ac:dyDescent="0.3">
      <c r="A12" s="36" t="s">
        <v>65</v>
      </c>
      <c r="B12" s="3" t="s">
        <v>16</v>
      </c>
      <c r="C12" s="12">
        <v>427258422.09600002</v>
      </c>
      <c r="D12" s="2">
        <f t="shared" ref="D12:D13" si="4">(C12-C$8)*10^-9</f>
        <v>0.10464567033000005</v>
      </c>
      <c r="E12" s="23">
        <f t="shared" ref="E12:E19" si="5">D12*rho_s</f>
        <v>162.20078901150009</v>
      </c>
      <c r="F12" s="12">
        <v>118114555.024</v>
      </c>
      <c r="G12" s="3">
        <f t="shared" ref="G12:G19" si="6">(F12)*10^-9</f>
        <v>0.11811455502400001</v>
      </c>
      <c r="H12" s="24">
        <f t="shared" ref="H12:H13" si="7">G12*rho_s</f>
        <v>183.07756028720001</v>
      </c>
      <c r="I12" s="24">
        <v>107966190.508</v>
      </c>
      <c r="J12" s="24">
        <f>Kinect8[[#This Row],['[mm³-Dist']]]*10^-9</f>
        <v>0.10796619050800001</v>
      </c>
      <c r="K12" s="24">
        <f>Kinect8[[#This Row],['[m³-Dist']]]*rho_s</f>
        <v>167.3475952874</v>
      </c>
      <c r="L12" s="11">
        <v>189</v>
      </c>
      <c r="M12" s="23">
        <f>(Disto2[[#This Row],['[kg']]]-Weight9[[#This Row],['[kg']]])/Weight9[[#This Row],['[kg']]]*100</f>
        <v>-14.179476713492015</v>
      </c>
      <c r="N12" s="23">
        <f>(Kinect8[[#This Row],['[kg']]]-Weight9[[#This Row],['[kg']]])/Weight9[[#This Row],['[kg']]]*100</f>
        <v>-3.1335659856084579</v>
      </c>
      <c r="O12" s="39">
        <v>341</v>
      </c>
      <c r="P12" s="43">
        <f>Weight9[[#This Row],['[kg']]]/Table11[[#This Row],['[kg']]]*100</f>
        <v>55.425219941348971</v>
      </c>
    </row>
    <row r="13" spans="1:19" x14ac:dyDescent="0.3">
      <c r="A13" s="37" t="s">
        <v>66</v>
      </c>
      <c r="B13" s="3" t="s">
        <v>39</v>
      </c>
      <c r="C13" s="12">
        <v>423159513.55400002</v>
      </c>
      <c r="D13" s="2">
        <f t="shared" si="4"/>
        <v>0.10054676178800005</v>
      </c>
      <c r="E13" s="23">
        <f t="shared" si="5"/>
        <v>155.84748077140009</v>
      </c>
      <c r="F13" s="12">
        <v>117126484.45</v>
      </c>
      <c r="G13" s="3">
        <f t="shared" si="6"/>
        <v>0.11712648445000001</v>
      </c>
      <c r="H13" s="24">
        <f t="shared" si="7"/>
        <v>181.54605089750001</v>
      </c>
      <c r="I13" s="24">
        <v>109944394.20900001</v>
      </c>
      <c r="J13" s="24">
        <f>Kinect8[[#This Row],['[mm³-Dist']]]*10^-9</f>
        <v>0.10994439420900001</v>
      </c>
      <c r="K13" s="24">
        <f>Kinect8[[#This Row],['[m³-Dist']]]*rho_s</f>
        <v>170.41381102395002</v>
      </c>
      <c r="L13" s="11">
        <v>187</v>
      </c>
      <c r="M13" s="23">
        <f>(Disto2[[#This Row],['[kg']]]-Weight9[[#This Row],['[kg']]])/Weight9[[#This Row],['[kg']]]*100</f>
        <v>-16.659101191764663</v>
      </c>
      <c r="N13" s="23">
        <f>(Kinect8[[#This Row],['[kg']]]-Weight9[[#This Row],['[kg']]])/Weight9[[#This Row],['[kg']]]*100</f>
        <v>-2.9165503221925082</v>
      </c>
      <c r="O13" s="39">
        <v>355</v>
      </c>
      <c r="P13" s="43">
        <f>Weight9[[#This Row],['[kg']]]/Table11[[#This Row],['[kg']]]*100</f>
        <v>52.676056338028168</v>
      </c>
    </row>
    <row r="14" spans="1:19" x14ac:dyDescent="0.3">
      <c r="A14" s="36" t="s">
        <v>69</v>
      </c>
      <c r="B14" s="3" t="s">
        <v>14</v>
      </c>
      <c r="C14" s="10">
        <v>432758405.81199998</v>
      </c>
      <c r="D14" s="2">
        <f>(C14-C$8)*10^-9</f>
        <v>0.110145654046</v>
      </c>
      <c r="E14" s="23">
        <f t="shared" si="5"/>
        <v>170.7257637713</v>
      </c>
      <c r="F14" s="13">
        <v>128375244.942</v>
      </c>
      <c r="G14" s="3">
        <f t="shared" si="6"/>
        <v>0.12837524494200001</v>
      </c>
      <c r="H14" s="24">
        <f>G14*rho_s</f>
        <v>198.9816296601</v>
      </c>
      <c r="I14" s="24">
        <v>119654293.366</v>
      </c>
      <c r="J14" s="24">
        <f>Kinect8[[#This Row],['[mm³-Dist']]]*10^-9</f>
        <v>0.119654293366</v>
      </c>
      <c r="K14" s="24">
        <f>Kinect8[[#This Row],['[m³-Dist']]]*rho_s</f>
        <v>185.4641547173</v>
      </c>
      <c r="L14" s="11">
        <f>205</f>
        <v>205</v>
      </c>
      <c r="M14" s="23">
        <f>(Disto2[[#This Row],['[kg']]]-Weight9[[#This Row],['[kg']]])/Weight9[[#This Row],['[kg']]]*100</f>
        <v>-16.719139623756099</v>
      </c>
      <c r="N14" s="23">
        <f>(Kinect8[[#This Row],['[kg']]]-Weight9[[#This Row],['[kg']]])/Weight9[[#This Row],['[kg']]]*100</f>
        <v>-2.9357904097073182</v>
      </c>
      <c r="O14" s="39">
        <v>364</v>
      </c>
      <c r="P14" s="43">
        <f>Weight9[[#This Row],['[kg']]]/Table11[[#This Row],['[kg']]]*100</f>
        <v>56.318681318681321</v>
      </c>
    </row>
    <row r="15" spans="1:19" x14ac:dyDescent="0.3">
      <c r="A15" s="37" t="s">
        <v>67</v>
      </c>
      <c r="B15" s="3" t="s">
        <v>40</v>
      </c>
      <c r="C15" s="12">
        <v>395876270.00800002</v>
      </c>
      <c r="D15" s="2">
        <f t="shared" ref="D15:D19" si="8">(C15-C$8)*10^-9</f>
        <v>7.3263518242000045E-2</v>
      </c>
      <c r="E15" s="23">
        <f t="shared" si="5"/>
        <v>113.55845327510006</v>
      </c>
      <c r="F15" s="12">
        <v>83983589.394999996</v>
      </c>
      <c r="G15" s="3">
        <f t="shared" si="6"/>
        <v>8.3983589395000002E-2</v>
      </c>
      <c r="H15" s="24">
        <f t="shared" ref="H15:H19" si="9">G15*rho_s</f>
        <v>130.17456356225</v>
      </c>
      <c r="I15" s="24">
        <v>82848549.019999996</v>
      </c>
      <c r="J15" s="24">
        <f>Kinect8[[#This Row],['[mm³-Dist']]]*10^-9</f>
        <v>8.2848549019999995E-2</v>
      </c>
      <c r="K15" s="24">
        <f>Kinect8[[#This Row],['[m³-Dist']]]*rho_s</f>
        <v>128.41525098099999</v>
      </c>
      <c r="L15" s="11">
        <v>132</v>
      </c>
      <c r="M15" s="23">
        <f>(Disto2[[#This Row],['[kg']]]-Weight9[[#This Row],['[kg']]])/Weight9[[#This Row],['[kg']]]*100</f>
        <v>-13.970868730984801</v>
      </c>
      <c r="N15" s="23">
        <f>(Kinect8[[#This Row],['[kg']]]-Weight9[[#This Row],['[kg']]])/Weight9[[#This Row],['[kg']]]*100</f>
        <v>-1.3829063922348481</v>
      </c>
      <c r="O15" s="39">
        <v>330</v>
      </c>
      <c r="P15" s="43">
        <f>Weight9[[#This Row],['[kg']]]/Table11[[#This Row],['[kg']]]*100</f>
        <v>40</v>
      </c>
    </row>
    <row r="16" spans="1:19" x14ac:dyDescent="0.3">
      <c r="A16" s="36" t="s">
        <v>70</v>
      </c>
      <c r="B16" s="3" t="s">
        <v>41</v>
      </c>
      <c r="C16" s="12"/>
      <c r="D16" s="2">
        <f t="shared" si="8"/>
        <v>-0.32261275176600002</v>
      </c>
      <c r="E16" s="23">
        <f t="shared" si="5"/>
        <v>-500.04976523730005</v>
      </c>
      <c r="F16" s="12">
        <v>73129845.998999998</v>
      </c>
      <c r="G16" s="3">
        <f t="shared" si="6"/>
        <v>7.3129845999000007E-2</v>
      </c>
      <c r="H16" s="24">
        <f t="shared" si="9"/>
        <v>113.35126129845001</v>
      </c>
      <c r="I16" s="24"/>
      <c r="J16" s="24">
        <f>Kinect8[[#This Row],['[mm³-Dist']]]*10^-9</f>
        <v>0</v>
      </c>
      <c r="K16" s="24">
        <f>Kinect8[[#This Row],['[m³-Dist']]]*rho_s</f>
        <v>0</v>
      </c>
      <c r="L16" s="11">
        <v>117</v>
      </c>
      <c r="M16" s="23"/>
      <c r="N16" s="23">
        <f>(Kinect8[[#This Row],['[kg']]]-Weight9[[#This Row],['[kg']]])/Weight9[[#This Row],['[kg']]]*100</f>
        <v>-3.1185800867948612</v>
      </c>
      <c r="O16" s="39">
        <v>307</v>
      </c>
      <c r="P16" s="43">
        <f>Weight9[[#This Row],['[kg']]]/Table11[[#This Row],['[kg']]]*100</f>
        <v>38.11074918566775</v>
      </c>
    </row>
    <row r="17" spans="1:16" x14ac:dyDescent="0.3">
      <c r="A17" s="37" t="s">
        <v>68</v>
      </c>
      <c r="B17" s="3" t="s">
        <v>42</v>
      </c>
      <c r="C17" s="12"/>
      <c r="D17" s="2">
        <f t="shared" si="8"/>
        <v>-0.32261275176600002</v>
      </c>
      <c r="E17" s="23">
        <f t="shared" si="5"/>
        <v>-500.04976523730005</v>
      </c>
      <c r="F17" s="12">
        <v>196450560.581</v>
      </c>
      <c r="G17" s="3">
        <f t="shared" si="6"/>
        <v>0.19645056058100002</v>
      </c>
      <c r="H17" s="24">
        <f t="shared" si="9"/>
        <v>304.49836890055002</v>
      </c>
      <c r="I17" s="24"/>
      <c r="J17" s="24">
        <f>Kinect8[[#This Row],['[mm³-Dist']]]*10^-9</f>
        <v>0</v>
      </c>
      <c r="K17" s="24">
        <f>Kinect8[[#This Row],['[m³-Dist']]]*rho_s</f>
        <v>0</v>
      </c>
      <c r="L17" s="11">
        <v>313</v>
      </c>
      <c r="M17" s="29"/>
      <c r="N17" s="29">
        <f>(Kinect8[[#This Row],['[kg']]]-Weight9[[#This Row],['[kg']]])/Weight9[[#This Row],['[kg']]]*100</f>
        <v>-2.7161760701118149</v>
      </c>
      <c r="O17" s="39">
        <v>438</v>
      </c>
      <c r="P17" s="43">
        <f>Weight9[[#This Row],['[kg']]]/Table11[[#This Row],['[kg']]]*100</f>
        <v>71.461187214611883</v>
      </c>
    </row>
    <row r="18" spans="1:16" x14ac:dyDescent="0.3">
      <c r="A18" s="36" t="s">
        <v>71</v>
      </c>
      <c r="B18" s="3" t="s">
        <v>7</v>
      </c>
      <c r="C18" s="12">
        <v>411260911.78399998</v>
      </c>
      <c r="D18" s="2">
        <f t="shared" si="8"/>
        <v>8.8648160018000008E-2</v>
      </c>
      <c r="E18" s="23">
        <f t="shared" si="5"/>
        <v>137.40464802790001</v>
      </c>
      <c r="F18" s="12">
        <v>100191722.491</v>
      </c>
      <c r="G18" s="3">
        <f t="shared" si="6"/>
        <v>0.100191722491</v>
      </c>
      <c r="H18" s="24">
        <f t="shared" si="9"/>
        <v>155.29716986105001</v>
      </c>
      <c r="I18" s="24">
        <v>94437497.702999994</v>
      </c>
      <c r="J18" s="24">
        <f>Kinect8[[#This Row],['[mm³-Dist']]]*10^-9</f>
        <v>9.4437497703000001E-2</v>
      </c>
      <c r="K18" s="24">
        <f>Kinect8[[#This Row],['[m³-Dist']]]*rho_s</f>
        <v>146.37812143964999</v>
      </c>
      <c r="L18" s="11">
        <v>159</v>
      </c>
      <c r="M18" s="23">
        <f>(Disto2[[#This Row],['[kg']]]-Weight9[[#This Row],['[kg']]])/Weight9[[#This Row],['[kg']]]*100</f>
        <v>-13.58198237238993</v>
      </c>
      <c r="N18" s="23">
        <f>(Kinect8[[#This Row],['[kg']]]-Weight9[[#This Row],['[kg']]])/Weight9[[#This Row],['[kg']]]*100</f>
        <v>-2.3288239867610012</v>
      </c>
      <c r="O18" s="39">
        <v>321</v>
      </c>
      <c r="P18" s="43">
        <f>Weight9[[#This Row],['[kg']]]/Table11[[#This Row],['[kg']]]*100</f>
        <v>49.532710280373834</v>
      </c>
    </row>
    <row r="19" spans="1:16" x14ac:dyDescent="0.3">
      <c r="A19" s="37" t="s">
        <v>72</v>
      </c>
      <c r="B19" s="3" t="s">
        <v>15</v>
      </c>
      <c r="C19" s="12">
        <v>431229450.09100002</v>
      </c>
      <c r="D19" s="2">
        <f t="shared" si="8"/>
        <v>0.10861669832500005</v>
      </c>
      <c r="E19" s="23">
        <f t="shared" si="5"/>
        <v>168.35588240375009</v>
      </c>
      <c r="F19" s="12">
        <v>121616378.971</v>
      </c>
      <c r="G19" s="3">
        <f t="shared" si="6"/>
        <v>0.12161637897100001</v>
      </c>
      <c r="H19" s="24">
        <f t="shared" si="9"/>
        <v>188.50538740505002</v>
      </c>
      <c r="I19" s="24">
        <v>114198807.68099999</v>
      </c>
      <c r="J19" s="24">
        <f>Kinect8[[#This Row],['[mm³-Dist']]]*10^-9</f>
        <v>0.11419880768100001</v>
      </c>
      <c r="K19" s="24">
        <f>Kinect8[[#This Row],['[m³-Dist']]]*rho_s</f>
        <v>177.00815190555002</v>
      </c>
      <c r="L19" s="11">
        <v>195</v>
      </c>
      <c r="M19" s="23">
        <f>(Disto2[[#This Row],['[kg']]]-Weight9[[#This Row],['[kg']]])/Weight9[[#This Row],['[kg']]]*100</f>
        <v>-13.66365004935893</v>
      </c>
      <c r="N19" s="23">
        <f>(Kinect8[[#This Row],['[kg']]]-Weight9[[#This Row],['[kg']]])/Weight9[[#This Row],['[kg']]]*100</f>
        <v>-3.3305705615128125</v>
      </c>
      <c r="O19" s="39">
        <v>350</v>
      </c>
      <c r="P19" s="43">
        <f>Weight9[[#This Row],['[kg']]]/Table11[[#This Row],['[kg']]]*100</f>
        <v>55.714285714285715</v>
      </c>
    </row>
    <row r="20" spans="1:16" x14ac:dyDescent="0.3">
      <c r="A20" s="30"/>
      <c r="C20" s="12"/>
      <c r="D20" s="2"/>
      <c r="E20" s="23"/>
      <c r="F20" s="12"/>
      <c r="G20" s="3"/>
      <c r="H20" s="24"/>
      <c r="I20" s="24"/>
      <c r="J20" s="24"/>
      <c r="K20" s="24"/>
      <c r="L20" s="11"/>
      <c r="M20" s="23">
        <f>AVERAGE(M12:M19)</f>
        <v>-14.795703113624407</v>
      </c>
      <c r="N20" s="23">
        <f>AVERAGE(N12:N19)</f>
        <v>-2.7328704768654526</v>
      </c>
    </row>
    <row r="21" spans="1:16" x14ac:dyDescent="0.3">
      <c r="A21" s="30"/>
      <c r="C21" s="12"/>
      <c r="D21" s="2"/>
      <c r="E21" s="23"/>
      <c r="F21" s="12"/>
      <c r="G21" s="3"/>
      <c r="H21" s="24"/>
      <c r="I21" s="24"/>
      <c r="J21" s="24"/>
      <c r="K21" s="24"/>
      <c r="L21" s="11"/>
      <c r="M21" s="29"/>
      <c r="N21" s="29"/>
    </row>
    <row r="22" spans="1:16" x14ac:dyDescent="0.3">
      <c r="A22" s="30"/>
      <c r="C22" s="12"/>
      <c r="D22" s="2"/>
      <c r="E22" s="23"/>
      <c r="F22" s="12"/>
      <c r="G22" s="3"/>
      <c r="H22" s="24"/>
      <c r="I22" s="24"/>
      <c r="J22" s="24"/>
      <c r="K22" s="24"/>
      <c r="L22" s="11"/>
      <c r="M22" s="29"/>
      <c r="N22" s="29"/>
    </row>
    <row r="23" spans="1:16" x14ac:dyDescent="0.3">
      <c r="A23" s="30"/>
      <c r="C23" s="12"/>
      <c r="D23" s="2"/>
      <c r="E23" s="23"/>
      <c r="F23" s="12"/>
      <c r="G23" s="3"/>
      <c r="H23" s="24"/>
      <c r="I23" s="24"/>
      <c r="J23" s="24"/>
      <c r="K23" s="24"/>
      <c r="L23" s="28"/>
      <c r="M23" s="23"/>
      <c r="N23" s="23"/>
    </row>
    <row r="24" spans="1:16" x14ac:dyDescent="0.3">
      <c r="C24" s="12"/>
      <c r="F24" s="12"/>
      <c r="I24" s="24"/>
      <c r="J24" s="24"/>
      <c r="K24" s="24"/>
      <c r="L24" s="11"/>
      <c r="M24" s="23"/>
      <c r="N24" s="23"/>
    </row>
    <row r="25" spans="1:16" x14ac:dyDescent="0.3">
      <c r="M25" s="23"/>
      <c r="N25" s="23"/>
    </row>
  </sheetData>
  <mergeCells count="5">
    <mergeCell ref="P2:S2"/>
    <mergeCell ref="C5:E5"/>
    <mergeCell ref="F5:K5"/>
    <mergeCell ref="M5:N5"/>
    <mergeCell ref="O5:P5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comparison</vt:lpstr>
      <vt:lpstr>export plot</vt:lpstr>
      <vt:lpstr>'export plot'!rho_s</vt:lpstr>
      <vt:lpstr>rho_s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Reffo Alessandro</dc:creator>
  <cp:lastModifiedBy>Sebastian Schwindt</cp:lastModifiedBy>
  <dcterms:created xsi:type="dcterms:W3CDTF">2016-10-24T13:33:07Z</dcterms:created>
  <dcterms:modified xsi:type="dcterms:W3CDTF">2019-07-18T22:39:40Z</dcterms:modified>
</cp:coreProperties>
</file>