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ub-sediment-trap\RawData\"/>
    </mc:Choice>
  </mc:AlternateContent>
  <bookViews>
    <workbookView xWindow="0" yWindow="0" windowWidth="16305" windowHeight="9120"/>
  </bookViews>
  <sheets>
    <sheet name="Hydrograph" sheetId="8" r:id="rId1"/>
  </sheets>
  <definedNames>
    <definedName name="m_fall_big" localSheetId="0">Hydrograph!$P$11</definedName>
    <definedName name="m_rise_big" localSheetId="0">Hydrograph!$P$10</definedName>
    <definedName name="mb_fall_big" localSheetId="0">Hydrograph!$P$13</definedName>
    <definedName name="mb_rise_big" localSheetId="0">Hydrograph!$P$12</definedName>
    <definedName name="Qb_peak_big" localSheetId="0">Hydrograph!$N$26</definedName>
    <definedName name="Qpeak_big" localSheetId="0">Hydrograph!$L$13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8" l="1"/>
  <c r="N30" i="8"/>
  <c r="L13" i="8"/>
  <c r="L26" i="8" s="1"/>
  <c r="T9" i="8"/>
  <c r="B8" i="8"/>
  <c r="C8" i="8" s="1"/>
  <c r="C6" i="8"/>
  <c r="L27" i="8"/>
  <c r="B9" i="8" l="1"/>
  <c r="D6" i="8"/>
  <c r="D7" i="8" s="1"/>
  <c r="E7" i="8" s="1"/>
  <c r="I7" i="8" s="1"/>
  <c r="N27" i="8"/>
  <c r="M27" i="8"/>
  <c r="B10" i="8"/>
  <c r="M26" i="8"/>
  <c r="Y7" i="8"/>
  <c r="N26" i="8"/>
  <c r="E6" i="8"/>
  <c r="L25" i="8"/>
  <c r="AA7" i="8" l="1"/>
  <c r="B11" i="8"/>
  <c r="C10" i="8"/>
  <c r="M25" i="8"/>
  <c r="Y6" i="8"/>
  <c r="N25" i="8"/>
  <c r="AA6" i="8" s="1"/>
  <c r="AA9" i="8" l="1"/>
  <c r="AA8" i="8"/>
  <c r="B12" i="8"/>
  <c r="C12" i="8" l="1"/>
  <c r="B13" i="8"/>
  <c r="B14" i="8" l="1"/>
  <c r="B15" i="8" l="1"/>
  <c r="C14" i="8"/>
  <c r="B16" i="8" l="1"/>
  <c r="C16" i="8" l="1"/>
  <c r="B17" i="8"/>
  <c r="B18" i="8" l="1"/>
  <c r="B19" i="8" s="1"/>
  <c r="B20" i="8" s="1"/>
  <c r="C20" i="8" l="1"/>
  <c r="B21" i="8"/>
  <c r="B22" i="8" s="1"/>
  <c r="C18" i="8"/>
  <c r="C22" i="8" l="1"/>
  <c r="B23" i="8"/>
  <c r="B24" i="8" s="1"/>
  <c r="B25" i="8" l="1"/>
  <c r="B26" i="8" s="1"/>
  <c r="C24" i="8"/>
  <c r="C26" i="8" l="1"/>
  <c r="B27" i="8"/>
  <c r="B28" i="8" s="1"/>
  <c r="L15" i="8"/>
  <c r="B29" i="8" l="1"/>
  <c r="B30" i="8" s="1"/>
  <c r="C28" i="8"/>
  <c r="L17" i="8"/>
  <c r="T7" i="8" s="1"/>
  <c r="T8" i="8"/>
  <c r="L16" i="8"/>
  <c r="L18" i="8" s="1"/>
  <c r="B31" i="8" l="1"/>
  <c r="B32" i="8" s="1"/>
  <c r="C30" i="8"/>
  <c r="T6" i="8"/>
  <c r="B33" i="8" l="1"/>
  <c r="B34" i="8" s="1"/>
  <c r="C34" i="8" s="1"/>
  <c r="C32" i="8"/>
  <c r="K26" i="8"/>
  <c r="L19" i="8"/>
  <c r="K27" i="8" s="1"/>
  <c r="N18" i="8"/>
  <c r="W6" i="8" s="1"/>
  <c r="P10" i="8"/>
  <c r="L32" i="8" s="1"/>
  <c r="Y8" i="8" l="1"/>
  <c r="D8" i="8"/>
  <c r="N19" i="8"/>
  <c r="W7" i="8" s="1"/>
  <c r="W8" i="8" s="1"/>
  <c r="P11" i="8"/>
  <c r="L33" i="8" s="1"/>
  <c r="E8" i="8" l="1"/>
  <c r="I9" i="8" s="1"/>
  <c r="D9" i="8"/>
  <c r="Y9" i="8"/>
  <c r="E9" i="8" l="1"/>
  <c r="D10" i="8"/>
  <c r="E10" i="8" l="1"/>
  <c r="I11" i="8" s="1"/>
  <c r="D11" i="8"/>
  <c r="D12" i="8" l="1"/>
  <c r="E11" i="8"/>
  <c r="D13" i="8" l="1"/>
  <c r="E12" i="8"/>
  <c r="I13" i="8" s="1"/>
  <c r="E13" i="8" l="1"/>
  <c r="D14" i="8"/>
  <c r="D15" i="8" l="1"/>
  <c r="E14" i="8"/>
  <c r="I15" i="8" s="1"/>
  <c r="E15" i="8" l="1"/>
  <c r="D17" i="8" l="1"/>
  <c r="D18" i="8" s="1"/>
  <c r="D20" i="8" s="1"/>
  <c r="E16" i="8"/>
  <c r="I17" i="8" s="1"/>
  <c r="E17" i="8" l="1"/>
  <c r="D21" i="8" l="1"/>
  <c r="D22" i="8" s="1"/>
  <c r="E20" i="8"/>
  <c r="D19" i="8"/>
  <c r="E19" i="8" s="1"/>
  <c r="E18" i="8"/>
  <c r="I19" i="8" s="1"/>
  <c r="I21" i="8" l="1"/>
  <c r="E21" i="8"/>
  <c r="E22" i="8" l="1"/>
  <c r="I23" i="8" s="1"/>
  <c r="D23" i="8"/>
  <c r="D24" i="8" s="1"/>
  <c r="A21" i="8"/>
  <c r="E23" i="8" l="1"/>
  <c r="E24" i="8" l="1"/>
  <c r="I25" i="8" s="1"/>
  <c r="D25" i="8"/>
  <c r="E25" i="8" l="1"/>
  <c r="D26" i="8"/>
  <c r="D27" i="8" l="1"/>
  <c r="E26" i="8"/>
  <c r="I27" i="8" s="1"/>
  <c r="D28" i="8" l="1"/>
  <c r="E27" i="8"/>
  <c r="E28" i="8" l="1"/>
  <c r="I29" i="8" s="1"/>
  <c r="D29" i="8"/>
  <c r="D30" i="8" l="1"/>
  <c r="E29" i="8"/>
  <c r="E30" i="8" l="1"/>
  <c r="I31" i="8" s="1"/>
  <c r="I33" i="8" s="1"/>
  <c r="D31" i="8"/>
  <c r="E31" i="8" l="1"/>
  <c r="D32" i="8"/>
  <c r="D33" i="8" s="1"/>
</calcChain>
</file>

<file path=xl/comments1.xml><?xml version="1.0" encoding="utf-8"?>
<comments xmlns="http://schemas.openxmlformats.org/spreadsheetml/2006/main">
  <authors>
    <author>Schwindt Sebastian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Literature sources: D’Agostino &amp; Lenzi, 1996; Rickenmann, 1998; Armanini &amp; Larcher, 2001; Kaitna, 2011 and Piton &amp; Recking, 2016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Discharge capacity of the guiding channel (without overbank) --&gt; chosen by the minimum stable pump discharge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From former experiments: complies with about 25% of the channel transport capacity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Schwindt Sebastian:</t>
        </r>
        <r>
          <rPr>
            <sz val="9"/>
            <color indexed="81"/>
            <rFont val="Tahoma"/>
            <charset val="1"/>
          </rPr>
          <t xml:space="preserve">
From Matlab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Maximum limited due to lab. physical constraints</t>
        </r>
      </text>
    </comment>
  </commentList>
</comments>
</file>

<file path=xl/sharedStrings.xml><?xml version="1.0" encoding="utf-8"?>
<sst xmlns="http://schemas.openxmlformats.org/spreadsheetml/2006/main" count="109" uniqueCount="69">
  <si>
    <t>t</t>
  </si>
  <si>
    <t>[l/s]</t>
  </si>
  <si>
    <t>[min]</t>
  </si>
  <si>
    <t>[kg/s]</t>
  </si>
  <si>
    <t>Q [l/s]</t>
  </si>
  <si>
    <t>Qb [kg/s]</t>
  </si>
  <si>
    <t>t(fall)/t(rise)</t>
  </si>
  <si>
    <t>[-]</t>
  </si>
  <si>
    <t>L</t>
  </si>
  <si>
    <t>[m]</t>
  </si>
  <si>
    <t>B</t>
  </si>
  <si>
    <t>Basin surface</t>
  </si>
  <si>
    <t>Channel width</t>
  </si>
  <si>
    <t>[m²]</t>
  </si>
  <si>
    <t>Basin volume</t>
  </si>
  <si>
    <t>[m³]</t>
  </si>
  <si>
    <t>Dep. vol. adapt.</t>
  </si>
  <si>
    <t>Interpolation of Qb(Q)</t>
  </si>
  <si>
    <t>f(x) = a*x^b+c</t>
  </si>
  <si>
    <t>a</t>
  </si>
  <si>
    <t>b</t>
  </si>
  <si>
    <t>c</t>
  </si>
  <si>
    <t>R²</t>
  </si>
  <si>
    <t>Storage ratio</t>
  </si>
  <si>
    <t>[s]</t>
  </si>
  <si>
    <t>Values (exact diagram)</t>
  </si>
  <si>
    <t>Q</t>
  </si>
  <si>
    <t>Values (hydrograph design)</t>
  </si>
  <si>
    <t>Q supply</t>
  </si>
  <si>
    <t>Qb supply</t>
  </si>
  <si>
    <r>
      <t>Q</t>
    </r>
    <r>
      <rPr>
        <vertAlign val="subscript"/>
        <sz val="12"/>
        <color theme="1"/>
        <rFont val="Times New Roman"/>
        <family val="2"/>
      </rPr>
      <t>ini</t>
    </r>
  </si>
  <si>
    <r>
      <t>Q</t>
    </r>
    <r>
      <rPr>
        <vertAlign val="subscript"/>
        <sz val="12"/>
        <color theme="1"/>
        <rFont val="Times New Roman"/>
        <family val="2"/>
      </rPr>
      <t>b</t>
    </r>
    <r>
      <rPr>
        <sz val="12"/>
        <color theme="1"/>
        <rFont val="Times New Roman"/>
        <family val="2"/>
      </rPr>
      <t>/Q</t>
    </r>
  </si>
  <si>
    <r>
      <t>∆</t>
    </r>
    <r>
      <rPr>
        <sz val="12"/>
        <color theme="1"/>
        <rFont val="Times New Roman"/>
        <family val="2"/>
      </rPr>
      <t>z</t>
    </r>
    <r>
      <rPr>
        <vertAlign val="subscript"/>
        <sz val="12"/>
        <color theme="1"/>
        <rFont val="Times New Roman"/>
        <family val="2"/>
      </rPr>
      <t>dep,max</t>
    </r>
  </si>
  <si>
    <r>
      <t>Q</t>
    </r>
    <r>
      <rPr>
        <vertAlign val="subscript"/>
        <sz val="12"/>
        <color theme="1"/>
        <rFont val="Times New Roman"/>
        <family val="2"/>
      </rPr>
      <t>peak</t>
    </r>
  </si>
  <si>
    <r>
      <t>V</t>
    </r>
    <r>
      <rPr>
        <vertAlign val="subscript"/>
        <sz val="12"/>
        <color theme="1"/>
        <rFont val="Times New Roman"/>
        <family val="2"/>
      </rPr>
      <t>rise</t>
    </r>
  </si>
  <si>
    <r>
      <t>V</t>
    </r>
    <r>
      <rPr>
        <vertAlign val="subscript"/>
        <sz val="12"/>
        <color theme="1"/>
        <rFont val="Times New Roman"/>
        <family val="2"/>
      </rPr>
      <t>fall</t>
    </r>
  </si>
  <si>
    <r>
      <t>t</t>
    </r>
    <r>
      <rPr>
        <vertAlign val="subscript"/>
        <sz val="12"/>
        <color theme="1"/>
        <rFont val="Times New Roman"/>
        <family val="2"/>
      </rPr>
      <t>rise</t>
    </r>
  </si>
  <si>
    <r>
      <t>t</t>
    </r>
    <r>
      <rPr>
        <vertAlign val="subscript"/>
        <sz val="12"/>
        <color theme="1"/>
        <rFont val="Times New Roman"/>
        <family val="2"/>
      </rPr>
      <t>fall</t>
    </r>
  </si>
  <si>
    <r>
      <t>Q</t>
    </r>
    <r>
      <rPr>
        <vertAlign val="subscript"/>
        <sz val="12"/>
        <color theme="1"/>
        <rFont val="Times New Roman"/>
        <family val="2"/>
      </rPr>
      <t>b</t>
    </r>
  </si>
  <si>
    <r>
      <t>∆t</t>
    </r>
    <r>
      <rPr>
        <vertAlign val="subscript"/>
        <sz val="12"/>
        <color theme="1"/>
        <rFont val="Times New Roman"/>
        <family val="2"/>
      </rPr>
      <t>rise</t>
    </r>
  </si>
  <si>
    <r>
      <t>∆t</t>
    </r>
    <r>
      <rPr>
        <vertAlign val="subscript"/>
        <sz val="12"/>
        <color theme="1"/>
        <rFont val="Times New Roman"/>
        <family val="2"/>
      </rPr>
      <t>fall</t>
    </r>
  </si>
  <si>
    <r>
      <t>∆Q</t>
    </r>
    <r>
      <rPr>
        <vertAlign val="subscript"/>
        <sz val="12"/>
        <color theme="1"/>
        <rFont val="Times New Roman"/>
        <family val="2"/>
      </rPr>
      <t>rise</t>
    </r>
  </si>
  <si>
    <r>
      <t>∆Q</t>
    </r>
    <r>
      <rPr>
        <vertAlign val="subscript"/>
        <sz val="12"/>
        <color theme="1"/>
        <rFont val="Times New Roman"/>
        <family val="2"/>
      </rPr>
      <t>fall</t>
    </r>
  </si>
  <si>
    <t>m_rise_big</t>
  </si>
  <si>
    <t>m_fall_big</t>
  </si>
  <si>
    <t>V PEAK</t>
  </si>
  <si>
    <t>∑</t>
  </si>
  <si>
    <t>Duration [min]</t>
  </si>
  <si>
    <t>Pump discharge [l/s]</t>
  </si>
  <si>
    <t>Solid discharge [kg/s]</t>
  </si>
  <si>
    <r>
      <t>Q</t>
    </r>
    <r>
      <rPr>
        <vertAlign val="subscript"/>
        <sz val="12"/>
        <color theme="1"/>
        <rFont val="Times New Roman"/>
        <family val="2"/>
      </rPr>
      <t>b peak</t>
    </r>
  </si>
  <si>
    <t xml:space="preserve">Storage  </t>
  </si>
  <si>
    <r>
      <t>V</t>
    </r>
    <r>
      <rPr>
        <vertAlign val="subscript"/>
        <sz val="12"/>
        <color theme="1"/>
        <rFont val="Times New Roman"/>
        <family val="1"/>
      </rPr>
      <t>fill</t>
    </r>
    <r>
      <rPr>
        <sz val="12"/>
        <color theme="1"/>
        <rFont val="Times New Roman"/>
        <family val="2"/>
      </rPr>
      <t xml:space="preserve"> / V</t>
    </r>
    <r>
      <rPr>
        <vertAlign val="subscript"/>
        <sz val="12"/>
        <color theme="1"/>
        <rFont val="Times New Roman"/>
        <family val="1"/>
      </rPr>
      <t>max</t>
    </r>
  </si>
  <si>
    <t>[%]</t>
  </si>
  <si>
    <t>∆t</t>
  </si>
  <si>
    <r>
      <t>Q</t>
    </r>
    <r>
      <rPr>
        <vertAlign val="subscript"/>
        <sz val="12"/>
        <color theme="1"/>
        <rFont val="Times New Roman"/>
        <family val="2"/>
      </rPr>
      <t>ini / end</t>
    </r>
  </si>
  <si>
    <r>
      <t>Q</t>
    </r>
    <r>
      <rPr>
        <vertAlign val="subscript"/>
        <sz val="12"/>
        <color theme="1"/>
        <rFont val="Times New Roman"/>
        <family val="2"/>
      </rPr>
      <t>b ini / end</t>
    </r>
  </si>
  <si>
    <r>
      <t>∆Q</t>
    </r>
    <r>
      <rPr>
        <vertAlign val="subscript"/>
        <sz val="12"/>
        <color theme="1"/>
        <rFont val="Times New Roman"/>
        <family val="2"/>
      </rPr>
      <t>b rise</t>
    </r>
  </si>
  <si>
    <r>
      <t>∆Q</t>
    </r>
    <r>
      <rPr>
        <vertAlign val="subscript"/>
        <sz val="12"/>
        <color theme="1"/>
        <rFont val="Times New Roman"/>
        <family val="2"/>
      </rPr>
      <t>b fall</t>
    </r>
  </si>
  <si>
    <t>Power control</t>
  </si>
  <si>
    <t>[Hz]</t>
  </si>
  <si>
    <t>∑ V supply</t>
  </si>
  <si>
    <t>[hh:mm:ss]</t>
  </si>
  <si>
    <t>Time</t>
  </si>
  <si>
    <r>
      <t>V</t>
    </r>
    <r>
      <rPr>
        <vertAlign val="subscript"/>
        <sz val="12"/>
        <color theme="1"/>
        <rFont val="Times New Roman"/>
        <family val="2"/>
      </rPr>
      <t>tar</t>
    </r>
  </si>
  <si>
    <t>RT [s]</t>
  </si>
  <si>
    <t>PT [s]</t>
  </si>
  <si>
    <t>OFF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</si>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</sst>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"/>
    <numFmt numFmtId="166" formatCode="0.000"/>
    <numFmt numFmtId="167" formatCode="0.000000"/>
    <numFmt numFmtId="168" formatCode="hh:mm:ss;@"/>
  </numFmts>
  <fonts count="15" x14ac:knownFonts="1">
    <font>
      <sz val="12"/>
      <color theme="1"/>
      <name val="Times New Roman"/>
      <family val="2"/>
    </font>
    <font>
      <sz val="12"/>
      <color rgb="FF3F3F76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rgb="FF006100"/>
      <name val="Times New Roman"/>
      <family val="2"/>
    </font>
    <font>
      <vertAlign val="subscript"/>
      <sz val="12"/>
      <color theme="1"/>
      <name val="Times New Roman"/>
      <family val="2"/>
    </font>
    <font>
      <b/>
      <i/>
      <sz val="12"/>
      <color theme="0"/>
      <name val="Times New Roman"/>
      <family val="1"/>
    </font>
    <font>
      <i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73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/>
    <xf numFmtId="166" fontId="0" fillId="0" borderId="0" xfId="0" applyNumberFormat="1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vertical="center"/>
    </xf>
    <xf numFmtId="165" fontId="0" fillId="0" borderId="0" xfId="0" applyNumberFormat="1" applyFont="1"/>
    <xf numFmtId="2" fontId="1" fillId="2" borderId="1" xfId="1" applyNumberFormat="1" applyFont="1"/>
    <xf numFmtId="0" fontId="0" fillId="0" borderId="0" xfId="0" applyFont="1" applyFill="1" applyBorder="1"/>
    <xf numFmtId="164" fontId="0" fillId="0" borderId="0" xfId="0" applyNumberFormat="1" applyFont="1"/>
    <xf numFmtId="164" fontId="1" fillId="2" borderId="1" xfId="1" applyNumberFormat="1" applyFont="1"/>
    <xf numFmtId="166" fontId="0" fillId="0" borderId="0" xfId="0" applyNumberFormat="1" applyFont="1" applyAlignment="1">
      <alignment vertical="center"/>
    </xf>
    <xf numFmtId="165" fontId="3" fillId="3" borderId="0" xfId="2" applyNumberFormat="1"/>
    <xf numFmtId="0" fontId="0" fillId="4" borderId="6" xfId="0" applyFont="1" applyFill="1" applyBorder="1" applyAlignment="1">
      <alignment horizontal="center" vertical="center"/>
    </xf>
    <xf numFmtId="165" fontId="0" fillId="4" borderId="7" xfId="0" applyNumberFormat="1" applyFont="1" applyFill="1" applyBorder="1" applyAlignment="1">
      <alignment horizontal="center" vertical="center"/>
    </xf>
    <xf numFmtId="0" fontId="0" fillId="0" borderId="9" xfId="0" applyFont="1" applyFill="1" applyBorder="1"/>
    <xf numFmtId="165" fontId="0" fillId="0" borderId="0" xfId="0" applyNumberFormat="1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0" fontId="0" fillId="0" borderId="3" xfId="0" applyFont="1" applyFill="1" applyBorder="1"/>
    <xf numFmtId="2" fontId="0" fillId="0" borderId="4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2" fontId="0" fillId="0" borderId="10" xfId="0" applyNumberFormat="1" applyFont="1" applyBorder="1"/>
    <xf numFmtId="2" fontId="0" fillId="0" borderId="5" xfId="0" applyNumberFormat="1" applyFont="1" applyBorder="1"/>
    <xf numFmtId="0" fontId="0" fillId="0" borderId="9" xfId="0" applyFont="1" applyBorder="1"/>
    <xf numFmtId="2" fontId="0" fillId="0" borderId="10" xfId="0" applyNumberFormat="1" applyFont="1" applyBorder="1" applyAlignment="1">
      <alignment horizontal="center"/>
    </xf>
    <xf numFmtId="166" fontId="0" fillId="0" borderId="1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0" fontId="0" fillId="5" borderId="11" xfId="0" applyFont="1" applyFill="1" applyBorder="1"/>
    <xf numFmtId="0" fontId="0" fillId="5" borderId="8" xfId="0" applyFont="1" applyFill="1" applyBorder="1"/>
    <xf numFmtId="2" fontId="0" fillId="0" borderId="5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5" borderId="2" xfId="0" applyNumberFormat="1" applyFon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167" fontId="0" fillId="0" borderId="2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2" fontId="8" fillId="5" borderId="2" xfId="0" applyNumberFormat="1" applyFont="1" applyFill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168" fontId="8" fillId="5" borderId="2" xfId="0" applyNumberFormat="1" applyFont="1" applyFill="1" applyBorder="1" applyAlignment="1">
      <alignment horizontal="center"/>
    </xf>
    <xf numFmtId="168" fontId="8" fillId="0" borderId="2" xfId="0" applyNumberFormat="1" applyFont="1" applyBorder="1" applyAlignment="1">
      <alignment horizontal="center"/>
    </xf>
    <xf numFmtId="168" fontId="8" fillId="0" borderId="2" xfId="0" applyNumberFormat="1" applyFont="1" applyFill="1" applyBorder="1" applyAlignment="1">
      <alignment horizontal="center"/>
    </xf>
    <xf numFmtId="2" fontId="9" fillId="5" borderId="2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2" fontId="8" fillId="5" borderId="2" xfId="0" quotePrefix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0" fillId="0" borderId="2" xfId="0" applyNumberFormat="1" applyFill="1" applyBorder="1" applyAlignment="1">
      <alignment horizontal="center"/>
    </xf>
    <xf numFmtId="167" fontId="3" fillId="3" borderId="2" xfId="2" applyNumberFormat="1" applyBorder="1" applyAlignment="1">
      <alignment horizontal="center"/>
    </xf>
    <xf numFmtId="164" fontId="8" fillId="5" borderId="2" xfId="0" applyNumberFormat="1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9" fillId="5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0" fontId="10" fillId="0" borderId="0" xfId="1" applyFont="1" applyFill="1" applyBorder="1" applyAlignment="1"/>
    <xf numFmtId="0" fontId="0" fillId="5" borderId="11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</cellXfs>
  <cellStyles count="3">
    <cellStyle name="Good" xfId="2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91445839144581E-2"/>
          <c:y val="3.5893602113330571E-2"/>
          <c:w val="0.79924649586165741"/>
          <c:h val="0.81247995041777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Hydrograph!$D$4</c:f>
              <c:strCache>
                <c:ptCount val="1"/>
                <c:pt idx="0">
                  <c:v>Q [l/s]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Hydrograph!$K$25:$K$27</c:f>
              <c:numCache>
                <c:formatCode>0.0</c:formatCode>
                <c:ptCount val="3"/>
                <c:pt idx="0" formatCode="General">
                  <c:v>23</c:v>
                </c:pt>
                <c:pt idx="1">
                  <c:v>41.820375800400086</c:v>
                </c:pt>
                <c:pt idx="2">
                  <c:v>73.900000000000006</c:v>
                </c:pt>
              </c:numCache>
            </c:numRef>
          </c:xVal>
          <c:yVal>
            <c:numRef>
              <c:f>Hydrograph!$L$25:$L$27</c:f>
              <c:numCache>
                <c:formatCode>0.00</c:formatCode>
                <c:ptCount val="3"/>
                <c:pt idx="0">
                  <c:v>5.5</c:v>
                </c:pt>
                <c:pt idx="1">
                  <c:v>12.5</c:v>
                </c:pt>
                <c:pt idx="2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1-4B9C-A05E-B467424CD1AE}"/>
            </c:ext>
          </c:extLst>
        </c:ser>
        <c:ser>
          <c:idx val="2"/>
          <c:order val="2"/>
          <c:tx>
            <c:strRef>
              <c:f>Hydrograph!$D$3</c:f>
              <c:strCache>
                <c:ptCount val="1"/>
                <c:pt idx="0">
                  <c:v>Q supply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Hydrograph!$B$6:$B$60</c:f>
              <c:numCache>
                <c:formatCode>0.00</c:formatCode>
                <c:ptCount val="55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27</c:v>
                </c:pt>
                <c:pt idx="4">
                  <c:v>27</c:v>
                </c:pt>
                <c:pt idx="5">
                  <c:v>31</c:v>
                </c:pt>
                <c:pt idx="6">
                  <c:v>31</c:v>
                </c:pt>
                <c:pt idx="7">
                  <c:v>35</c:v>
                </c:pt>
                <c:pt idx="8">
                  <c:v>35</c:v>
                </c:pt>
                <c:pt idx="9">
                  <c:v>39</c:v>
                </c:pt>
                <c:pt idx="10">
                  <c:v>39</c:v>
                </c:pt>
                <c:pt idx="11">
                  <c:v>43</c:v>
                </c:pt>
                <c:pt idx="12">
                  <c:v>43</c:v>
                </c:pt>
                <c:pt idx="13">
                  <c:v>47</c:v>
                </c:pt>
                <c:pt idx="14">
                  <c:v>47</c:v>
                </c:pt>
                <c:pt idx="15">
                  <c:v>51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59</c:v>
                </c:pt>
                <c:pt idx="20">
                  <c:v>59</c:v>
                </c:pt>
                <c:pt idx="21">
                  <c:v>63</c:v>
                </c:pt>
                <c:pt idx="22">
                  <c:v>63</c:v>
                </c:pt>
                <c:pt idx="23">
                  <c:v>67</c:v>
                </c:pt>
                <c:pt idx="24">
                  <c:v>67</c:v>
                </c:pt>
                <c:pt idx="25">
                  <c:v>71</c:v>
                </c:pt>
                <c:pt idx="26">
                  <c:v>71</c:v>
                </c:pt>
                <c:pt idx="27">
                  <c:v>75</c:v>
                </c:pt>
                <c:pt idx="28">
                  <c:v>75</c:v>
                </c:pt>
              </c:numCache>
            </c:numRef>
          </c:xVal>
          <c:yVal>
            <c:numRef>
              <c:f>Hydrograph!$D$6:$D$60</c:f>
              <c:numCache>
                <c:formatCode>0.00</c:formatCode>
                <c:ptCount val="55"/>
                <c:pt idx="0">
                  <c:v>5.5</c:v>
                </c:pt>
                <c:pt idx="1">
                  <c:v>5.5</c:v>
                </c:pt>
                <c:pt idx="2">
                  <c:v>6.9877492509689825</c:v>
                </c:pt>
                <c:pt idx="3">
                  <c:v>6.9877492509689825</c:v>
                </c:pt>
                <c:pt idx="4">
                  <c:v>8.4754985019379649</c:v>
                </c:pt>
                <c:pt idx="5">
                  <c:v>8.4754985019379649</c:v>
                </c:pt>
                <c:pt idx="6">
                  <c:v>9.9632477529069483</c:v>
                </c:pt>
                <c:pt idx="7">
                  <c:v>9.9632477529069483</c:v>
                </c:pt>
                <c:pt idx="8">
                  <c:v>11.45099700387593</c:v>
                </c:pt>
                <c:pt idx="9">
                  <c:v>11.45099700387593</c:v>
                </c:pt>
                <c:pt idx="10">
                  <c:v>12.5</c:v>
                </c:pt>
                <c:pt idx="11">
                  <c:v>12.5</c:v>
                </c:pt>
                <c:pt idx="12">
                  <c:v>11.624853381782952</c:v>
                </c:pt>
                <c:pt idx="13">
                  <c:v>11.624853381782952</c:v>
                </c:pt>
                <c:pt idx="14">
                  <c:v>10.749706763565904</c:v>
                </c:pt>
                <c:pt idx="15">
                  <c:v>10.749706763565904</c:v>
                </c:pt>
                <c:pt idx="16">
                  <c:v>9.8745601453488554</c:v>
                </c:pt>
                <c:pt idx="17">
                  <c:v>9.8745601453488554</c:v>
                </c:pt>
                <c:pt idx="18">
                  <c:v>8.9994135271318072</c:v>
                </c:pt>
                <c:pt idx="19">
                  <c:v>8.9994135271318072</c:v>
                </c:pt>
                <c:pt idx="20">
                  <c:v>8.124266908914759</c:v>
                </c:pt>
                <c:pt idx="21">
                  <c:v>8.124266908914759</c:v>
                </c:pt>
                <c:pt idx="22">
                  <c:v>7.2491202906977108</c:v>
                </c:pt>
                <c:pt idx="23">
                  <c:v>7.2491202906977108</c:v>
                </c:pt>
                <c:pt idx="24">
                  <c:v>6.3739736724806626</c:v>
                </c:pt>
                <c:pt idx="25">
                  <c:v>6.3739736724806626</c:v>
                </c:pt>
                <c:pt idx="26">
                  <c:v>5.4988270542636144</c:v>
                </c:pt>
                <c:pt idx="27">
                  <c:v>5.4988270542636144</c:v>
                </c:pt>
                <c:pt idx="2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1-4B9C-A05E-B467424C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1984"/>
        <c:axId val="212292544"/>
      </c:scatterChart>
      <c:scatterChart>
        <c:scatterStyle val="lineMarker"/>
        <c:varyColors val="0"/>
        <c:ser>
          <c:idx val="1"/>
          <c:order val="1"/>
          <c:tx>
            <c:strRef>
              <c:f>Hydrograph!$E$4</c:f>
              <c:strCache>
                <c:ptCount val="1"/>
                <c:pt idx="0">
                  <c:v>Qb [kg/s]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Hydrograph!$K$25:$K$27</c:f>
              <c:numCache>
                <c:formatCode>0.0</c:formatCode>
                <c:ptCount val="3"/>
                <c:pt idx="0" formatCode="General">
                  <c:v>23</c:v>
                </c:pt>
                <c:pt idx="1">
                  <c:v>41.820375800400086</c:v>
                </c:pt>
                <c:pt idx="2">
                  <c:v>73.900000000000006</c:v>
                </c:pt>
              </c:numCache>
            </c:numRef>
          </c:xVal>
          <c:yVal>
            <c:numRef>
              <c:f>Hydrograph!$N$25:$N$27</c:f>
              <c:numCache>
                <c:formatCode>General</c:formatCode>
                <c:ptCount val="3"/>
                <c:pt idx="0">
                  <c:v>7.3699999999999988E-2</c:v>
                </c:pt>
                <c:pt idx="1">
                  <c:v>0.16750000000000001</c:v>
                </c:pt>
                <c:pt idx="2">
                  <c:v>7.3699999999999988E-2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1-4B9C-A05E-B467424CD1AE}"/>
            </c:ext>
          </c:extLst>
        </c:ser>
        <c:ser>
          <c:idx val="3"/>
          <c:order val="3"/>
          <c:tx>
            <c:strRef>
              <c:f>Hydrograph!$E$3</c:f>
              <c:strCache>
                <c:ptCount val="1"/>
                <c:pt idx="0">
                  <c:v>Qb supply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Hydrograph!$B$6:$B$60</c:f>
              <c:numCache>
                <c:formatCode>0.00</c:formatCode>
                <c:ptCount val="55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27</c:v>
                </c:pt>
                <c:pt idx="4">
                  <c:v>27</c:v>
                </c:pt>
                <c:pt idx="5">
                  <c:v>31</c:v>
                </c:pt>
                <c:pt idx="6">
                  <c:v>31</c:v>
                </c:pt>
                <c:pt idx="7">
                  <c:v>35</c:v>
                </c:pt>
                <c:pt idx="8">
                  <c:v>35</c:v>
                </c:pt>
                <c:pt idx="9">
                  <c:v>39</c:v>
                </c:pt>
                <c:pt idx="10">
                  <c:v>39</c:v>
                </c:pt>
                <c:pt idx="11">
                  <c:v>43</c:v>
                </c:pt>
                <c:pt idx="12">
                  <c:v>43</c:v>
                </c:pt>
                <c:pt idx="13">
                  <c:v>47</c:v>
                </c:pt>
                <c:pt idx="14">
                  <c:v>47</c:v>
                </c:pt>
                <c:pt idx="15">
                  <c:v>51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59</c:v>
                </c:pt>
                <c:pt idx="20">
                  <c:v>59</c:v>
                </c:pt>
                <c:pt idx="21">
                  <c:v>63</c:v>
                </c:pt>
                <c:pt idx="22">
                  <c:v>63</c:v>
                </c:pt>
                <c:pt idx="23">
                  <c:v>67</c:v>
                </c:pt>
                <c:pt idx="24">
                  <c:v>67</c:v>
                </c:pt>
                <c:pt idx="25">
                  <c:v>71</c:v>
                </c:pt>
                <c:pt idx="26">
                  <c:v>71</c:v>
                </c:pt>
                <c:pt idx="27">
                  <c:v>75</c:v>
                </c:pt>
                <c:pt idx="28">
                  <c:v>75</c:v>
                </c:pt>
              </c:numCache>
            </c:numRef>
          </c:xVal>
          <c:yVal>
            <c:numRef>
              <c:f>Hydrograph!$E$6:$E$60</c:f>
              <c:numCache>
                <c:formatCode>0.000000</c:formatCode>
                <c:ptCount val="55"/>
                <c:pt idx="0">
                  <c:v>7.3699999999999988E-2</c:v>
                </c:pt>
                <c:pt idx="1">
                  <c:v>7.3699999999999988E-2</c:v>
                </c:pt>
                <c:pt idx="2">
                  <c:v>9.3635839962984357E-2</c:v>
                </c:pt>
                <c:pt idx="3">
                  <c:v>9.3635839962984357E-2</c:v>
                </c:pt>
                <c:pt idx="4">
                  <c:v>0.11357167992596873</c:v>
                </c:pt>
                <c:pt idx="5">
                  <c:v>0.11357167992596873</c:v>
                </c:pt>
                <c:pt idx="6">
                  <c:v>0.13350751988895312</c:v>
                </c:pt>
                <c:pt idx="7">
                  <c:v>0.13350751988895312</c:v>
                </c:pt>
                <c:pt idx="8">
                  <c:v>0.15344335985193747</c:v>
                </c:pt>
                <c:pt idx="9">
                  <c:v>0.15344335985193747</c:v>
                </c:pt>
                <c:pt idx="10">
                  <c:v>0.16750000000000001</c:v>
                </c:pt>
                <c:pt idx="11">
                  <c:v>0.16750000000000001</c:v>
                </c:pt>
                <c:pt idx="12">
                  <c:v>0.15577303531589157</c:v>
                </c:pt>
                <c:pt idx="13">
                  <c:v>0.15577303531589157</c:v>
                </c:pt>
                <c:pt idx="14">
                  <c:v>0.14404607063178312</c:v>
                </c:pt>
                <c:pt idx="15">
                  <c:v>0.14404607063178312</c:v>
                </c:pt>
                <c:pt idx="16">
                  <c:v>0.13231910594767465</c:v>
                </c:pt>
                <c:pt idx="17">
                  <c:v>0.13231910594767465</c:v>
                </c:pt>
                <c:pt idx="18">
                  <c:v>0.12059214126356621</c:v>
                </c:pt>
                <c:pt idx="19">
                  <c:v>0.12059214126356621</c:v>
                </c:pt>
                <c:pt idx="20">
                  <c:v>0.10886517657945778</c:v>
                </c:pt>
                <c:pt idx="21">
                  <c:v>0.10886517657945778</c:v>
                </c:pt>
                <c:pt idx="22">
                  <c:v>9.7138211895349325E-2</c:v>
                </c:pt>
                <c:pt idx="23">
                  <c:v>9.7138211895349325E-2</c:v>
                </c:pt>
                <c:pt idx="24">
                  <c:v>8.5411247211240882E-2</c:v>
                </c:pt>
                <c:pt idx="25">
                  <c:v>8.5411247211240882E-2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C1-4B9C-A05E-B467424C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664"/>
        <c:axId val="212293104"/>
      </c:scatterChart>
      <c:valAx>
        <c:axId val="2122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time [minutes]</a:t>
                </a:r>
              </a:p>
            </c:rich>
          </c:tx>
          <c:layout>
            <c:manualLayout>
              <c:xMode val="edge"/>
              <c:yMode val="edge"/>
              <c:x val="0.40459291960889826"/>
              <c:y val="0.91539480894402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92544"/>
        <c:crosses val="autoZero"/>
        <c:crossBetween val="midCat"/>
      </c:valAx>
      <c:valAx>
        <c:axId val="212292544"/>
        <c:scaling>
          <c:orientation val="minMax"/>
          <c:max val="1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Discharge [l/s]</a:t>
                </a:r>
              </a:p>
            </c:rich>
          </c:tx>
          <c:layout>
            <c:manualLayout>
              <c:xMode val="edge"/>
              <c:yMode val="edge"/>
              <c:x val="1.4876801487680148E-2"/>
              <c:y val="0.31057154717982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91984"/>
        <c:crosses val="autoZero"/>
        <c:crossBetween val="midCat"/>
        <c:majorUnit val="2.5"/>
      </c:valAx>
      <c:valAx>
        <c:axId val="212293104"/>
        <c:scaling>
          <c:orientation val="minMax"/>
          <c:max val="0.23"/>
          <c:min val="7.0000000000000007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Sediment</a:t>
                </a:r>
                <a:r>
                  <a:rPr lang="fr-CH" baseline="0"/>
                  <a:t> supply [kg/s]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93664"/>
        <c:crosses val="max"/>
        <c:crossBetween val="midCat"/>
        <c:majorUnit val="4.0000000000000008E-2"/>
      </c:valAx>
      <c:valAx>
        <c:axId val="21229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93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6165184010901"/>
          <c:y val="6.1458673832825855E-2"/>
          <c:w val="0.23622256868473804"/>
          <c:h val="0.221182223769842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610720</xdr:colOff>
      <xdr:row>14</xdr:row>
      <xdr:rowOff>202267</xdr:rowOff>
    </xdr:from>
    <xdr:to>
      <xdr:col>25</xdr:col>
      <xdr:colOff>627529</xdr:colOff>
      <xdr:row>34</xdr:row>
      <xdr:rowOff>39781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tabSelected="1" zoomScale="85" zoomScaleNormal="85" workbookViewId="0">
      <selection activeCell="AD32" sqref="AD32"/>
    </sheetView>
  </sheetViews>
  <sheetFormatPr defaultRowHeight="15.75" x14ac:dyDescent="0.25"/>
  <cols>
    <col min="1" max="3" width="9" style="1"/>
    <col min="4" max="4" width="8.375" style="1" customWidth="1"/>
    <col min="5" max="5" width="9" style="1"/>
    <col min="6" max="6" width="12.75" style="1" customWidth="1"/>
    <col min="7" max="8" width="7.125" style="1" customWidth="1"/>
    <col min="9" max="9" width="10.625" style="55" customWidth="1"/>
    <col min="10" max="10" width="9" style="1"/>
    <col min="11" max="11" width="12.25" style="1" customWidth="1"/>
    <col min="12" max="12" width="9.75" style="1" customWidth="1"/>
    <col min="13" max="13" width="9" style="1"/>
    <col min="14" max="14" width="9.875" style="1" bestFit="1" customWidth="1"/>
    <col min="15" max="18" width="9" style="1"/>
    <col min="19" max="19" width="14.875" style="1" customWidth="1"/>
    <col min="20" max="20" width="6.5" style="1" customWidth="1"/>
    <col min="21" max="21" width="4.75" style="1" customWidth="1"/>
    <col min="22" max="22" width="5.625" style="1" customWidth="1"/>
    <col min="23" max="23" width="5.75" style="1" customWidth="1"/>
    <col min="24" max="24" width="7.75" style="1" customWidth="1"/>
    <col min="25" max="25" width="9.25" style="1" customWidth="1"/>
    <col min="26" max="26" width="8.625" style="1" customWidth="1"/>
    <col min="27" max="27" width="10.625" style="1" customWidth="1"/>
    <col min="28" max="16384" width="9" style="1"/>
  </cols>
  <sheetData>
    <row r="1" spans="2:27" x14ac:dyDescent="0.25">
      <c r="B1" s="63"/>
      <c r="C1" s="63"/>
      <c r="D1" s="63"/>
    </row>
    <row r="3" spans="2:27" x14ac:dyDescent="0.25">
      <c r="B3" s="66" t="s">
        <v>63</v>
      </c>
      <c r="C3" s="67"/>
      <c r="D3" s="48" t="s">
        <v>28</v>
      </c>
      <c r="E3" s="66" t="s">
        <v>29</v>
      </c>
      <c r="F3" s="72"/>
      <c r="G3" s="72"/>
      <c r="H3" s="72"/>
      <c r="I3" s="67"/>
      <c r="K3" s="1" t="s">
        <v>6</v>
      </c>
      <c r="L3" s="2">
        <v>1.7</v>
      </c>
      <c r="M3" s="1" t="s">
        <v>7</v>
      </c>
      <c r="O3" s="3" t="s">
        <v>17</v>
      </c>
      <c r="P3" s="3"/>
    </row>
    <row r="4" spans="2:27" ht="18.75" x14ac:dyDescent="0.35">
      <c r="B4" s="68" t="s">
        <v>0</v>
      </c>
      <c r="C4" s="69"/>
      <c r="D4" s="36" t="s">
        <v>4</v>
      </c>
      <c r="E4" s="36" t="s">
        <v>5</v>
      </c>
      <c r="F4" s="68" t="s">
        <v>59</v>
      </c>
      <c r="G4" s="71"/>
      <c r="H4" s="69"/>
      <c r="I4" s="36" t="s">
        <v>61</v>
      </c>
      <c r="K4" s="1" t="s">
        <v>30</v>
      </c>
      <c r="L4" s="2">
        <v>5.5</v>
      </c>
      <c r="M4" s="1" t="s">
        <v>1</v>
      </c>
      <c r="O4" s="3" t="s">
        <v>18</v>
      </c>
      <c r="P4" s="3"/>
    </row>
    <row r="5" spans="2:27" ht="18.75" x14ac:dyDescent="0.35">
      <c r="B5" s="37" t="s">
        <v>2</v>
      </c>
      <c r="C5" s="37" t="s">
        <v>62</v>
      </c>
      <c r="D5" s="37" t="s">
        <v>1</v>
      </c>
      <c r="E5" s="37" t="s">
        <v>3</v>
      </c>
      <c r="F5" s="37" t="s">
        <v>60</v>
      </c>
      <c r="G5" s="37" t="s">
        <v>65</v>
      </c>
      <c r="H5" s="37" t="s">
        <v>66</v>
      </c>
      <c r="I5" s="37" t="s">
        <v>15</v>
      </c>
      <c r="K5" s="1" t="s">
        <v>31</v>
      </c>
      <c r="L5" s="4">
        <v>5.0000000000000001E-3</v>
      </c>
      <c r="M5" s="1" t="s">
        <v>7</v>
      </c>
      <c r="O5" s="5" t="s">
        <v>19</v>
      </c>
      <c r="P5" s="12">
        <v>-2.0875728819751518</v>
      </c>
      <c r="S5" s="64" t="s">
        <v>51</v>
      </c>
      <c r="T5" s="70"/>
      <c r="U5" s="47"/>
      <c r="V5" s="64" t="s">
        <v>47</v>
      </c>
      <c r="W5" s="65"/>
      <c r="X5" s="64" t="s">
        <v>48</v>
      </c>
      <c r="Y5" s="65"/>
      <c r="Z5" s="28" t="s">
        <v>49</v>
      </c>
      <c r="AA5" s="29"/>
    </row>
    <row r="6" spans="2:27" ht="18.75" x14ac:dyDescent="0.35">
      <c r="B6" s="44">
        <v>0</v>
      </c>
      <c r="C6" s="41">
        <f>B6/1440</f>
        <v>0</v>
      </c>
      <c r="D6" s="38">
        <f>L4</f>
        <v>5.5</v>
      </c>
      <c r="E6" s="33">
        <f>D6/1000*2680*$L$5</f>
        <v>7.3699999999999988E-2</v>
      </c>
      <c r="F6" s="38">
        <v>1.1499999999999999</v>
      </c>
      <c r="G6" s="59">
        <v>16</v>
      </c>
      <c r="H6" s="59">
        <v>3</v>
      </c>
      <c r="I6" s="33"/>
      <c r="K6" s="1" t="s">
        <v>8</v>
      </c>
      <c r="L6" s="2">
        <v>2.14</v>
      </c>
      <c r="M6" s="1" t="s">
        <v>9</v>
      </c>
      <c r="O6" s="5" t="s">
        <v>20</v>
      </c>
      <c r="P6" s="12">
        <v>-0.13498854411867559</v>
      </c>
      <c r="S6" s="16" t="s">
        <v>34</v>
      </c>
      <c r="T6" s="17">
        <f>L16</f>
        <v>5.0815014661080245E-2</v>
      </c>
      <c r="U6" s="18" t="s">
        <v>15</v>
      </c>
      <c r="V6" s="16" t="s">
        <v>36</v>
      </c>
      <c r="W6" s="22">
        <f>N18</f>
        <v>18.82037580040009</v>
      </c>
      <c r="X6" s="24" t="s">
        <v>55</v>
      </c>
      <c r="Y6" s="25">
        <f>L25</f>
        <v>5.5</v>
      </c>
      <c r="Z6" s="24" t="s">
        <v>56</v>
      </c>
      <c r="AA6" s="26">
        <f>N25</f>
        <v>7.3699999999999988E-2</v>
      </c>
    </row>
    <row r="7" spans="2:27" ht="18.75" x14ac:dyDescent="0.35">
      <c r="B7" s="45">
        <v>23</v>
      </c>
      <c r="C7" s="42"/>
      <c r="D7" s="39">
        <f>D6</f>
        <v>5.5</v>
      </c>
      <c r="E7" s="31">
        <f t="shared" ref="E7:E31" si="0">D7/1000*2680*$L$5</f>
        <v>7.3699999999999988E-2</v>
      </c>
      <c r="F7" s="39"/>
      <c r="G7" s="60"/>
      <c r="H7" s="60"/>
      <c r="I7" s="31">
        <f>0.5*(B7-B6)*60*E7/2680</f>
        <v>1.8974999999999999E-2</v>
      </c>
      <c r="K7" s="1" t="s">
        <v>10</v>
      </c>
      <c r="L7" s="2">
        <v>1.4266666666666667</v>
      </c>
      <c r="M7" s="1" t="s">
        <v>9</v>
      </c>
      <c r="O7" s="5" t="s">
        <v>21</v>
      </c>
      <c r="P7" s="12">
        <v>4.4485635575600977</v>
      </c>
      <c r="S7" s="16" t="s">
        <v>35</v>
      </c>
      <c r="T7" s="17">
        <f>L17</f>
        <v>8.6385524923836388E-2</v>
      </c>
      <c r="U7" s="18" t="s">
        <v>15</v>
      </c>
      <c r="V7" s="16" t="s">
        <v>37</v>
      </c>
      <c r="W7" s="22">
        <f>N19</f>
        <v>31.994638860680151</v>
      </c>
      <c r="X7" s="24" t="s">
        <v>33</v>
      </c>
      <c r="Y7" s="25">
        <f>L26</f>
        <v>12.5</v>
      </c>
      <c r="Z7" s="24" t="s">
        <v>50</v>
      </c>
      <c r="AA7" s="26">
        <f>Qb_peak_big</f>
        <v>0.16750000000000001</v>
      </c>
    </row>
    <row r="8" spans="2:27" ht="18.75" x14ac:dyDescent="0.35">
      <c r="B8" s="44">
        <f>B7</f>
        <v>23</v>
      </c>
      <c r="C8" s="41">
        <f t="shared" ref="C8:C34" si="1">B8/1440</f>
        <v>1.5972222222222221E-2</v>
      </c>
      <c r="D8" s="38">
        <f>D7+$L$32</f>
        <v>6.9877492509689825</v>
      </c>
      <c r="E8" s="33">
        <f t="shared" si="0"/>
        <v>9.3635839962984357E-2</v>
      </c>
      <c r="F8" s="44">
        <v>1.1499999999999999</v>
      </c>
      <c r="G8" s="61">
        <v>16</v>
      </c>
      <c r="H8" s="59">
        <v>0</v>
      </c>
      <c r="I8" s="33"/>
      <c r="K8" s="1" t="s">
        <v>32</v>
      </c>
      <c r="L8" s="2">
        <v>0.26</v>
      </c>
      <c r="M8" s="1" t="s">
        <v>9</v>
      </c>
      <c r="O8" s="5" t="s">
        <v>22</v>
      </c>
      <c r="P8" s="4">
        <v>0.98699999999999999</v>
      </c>
      <c r="S8" s="16" t="s">
        <v>46</v>
      </c>
      <c r="T8" s="17">
        <f>L15</f>
        <v>0.13720053958491663</v>
      </c>
      <c r="U8" s="18" t="s">
        <v>15</v>
      </c>
      <c r="V8" s="16" t="s">
        <v>46</v>
      </c>
      <c r="W8" s="22">
        <f>SUM(W6:W7)</f>
        <v>50.815014661080241</v>
      </c>
      <c r="X8" s="16" t="s">
        <v>41</v>
      </c>
      <c r="Y8" s="25">
        <f>L32</f>
        <v>1.4877492509689825</v>
      </c>
      <c r="Z8" s="16" t="s">
        <v>57</v>
      </c>
      <c r="AA8" s="26">
        <f>(AA7-AA6)/7</f>
        <v>1.3400000000000004E-2</v>
      </c>
    </row>
    <row r="9" spans="2:27" ht="18.75" x14ac:dyDescent="0.35">
      <c r="B9" s="45">
        <f>B8+$N$30</f>
        <v>27</v>
      </c>
      <c r="C9" s="42"/>
      <c r="D9" s="39">
        <f>D8</f>
        <v>6.9877492509689825</v>
      </c>
      <c r="E9" s="31">
        <f t="shared" si="0"/>
        <v>9.3635839962984357E-2</v>
      </c>
      <c r="F9" s="39"/>
      <c r="G9" s="60"/>
      <c r="H9" s="60"/>
      <c r="I9" s="31">
        <f>(B9-B8)*60*E8/2680+I7</f>
        <v>2.7360299101162777E-2</v>
      </c>
      <c r="K9" s="1" t="s">
        <v>12</v>
      </c>
      <c r="L9" s="2">
        <v>0.28999999999999998</v>
      </c>
      <c r="M9" s="1" t="s">
        <v>9</v>
      </c>
      <c r="S9" s="19" t="s">
        <v>52</v>
      </c>
      <c r="T9" s="20">
        <f>L14*100</f>
        <v>20</v>
      </c>
      <c r="U9" s="21" t="s">
        <v>53</v>
      </c>
      <c r="V9" s="19" t="s">
        <v>54</v>
      </c>
      <c r="W9" s="23">
        <v>3</v>
      </c>
      <c r="X9" s="19" t="s">
        <v>42</v>
      </c>
      <c r="Y9" s="30">
        <f>L33</f>
        <v>-0.87514661821704853</v>
      </c>
      <c r="Z9" s="19" t="s">
        <v>58</v>
      </c>
      <c r="AA9" s="27">
        <f>-(AA7-AA6)/11</f>
        <v>-8.5272727272727288E-3</v>
      </c>
    </row>
    <row r="10" spans="2:27" x14ac:dyDescent="0.25">
      <c r="B10" s="44">
        <f t="shared" ref="B10" si="2">B9</f>
        <v>27</v>
      </c>
      <c r="C10" s="41">
        <f t="shared" si="1"/>
        <v>1.8749999999999999E-2</v>
      </c>
      <c r="D10" s="38">
        <f>D9+$L$32</f>
        <v>8.4754985019379649</v>
      </c>
      <c r="E10" s="33">
        <f t="shared" si="0"/>
        <v>0.11357167992596873</v>
      </c>
      <c r="F10" s="38">
        <v>2.15</v>
      </c>
      <c r="G10" s="61">
        <v>16</v>
      </c>
      <c r="H10" s="59">
        <v>6</v>
      </c>
      <c r="I10" s="33"/>
      <c r="K10" s="1" t="s">
        <v>11</v>
      </c>
      <c r="L10" s="7">
        <v>2.9092565645656618</v>
      </c>
      <c r="M10" s="1" t="s">
        <v>13</v>
      </c>
      <c r="O10" s="5" t="s">
        <v>43</v>
      </c>
      <c r="P10" s="1">
        <f>(L13-L4)/L18</f>
        <v>6.1989552123707607E-3</v>
      </c>
    </row>
    <row r="11" spans="2:27" x14ac:dyDescent="0.25">
      <c r="B11" s="45">
        <f>B10+$N$30</f>
        <v>31</v>
      </c>
      <c r="C11" s="42"/>
      <c r="D11" s="39">
        <f t="shared" ref="D11" si="3">D10</f>
        <v>8.4754985019379649</v>
      </c>
      <c r="E11" s="31">
        <f t="shared" si="0"/>
        <v>0.11357167992596873</v>
      </c>
      <c r="F11" s="39"/>
      <c r="G11" s="60"/>
      <c r="H11" s="60"/>
      <c r="I11" s="31">
        <f t="shared" ref="I11:I33" si="4">(B11-B10)*60*E10/2680+I9</f>
        <v>3.7530897303488332E-2</v>
      </c>
      <c r="K11" s="1" t="s">
        <v>14</v>
      </c>
      <c r="L11" s="7">
        <v>0.68600269792458313</v>
      </c>
      <c r="M11" s="1" t="s">
        <v>15</v>
      </c>
      <c r="O11" s="5" t="s">
        <v>44</v>
      </c>
      <c r="P11" s="1">
        <f>(L4-L13)/L19</f>
        <v>-3.6464442425710357E-3</v>
      </c>
    </row>
    <row r="12" spans="2:27" x14ac:dyDescent="0.25">
      <c r="B12" s="44">
        <f t="shared" ref="B12:B34" si="5">B11</f>
        <v>31</v>
      </c>
      <c r="C12" s="41">
        <f t="shared" si="1"/>
        <v>2.1527777777777778E-2</v>
      </c>
      <c r="D12" s="38">
        <f>D11+$L$32</f>
        <v>9.9632477529069483</v>
      </c>
      <c r="E12" s="33">
        <f t="shared" si="0"/>
        <v>0.13350751988895312</v>
      </c>
      <c r="F12" s="44">
        <v>2.15</v>
      </c>
      <c r="G12" s="61">
        <v>16</v>
      </c>
      <c r="H12" s="59">
        <v>0</v>
      </c>
      <c r="I12" s="33"/>
      <c r="K12" s="1" t="s">
        <v>16</v>
      </c>
      <c r="L12" s="7">
        <v>5.26843334573842E-2</v>
      </c>
      <c r="M12" s="1" t="s">
        <v>15</v>
      </c>
      <c r="O12" s="5"/>
    </row>
    <row r="13" spans="2:27" ht="18.75" x14ac:dyDescent="0.35">
      <c r="B13" s="45">
        <f>B12+$N$30</f>
        <v>35</v>
      </c>
      <c r="C13" s="42"/>
      <c r="D13" s="39">
        <f t="shared" ref="D13" si="6">D12</f>
        <v>9.9632477529069483</v>
      </c>
      <c r="E13" s="31">
        <f t="shared" si="0"/>
        <v>0.13350751988895312</v>
      </c>
      <c r="F13" s="39"/>
      <c r="G13" s="60"/>
      <c r="H13" s="60"/>
      <c r="I13" s="31">
        <f t="shared" si="4"/>
        <v>4.9486794606976671E-2</v>
      </c>
      <c r="K13" s="1" t="s">
        <v>33</v>
      </c>
      <c r="L13" s="8">
        <f>12.5</f>
        <v>12.5</v>
      </c>
      <c r="M13" s="1" t="s">
        <v>1</v>
      </c>
      <c r="O13" s="5"/>
    </row>
    <row r="14" spans="2:27" x14ac:dyDescent="0.25">
      <c r="B14" s="44">
        <f t="shared" si="5"/>
        <v>35</v>
      </c>
      <c r="C14" s="41">
        <f t="shared" si="1"/>
        <v>2.4305555555555556E-2</v>
      </c>
      <c r="D14" s="38">
        <f>D13+$L$32</f>
        <v>11.45099700387593</v>
      </c>
      <c r="E14" s="34">
        <f t="shared" si="0"/>
        <v>0.15344335985193747</v>
      </c>
      <c r="F14" s="38">
        <v>3</v>
      </c>
      <c r="G14" s="61">
        <v>16</v>
      </c>
      <c r="H14" s="59">
        <v>2</v>
      </c>
      <c r="I14" s="33"/>
      <c r="K14" s="9" t="s">
        <v>23</v>
      </c>
      <c r="L14" s="8">
        <v>0.2</v>
      </c>
      <c r="M14" s="1" t="s">
        <v>7</v>
      </c>
    </row>
    <row r="15" spans="2:27" ht="18.75" x14ac:dyDescent="0.35">
      <c r="B15" s="45">
        <f>B14+$N$30</f>
        <v>39</v>
      </c>
      <c r="C15" s="42"/>
      <c r="D15" s="39">
        <f t="shared" ref="D15" si="7">D14</f>
        <v>11.45099700387593</v>
      </c>
      <c r="E15" s="32">
        <f t="shared" si="0"/>
        <v>0.15344335985193747</v>
      </c>
      <c r="F15" s="39"/>
      <c r="G15" s="60"/>
      <c r="H15" s="60"/>
      <c r="I15" s="31">
        <f t="shared" si="4"/>
        <v>6.3227991011627793E-2</v>
      </c>
      <c r="K15" s="9" t="s">
        <v>64</v>
      </c>
      <c r="L15" s="13">
        <f>L14*L11</f>
        <v>0.13720053958491663</v>
      </c>
      <c r="M15" s="1" t="s">
        <v>15</v>
      </c>
    </row>
    <row r="16" spans="2:27" ht="18.75" x14ac:dyDescent="0.35">
      <c r="B16" s="44">
        <f t="shared" si="5"/>
        <v>39</v>
      </c>
      <c r="C16" s="41">
        <f t="shared" si="1"/>
        <v>2.7083333333333334E-2</v>
      </c>
      <c r="D16" s="38">
        <v>12.5</v>
      </c>
      <c r="E16" s="33">
        <f t="shared" si="0"/>
        <v>0.16750000000000001</v>
      </c>
      <c r="F16" s="38">
        <v>3.5</v>
      </c>
      <c r="G16" s="61">
        <v>16</v>
      </c>
      <c r="H16" s="61">
        <v>2</v>
      </c>
      <c r="I16" s="33"/>
      <c r="K16" s="9" t="s">
        <v>34</v>
      </c>
      <c r="L16" s="7">
        <f>L15*(1-L3/(1+L3))</f>
        <v>5.0815014661080245E-2</v>
      </c>
      <c r="M16" s="1" t="s">
        <v>15</v>
      </c>
    </row>
    <row r="17" spans="1:15" ht="18.75" x14ac:dyDescent="0.35">
      <c r="B17" s="45">
        <f>B16+$N$30</f>
        <v>43</v>
      </c>
      <c r="C17" s="42"/>
      <c r="D17" s="39">
        <f t="shared" ref="D17" si="8">D16</f>
        <v>12.5</v>
      </c>
      <c r="E17" s="31">
        <f t="shared" si="0"/>
        <v>0.16750000000000001</v>
      </c>
      <c r="F17" s="39"/>
      <c r="G17" s="60"/>
      <c r="H17" s="60"/>
      <c r="I17" s="31">
        <f t="shared" si="4"/>
        <v>7.8227991011627793E-2</v>
      </c>
      <c r="K17" s="9" t="s">
        <v>35</v>
      </c>
      <c r="L17" s="7">
        <f>L3/(L3+1)*L15</f>
        <v>8.6385524923836388E-2</v>
      </c>
      <c r="M17" s="1" t="s">
        <v>15</v>
      </c>
    </row>
    <row r="18" spans="1:15" ht="18.75" x14ac:dyDescent="0.35">
      <c r="B18" s="44">
        <f t="shared" si="5"/>
        <v>43</v>
      </c>
      <c r="C18" s="41">
        <f t="shared" si="1"/>
        <v>2.9861111111111113E-2</v>
      </c>
      <c r="D18" s="38">
        <f>D17+$L$33</f>
        <v>11.624853381782952</v>
      </c>
      <c r="E18" s="33">
        <f t="shared" si="0"/>
        <v>0.15577303531589157</v>
      </c>
      <c r="F18" s="38">
        <v>3</v>
      </c>
      <c r="G18" s="61">
        <v>16</v>
      </c>
      <c r="H18" s="59">
        <v>0</v>
      </c>
      <c r="I18" s="33"/>
      <c r="K18" s="9" t="s">
        <v>36</v>
      </c>
      <c r="L18" s="10">
        <f>2*L16/(Qb_peak_big+N25)*2680</f>
        <v>1129.2225480240054</v>
      </c>
      <c r="M18" s="1" t="s">
        <v>24</v>
      </c>
      <c r="N18" s="2">
        <f>L18/60</f>
        <v>18.82037580040009</v>
      </c>
      <c r="O18" s="1" t="s">
        <v>2</v>
      </c>
    </row>
    <row r="19" spans="1:15" ht="18.75" x14ac:dyDescent="0.35">
      <c r="B19" s="45">
        <f>B18+$N$30</f>
        <v>47</v>
      </c>
      <c r="C19" s="42"/>
      <c r="D19" s="39">
        <f t="shared" ref="D19" si="9">D18</f>
        <v>11.624853381782952</v>
      </c>
      <c r="E19" s="31">
        <f t="shared" si="0"/>
        <v>0.15577303531589157</v>
      </c>
      <c r="F19" s="39"/>
      <c r="G19" s="60"/>
      <c r="H19" s="60"/>
      <c r="I19" s="31">
        <f t="shared" si="4"/>
        <v>9.2177815069767341E-2</v>
      </c>
      <c r="K19" s="9" t="s">
        <v>37</v>
      </c>
      <c r="L19" s="10">
        <f>L18*1.7</f>
        <v>1919.6783316408091</v>
      </c>
      <c r="M19" s="1" t="s">
        <v>24</v>
      </c>
      <c r="N19" s="2">
        <f>L19/60</f>
        <v>31.994638860680151</v>
      </c>
      <c r="O19" s="1" t="s">
        <v>2</v>
      </c>
    </row>
    <row r="20" spans="1:15" x14ac:dyDescent="0.25">
      <c r="A20" s="14" t="s">
        <v>45</v>
      </c>
      <c r="B20" s="44">
        <f t="shared" si="5"/>
        <v>47</v>
      </c>
      <c r="C20" s="41">
        <f t="shared" si="1"/>
        <v>3.2638888888888891E-2</v>
      </c>
      <c r="D20" s="38">
        <f>D18+L33</f>
        <v>10.749706763565904</v>
      </c>
      <c r="E20" s="33">
        <f t="shared" si="0"/>
        <v>0.14404607063178312</v>
      </c>
      <c r="F20" s="44">
        <v>3</v>
      </c>
      <c r="G20" s="61">
        <v>16</v>
      </c>
      <c r="H20" s="59">
        <v>4</v>
      </c>
      <c r="I20" s="33"/>
      <c r="N20" s="2"/>
    </row>
    <row r="21" spans="1:15" x14ac:dyDescent="0.25">
      <c r="A21" s="15">
        <f>I19+(K26-B20)/(B21-B20)*(I21-I19)</f>
        <v>7.5473982682416701E-2</v>
      </c>
      <c r="B21" s="45">
        <f>B20+$N$30</f>
        <v>51</v>
      </c>
      <c r="C21" s="42"/>
      <c r="D21" s="39">
        <f t="shared" ref="D21" si="10">D20</f>
        <v>10.749706763565904</v>
      </c>
      <c r="E21" s="31">
        <f t="shared" si="0"/>
        <v>0.14404607063178312</v>
      </c>
      <c r="F21" s="39"/>
      <c r="G21" s="60"/>
      <c r="H21" s="60"/>
      <c r="I21" s="31">
        <f t="shared" si="4"/>
        <v>0.10507746318604642</v>
      </c>
    </row>
    <row r="22" spans="1:15" x14ac:dyDescent="0.25">
      <c r="A22" s="6"/>
      <c r="B22" s="44">
        <f>B21</f>
        <v>51</v>
      </c>
      <c r="C22" s="41">
        <f t="shared" si="1"/>
        <v>3.5416666666666666E-2</v>
      </c>
      <c r="D22" s="38">
        <f>D21+$L$33</f>
        <v>9.8745601453488554</v>
      </c>
      <c r="E22" s="33">
        <f t="shared" si="0"/>
        <v>0.13231910594767465</v>
      </c>
      <c r="F22" s="38">
        <v>2.15</v>
      </c>
      <c r="G22" s="61">
        <v>16</v>
      </c>
      <c r="H22" s="59">
        <v>0</v>
      </c>
      <c r="I22" s="33"/>
      <c r="K22" s="1" t="s">
        <v>25</v>
      </c>
    </row>
    <row r="23" spans="1:15" ht="18.75" x14ac:dyDescent="0.35">
      <c r="B23" s="45">
        <f>B22+$N$30</f>
        <v>55</v>
      </c>
      <c r="C23" s="42"/>
      <c r="D23" s="39">
        <f t="shared" ref="D23:D33" si="11">D22</f>
        <v>9.8745601453488554</v>
      </c>
      <c r="E23" s="31">
        <f t="shared" si="0"/>
        <v>0.13231910594767465</v>
      </c>
      <c r="F23" s="39"/>
      <c r="G23" s="60"/>
      <c r="H23" s="60"/>
      <c r="I23" s="31">
        <f t="shared" si="4"/>
        <v>0.11692693536046506</v>
      </c>
      <c r="K23" s="1" t="s">
        <v>0</v>
      </c>
      <c r="L23" s="1" t="s">
        <v>26</v>
      </c>
      <c r="M23" s="1" t="s">
        <v>38</v>
      </c>
      <c r="N23" s="1" t="s">
        <v>38</v>
      </c>
    </row>
    <row r="24" spans="1:15" x14ac:dyDescent="0.25">
      <c r="B24" s="44">
        <f t="shared" si="5"/>
        <v>55</v>
      </c>
      <c r="C24" s="41">
        <f t="shared" si="1"/>
        <v>3.8194444444444448E-2</v>
      </c>
      <c r="D24" s="38">
        <f>D23+$L$33</f>
        <v>8.9994135271318072</v>
      </c>
      <c r="E24" s="33">
        <f t="shared" si="0"/>
        <v>0.12059214126356621</v>
      </c>
      <c r="F24" s="44">
        <v>2.15</v>
      </c>
      <c r="G24" s="61">
        <v>16</v>
      </c>
      <c r="H24" s="59">
        <v>2</v>
      </c>
      <c r="I24" s="33"/>
      <c r="K24" s="1" t="s">
        <v>2</v>
      </c>
      <c r="L24" s="1" t="s">
        <v>1</v>
      </c>
      <c r="M24" s="1" t="s">
        <v>1</v>
      </c>
      <c r="N24" s="1" t="s">
        <v>3</v>
      </c>
    </row>
    <row r="25" spans="1:15" x14ac:dyDescent="0.25">
      <c r="B25" s="46">
        <f>B24+$N$30</f>
        <v>59</v>
      </c>
      <c r="C25" s="43"/>
      <c r="D25" s="40">
        <f t="shared" si="11"/>
        <v>8.9994135271318072</v>
      </c>
      <c r="E25" s="35">
        <f t="shared" si="0"/>
        <v>0.12059214126356621</v>
      </c>
      <c r="F25" s="46"/>
      <c r="G25" s="62"/>
      <c r="H25" s="62"/>
      <c r="I25" s="35">
        <f t="shared" si="4"/>
        <v>0.12772623159302324</v>
      </c>
      <c r="K25" s="1">
        <v>23</v>
      </c>
      <c r="L25" s="2">
        <f>L4</f>
        <v>5.5</v>
      </c>
      <c r="M25" s="1">
        <f>L25*$L$5</f>
        <v>2.75E-2</v>
      </c>
      <c r="N25" s="1">
        <f>L25/1000*2680*$L$5</f>
        <v>7.3699999999999988E-2</v>
      </c>
    </row>
    <row r="26" spans="1:15" x14ac:dyDescent="0.25">
      <c r="B26" s="44">
        <f t="shared" si="5"/>
        <v>59</v>
      </c>
      <c r="C26" s="41">
        <f t="shared" si="1"/>
        <v>4.0972222222222222E-2</v>
      </c>
      <c r="D26" s="38">
        <f>D25+$L$33</f>
        <v>8.124266908914759</v>
      </c>
      <c r="E26" s="33">
        <f t="shared" si="0"/>
        <v>0.10886517657945778</v>
      </c>
      <c r="F26" s="44">
        <v>2.15</v>
      </c>
      <c r="G26" s="59">
        <v>14</v>
      </c>
      <c r="H26" s="59">
        <v>4</v>
      </c>
      <c r="I26" s="33"/>
      <c r="K26" s="10">
        <f>L18/60+K25</f>
        <v>41.820375800400086</v>
      </c>
      <c r="L26" s="2">
        <f>L13</f>
        <v>12.5</v>
      </c>
      <c r="M26" s="1">
        <f t="shared" ref="M26:M27" si="12">L26*$L$5</f>
        <v>6.25E-2</v>
      </c>
      <c r="N26" s="1">
        <f t="shared" ref="N26:N27" si="13">L26/1000*2680*$L$5</f>
        <v>0.16750000000000001</v>
      </c>
    </row>
    <row r="27" spans="1:15" x14ac:dyDescent="0.25">
      <c r="B27" s="46">
        <f>B26+$N$30</f>
        <v>63</v>
      </c>
      <c r="C27" s="43"/>
      <c r="D27" s="40">
        <f t="shared" si="11"/>
        <v>8.124266908914759</v>
      </c>
      <c r="E27" s="35">
        <f t="shared" si="0"/>
        <v>0.10886517657945778</v>
      </c>
      <c r="F27" s="46"/>
      <c r="G27" s="62"/>
      <c r="H27" s="62"/>
      <c r="I27" s="57">
        <f t="shared" si="4"/>
        <v>0.13747535188372095</v>
      </c>
      <c r="K27" s="10">
        <f>ROUNDUP((L18+L19)/60,1)+K25</f>
        <v>73.900000000000006</v>
      </c>
      <c r="L27" s="2">
        <f>L4</f>
        <v>5.5</v>
      </c>
      <c r="M27" s="1">
        <f t="shared" si="12"/>
        <v>2.75E-2</v>
      </c>
      <c r="N27" s="1">
        <f t="shared" si="13"/>
        <v>7.3699999999999988E-2</v>
      </c>
    </row>
    <row r="28" spans="1:15" x14ac:dyDescent="0.25">
      <c r="B28" s="44">
        <f t="shared" si="5"/>
        <v>63</v>
      </c>
      <c r="C28" s="41">
        <f t="shared" si="1"/>
        <v>4.3749999999999997E-2</v>
      </c>
      <c r="D28" s="38">
        <f t="shared" ref="D28" si="14">D27+$L$33</f>
        <v>7.2491202906977108</v>
      </c>
      <c r="E28" s="33">
        <f t="shared" si="0"/>
        <v>9.7138211895349325E-2</v>
      </c>
      <c r="F28" s="44">
        <v>2.15</v>
      </c>
      <c r="G28" s="61">
        <v>14</v>
      </c>
      <c r="H28" s="59">
        <v>6</v>
      </c>
      <c r="I28" s="33"/>
    </row>
    <row r="29" spans="1:15" x14ac:dyDescent="0.25">
      <c r="B29" s="45">
        <f>B28+$N$30</f>
        <v>67</v>
      </c>
      <c r="C29" s="42"/>
      <c r="D29" s="39">
        <f t="shared" si="11"/>
        <v>7.2491202906977108</v>
      </c>
      <c r="E29" s="31">
        <f t="shared" si="0"/>
        <v>9.7138211895349325E-2</v>
      </c>
      <c r="F29" s="45"/>
      <c r="G29" s="60"/>
      <c r="H29" s="60"/>
      <c r="I29" s="31">
        <f t="shared" si="4"/>
        <v>0.1461742962325582</v>
      </c>
      <c r="K29" s="1" t="s">
        <v>27</v>
      </c>
    </row>
    <row r="30" spans="1:15" ht="18.75" x14ac:dyDescent="0.35">
      <c r="B30" s="44">
        <f t="shared" si="5"/>
        <v>67</v>
      </c>
      <c r="C30" s="41">
        <f t="shared" si="1"/>
        <v>4.6527777777777779E-2</v>
      </c>
      <c r="D30" s="38">
        <f t="shared" ref="D30" si="15">D29+$L$33</f>
        <v>6.3739736724806626</v>
      </c>
      <c r="E30" s="33">
        <f t="shared" si="0"/>
        <v>8.5411247211240882E-2</v>
      </c>
      <c r="F30" s="44">
        <v>2.15</v>
      </c>
      <c r="G30" s="59">
        <v>12</v>
      </c>
      <c r="H30" s="61">
        <v>6</v>
      </c>
      <c r="I30" s="33"/>
      <c r="K30" s="9" t="s">
        <v>39</v>
      </c>
      <c r="L30" s="11">
        <v>240</v>
      </c>
      <c r="M30" s="1" t="s">
        <v>24</v>
      </c>
      <c r="N30" s="2">
        <f>L30/60</f>
        <v>4</v>
      </c>
      <c r="O30" s="1" t="s">
        <v>2</v>
      </c>
    </row>
    <row r="31" spans="1:15" ht="18.75" x14ac:dyDescent="0.35">
      <c r="B31" s="45">
        <f>B30+$N$30</f>
        <v>71</v>
      </c>
      <c r="C31" s="42"/>
      <c r="D31" s="39">
        <f t="shared" si="11"/>
        <v>6.3739736724806626</v>
      </c>
      <c r="E31" s="31">
        <f t="shared" si="0"/>
        <v>8.5411247211240882E-2</v>
      </c>
      <c r="F31" s="39"/>
      <c r="G31" s="39"/>
      <c r="H31" s="39"/>
      <c r="I31" s="31">
        <f t="shared" si="4"/>
        <v>0.15382306463953499</v>
      </c>
      <c r="K31" s="9" t="s">
        <v>40</v>
      </c>
      <c r="L31" s="11">
        <v>240</v>
      </c>
      <c r="M31" s="1" t="s">
        <v>24</v>
      </c>
      <c r="N31" s="2">
        <f>L31/60</f>
        <v>4</v>
      </c>
      <c r="O31" s="1" t="s">
        <v>2</v>
      </c>
    </row>
    <row r="32" spans="1:15" ht="18.75" x14ac:dyDescent="0.35">
      <c r="B32" s="44">
        <f t="shared" si="5"/>
        <v>71</v>
      </c>
      <c r="C32" s="41">
        <f t="shared" si="1"/>
        <v>4.9305555555555554E-2</v>
      </c>
      <c r="D32" s="38">
        <f t="shared" ref="D32" si="16">D31+$L$33</f>
        <v>5.4988270542636144</v>
      </c>
      <c r="E32" s="33">
        <v>0</v>
      </c>
      <c r="F32" s="38" t="s">
        <v>67</v>
      </c>
      <c r="G32" s="54" t="s">
        <v>68</v>
      </c>
      <c r="H32" s="54" t="s">
        <v>68</v>
      </c>
      <c r="I32" s="33"/>
      <c r="K32" s="9" t="s">
        <v>41</v>
      </c>
      <c r="L32" s="1">
        <f>m_rise_big*L30</f>
        <v>1.4877492509689825</v>
      </c>
    </row>
    <row r="33" spans="2:12" ht="18.75" x14ac:dyDescent="0.35">
      <c r="B33" s="45">
        <f>B32+$N$30</f>
        <v>75</v>
      </c>
      <c r="C33" s="42"/>
      <c r="D33" s="39">
        <f t="shared" si="11"/>
        <v>5.4988270542636144</v>
      </c>
      <c r="E33" s="31">
        <v>0</v>
      </c>
      <c r="F33" s="39"/>
      <c r="G33" s="39"/>
      <c r="H33" s="39"/>
      <c r="I33" s="58">
        <f t="shared" si="4"/>
        <v>0.15382306463953499</v>
      </c>
      <c r="K33" s="9" t="s">
        <v>42</v>
      </c>
      <c r="L33" s="1">
        <f>m_fall_big*L31</f>
        <v>-0.87514661821704853</v>
      </c>
    </row>
    <row r="34" spans="2:12" x14ac:dyDescent="0.25">
      <c r="B34" s="44">
        <f t="shared" si="5"/>
        <v>75</v>
      </c>
      <c r="C34" s="41">
        <f t="shared" si="1"/>
        <v>5.2083333333333336E-2</v>
      </c>
      <c r="D34" s="38">
        <v>5.5</v>
      </c>
      <c r="E34" s="33">
        <v>0</v>
      </c>
      <c r="F34" s="38" t="s">
        <v>67</v>
      </c>
      <c r="G34" s="54" t="s">
        <v>68</v>
      </c>
      <c r="H34" s="54" t="s">
        <v>68</v>
      </c>
      <c r="I34" s="33"/>
    </row>
    <row r="35" spans="2:12" x14ac:dyDescent="0.25">
      <c r="B35" s="49"/>
      <c r="C35" s="50"/>
      <c r="D35" s="51"/>
      <c r="E35" s="52"/>
      <c r="F35" s="51"/>
      <c r="G35" s="51"/>
      <c r="H35" s="51"/>
      <c r="I35" s="56"/>
    </row>
    <row r="36" spans="2:12" x14ac:dyDescent="0.25">
      <c r="B36" s="49"/>
      <c r="C36" s="50"/>
      <c r="D36" s="51"/>
      <c r="E36" s="52"/>
      <c r="F36" s="51"/>
      <c r="G36" s="51"/>
      <c r="H36" s="51"/>
      <c r="I36" s="56"/>
    </row>
    <row r="37" spans="2:12" x14ac:dyDescent="0.25">
      <c r="B37" s="49"/>
      <c r="C37" s="50"/>
      <c r="D37" s="51"/>
      <c r="E37" s="52"/>
      <c r="F37" s="51"/>
      <c r="G37" s="51"/>
      <c r="H37" s="51"/>
      <c r="I37" s="56"/>
    </row>
    <row r="38" spans="2:12" x14ac:dyDescent="0.25">
      <c r="B38" s="49"/>
      <c r="C38" s="50"/>
      <c r="D38" s="51"/>
      <c r="E38" s="53"/>
      <c r="F38" s="51"/>
      <c r="G38" s="51"/>
      <c r="H38" s="51"/>
      <c r="I38" s="56"/>
    </row>
    <row r="39" spans="2:12" x14ac:dyDescent="0.25">
      <c r="B39" s="49"/>
      <c r="C39" s="50"/>
      <c r="D39" s="51"/>
      <c r="E39" s="53"/>
      <c r="F39" s="51"/>
      <c r="G39" s="51"/>
      <c r="H39" s="51"/>
      <c r="I39" s="56"/>
    </row>
    <row r="40" spans="2:12" x14ac:dyDescent="0.25">
      <c r="B40" s="49"/>
      <c r="C40" s="50"/>
      <c r="D40" s="51"/>
      <c r="E40" s="52"/>
      <c r="F40" s="51"/>
      <c r="G40" s="51"/>
      <c r="H40" s="51"/>
      <c r="I40" s="56"/>
    </row>
    <row r="41" spans="2:12" x14ac:dyDescent="0.25">
      <c r="B41" s="49"/>
      <c r="C41" s="50"/>
      <c r="D41" s="51"/>
      <c r="E41" s="52"/>
      <c r="F41" s="51"/>
      <c r="G41" s="51"/>
      <c r="H41" s="51"/>
      <c r="I41" s="56"/>
    </row>
    <row r="42" spans="2:12" x14ac:dyDescent="0.25">
      <c r="B42" s="49"/>
      <c r="C42" s="50"/>
      <c r="D42" s="51"/>
      <c r="E42" s="53"/>
      <c r="F42" s="51"/>
      <c r="G42" s="51"/>
      <c r="H42" s="51"/>
      <c r="I42" s="56"/>
    </row>
    <row r="43" spans="2:12" x14ac:dyDescent="0.25">
      <c r="B43" s="49"/>
      <c r="C43" s="50"/>
      <c r="D43" s="51"/>
      <c r="E43" s="53"/>
      <c r="F43" s="51"/>
      <c r="G43" s="51"/>
      <c r="H43" s="51"/>
      <c r="I43" s="56"/>
    </row>
    <row r="44" spans="2:12" x14ac:dyDescent="0.25">
      <c r="B44" s="49"/>
      <c r="C44" s="50"/>
      <c r="D44" s="51"/>
      <c r="E44" s="52"/>
      <c r="F44" s="51"/>
      <c r="G44" s="51"/>
      <c r="H44" s="51"/>
      <c r="I44" s="56"/>
    </row>
    <row r="45" spans="2:12" x14ac:dyDescent="0.25">
      <c r="B45" s="49"/>
      <c r="C45" s="50"/>
      <c r="D45" s="51"/>
      <c r="E45" s="53"/>
      <c r="F45" s="51"/>
      <c r="G45" s="51"/>
      <c r="H45" s="51"/>
      <c r="I45" s="56"/>
    </row>
    <row r="46" spans="2:12" x14ac:dyDescent="0.25">
      <c r="B46" s="49"/>
      <c r="C46" s="50"/>
      <c r="D46" s="51"/>
      <c r="E46" s="52"/>
      <c r="F46" s="51"/>
      <c r="G46" s="51"/>
      <c r="H46" s="51"/>
      <c r="I46" s="56"/>
    </row>
    <row r="47" spans="2:12" x14ac:dyDescent="0.25">
      <c r="B47" s="49"/>
      <c r="C47" s="50"/>
      <c r="D47" s="51"/>
      <c r="E47" s="53"/>
      <c r="F47" s="51"/>
      <c r="G47" s="51"/>
      <c r="H47" s="51"/>
      <c r="I47" s="56"/>
    </row>
    <row r="48" spans="2:12" x14ac:dyDescent="0.25">
      <c r="B48" s="49"/>
      <c r="C48" s="50"/>
      <c r="D48" s="51"/>
      <c r="E48" s="52"/>
      <c r="F48" s="51"/>
      <c r="G48" s="51"/>
      <c r="H48" s="51"/>
      <c r="I48" s="56"/>
    </row>
    <row r="49" spans="2:9" x14ac:dyDescent="0.25">
      <c r="B49" s="49"/>
      <c r="C49" s="50"/>
      <c r="D49" s="51"/>
      <c r="E49" s="53"/>
      <c r="F49" s="51"/>
      <c r="G49" s="51"/>
      <c r="H49" s="51"/>
      <c r="I49" s="56"/>
    </row>
    <row r="50" spans="2:9" x14ac:dyDescent="0.25">
      <c r="B50" s="49"/>
      <c r="C50" s="50"/>
      <c r="D50" s="51"/>
      <c r="E50" s="52"/>
      <c r="F50" s="51"/>
      <c r="G50" s="51"/>
      <c r="H50" s="51"/>
      <c r="I50" s="56"/>
    </row>
    <row r="51" spans="2:9" x14ac:dyDescent="0.25">
      <c r="B51" s="49"/>
      <c r="C51" s="50"/>
      <c r="D51" s="51"/>
      <c r="E51" s="53"/>
      <c r="F51" s="51"/>
      <c r="G51" s="51"/>
      <c r="H51" s="51"/>
      <c r="I51" s="56"/>
    </row>
    <row r="52" spans="2:9" x14ac:dyDescent="0.25">
      <c r="B52" s="49"/>
      <c r="C52" s="50"/>
      <c r="D52" s="51"/>
      <c r="E52" s="52"/>
      <c r="F52" s="51"/>
      <c r="G52" s="51"/>
      <c r="H52" s="51"/>
      <c r="I52" s="56"/>
    </row>
    <row r="53" spans="2:9" x14ac:dyDescent="0.25">
      <c r="B53" s="49"/>
      <c r="C53" s="50"/>
      <c r="D53" s="51"/>
      <c r="E53" s="53"/>
      <c r="F53" s="51"/>
      <c r="G53" s="51"/>
      <c r="H53" s="51"/>
      <c r="I53" s="56"/>
    </row>
    <row r="54" spans="2:9" x14ac:dyDescent="0.25">
      <c r="B54" s="49"/>
      <c r="C54" s="50"/>
      <c r="D54" s="51"/>
      <c r="E54" s="52"/>
      <c r="F54" s="51"/>
      <c r="G54" s="51"/>
      <c r="H54" s="51"/>
      <c r="I54" s="56"/>
    </row>
    <row r="55" spans="2:9" x14ac:dyDescent="0.25">
      <c r="B55" s="49"/>
      <c r="C55" s="50"/>
      <c r="D55" s="51"/>
      <c r="E55" s="53"/>
      <c r="F55" s="51"/>
      <c r="G55" s="51"/>
      <c r="H55" s="51"/>
      <c r="I55" s="56"/>
    </row>
    <row r="56" spans="2:9" x14ac:dyDescent="0.25">
      <c r="B56" s="49"/>
      <c r="C56" s="50"/>
      <c r="D56" s="51"/>
      <c r="E56" s="52"/>
      <c r="F56" s="51"/>
      <c r="G56" s="51"/>
      <c r="H56" s="51"/>
      <c r="I56" s="56"/>
    </row>
    <row r="57" spans="2:9" x14ac:dyDescent="0.25">
      <c r="B57" s="49"/>
      <c r="C57" s="50"/>
      <c r="D57" s="51"/>
      <c r="E57" s="53"/>
      <c r="F57" s="51"/>
      <c r="G57" s="51"/>
      <c r="H57" s="51"/>
      <c r="I57" s="56"/>
    </row>
    <row r="58" spans="2:9" x14ac:dyDescent="0.25">
      <c r="B58" s="49"/>
      <c r="C58" s="50"/>
      <c r="D58" s="51"/>
      <c r="E58" s="52"/>
      <c r="F58" s="51"/>
      <c r="G58" s="51"/>
      <c r="H58" s="51"/>
      <c r="I58" s="56"/>
    </row>
    <row r="59" spans="2:9" x14ac:dyDescent="0.25">
      <c r="B59" s="49"/>
      <c r="C59" s="50"/>
      <c r="D59" s="51"/>
      <c r="E59" s="53"/>
      <c r="F59" s="51"/>
      <c r="G59" s="51"/>
      <c r="H59" s="51"/>
      <c r="I59" s="56"/>
    </row>
    <row r="60" spans="2:9" x14ac:dyDescent="0.25">
      <c r="B60" s="49"/>
      <c r="C60" s="50"/>
      <c r="D60" s="51"/>
      <c r="E60" s="52"/>
      <c r="F60" s="51"/>
      <c r="G60" s="51"/>
      <c r="H60" s="51"/>
      <c r="I60" s="56"/>
    </row>
    <row r="61" spans="2:9" x14ac:dyDescent="0.25">
      <c r="B61" s="2"/>
      <c r="C61" s="2"/>
    </row>
    <row r="62" spans="2:9" x14ac:dyDescent="0.25">
      <c r="B62" s="2"/>
      <c r="C62" s="2"/>
    </row>
    <row r="63" spans="2:9" x14ac:dyDescent="0.25">
      <c r="B63" s="2"/>
      <c r="C63" s="2"/>
    </row>
    <row r="64" spans="2:9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</sheetData>
  <mergeCells count="7">
    <mergeCell ref="X5:Y5"/>
    <mergeCell ref="B3:C3"/>
    <mergeCell ref="B4:C4"/>
    <mergeCell ref="S5:T5"/>
    <mergeCell ref="V5:W5"/>
    <mergeCell ref="F4:H4"/>
    <mergeCell ref="E3:I3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Hydrograph</vt:lpstr>
      <vt:lpstr>Hydrograph!m_fall_big</vt:lpstr>
      <vt:lpstr>Hydrograph!m_rise_big</vt:lpstr>
      <vt:lpstr>Hydrograph!mb_fall_big</vt:lpstr>
      <vt:lpstr>Hydrograph!mb_rise_big</vt:lpstr>
      <vt:lpstr>Hydrograph!Qb_peak_big</vt:lpstr>
      <vt:lpstr>Hydrograph!Qpeak_big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cp:lastPrinted>2016-09-07T14:52:12Z</cp:lastPrinted>
  <dcterms:created xsi:type="dcterms:W3CDTF">2016-06-09T11:28:18Z</dcterms:created>
  <dcterms:modified xsi:type="dcterms:W3CDTF">2019-07-18T22:25:41Z</dcterms:modified>
</cp:coreProperties>
</file>