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Universidad\Semestre 5\Business Intelligence\Proyecto Final\"/>
    </mc:Choice>
  </mc:AlternateContent>
  <xr:revisionPtr revIDLastSave="0" documentId="13_ncr:1_{9B030699-22BB-499F-897C-F6E105393CF7}" xr6:coauthVersionLast="47" xr6:coauthVersionMax="47" xr10:uidLastSave="{00000000-0000-0000-0000-000000000000}"/>
  <bookViews>
    <workbookView xWindow="-108" yWindow="-108" windowWidth="23256" windowHeight="12456" activeTab="3" xr2:uid="{5DA6AA99-CF07-4551-87C4-3FEF69D9C669}"/>
  </bookViews>
  <sheets>
    <sheet name="bd" sheetId="1" r:id="rId1"/>
    <sheet name="Q1" sheetId="2" r:id="rId2"/>
    <sheet name="Q2" sheetId="3" r:id="rId3"/>
    <sheet name="Q3"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1" i="4" l="1" a="1"/>
  <c r="C31" i="4" s="1"/>
  <c r="D26" i="4"/>
  <c r="C26" i="4"/>
  <c r="D25" i="4"/>
  <c r="C25" i="4"/>
  <c r="D24" i="4"/>
  <c r="C24" i="4"/>
  <c r="D23" i="4"/>
  <c r="C23" i="4"/>
  <c r="D22" i="4"/>
  <c r="C22" i="4"/>
  <c r="D21" i="4"/>
  <c r="C21" i="4"/>
  <c r="D20" i="4"/>
  <c r="C20" i="4"/>
  <c r="D19" i="4"/>
  <c r="C19" i="4"/>
  <c r="D18" i="4"/>
  <c r="C18" i="4"/>
  <c r="D17" i="4"/>
  <c r="C17" i="4"/>
  <c r="D16" i="4"/>
  <c r="C16" i="4"/>
  <c r="D15" i="4"/>
  <c r="C15" i="4"/>
  <c r="D14" i="4"/>
  <c r="C14" i="4"/>
  <c r="D13" i="4"/>
  <c r="C13" i="4"/>
  <c r="D12" i="4"/>
  <c r="C12" i="4"/>
  <c r="D11" i="4"/>
  <c r="C11" i="4"/>
  <c r="H10" i="4"/>
  <c r="D10" i="4"/>
  <c r="C10" i="4"/>
  <c r="H9" i="4"/>
  <c r="D9" i="4"/>
  <c r="C9" i="4"/>
  <c r="D8" i="4"/>
  <c r="C8" i="4"/>
  <c r="D7" i="4"/>
  <c r="C7" i="4"/>
  <c r="D6" i="4"/>
  <c r="C6" i="4"/>
  <c r="D5" i="4"/>
  <c r="C5" i="4"/>
  <c r="D4" i="4"/>
  <c r="C4" i="4"/>
  <c r="D3" i="4"/>
  <c r="C3" i="4"/>
  <c r="C31" i="3"/>
  <c r="D26" i="3"/>
  <c r="C26" i="3"/>
  <c r="D25" i="3"/>
  <c r="C25" i="3"/>
  <c r="D24" i="3"/>
  <c r="C24" i="3"/>
  <c r="D23" i="3"/>
  <c r="C23" i="3"/>
  <c r="D22" i="3"/>
  <c r="C22" i="3"/>
  <c r="D21" i="3"/>
  <c r="C21" i="3"/>
  <c r="D20" i="3"/>
  <c r="C20" i="3"/>
  <c r="D19" i="3"/>
  <c r="C19" i="3"/>
  <c r="D18" i="3"/>
  <c r="C18" i="3"/>
  <c r="D17" i="3"/>
  <c r="C17" i="3"/>
  <c r="D16" i="3"/>
  <c r="C16" i="3"/>
  <c r="D15" i="3"/>
  <c r="C15" i="3"/>
  <c r="D14" i="3"/>
  <c r="C14" i="3"/>
  <c r="D13" i="3"/>
  <c r="C13" i="3"/>
  <c r="D12" i="3"/>
  <c r="C12" i="3"/>
  <c r="D11" i="3"/>
  <c r="C11" i="3"/>
  <c r="H10" i="3"/>
  <c r="D10" i="3"/>
  <c r="C10" i="3"/>
  <c r="H9" i="3"/>
  <c r="D9" i="3"/>
  <c r="C9" i="3"/>
  <c r="D8" i="3"/>
  <c r="C8" i="3"/>
  <c r="D7" i="3"/>
  <c r="C7" i="3"/>
  <c r="D6" i="3"/>
  <c r="C6" i="3"/>
  <c r="D5" i="3"/>
  <c r="C5" i="3"/>
  <c r="D4" i="3"/>
  <c r="C4" i="3"/>
  <c r="D3" i="3"/>
  <c r="C3" i="3"/>
  <c r="C32" i="2" a="1"/>
  <c r="C32" i="2" s="1"/>
  <c r="D26" i="2"/>
  <c r="C26" i="2"/>
  <c r="D25" i="2"/>
  <c r="C25" i="2"/>
  <c r="D24" i="2"/>
  <c r="C24" i="2"/>
  <c r="D23" i="2"/>
  <c r="C23" i="2"/>
  <c r="D22" i="2"/>
  <c r="C22" i="2"/>
  <c r="D21" i="2"/>
  <c r="C21" i="2"/>
  <c r="D20" i="2"/>
  <c r="C20" i="2"/>
  <c r="D19" i="2"/>
  <c r="C19" i="2"/>
  <c r="D18" i="2"/>
  <c r="C18" i="2"/>
  <c r="D17" i="2"/>
  <c r="C17" i="2"/>
  <c r="D16" i="2"/>
  <c r="C16" i="2"/>
  <c r="D15" i="2"/>
  <c r="C15" i="2"/>
  <c r="D14" i="2"/>
  <c r="C14" i="2"/>
  <c r="D13" i="2"/>
  <c r="C13" i="2"/>
  <c r="D12" i="2"/>
  <c r="C12" i="2"/>
  <c r="D11" i="2"/>
  <c r="C11" i="2"/>
  <c r="H10" i="2"/>
  <c r="D10" i="2"/>
  <c r="C10" i="2"/>
  <c r="H9" i="2"/>
  <c r="D9" i="2"/>
  <c r="C9" i="2"/>
  <c r="D8" i="2"/>
  <c r="C8" i="2"/>
  <c r="D7" i="2"/>
  <c r="C7" i="2"/>
  <c r="D6" i="2"/>
  <c r="C6" i="2"/>
  <c r="D5" i="2"/>
  <c r="C5" i="2"/>
  <c r="D4" i="2"/>
  <c r="C4" i="2"/>
  <c r="D3" i="2"/>
  <c r="C3" i="2"/>
  <c r="D27" i="1"/>
  <c r="C27" i="1"/>
  <c r="D26" i="1"/>
  <c r="C26" i="1"/>
  <c r="D25" i="1"/>
  <c r="C25" i="1"/>
  <c r="D24" i="1"/>
  <c r="C24" i="1"/>
  <c r="D23" i="1"/>
  <c r="C23" i="1"/>
  <c r="D22" i="1"/>
  <c r="C22" i="1"/>
  <c r="D21" i="1"/>
  <c r="C21" i="1"/>
  <c r="D20" i="1"/>
  <c r="C20" i="1"/>
  <c r="D19" i="1"/>
  <c r="C19" i="1"/>
  <c r="D18" i="1"/>
  <c r="C18" i="1"/>
  <c r="D17" i="1"/>
  <c r="C17" i="1"/>
  <c r="D16" i="1"/>
  <c r="C16" i="1"/>
  <c r="D15" i="1"/>
  <c r="C15" i="1"/>
  <c r="D14" i="1"/>
  <c r="D13" i="1"/>
  <c r="C14" i="1"/>
  <c r="C13" i="1"/>
  <c r="D12" i="1"/>
  <c r="C12" i="1"/>
  <c r="H11" i="1"/>
  <c r="D11" i="1"/>
  <c r="C11" i="1"/>
  <c r="H10" i="1"/>
  <c r="D10" i="1"/>
  <c r="C10" i="1"/>
  <c r="D9" i="1"/>
  <c r="C9" i="1"/>
  <c r="D8" i="1"/>
  <c r="C8" i="1"/>
  <c r="D7" i="1"/>
  <c r="D6" i="1"/>
  <c r="D5" i="1"/>
  <c r="D4" i="1"/>
  <c r="C7" i="1"/>
  <c r="C6" i="1"/>
  <c r="C5" i="1"/>
  <c r="C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tc={C6B60162-D044-4D05-83A3-CC66C848E0E3}</author>
    <author>tc={F09E25C4-D610-42C7-9D92-459603466C81}</author>
    <author>tc={7D5FD359-B39D-457F-A4F1-304FC6D8B4E7}</author>
    <author>tc={709AA97A-B41A-4B4A-B012-0AA878A2E80A}</author>
    <author>tc={6E7DD764-9A42-401E-9924-6ACAB68851D3}</author>
    <author>tc={AF28D2E2-EAF6-4135-BCBA-3324545F32AF}</author>
  </authors>
  <commentList>
    <comment ref="L3" authorId="0" shapeId="0" xr:uid="{C6B60162-D044-4D05-83A3-CC66C848E0E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Teléfono, Correo Bueno </t>
      </text>
    </comment>
    <comment ref="O3" authorId="1" shapeId="0" xr:uid="{F09E25C4-D610-42C7-9D92-459603466C81}">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costo las venta según la pauta realizada</t>
      </text>
    </comment>
    <comment ref="F10" authorId="2" shapeId="0" xr:uid="{7D5FD359-B39D-457F-A4F1-304FC6D8B4E7}">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0" authorId="3" shapeId="0" xr:uid="{709AA97A-B41A-4B4A-B012-0AA878A2E80A}">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F11" authorId="4" shapeId="0" xr:uid="{6E7DD764-9A42-401E-9924-6ACAB68851D3}">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1" authorId="5" shapeId="0" xr:uid="{AF28D2E2-EAF6-4135-BCBA-3324545F32AF}">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tc={317E1D04-BACF-4144-810D-0750499196CE}</author>
    <author>tc={2F167A69-D7DB-49C5-B556-CD1C481BC067}</author>
    <author>tc={1399E415-C8B0-4456-83FD-1587CC272505}</author>
    <author>tc={35ADFFDF-AED5-4759-8BCD-CD5F9581CB14}</author>
    <author>tc={0B4D0D7E-DFEF-4D58-AD4D-2C50A4971C6A}</author>
    <author>tc={6FE393EC-086A-48F9-BDB7-DF0E00F12931}</author>
  </authors>
  <commentList>
    <comment ref="L2" authorId="0" shapeId="0" xr:uid="{317E1D04-BACF-4144-810D-0750499196C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Teléfono, Correo Bueno </t>
      </text>
    </comment>
    <comment ref="O2" authorId="1" shapeId="0" xr:uid="{2F167A69-D7DB-49C5-B556-CD1C481BC067}">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costo las venta según la pauta realizada</t>
      </text>
    </comment>
    <comment ref="F9" authorId="2" shapeId="0" xr:uid="{1399E415-C8B0-4456-83FD-1587CC272505}">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9" authorId="3" shapeId="0" xr:uid="{35ADFFDF-AED5-4759-8BCD-CD5F9581CB14}">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F10" authorId="4" shapeId="0" xr:uid="{0B4D0D7E-DFEF-4D58-AD4D-2C50A4971C6A}">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0" authorId="5" shapeId="0" xr:uid="{6FE393EC-086A-48F9-BDB7-DF0E00F12931}">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tc={DBB2BD72-C71E-4E03-9AF0-CCE72A73CD2F}</author>
    <author>tc={D34155A1-B901-4823-920F-FC5FD93A6CBB}</author>
    <author>tc={74CAB1C2-1BB9-475E-9BC9-B7B2E7DD5D5C}</author>
    <author>tc={F071A8FB-EE27-42FF-9C19-214A2DED9883}</author>
    <author>tc={A51254FF-5639-4B1F-BF9D-782791C6C0FC}</author>
    <author>tc={57ACF41E-1379-486C-9E8F-4D8BE29CDAE3}</author>
  </authors>
  <commentList>
    <comment ref="L2" authorId="0" shapeId="0" xr:uid="{DBB2BD72-C71E-4E03-9AF0-CCE72A73CD2F}">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Teléfono, Correo Bueno </t>
      </text>
    </comment>
    <comment ref="O2" authorId="1" shapeId="0" xr:uid="{D34155A1-B901-4823-920F-FC5FD93A6CBB}">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costo las venta según la pauta realizada</t>
      </text>
    </comment>
    <comment ref="F9" authorId="2" shapeId="0" xr:uid="{74CAB1C2-1BB9-475E-9BC9-B7B2E7DD5D5C}">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9" authorId="3" shapeId="0" xr:uid="{F071A8FB-EE27-42FF-9C19-214A2DED9883}">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F10" authorId="4" shapeId="0" xr:uid="{A51254FF-5639-4B1F-BF9D-782791C6C0FC}">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0" authorId="5" shapeId="0" xr:uid="{57ACF41E-1379-486C-9E8F-4D8BE29CDAE3}">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tc={F2CA3044-51B5-467C-B0E7-BF6712DDD9E3}</author>
    <author>tc={B4A30018-316D-4A45-84B3-0AB9A6794EFC}</author>
    <author>tc={AE339D2A-899A-4860-A91C-021C2FC6A1B9}</author>
    <author>tc={B1E785A1-F6A6-4274-A875-F1A1605EEA81}</author>
    <author>tc={5C61EF46-DBC2-4ADA-88DF-E81C54A3FAE0}</author>
    <author>tc={A4E4D783-DEF0-4550-A9A9-3FFC78F4EF18}</author>
  </authors>
  <commentList>
    <comment ref="L2" authorId="0" shapeId="0" xr:uid="{F2CA3044-51B5-467C-B0E7-BF6712DDD9E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Teléfono, Correo Bueno </t>
      </text>
    </comment>
    <comment ref="O2" authorId="1" shapeId="0" xr:uid="{B4A30018-316D-4A45-84B3-0AB9A6794EFC}">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costo las venta según la pauta realizada</t>
      </text>
    </comment>
    <comment ref="F9" authorId="2" shapeId="0" xr:uid="{AE339D2A-899A-4860-A91C-021C2FC6A1B9}">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9" authorId="3" shapeId="0" xr:uid="{B1E785A1-F6A6-4274-A875-F1A1605EEA81}">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F10" authorId="4" shapeId="0" xr:uid="{5C61EF46-DBC2-4ADA-88DF-E81C54A3FAE0}">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0" authorId="5" shapeId="0" xr:uid="{A4E4D783-DEF0-4550-A9A9-3FFC78F4EF18}">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<sst xmlns="http://schemas.openxmlformats.org/spreadsheetml/2006/main" count="265" uniqueCount="30">
  <si>
    <t>Alcance</t>
  </si>
  <si>
    <t>Impresiones</t>
  </si>
  <si>
    <t>Mes</t>
  </si>
  <si>
    <t>FB</t>
  </si>
  <si>
    <t>clics</t>
  </si>
  <si>
    <t>% Cumplimiento Agencia ( AVG)</t>
  </si>
  <si>
    <t>GOOGLE</t>
  </si>
  <si>
    <t>N/A</t>
  </si>
  <si>
    <t>Analitica canal Digital xxx</t>
  </si>
  <si>
    <t>Facebook</t>
  </si>
  <si>
    <t>$ Pauta</t>
  </si>
  <si>
    <r>
      <rPr>
        <b/>
        <sz val="15"/>
        <color rgb="FFFF0000"/>
        <rFont val="Raleway"/>
      </rPr>
      <t>Efectivos</t>
    </r>
    <r>
      <rPr>
        <b/>
        <sz val="15"/>
        <color rgb="FF000000"/>
        <rFont val="Raleway"/>
      </rPr>
      <t xml:space="preserve"> para llamar( se pueden contactar)</t>
    </r>
  </si>
  <si>
    <t>Costo del equipo de ventas ( Fijos)</t>
  </si>
  <si>
    <t>Costos Equipo de ventas( Variable)</t>
  </si>
  <si>
    <t>Cantidad de venta</t>
  </si>
  <si>
    <t>Comision por cada venta</t>
  </si>
  <si>
    <t>VALOR DE VENTA</t>
  </si>
  <si>
    <t>ROI ESPERADO POR LA EMPRESA( DE LA VENTA)</t>
  </si>
  <si>
    <t>DATA DE MERCADEO</t>
  </si>
  <si>
    <t>DATA COMERCIAL ( CONTACT CENTER)</t>
  </si>
  <si>
    <t>Canal Digital</t>
  </si>
  <si>
    <t>Prespuesto para la Pauta</t>
  </si>
  <si>
    <t>Entregados Prospectos según Agencia de mercadeo</t>
  </si>
  <si>
    <t>Entrega prospectos según  contact center</t>
  </si>
  <si>
    <r>
      <rPr>
        <b/>
        <sz val="12"/>
        <color rgb="FFFF0000"/>
        <rFont val="Raleway"/>
      </rPr>
      <t>Efectivos</t>
    </r>
    <r>
      <rPr>
        <b/>
        <sz val="12"/>
        <color rgb="FF000000"/>
        <rFont val="Raleway"/>
      </rPr>
      <t xml:space="preserve"> para llamar( se pueden contactar)</t>
    </r>
  </si>
  <si>
    <t>¿Qué canal digital muestra una mayor eficiencia en términos de costo por clic (CPC) y por qué?</t>
  </si>
  <si>
    <t>¿Cuál es el retorno de inversión (ROI) para cada canal de marketing digital basado en las ventas generadas y los costos asociados?</t>
  </si>
  <si>
    <r>
      <rPr>
        <b/>
        <sz val="10"/>
        <color rgb="FFFF0000"/>
        <rFont val="Raleway"/>
      </rPr>
      <t>Efectivos</t>
    </r>
    <r>
      <rPr>
        <b/>
        <sz val="10"/>
        <color rgb="FF000000"/>
        <rFont val="Raleway"/>
      </rPr>
      <t xml:space="preserve"> para llamar( se pueden contactar)</t>
    </r>
  </si>
  <si>
    <t>¿Cómo afecta el porcentaje de cumplimiento de la agencia de mercadeo en la cantidad de ventas efectivas?</t>
  </si>
  <si>
    <t>correlacion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</si>
</sst>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0.0%"/>
    <numFmt numFmtId="165" formatCode="_-&quot;$&quot;\ * #,##0_-;\-&quot;$&quot;\ * #,##0_-;_-&quot;$&quot;\ * &quot;-&quot;??_-;_-@_-"/>
  </numFmts>
  <fonts count="18" x14ac:knownFonts="1">
    <font>
      <sz val="11"/>
      <color theme="1"/>
      <name val="Calibri"/>
      <family val="2"/>
      <scheme val="minor"/>
    </font>
    <font>
      <sz val="11"/>
      <color theme="1"/>
      <name val="Calibri"/>
      <family val="2"/>
      <scheme val="minor"/>
    </font>
    <font>
      <sz val="15"/>
      <color rgb="FF000000"/>
      <name val="Raleway"/>
    </font>
    <font>
      <b/>
      <sz val="15"/>
      <color rgb="FF000000"/>
      <name val="Raleway"/>
    </font>
    <font>
      <b/>
      <sz val="26"/>
      <color rgb="FF000000"/>
      <name val="Raleway"/>
    </font>
    <font>
      <b/>
      <sz val="15"/>
      <color rgb="FFFF0000"/>
      <name val="Raleway"/>
    </font>
    <font>
      <b/>
      <sz val="20"/>
      <color rgb="FF000000"/>
      <name val="Aptos"/>
      <family val="2"/>
    </font>
    <font>
      <sz val="20"/>
      <color rgb="FF000000"/>
      <name val="Aptos"/>
      <family val="2"/>
    </font>
    <font>
      <sz val="9"/>
      <color indexed="81"/>
      <name val="Tahoma"/>
      <charset val="1"/>
    </font>
    <font>
      <b/>
      <sz val="12"/>
      <color rgb="FF000000"/>
      <name val="Raleway"/>
    </font>
    <font>
      <b/>
      <sz val="12"/>
      <color rgb="FFFF0000"/>
      <name val="Raleway"/>
    </font>
    <font>
      <b/>
      <sz val="14"/>
      <color rgb="FF111111"/>
      <name val="Segoe UI"/>
      <family val="2"/>
    </font>
    <font>
      <sz val="10"/>
      <color rgb="FF000000"/>
      <name val="Raleway"/>
    </font>
    <font>
      <sz val="9"/>
      <color indexed="81"/>
      <name val="Tahoma"/>
      <family val="2"/>
    </font>
    <font>
      <b/>
      <sz val="10"/>
      <color rgb="FF000000"/>
      <name val="Raleway"/>
    </font>
    <font>
      <b/>
      <sz val="10"/>
      <color rgb="FFFF0000"/>
      <name val="Raleway"/>
    </font>
    <font>
      <sz val="10"/>
      <color rgb="FF111111"/>
      <name val="Segoe UI"/>
      <family val="2"/>
    </font>
    <font>
      <sz val="11"/>
      <color rgb="FF000000"/>
      <name val="Raleway"/>
    </font>
  </fonts>
  <fills count="6">
    <fill>
      <patternFill patternType="none"/>
    </fill>
    <fill>
      <patternFill patternType="gray125"/>
    </fill>
    <fill>
      <patternFill patternType="solid">
        <fgColor theme="5"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5">
    <xf numFmtId="0" fontId="0" fillId="0" borderId="0" xfId="0"/>
    <xf numFmtId="3" fontId="2" fillId="0" borderId="0" xfId="0" applyNumberFormat="1" applyFont="1"/>
    <xf numFmtId="3" fontId="2" fillId="0" borderId="1" xfId="0" applyNumberFormat="1" applyFont="1" applyBorder="1"/>
    <xf numFmtId="3" fontId="3" fillId="0" borderId="1" xfId="0" applyNumberFormat="1" applyFont="1" applyBorder="1"/>
    <xf numFmtId="3" fontId="3" fillId="0" borderId="1" xfId="0" applyNumberFormat="1" applyFont="1" applyBorder="1" applyAlignment="1">
      <alignment wrapText="1"/>
    </xf>
    <xf numFmtId="9" fontId="2" fillId="0" borderId="1" xfId="2" applyFont="1" applyBorder="1"/>
    <xf numFmtId="164" fontId="2" fillId="0" borderId="1" xfId="2" applyNumberFormat="1" applyFont="1" applyBorder="1"/>
    <xf numFmtId="165" fontId="2" fillId="0" borderId="1" xfId="1" applyNumberFormat="1" applyFont="1" applyBorder="1"/>
    <xf numFmtId="3" fontId="3" fillId="2" borderId="1" xfId="0" applyNumberFormat="1" applyFont="1" applyFill="1" applyBorder="1"/>
    <xf numFmtId="3" fontId="2" fillId="3" borderId="1" xfId="0" applyNumberFormat="1" applyFont="1" applyFill="1" applyBorder="1"/>
    <xf numFmtId="3" fontId="2" fillId="0" borderId="3" xfId="0" applyNumberFormat="1" applyFont="1" applyBorder="1"/>
    <xf numFmtId="9" fontId="2" fillId="0" borderId="1" xfId="2" applyFont="1" applyBorder="1" applyAlignment="1">
      <alignment wrapText="1"/>
    </xf>
    <xf numFmtId="3" fontId="7" fillId="0" borderId="0" xfId="0" applyNumberFormat="1" applyFont="1"/>
    <xf numFmtId="3" fontId="6" fillId="2" borderId="2" xfId="0" applyNumberFormat="1" applyFont="1" applyFill="1" applyBorder="1" applyAlignment="1">
      <alignment horizontal="center"/>
    </xf>
    <xf numFmtId="3" fontId="2" fillId="0" borderId="0" xfId="0" applyNumberFormat="1" applyFont="1" applyAlignment="1">
      <alignment horizontal="center"/>
    </xf>
    <xf numFmtId="3" fontId="4" fillId="2" borderId="3" xfId="0" applyNumberFormat="1" applyFont="1" applyFill="1" applyBorder="1" applyAlignment="1">
      <alignment horizontal="center"/>
    </xf>
    <xf numFmtId="3" fontId="4" fillId="2" borderId="4" xfId="0" applyNumberFormat="1" applyFont="1" applyFill="1" applyBorder="1" applyAlignment="1">
      <alignment horizontal="center"/>
    </xf>
    <xf numFmtId="3" fontId="6" fillId="5" borderId="5" xfId="0" applyNumberFormat="1" applyFont="1" applyFill="1" applyBorder="1" applyAlignment="1">
      <alignment horizontal="center"/>
    </xf>
    <xf numFmtId="3" fontId="6" fillId="4" borderId="2" xfId="0" applyNumberFormat="1" applyFont="1" applyFill="1" applyBorder="1" applyAlignment="1">
      <alignment horizontal="center"/>
    </xf>
    <xf numFmtId="3" fontId="6" fillId="2" borderId="0" xfId="0" applyNumberFormat="1" applyFont="1" applyFill="1" applyAlignment="1">
      <alignment horizontal="center"/>
    </xf>
    <xf numFmtId="3" fontId="9" fillId="2" borderId="1" xfId="0" applyNumberFormat="1" applyFont="1" applyFill="1" applyBorder="1"/>
    <xf numFmtId="3" fontId="9" fillId="0" borderId="1" xfId="0" applyNumberFormat="1" applyFont="1" applyBorder="1" applyAlignment="1">
      <alignment wrapText="1"/>
    </xf>
    <xf numFmtId="3" fontId="9" fillId="0" borderId="1" xfId="0" applyNumberFormat="1" applyFont="1" applyBorder="1"/>
    <xf numFmtId="0" fontId="0" fillId="0" borderId="0" xfId="0" applyAlignment="1">
      <alignment horizontal="center"/>
    </xf>
    <xf numFmtId="0" fontId="11" fillId="0" borderId="0" xfId="0" applyFont="1" applyAlignment="1"/>
    <xf numFmtId="165" fontId="0" fillId="0" borderId="0" xfId="0" applyNumberFormat="1"/>
    <xf numFmtId="3" fontId="12" fillId="0" borderId="1" xfId="0" applyNumberFormat="1" applyFont="1" applyBorder="1"/>
    <xf numFmtId="0" fontId="0" fillId="0" borderId="0" xfId="0" applyAlignment="1">
      <alignment horizontal="center" vertical="center"/>
    </xf>
    <xf numFmtId="3" fontId="14" fillId="2" borderId="1" xfId="0" applyNumberFormat="1" applyFont="1" applyFill="1" applyBorder="1"/>
    <xf numFmtId="3" fontId="14" fillId="0" borderId="1" xfId="0" applyNumberFormat="1" applyFont="1" applyBorder="1" applyAlignment="1">
      <alignment wrapText="1"/>
    </xf>
    <xf numFmtId="3" fontId="14" fillId="0" borderId="1" xfId="0" applyNumberFormat="1" applyFont="1" applyBorder="1"/>
    <xf numFmtId="0" fontId="16" fillId="0" borderId="0" xfId="0" applyFont="1"/>
    <xf numFmtId="3" fontId="17" fillId="0" borderId="1" xfId="0" applyNumberFormat="1" applyFont="1" applyBorder="1"/>
    <xf numFmtId="165" fontId="0" fillId="0" borderId="0" xfId="0" applyNumberFormat="1" applyFont="1"/>
    <xf numFmtId="0" fontId="0" fillId="0" borderId="0" xfId="0" applyFont="1"/>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bar"/>
        <c:grouping val="clustered"/>
        <c:varyColors val="0"/>
        <c:ser>
          <c:idx val="0"/>
          <c:order val="0"/>
          <c:spPr>
            <a:solidFill>
              <a:schemeClr val="accent1"/>
            </a:solidFill>
            <a:ln>
              <a:noFill/>
            </a:ln>
            <a:effectLst/>
          </c:spPr>
          <c:invertIfNegative val="0"/>
          <c:cat>
            <c:strRef>
              <c:f>'Q1'!$B$32:$B$55</c:f>
              <c:strCache>
                <c:ptCount val="24"/>
                <c:pt idx="0">
                  <c:v>Facebook</c:v>
                </c:pt>
                <c:pt idx="1">
                  <c:v>GOOGLE</c:v>
                </c:pt>
                <c:pt idx="2">
                  <c:v>Facebook</c:v>
                </c:pt>
                <c:pt idx="3">
                  <c:v>GOOGLE</c:v>
                </c:pt>
                <c:pt idx="4">
                  <c:v>Facebook</c:v>
                </c:pt>
                <c:pt idx="5">
                  <c:v>GOOGLE</c:v>
                </c:pt>
                <c:pt idx="6">
                  <c:v>Facebook</c:v>
                </c:pt>
                <c:pt idx="7">
                  <c:v>GOOGLE</c:v>
                </c:pt>
                <c:pt idx="8">
                  <c:v>Facebook</c:v>
                </c:pt>
                <c:pt idx="9">
                  <c:v>GOOGLE</c:v>
                </c:pt>
                <c:pt idx="10">
                  <c:v>Facebook</c:v>
                </c:pt>
                <c:pt idx="11">
                  <c:v>GOOGLE</c:v>
                </c:pt>
                <c:pt idx="12">
                  <c:v>Facebook</c:v>
                </c:pt>
                <c:pt idx="13">
                  <c:v>GOOGLE</c:v>
                </c:pt>
                <c:pt idx="14">
                  <c:v>FB</c:v>
                </c:pt>
                <c:pt idx="15">
                  <c:v>GOOGLE</c:v>
                </c:pt>
                <c:pt idx="16">
                  <c:v>Facebook</c:v>
                </c:pt>
                <c:pt idx="17">
                  <c:v>GOOGLE</c:v>
                </c:pt>
                <c:pt idx="18">
                  <c:v>Facebook</c:v>
                </c:pt>
                <c:pt idx="19">
                  <c:v>GOOGLE</c:v>
                </c:pt>
                <c:pt idx="20">
                  <c:v>Facebook</c:v>
                </c:pt>
                <c:pt idx="21">
                  <c:v>GOOGLE</c:v>
                </c:pt>
                <c:pt idx="22">
                  <c:v>Facebook</c:v>
                </c:pt>
                <c:pt idx="23">
                  <c:v>GOOGLE</c:v>
                </c:pt>
              </c:strCache>
            </c:strRef>
          </c:cat>
          <c:val>
            <c:numRef>
              <c:f>'Q1'!$C$32:$C$55</c:f>
              <c:numCache>
                <c:formatCode>General</c:formatCode>
                <c:ptCount val="24"/>
                <c:pt idx="0" formatCode="_-&quot;$&quot;\ * #,##0_-;\-&quot;$&quot;\ * #,##0_-;_-&quot;$&quot;\ * &quot;-&quot;??_-;_-@_-">
                  <c:v>750.84321214285706</c:v>
                </c:pt>
                <c:pt idx="1">
                  <c:v>1112.4146231249999</c:v>
                </c:pt>
                <c:pt idx="2">
                  <c:v>1330.7130570588236</c:v>
                </c:pt>
                <c:pt idx="3">
                  <c:v>612.04222055555556</c:v>
                </c:pt>
                <c:pt idx="4">
                  <c:v>144.99040999999991</c:v>
                </c:pt>
                <c:pt idx="5">
                  <c:v>439.38799833333331</c:v>
                </c:pt>
                <c:pt idx="6">
                  <c:v>1420.9131969999999</c:v>
                </c:pt>
                <c:pt idx="7">
                  <c:v>1203.5600570588235</c:v>
                </c:pt>
                <c:pt idx="8">
                  <c:v>343.44679799999989</c:v>
                </c:pt>
                <c:pt idx="9">
                  <c:v>197.80331681818177</c:v>
                </c:pt>
                <c:pt idx="10">
                  <c:v>342.61426400000005</c:v>
                </c:pt>
                <c:pt idx="11">
                  <c:v>164.93322545454549</c:v>
                </c:pt>
                <c:pt idx="12">
                  <c:v>800.48969850000003</c:v>
                </c:pt>
                <c:pt idx="13">
                  <c:v>1736.5869607407408</c:v>
                </c:pt>
                <c:pt idx="14">
                  <c:v>99.364152671003552</c:v>
                </c:pt>
                <c:pt idx="15">
                  <c:v>1557.881405185185</c:v>
                </c:pt>
                <c:pt idx="16">
                  <c:v>1370.7085019147555</c:v>
                </c:pt>
                <c:pt idx="17">
                  <c:v>94.824774460924161</c:v>
                </c:pt>
                <c:pt idx="18">
                  <c:v>306.68606002445824</c:v>
                </c:pt>
                <c:pt idx="19">
                  <c:v>1472.8411093398843</c:v>
                </c:pt>
                <c:pt idx="20">
                  <c:v>678.82190636363623</c:v>
                </c:pt>
                <c:pt idx="21">
                  <c:v>593.39323666666667</c:v>
                </c:pt>
                <c:pt idx="22">
                  <c:v>139.01626400000006</c:v>
                </c:pt>
                <c:pt idx="23">
                  <c:v>653.36624800000004</c:v>
                </c:pt>
              </c:numCache>
            </c:numRef>
          </c:val>
          <c:extLst>
            <c:ext xmlns:c16="http://schemas.microsoft.com/office/drawing/2014/chart" uri="{C3380CC4-5D6E-409C-BE32-E72D297353CC}">
              <c16:uniqueId val="{00000000-F4A4-4182-947F-D0DB01CBA850}"/>
            </c:ext>
          </c:extLst>
        </c:ser>
        <c:dLbls>
          <c:showLegendKey val="0"/>
          <c:showVal val="0"/>
          <c:showCatName val="0"/>
          <c:showSerName val="0"/>
          <c:showPercent val="0"/>
          <c:showBubbleSize val="0"/>
        </c:dLbls>
        <c:gapWidth val="182"/>
        <c:axId val="995260608"/>
        <c:axId val="995266848"/>
      </c:barChart>
      <c:catAx>
        <c:axId val="995260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95266848"/>
        <c:crosses val="autoZero"/>
        <c:auto val="1"/>
        <c:lblAlgn val="ctr"/>
        <c:lblOffset val="100"/>
        <c:noMultiLvlLbl val="0"/>
      </c:catAx>
      <c:valAx>
        <c:axId val="995266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9526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'Q1'!$B$32:$B$55</c:f>
              <c:strCache>
                <c:ptCount val="24"/>
                <c:pt idx="0">
                  <c:v>Facebook</c:v>
                </c:pt>
                <c:pt idx="1">
                  <c:v>GOOGLE</c:v>
                </c:pt>
                <c:pt idx="2">
                  <c:v>Facebook</c:v>
                </c:pt>
                <c:pt idx="3">
                  <c:v>GOOGLE</c:v>
                </c:pt>
                <c:pt idx="4">
                  <c:v>Facebook</c:v>
                </c:pt>
                <c:pt idx="5">
                  <c:v>GOOGLE</c:v>
                </c:pt>
                <c:pt idx="6">
                  <c:v>Facebook</c:v>
                </c:pt>
                <c:pt idx="7">
                  <c:v>GOOGLE</c:v>
                </c:pt>
                <c:pt idx="8">
                  <c:v>Facebook</c:v>
                </c:pt>
                <c:pt idx="9">
                  <c:v>GOOGLE</c:v>
                </c:pt>
                <c:pt idx="10">
                  <c:v>Facebook</c:v>
                </c:pt>
                <c:pt idx="11">
                  <c:v>GOOGLE</c:v>
                </c:pt>
                <c:pt idx="12">
                  <c:v>Facebook</c:v>
                </c:pt>
                <c:pt idx="13">
                  <c:v>GOOGLE</c:v>
                </c:pt>
                <c:pt idx="14">
                  <c:v>FB</c:v>
                </c:pt>
                <c:pt idx="15">
                  <c:v>GOOGLE</c:v>
                </c:pt>
                <c:pt idx="16">
                  <c:v>Facebook</c:v>
                </c:pt>
                <c:pt idx="17">
                  <c:v>GOOGLE</c:v>
                </c:pt>
                <c:pt idx="18">
                  <c:v>Facebook</c:v>
                </c:pt>
                <c:pt idx="19">
                  <c:v>GOOGLE</c:v>
                </c:pt>
                <c:pt idx="20">
                  <c:v>Facebook</c:v>
                </c:pt>
                <c:pt idx="21">
                  <c:v>GOOGLE</c:v>
                </c:pt>
                <c:pt idx="22">
                  <c:v>Facebook</c:v>
                </c:pt>
                <c:pt idx="23">
                  <c:v>GOOGLE</c:v>
                </c:pt>
              </c:strCache>
            </c:strRef>
          </c:cat>
          <c:val>
            <c:numRef>
              <c:f>'Q1'!$C$32:$C$55</c:f>
              <c:numCache>
                <c:formatCode>General</c:formatCode>
                <c:ptCount val="24"/>
                <c:pt idx="0" formatCode="_-&quot;$&quot;\ * #,##0_-;\-&quot;$&quot;\ * #,##0_-;_-&quot;$&quot;\ * &quot;-&quot;??_-;_-@_-">
                  <c:v>750.84321214285706</c:v>
                </c:pt>
                <c:pt idx="1">
                  <c:v>1112.4146231249999</c:v>
                </c:pt>
                <c:pt idx="2">
                  <c:v>1330.7130570588236</c:v>
                </c:pt>
                <c:pt idx="3">
                  <c:v>612.04222055555556</c:v>
                </c:pt>
                <c:pt idx="4">
                  <c:v>144.99040999999991</c:v>
                </c:pt>
                <c:pt idx="5">
                  <c:v>439.38799833333331</c:v>
                </c:pt>
                <c:pt idx="6">
                  <c:v>1420.9131969999999</c:v>
                </c:pt>
                <c:pt idx="7">
                  <c:v>1203.5600570588235</c:v>
                </c:pt>
                <c:pt idx="8">
                  <c:v>343.44679799999989</c:v>
                </c:pt>
                <c:pt idx="9">
                  <c:v>197.80331681818177</c:v>
                </c:pt>
                <c:pt idx="10">
                  <c:v>342.61426400000005</c:v>
                </c:pt>
                <c:pt idx="11">
                  <c:v>164.93322545454549</c:v>
                </c:pt>
                <c:pt idx="12">
                  <c:v>800.48969850000003</c:v>
                </c:pt>
                <c:pt idx="13">
                  <c:v>1736.5869607407408</c:v>
                </c:pt>
                <c:pt idx="14">
                  <c:v>99.364152671003552</c:v>
                </c:pt>
                <c:pt idx="15">
                  <c:v>1557.881405185185</c:v>
                </c:pt>
                <c:pt idx="16">
                  <c:v>1370.7085019147555</c:v>
                </c:pt>
                <c:pt idx="17">
                  <c:v>94.824774460924161</c:v>
                </c:pt>
                <c:pt idx="18">
                  <c:v>306.68606002445824</c:v>
                </c:pt>
                <c:pt idx="19">
                  <c:v>1472.8411093398843</c:v>
                </c:pt>
                <c:pt idx="20">
                  <c:v>678.82190636363623</c:v>
                </c:pt>
                <c:pt idx="21">
                  <c:v>593.39323666666667</c:v>
                </c:pt>
                <c:pt idx="22">
                  <c:v>139.01626400000006</c:v>
                </c:pt>
                <c:pt idx="23">
                  <c:v>653.36624800000004</c:v>
                </c:pt>
              </c:numCache>
            </c:numRef>
          </c:val>
          <c:extLst>
            <c:ext xmlns:c16="http://schemas.microsoft.com/office/drawing/2014/chart" uri="{C3380CC4-5D6E-409C-BE32-E72D297353CC}">
              <c16:uniqueId val="{00000000-5C8F-4E4C-8777-30450844A05F}"/>
            </c:ext>
          </c:extLst>
        </c:ser>
        <c:dLbls>
          <c:showLegendKey val="0"/>
          <c:showVal val="0"/>
          <c:showCatName val="0"/>
          <c:showSerName val="0"/>
          <c:showPercent val="0"/>
          <c:showBubbleSize val="0"/>
        </c:dLbls>
        <c:gapWidth val="219"/>
        <c:overlap val="-27"/>
        <c:axId val="967960880"/>
        <c:axId val="988051424"/>
      </c:barChart>
      <c:catAx>
        <c:axId val="96796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88051424"/>
        <c:crosses val="autoZero"/>
        <c:auto val="1"/>
        <c:lblAlgn val="ctr"/>
        <c:lblOffset val="100"/>
        <c:noMultiLvlLbl val="0"/>
      </c:catAx>
      <c:valAx>
        <c:axId val="9880514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6796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3476377952755904"/>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'Q2'!$L$2</c:f>
              <c:strCache>
                <c:ptCount val="1"/>
                <c:pt idx="0">
                  <c:v>Cantidad de venta</c:v>
                </c:pt>
              </c:strCache>
            </c:strRef>
          </c:tx>
          <c:spPr>
            <a:ln w="19050" cap="rnd">
              <a:noFill/>
              <a:round/>
            </a:ln>
            <a:effectLst/>
          </c:spPr>
          <c:marker>
            <c:symbol val="circle"/>
            <c:size val="5"/>
            <c:spPr>
              <a:solidFill>
                <a:schemeClr val="accent1"/>
              </a:solidFill>
              <a:ln w="9525">
                <a:solidFill>
                  <a:schemeClr val="accent1"/>
                </a:solidFill>
              </a:ln>
              <a:effectLst/>
            </c:spPr>
          </c:marker>
          <c:xVal>
            <c:numRef>
              <c:f>'Q2'!$I$3:$I$26</c:f>
              <c:numCache>
                <c:formatCode>0%</c:formatCode>
                <c:ptCount val="24"/>
                <c:pt idx="0">
                  <c:v>1.1499999999999999</c:v>
                </c:pt>
                <c:pt idx="1">
                  <c:v>1.58</c:v>
                </c:pt>
                <c:pt idx="2" formatCode="0.0%">
                  <c:v>0.77300000000000002</c:v>
                </c:pt>
                <c:pt idx="3" formatCode="0.0%">
                  <c:v>0.77300000000000002</c:v>
                </c:pt>
                <c:pt idx="4" formatCode="0.0%">
                  <c:v>0.66800000000000004</c:v>
                </c:pt>
                <c:pt idx="5" formatCode="0.0%">
                  <c:v>1.31</c:v>
                </c:pt>
                <c:pt idx="6">
                  <c:v>1.57</c:v>
                </c:pt>
                <c:pt idx="7">
                  <c:v>1.29</c:v>
                </c:pt>
                <c:pt idx="8">
                  <c:v>1.1299999999999999</c:v>
                </c:pt>
                <c:pt idx="9">
                  <c:v>0.87</c:v>
                </c:pt>
                <c:pt idx="10">
                  <c:v>1.03</c:v>
                </c:pt>
                <c:pt idx="11">
                  <c:v>1.1499999999999999</c:v>
                </c:pt>
                <c:pt idx="12">
                  <c:v>0.83</c:v>
                </c:pt>
                <c:pt idx="13">
                  <c:v>1.21</c:v>
                </c:pt>
                <c:pt idx="14">
                  <c:v>1.4</c:v>
                </c:pt>
                <c:pt idx="15">
                  <c:v>0.95</c:v>
                </c:pt>
                <c:pt idx="16">
                  <c:v>0.89</c:v>
                </c:pt>
                <c:pt idx="17">
                  <c:v>0.68</c:v>
                </c:pt>
                <c:pt idx="18">
                  <c:v>0.94</c:v>
                </c:pt>
                <c:pt idx="19">
                  <c:v>0.73</c:v>
                </c:pt>
                <c:pt idx="20">
                  <c:v>0.6</c:v>
                </c:pt>
                <c:pt idx="21">
                  <c:v>1.01</c:v>
                </c:pt>
                <c:pt idx="22">
                  <c:v>1.38</c:v>
                </c:pt>
                <c:pt idx="23">
                  <c:v>1.55</c:v>
                </c:pt>
              </c:numCache>
            </c:numRef>
          </c:xVal>
          <c:yVal>
            <c:numRef>
              <c:f>'Q2'!$L$3:$L$26</c:f>
              <c:numCache>
                <c:formatCode>#,##0</c:formatCode>
                <c:ptCount val="24"/>
                <c:pt idx="0">
                  <c:v>21</c:v>
                </c:pt>
                <c:pt idx="1">
                  <c:v>39</c:v>
                </c:pt>
                <c:pt idx="2">
                  <c:v>12</c:v>
                </c:pt>
                <c:pt idx="3">
                  <c:v>18</c:v>
                </c:pt>
                <c:pt idx="4">
                  <c:v>24</c:v>
                </c:pt>
                <c:pt idx="5">
                  <c:v>34</c:v>
                </c:pt>
                <c:pt idx="6">
                  <c:v>14</c:v>
                </c:pt>
                <c:pt idx="7">
                  <c:v>14</c:v>
                </c:pt>
                <c:pt idx="8">
                  <c:v>30</c:v>
                </c:pt>
                <c:pt idx="9">
                  <c:v>38</c:v>
                </c:pt>
                <c:pt idx="10">
                  <c:v>34</c:v>
                </c:pt>
                <c:pt idx="11">
                  <c:v>32</c:v>
                </c:pt>
                <c:pt idx="12">
                  <c:v>21</c:v>
                </c:pt>
                <c:pt idx="13">
                  <c:v>38</c:v>
                </c:pt>
                <c:pt idx="14">
                  <c:v>7</c:v>
                </c:pt>
                <c:pt idx="15">
                  <c:v>8</c:v>
                </c:pt>
                <c:pt idx="16">
                  <c:v>8</c:v>
                </c:pt>
                <c:pt idx="17">
                  <c:v>37</c:v>
                </c:pt>
                <c:pt idx="18">
                  <c:v>37</c:v>
                </c:pt>
                <c:pt idx="19">
                  <c:v>7</c:v>
                </c:pt>
                <c:pt idx="20">
                  <c:v>15</c:v>
                </c:pt>
                <c:pt idx="21">
                  <c:v>11</c:v>
                </c:pt>
                <c:pt idx="22">
                  <c:v>28</c:v>
                </c:pt>
                <c:pt idx="23">
                  <c:v>35</c:v>
                </c:pt>
              </c:numCache>
            </c:numRef>
          </c:yVal>
          <c:smooth val="0"/>
          <c:extLst>
            <c:ext xmlns:c16="http://schemas.microsoft.com/office/drawing/2014/chart" uri="{C3380CC4-5D6E-409C-BE32-E72D297353CC}">
              <c16:uniqueId val="{00000000-3DB1-428C-909D-E4CC4C9D2D0A}"/>
            </c:ext>
          </c:extLst>
        </c:ser>
        <c:dLbls>
          <c:showLegendKey val="0"/>
          <c:showVal val="0"/>
          <c:showCatName val="0"/>
          <c:showSerName val="0"/>
          <c:showPercent val="0"/>
          <c:showBubbleSize val="0"/>
        </c:dLbls>
        <c:axId val="995563392"/>
        <c:axId val="995563872"/>
      </c:scatterChart>
      <c:valAx>
        <c:axId val="9955633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95563872"/>
        <c:crosses val="autoZero"/>
        <c:crossBetween val="midCat"/>
      </c:valAx>
      <c:valAx>
        <c:axId val="99556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95563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bar"/>
        <c:grouping val="clustered"/>
        <c:varyColors val="0"/>
        <c:ser>
          <c:idx val="0"/>
          <c:order val="0"/>
          <c:spPr>
            <a:solidFill>
              <a:schemeClr val="accent1"/>
            </a:solidFill>
            <a:ln>
              <a:noFill/>
            </a:ln>
            <a:effectLst/>
          </c:spPr>
          <c:invertIfNegative val="0"/>
          <c:cat>
            <c:strRef>
              <c:f>'Q3'!$B$31:$B$54</c:f>
              <c:strCache>
                <c:ptCount val="24"/>
                <c:pt idx="0">
                  <c:v>Facebook</c:v>
                </c:pt>
                <c:pt idx="1">
                  <c:v>GOOGLE</c:v>
                </c:pt>
                <c:pt idx="2">
                  <c:v>Facebook</c:v>
                </c:pt>
                <c:pt idx="3">
                  <c:v>GOOGLE</c:v>
                </c:pt>
                <c:pt idx="4">
                  <c:v>Facebook</c:v>
                </c:pt>
                <c:pt idx="5">
                  <c:v>GOOGLE</c:v>
                </c:pt>
                <c:pt idx="6">
                  <c:v>Facebook</c:v>
                </c:pt>
                <c:pt idx="7">
                  <c:v>GOOGLE</c:v>
                </c:pt>
                <c:pt idx="8">
                  <c:v>Facebook</c:v>
                </c:pt>
                <c:pt idx="9">
                  <c:v>GOOGLE</c:v>
                </c:pt>
                <c:pt idx="10">
                  <c:v>Facebook</c:v>
                </c:pt>
                <c:pt idx="11">
                  <c:v>GOOGLE</c:v>
                </c:pt>
                <c:pt idx="12">
                  <c:v>Facebook</c:v>
                </c:pt>
                <c:pt idx="13">
                  <c:v>GOOGLE</c:v>
                </c:pt>
                <c:pt idx="14">
                  <c:v>FB</c:v>
                </c:pt>
                <c:pt idx="15">
                  <c:v>GOOGLE</c:v>
                </c:pt>
                <c:pt idx="16">
                  <c:v>Facebook</c:v>
                </c:pt>
                <c:pt idx="17">
                  <c:v>GOOGLE</c:v>
                </c:pt>
                <c:pt idx="18">
                  <c:v>Facebook</c:v>
                </c:pt>
                <c:pt idx="19">
                  <c:v>GOOGLE</c:v>
                </c:pt>
                <c:pt idx="20">
                  <c:v>Facebook</c:v>
                </c:pt>
                <c:pt idx="21">
                  <c:v>GOOGLE</c:v>
                </c:pt>
                <c:pt idx="22">
                  <c:v>Facebook</c:v>
                </c:pt>
                <c:pt idx="23">
                  <c:v>GOOGLE</c:v>
                </c:pt>
              </c:strCache>
            </c:strRef>
          </c:cat>
          <c:val>
            <c:numRef>
              <c:f>'Q3'!$C$31:$C$54</c:f>
              <c:numCache>
                <c:formatCode>General</c:formatCode>
                <c:ptCount val="24"/>
                <c:pt idx="0" formatCode="_-&quot;$&quot;\ * #,##0_-;\-&quot;$&quot;\ * #,##0_-;_-&quot;$&quot;\ * &quot;-&quot;??_-;_-@_-">
                  <c:v>560</c:v>
                </c:pt>
                <c:pt idx="1">
                  <c:v>516.12903225806451</c:v>
                </c:pt>
                <c:pt idx="2">
                  <c:v>601.76991150442473</c:v>
                </c:pt>
                <c:pt idx="3">
                  <c:v>536.67262969588546</c:v>
                </c:pt>
                <c:pt idx="4">
                  <c:v>943.39622641509436</c:v>
                </c:pt>
                <c:pt idx="5">
                  <c:v>520.98408104196812</c:v>
                </c:pt>
                <c:pt idx="6">
                  <c:v>0</c:v>
                </c:pt>
                <c:pt idx="7">
                  <c:v>0</c:v>
                </c:pt>
                <c:pt idx="8">
                  <c:v>850.82246171298925</c:v>
                </c:pt>
                <c:pt idx="9">
                  <c:v>790.51383399209487</c:v>
                </c:pt>
                <c:pt idx="10">
                  <c:v>967.11798839458413</c:v>
                </c:pt>
                <c:pt idx="11">
                  <c:v>778.7610619469026</c:v>
                </c:pt>
                <c:pt idx="12">
                  <c:v>1238.3900928792571</c:v>
                </c:pt>
                <c:pt idx="13">
                  <c:v>598.13912272928667</c:v>
                </c:pt>
                <c:pt idx="14">
                  <c:v>1864.3372921615203</c:v>
                </c:pt>
                <c:pt idx="15">
                  <c:v>0</c:v>
                </c:pt>
                <c:pt idx="16">
                  <c:v>2058.3740920096852</c:v>
                </c:pt>
                <c:pt idx="17">
                  <c:v>328.41171813143308</c:v>
                </c:pt>
                <c:pt idx="18">
                  <c:v>1926.31</c:v>
                </c:pt>
                <c:pt idx="19">
                  <c:v>578.24987702902115</c:v>
                </c:pt>
                <c:pt idx="20">
                  <c:v>2600.4728132387709</c:v>
                </c:pt>
                <c:pt idx="21">
                  <c:v>1259.7480503899221</c:v>
                </c:pt>
                <c:pt idx="22">
                  <c:v>870.06960556844547</c:v>
                </c:pt>
                <c:pt idx="23">
                  <c:v>691.32388524023509</c:v>
                </c:pt>
              </c:numCache>
            </c:numRef>
          </c:val>
          <c:extLst>
            <c:ext xmlns:c16="http://schemas.microsoft.com/office/drawing/2014/chart" uri="{C3380CC4-5D6E-409C-BE32-E72D297353CC}">
              <c16:uniqueId val="{00000000-3E50-4B93-BDC4-4525119D8E45}"/>
            </c:ext>
          </c:extLst>
        </c:ser>
        <c:dLbls>
          <c:showLegendKey val="0"/>
          <c:showVal val="0"/>
          <c:showCatName val="0"/>
          <c:showSerName val="0"/>
          <c:showPercent val="0"/>
          <c:showBubbleSize val="0"/>
        </c:dLbls>
        <c:gapWidth val="182"/>
        <c:axId val="64815823"/>
        <c:axId val="64811503"/>
      </c:barChart>
      <c:catAx>
        <c:axId val="64815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4811503"/>
        <c:crosses val="autoZero"/>
        <c:auto val="1"/>
        <c:lblAlgn val="ctr"/>
        <c:lblOffset val="100"/>
        <c:noMultiLvlLbl val="0"/>
      </c:catAx>
      <c:valAx>
        <c:axId val="6481150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4815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'Q3'!$B$31:$B$54</c:f>
              <c:strCache>
                <c:ptCount val="24"/>
                <c:pt idx="0">
                  <c:v>Facebook</c:v>
                </c:pt>
                <c:pt idx="1">
                  <c:v>GOOGLE</c:v>
                </c:pt>
                <c:pt idx="2">
                  <c:v>Facebook</c:v>
                </c:pt>
                <c:pt idx="3">
                  <c:v>GOOGLE</c:v>
                </c:pt>
                <c:pt idx="4">
                  <c:v>Facebook</c:v>
                </c:pt>
                <c:pt idx="5">
                  <c:v>GOOGLE</c:v>
                </c:pt>
                <c:pt idx="6">
                  <c:v>Facebook</c:v>
                </c:pt>
                <c:pt idx="7">
                  <c:v>GOOGLE</c:v>
                </c:pt>
                <c:pt idx="8">
                  <c:v>Facebook</c:v>
                </c:pt>
                <c:pt idx="9">
                  <c:v>GOOGLE</c:v>
                </c:pt>
                <c:pt idx="10">
                  <c:v>Facebook</c:v>
                </c:pt>
                <c:pt idx="11">
                  <c:v>GOOGLE</c:v>
                </c:pt>
                <c:pt idx="12">
                  <c:v>Facebook</c:v>
                </c:pt>
                <c:pt idx="13">
                  <c:v>GOOGLE</c:v>
                </c:pt>
                <c:pt idx="14">
                  <c:v>FB</c:v>
                </c:pt>
                <c:pt idx="15">
                  <c:v>GOOGLE</c:v>
                </c:pt>
                <c:pt idx="16">
                  <c:v>Facebook</c:v>
                </c:pt>
                <c:pt idx="17">
                  <c:v>GOOGLE</c:v>
                </c:pt>
                <c:pt idx="18">
                  <c:v>Facebook</c:v>
                </c:pt>
                <c:pt idx="19">
                  <c:v>GOOGLE</c:v>
                </c:pt>
                <c:pt idx="20">
                  <c:v>Facebook</c:v>
                </c:pt>
                <c:pt idx="21">
                  <c:v>GOOGLE</c:v>
                </c:pt>
                <c:pt idx="22">
                  <c:v>Facebook</c:v>
                </c:pt>
                <c:pt idx="23">
                  <c:v>GOOGLE</c:v>
                </c:pt>
              </c:strCache>
            </c:strRef>
          </c:xVal>
          <c:yVal>
            <c:numRef>
              <c:f>'Q3'!$C$31:$C$54</c:f>
              <c:numCache>
                <c:formatCode>General</c:formatCode>
                <c:ptCount val="24"/>
                <c:pt idx="0" formatCode="_-&quot;$&quot;\ * #,##0_-;\-&quot;$&quot;\ * #,##0_-;_-&quot;$&quot;\ * &quot;-&quot;??_-;_-@_-">
                  <c:v>560</c:v>
                </c:pt>
                <c:pt idx="1">
                  <c:v>516.12903225806451</c:v>
                </c:pt>
                <c:pt idx="2">
                  <c:v>601.76991150442473</c:v>
                </c:pt>
                <c:pt idx="3">
                  <c:v>536.67262969588546</c:v>
                </c:pt>
                <c:pt idx="4">
                  <c:v>943.39622641509436</c:v>
                </c:pt>
                <c:pt idx="5">
                  <c:v>520.98408104196812</c:v>
                </c:pt>
                <c:pt idx="6">
                  <c:v>0</c:v>
                </c:pt>
                <c:pt idx="7">
                  <c:v>0</c:v>
                </c:pt>
                <c:pt idx="8">
                  <c:v>850.82246171298925</c:v>
                </c:pt>
                <c:pt idx="9">
                  <c:v>790.51383399209487</c:v>
                </c:pt>
                <c:pt idx="10">
                  <c:v>967.11798839458413</c:v>
                </c:pt>
                <c:pt idx="11">
                  <c:v>778.7610619469026</c:v>
                </c:pt>
                <c:pt idx="12">
                  <c:v>1238.3900928792571</c:v>
                </c:pt>
                <c:pt idx="13">
                  <c:v>598.13912272928667</c:v>
                </c:pt>
                <c:pt idx="14">
                  <c:v>1864.3372921615203</c:v>
                </c:pt>
                <c:pt idx="15">
                  <c:v>0</c:v>
                </c:pt>
                <c:pt idx="16">
                  <c:v>2058.3740920096852</c:v>
                </c:pt>
                <c:pt idx="17">
                  <c:v>328.41171813143308</c:v>
                </c:pt>
                <c:pt idx="18">
                  <c:v>1926.31</c:v>
                </c:pt>
                <c:pt idx="19">
                  <c:v>578.24987702902115</c:v>
                </c:pt>
                <c:pt idx="20">
                  <c:v>2600.4728132387709</c:v>
                </c:pt>
                <c:pt idx="21">
                  <c:v>1259.7480503899221</c:v>
                </c:pt>
                <c:pt idx="22">
                  <c:v>870.06960556844547</c:v>
                </c:pt>
                <c:pt idx="23">
                  <c:v>691.32388524023509</c:v>
                </c:pt>
              </c:numCache>
            </c:numRef>
          </c:yVal>
          <c:smooth val="0"/>
          <c:extLst>
            <c:ext xmlns:c16="http://schemas.microsoft.com/office/drawing/2014/chart" uri="{C3380CC4-5D6E-409C-BE32-E72D297353CC}">
              <c16:uniqueId val="{00000000-F899-4A36-AFF6-C2E9EB2E4C7D}"/>
            </c:ext>
          </c:extLst>
        </c:ser>
        <c:dLbls>
          <c:showLegendKey val="0"/>
          <c:showVal val="0"/>
          <c:showCatName val="0"/>
          <c:showSerName val="0"/>
          <c:showPercent val="0"/>
          <c:showBubbleSize val="0"/>
        </c:dLbls>
        <c:axId val="64792783"/>
        <c:axId val="64798063"/>
      </c:scatterChart>
      <c:valAx>
        <c:axId val="647927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4798063"/>
        <c:crosses val="autoZero"/>
        <c:crossBetween val="midCat"/>
      </c:valAx>
      <c:valAx>
        <c:axId val="6479806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47927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283028</xdr:colOff>
      <xdr:row>32</xdr:row>
      <xdr:rowOff>108857</xdr:rowOff>
    </xdr:from>
    <xdr:to>
      <xdr:col>8</xdr:col>
      <xdr:colOff>870856</xdr:colOff>
      <xdr:row>45</xdr:row>
      <xdr:rowOff>21771</xdr:rowOff>
    </xdr:to>
    <xdr:graphicFrame macro="">
      <xdr:nvGraphicFramePr>
        <xdr:cNvPr id="4" name="Gráfico 3">
          <a:extLst>
            <a:ext uri="{FF2B5EF4-FFF2-40B4-BE49-F238E27FC236}">
              <a16:creationId xmlns:a16="http://schemas.microsoft.com/office/drawing/2014/main" id="{4D1211E7-B6E0-CBA6-8E46-E76C10C25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261257</xdr:colOff>
      <xdr:row>45</xdr:row>
      <xdr:rowOff>174171</xdr:rowOff>
    </xdr:from>
    <xdr:to>
      <xdr:col>8</xdr:col>
      <xdr:colOff>849086</xdr:colOff>
      <xdr:row>59</xdr:row>
      <xdr:rowOff>0</xdr:rowOff>
    </xdr:to>
    <xdr:graphicFrame macro="">
      <xdr:nvGraphicFramePr>
        <xdr:cNvPr id="5" name="Gráfico 4">
          <a:extLst>
            <a:ext uri="{FF2B5EF4-FFF2-40B4-BE49-F238E27FC236}">
              <a16:creationId xmlns:a16="http://schemas.microsoft.com/office/drawing/2014/main" id="{AD862C03-7BC9-6C12-229F-BFB8D3AED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34</xdr:row>
      <xdr:rowOff>130629</xdr:rowOff>
    </xdr:from>
    <xdr:to>
      <xdr:col>12</xdr:col>
      <xdr:colOff>1284514</xdr:colOff>
      <xdr:row>40</xdr:row>
      <xdr:rowOff>141514</xdr:rowOff>
    </xdr:to>
    <xdr:sp macro="" textlink="">
      <xdr:nvSpPr>
        <xdr:cNvPr id="6" name="CuadroTexto 5">
          <a:extLst>
            <a:ext uri="{FF2B5EF4-FFF2-40B4-BE49-F238E27FC236}">
              <a16:creationId xmlns:a16="http://schemas.microsoft.com/office/drawing/2014/main" id="{712F097F-B4E5-9565-8469-42A1CC030589}"/>
            </a:ext>
          </a:extLst>
        </xdr:cNvPr>
        <xdr:cNvSpPr txBox="1"/>
      </xdr:nvSpPr>
      <xdr:spPr>
        <a:xfrm>
          <a:off x="12017829" y="10134600"/>
          <a:ext cx="5431971" cy="13171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El análisis de los datos indica que los canales de Facebook y Google demuestran un retorno de inversión significativamente más alto en comparación con otros canales. Esta tendencia sugiere que dichas plataformas ofrecen una mayor rentabilidad y eficacia en la generación de resultados financieros positivos.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562640</xdr:colOff>
      <xdr:row>29</xdr:row>
      <xdr:rowOff>170121</xdr:rowOff>
    </xdr:from>
    <xdr:to>
      <xdr:col>8</xdr:col>
      <xdr:colOff>624663</xdr:colOff>
      <xdr:row>44</xdr:row>
      <xdr:rowOff>122275</xdr:rowOff>
    </xdr:to>
    <xdr:graphicFrame macro="">
      <xdr:nvGraphicFramePr>
        <xdr:cNvPr id="3" name="Gráfico 2">
          <a:extLst>
            <a:ext uri="{FF2B5EF4-FFF2-40B4-BE49-F238E27FC236}">
              <a16:creationId xmlns:a16="http://schemas.microsoft.com/office/drawing/2014/main" id="{C609FF49-865D-2CDE-A360-67C0678DB9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274674</xdr:colOff>
      <xdr:row>30</xdr:row>
      <xdr:rowOff>62024</xdr:rowOff>
    </xdr:from>
    <xdr:to>
      <xdr:col>14</xdr:col>
      <xdr:colOff>416442</xdr:colOff>
      <xdr:row>41</xdr:row>
      <xdr:rowOff>62023</xdr:rowOff>
    </xdr:to>
    <xdr:sp macro="" textlink="">
      <xdr:nvSpPr>
        <xdr:cNvPr id="4" name="CuadroTexto 3">
          <a:extLst>
            <a:ext uri="{FF2B5EF4-FFF2-40B4-BE49-F238E27FC236}">
              <a16:creationId xmlns:a16="http://schemas.microsoft.com/office/drawing/2014/main" id="{49FE02C2-22BB-8326-61C6-B954233CC523}"/>
            </a:ext>
          </a:extLst>
        </xdr:cNvPr>
        <xdr:cNvSpPr txBox="1"/>
      </xdr:nvSpPr>
      <xdr:spPr>
        <a:xfrm>
          <a:off x="8426302" y="8984512"/>
          <a:ext cx="4509977" cy="20467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0">
              <a:solidFill>
                <a:schemeClr val="dk1"/>
              </a:solidFill>
              <a:effectLst/>
              <a:latin typeface="+mn-lt"/>
              <a:ea typeface="+mn-ea"/>
              <a:cs typeface="+mn-cs"/>
            </a:rPr>
            <a:t>La interpretación de los datos sugiere que, aunque los valores observados en el gráfico presentan cierta significancia, la dispersión de los mismos es considerable y no permite establecer una correlación directa con certeza. Es probable que factores adicionales, no contemplados en el análisis actual, estén influyendo en esta correlación. Además, el coeficiente de correlación de 0,22 respalda esta hipótesis, indicando que sería prudente incorporar más variables para determinar con precisión la naturaleza exacta de la relación entre estas métricas.</a:t>
          </a:r>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586740</xdr:colOff>
      <xdr:row>30</xdr:row>
      <xdr:rowOff>26670</xdr:rowOff>
    </xdr:from>
    <xdr:to>
      <xdr:col>8</xdr:col>
      <xdr:colOff>708660</xdr:colOff>
      <xdr:row>42</xdr:row>
      <xdr:rowOff>118110</xdr:rowOff>
    </xdr:to>
    <xdr:graphicFrame macro="">
      <xdr:nvGraphicFramePr>
        <xdr:cNvPr id="2" name="Gráfico 1">
          <a:extLst>
            <a:ext uri="{FF2B5EF4-FFF2-40B4-BE49-F238E27FC236}">
              <a16:creationId xmlns:a16="http://schemas.microsoft.com/office/drawing/2014/main" id="{EA91811B-BCEA-6A47-49A4-376C538C3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583260</xdr:colOff>
      <xdr:row>42</xdr:row>
      <xdr:rowOff>188148</xdr:rowOff>
    </xdr:from>
    <xdr:to>
      <xdr:col>8</xdr:col>
      <xdr:colOff>686741</xdr:colOff>
      <xdr:row>54</xdr:row>
      <xdr:rowOff>153340</xdr:rowOff>
    </xdr:to>
    <xdr:graphicFrame macro="">
      <xdr:nvGraphicFramePr>
        <xdr:cNvPr id="3" name="Gráfico 2">
          <a:extLst>
            <a:ext uri="{FF2B5EF4-FFF2-40B4-BE49-F238E27FC236}">
              <a16:creationId xmlns:a16="http://schemas.microsoft.com/office/drawing/2014/main" id="{CB71AD93-0D87-1815-0F55-36298F17BB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LOPEZ DANIEL ALEJANDRO" id="{05CA9802-537A-4026-8E63-64EF7889F78F}" userId="S::daniel.lopez@torresguarin.com.co::fa08ed07-1c8a-4341-86ed-0ae2ee51f620" providerId="AD"/>
</personLis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 dT="2024-01-29T18:37:07.55" personId="{05CA9802-537A-4026-8E63-64EF7889F78F}" id="{C6B60162-D044-4D05-83A3-CC66C848E0E3}">
    <text xml:space="preserve">Teléfono, Correo Bueno </text>
  </threadedComment>
  <threadedComment ref="O3" dT="2024-01-29T19:41:02.25" personId="{05CA9802-537A-4026-8E63-64EF7889F78F}" id="{F09E25C4-D610-42C7-9D92-459603466C81}">
    <text>Lo que costo las venta según la pauta realizada</text>
  </threadedComment>
  <threadedComment ref="F10" dT="2024-01-29T20:32:26.48" personId="{05CA9802-537A-4026-8E63-64EF7889F78F}" id="{7D5FD359-B39D-457F-A4F1-304FC6D8B4E7}">
    <text>Imputado mediana</text>
  </threadedComment>
  <threadedComment ref="G10" dT="2024-01-29T20:33:09.63" personId="{05CA9802-537A-4026-8E63-64EF7889F78F}" id="{709AA97A-B41A-4B4A-B012-0AA878A2E80A}">
    <text>Imputado mediana</text>
  </threadedComment>
  <threadedComment ref="F11" dT="2024-01-29T20:32:32.84" personId="{05CA9802-537A-4026-8E63-64EF7889F78F}" id="{6E7DD764-9A42-401E-9924-6ACAB68851D3}">
    <text>Imputado mediana</text>
  </threadedComment>
  <threadedComment ref="G11" dT="2024-01-29T20:33:16.28" personId="{05CA9802-537A-4026-8E63-64EF7889F78F}" id="{AF28D2E2-EAF6-4135-BCBA-3324545F32AF}">
    <text>Imputado mediana</text>
  </threadedComment>
</ThreadedComments>
</file>

<file path=xl/threadedComments/threadedComment2.xml><?xml version="1.0" encoding="utf-8"?>
<ThreadedComments xmlns="http://schemas.microsoft.com/office/spreadsheetml/2018/threadedcomments" xmlns:x="http://schemas.openxmlformats.org/spreadsheetml/2006/main">
  <threadedComment ref="L2" dT="2024-01-29T18:37:07.55" personId="{05CA9802-537A-4026-8E63-64EF7889F78F}" id="{317E1D04-BACF-4144-810D-0750499196CE}">
    <text xml:space="preserve">Teléfono, Correo Bueno </text>
  </threadedComment>
  <threadedComment ref="O2" dT="2024-01-29T19:41:02.25" personId="{05CA9802-537A-4026-8E63-64EF7889F78F}" id="{2F167A69-D7DB-49C5-B556-CD1C481BC067}">
    <text>Lo que costo las venta según la pauta realizada</text>
  </threadedComment>
  <threadedComment ref="F9" dT="2024-01-29T20:32:26.48" personId="{05CA9802-537A-4026-8E63-64EF7889F78F}" id="{1399E415-C8B0-4456-83FD-1587CC272505}">
    <text>Imputado mediana</text>
  </threadedComment>
  <threadedComment ref="G9" dT="2024-01-29T20:33:09.63" personId="{05CA9802-537A-4026-8E63-64EF7889F78F}" id="{35ADFFDF-AED5-4759-8BCD-CD5F9581CB14}">
    <text>Imputado mediana</text>
  </threadedComment>
  <threadedComment ref="F10" dT="2024-01-29T20:32:32.84" personId="{05CA9802-537A-4026-8E63-64EF7889F78F}" id="{0B4D0D7E-DFEF-4D58-AD4D-2C50A4971C6A}">
    <text>Imputado mediana</text>
  </threadedComment>
  <threadedComment ref="G10" dT="2024-01-29T20:33:16.28" personId="{05CA9802-537A-4026-8E63-64EF7889F78F}" id="{6FE393EC-086A-48F9-BDB7-DF0E00F12931}">
    <text>Imputado mediana</text>
  </threadedComment>
</ThreadedComments>
</file>

<file path=xl/threadedComments/threadedComment3.xml><?xml version="1.0" encoding="utf-8"?>
<ThreadedComments xmlns="http://schemas.microsoft.com/office/spreadsheetml/2018/threadedcomments" xmlns:x="http://schemas.openxmlformats.org/spreadsheetml/2006/main">
  <threadedComment ref="L2" dT="2024-01-29T18:37:07.55" personId="{05CA9802-537A-4026-8E63-64EF7889F78F}" id="{DBB2BD72-C71E-4E03-9AF0-CCE72A73CD2F}">
    <text xml:space="preserve">Teléfono, Correo Bueno </text>
  </threadedComment>
  <threadedComment ref="O2" dT="2024-01-29T19:41:02.25" personId="{05CA9802-537A-4026-8E63-64EF7889F78F}" id="{D34155A1-B901-4823-920F-FC5FD93A6CBB}">
    <text>Lo que costo las venta según la pauta realizada</text>
  </threadedComment>
  <threadedComment ref="F9" dT="2024-01-29T20:32:26.48" personId="{05CA9802-537A-4026-8E63-64EF7889F78F}" id="{74CAB1C2-1BB9-475E-9BC9-B7B2E7DD5D5C}">
    <text>Imputado mediana</text>
  </threadedComment>
  <threadedComment ref="G9" dT="2024-01-29T20:33:09.63" personId="{05CA9802-537A-4026-8E63-64EF7889F78F}" id="{F071A8FB-EE27-42FF-9C19-214A2DED9883}">
    <text>Imputado mediana</text>
  </threadedComment>
  <threadedComment ref="F10" dT="2024-01-29T20:32:32.84" personId="{05CA9802-537A-4026-8E63-64EF7889F78F}" id="{A51254FF-5639-4B1F-BF9D-782791C6C0FC}">
    <text>Imputado mediana</text>
  </threadedComment>
  <threadedComment ref="G10" dT="2024-01-29T20:33:16.28" personId="{05CA9802-537A-4026-8E63-64EF7889F78F}" id="{57ACF41E-1379-486C-9E8F-4D8BE29CDAE3}">
    <text>Imputado mediana</text>
  </threadedComment>
</ThreadedComments>
</file>

<file path=xl/threadedComments/threadedComment4.xml><?xml version="1.0" encoding="utf-8"?>
<ThreadedComments xmlns="http://schemas.microsoft.com/office/spreadsheetml/2018/threadedcomments" xmlns:x="http://schemas.openxmlformats.org/spreadsheetml/2006/main">
  <threadedComment ref="L2" dT="2024-01-29T18:37:07.55" personId="{05CA9802-537A-4026-8E63-64EF7889F78F}" id="{F2CA3044-51B5-467C-B0E7-BF6712DDD9E3}">
    <text xml:space="preserve">Teléfono, Correo Bueno </text>
  </threadedComment>
  <threadedComment ref="O2" dT="2024-01-29T19:41:02.25" personId="{05CA9802-537A-4026-8E63-64EF7889F78F}" id="{B4A30018-316D-4A45-84B3-0AB9A6794EFC}">
    <text>Lo que costo las venta según la pauta realizada</text>
  </threadedComment>
  <threadedComment ref="F9" dT="2024-01-29T20:32:26.48" personId="{05CA9802-537A-4026-8E63-64EF7889F78F}" id="{AE339D2A-899A-4860-A91C-021C2FC6A1B9}">
    <text>Imputado mediana</text>
  </threadedComment>
  <threadedComment ref="G9" dT="2024-01-29T20:33:09.63" personId="{05CA9802-537A-4026-8E63-64EF7889F78F}" id="{B1E785A1-F6A6-4274-A875-F1A1605EEA81}">
    <text>Imputado mediana</text>
  </threadedComment>
  <threadedComment ref="F10" dT="2024-01-29T20:32:32.84" personId="{05CA9802-537A-4026-8E63-64EF7889F78F}" id="{5C61EF46-DBC2-4ADA-88DF-E81C54A3FAE0}">
    <text>Imputado mediana</text>
  </threadedComment>
  <threadedComment ref="G10" dT="2024-01-29T20:33:16.28" personId="{05CA9802-537A-4026-8E63-64EF7889F78F}" id="{A4E4D783-DEF0-4550-A9A9-3FFC78F4EF18}">
    <text>Imputado mediana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9D662-0BD7-42A1-83C1-7B2AB113EA73}">
  <dimension ref="A1:Q28"/>
  <sheetViews>
    <sheetView zoomScale="47" zoomScaleNormal="47" workbookViewId="0">
      <pane ySplit="1" topLeftCell="A2" activePane="bottomLeft" state="frozen"/>
      <selection pane="bottomLeft" activeCell="A30" sqref="A30"/>
    </sheetView>
  </sheetViews>
  <sheetFormatPr baseColWidth="10" defaultColWidth="11.44140625" defaultRowHeight="19.8" x14ac:dyDescent="0.4"/>
  <cols>
    <col min="1" max="1" width="11.44140625" style="1"/>
    <col min="2" max="2" width="16" style="1" customWidth="1"/>
    <col min="3" max="3" width="28" style="1" customWidth="1"/>
    <col min="4" max="4" width="23.6640625" style="1" bestFit="1" customWidth="1"/>
    <col min="5" max="5" width="18.6640625" style="1" customWidth="1"/>
    <col min="6" max="7" width="18.33203125" style="1" customWidth="1"/>
    <col min="8" max="9" width="25.5546875" style="1" bestFit="1" customWidth="1"/>
    <col min="10" max="10" width="33.109375" style="1" customWidth="1"/>
    <col min="11" max="11" width="25.5546875" style="1" customWidth="1"/>
    <col min="12" max="15" width="34" style="1" customWidth="1"/>
    <col min="16" max="17" width="29.5546875" style="1" customWidth="1"/>
    <col min="18" max="16384" width="11.44140625" style="1"/>
  </cols>
  <sheetData>
    <row r="1" spans="1:17" s="12" customFormat="1" ht="25.8" x14ac:dyDescent="0.5">
      <c r="A1" s="19" t="s">
        <v>8</v>
      </c>
      <c r="B1" s="19"/>
      <c r="C1" s="19"/>
      <c r="D1" s="19"/>
      <c r="E1" s="19"/>
      <c r="F1" s="19"/>
      <c r="G1" s="19"/>
      <c r="H1" s="19"/>
      <c r="I1" s="19"/>
      <c r="J1" s="19"/>
      <c r="K1" s="19"/>
      <c r="L1" s="19"/>
      <c r="M1" s="19"/>
      <c r="N1" s="19"/>
      <c r="O1" s="19"/>
      <c r="P1" s="19"/>
      <c r="Q1" s="19"/>
    </row>
    <row r="2" spans="1:17" s="12" customFormat="1" ht="25.8" x14ac:dyDescent="0.5">
      <c r="A2" s="13"/>
      <c r="B2" s="17" t="s">
        <v>18</v>
      </c>
      <c r="C2" s="17"/>
      <c r="D2" s="17"/>
      <c r="E2" s="17"/>
      <c r="F2" s="17"/>
      <c r="G2" s="17"/>
      <c r="H2" s="17"/>
      <c r="I2" s="17"/>
      <c r="J2" s="18" t="s">
        <v>19</v>
      </c>
      <c r="K2" s="18"/>
      <c r="L2" s="18"/>
      <c r="M2" s="18"/>
      <c r="N2" s="18"/>
      <c r="O2" s="18"/>
      <c r="P2" s="18"/>
      <c r="Q2" s="18"/>
    </row>
    <row r="3" spans="1:17" ht="79.2" x14ac:dyDescent="0.4">
      <c r="A3" s="8" t="s">
        <v>2</v>
      </c>
      <c r="B3" s="4" t="s">
        <v>20</v>
      </c>
      <c r="C3" s="4" t="s">
        <v>21</v>
      </c>
      <c r="D3" s="3" t="s">
        <v>10</v>
      </c>
      <c r="E3" s="3" t="s">
        <v>0</v>
      </c>
      <c r="F3" s="3" t="s">
        <v>1</v>
      </c>
      <c r="G3" s="3" t="s">
        <v>4</v>
      </c>
      <c r="H3" s="4" t="s">
        <v>22</v>
      </c>
      <c r="I3" s="4" t="s">
        <v>5</v>
      </c>
      <c r="J3" s="4" t="s">
        <v>23</v>
      </c>
      <c r="K3" s="4" t="s">
        <v>11</v>
      </c>
      <c r="L3" s="4" t="s">
        <v>14</v>
      </c>
      <c r="M3" s="4" t="s">
        <v>12</v>
      </c>
      <c r="N3" s="4" t="s">
        <v>13</v>
      </c>
      <c r="O3" s="4" t="s">
        <v>15</v>
      </c>
      <c r="P3" s="4" t="s">
        <v>16</v>
      </c>
      <c r="Q3" s="4" t="s">
        <v>17</v>
      </c>
    </row>
    <row r="4" spans="1:17" x14ac:dyDescent="0.4">
      <c r="A4" s="15">
        <v>1</v>
      </c>
      <c r="B4" s="2" t="s">
        <v>9</v>
      </c>
      <c r="C4" s="7">
        <f>300000+350000+450000+300000</f>
        <v>1400000</v>
      </c>
      <c r="D4" s="7">
        <f>300000+350000+450000+257000</f>
        <v>1357000</v>
      </c>
      <c r="E4" s="2">
        <v>54465</v>
      </c>
      <c r="F4" s="2">
        <v>100655</v>
      </c>
      <c r="G4" s="2">
        <v>2500</v>
      </c>
      <c r="H4" s="2">
        <v>209</v>
      </c>
      <c r="I4" s="5">
        <v>1.1499999999999999</v>
      </c>
      <c r="J4" s="2">
        <v>254</v>
      </c>
      <c r="K4" s="2">
        <v>169</v>
      </c>
      <c r="L4" s="2">
        <v>21</v>
      </c>
      <c r="M4" s="10">
        <v>16000000</v>
      </c>
      <c r="N4" s="10">
        <v>3644255</v>
      </c>
      <c r="O4" s="11">
        <v>0.03</v>
      </c>
      <c r="P4" s="2">
        <v>30156060</v>
      </c>
      <c r="Q4" s="5">
        <v>0.05</v>
      </c>
    </row>
    <row r="5" spans="1:17" x14ac:dyDescent="0.4">
      <c r="A5" s="16"/>
      <c r="B5" s="2" t="s">
        <v>6</v>
      </c>
      <c r="C5" s="7">
        <f>400000+400000+450000+350000</f>
        <v>1600000</v>
      </c>
      <c r="D5" s="7">
        <f>400000+400000+450000+350000</f>
        <v>1600000</v>
      </c>
      <c r="E5" s="2" t="s">
        <v>7</v>
      </c>
      <c r="F5" s="2">
        <v>27663</v>
      </c>
      <c r="G5" s="2">
        <v>3100</v>
      </c>
      <c r="H5" s="2">
        <v>239</v>
      </c>
      <c r="I5" s="5">
        <v>1.58</v>
      </c>
      <c r="J5" s="2">
        <v>246</v>
      </c>
      <c r="K5" s="2">
        <v>149</v>
      </c>
      <c r="L5" s="2">
        <v>39</v>
      </c>
      <c r="M5" s="10">
        <v>16000000</v>
      </c>
      <c r="N5" s="10">
        <v>2859483</v>
      </c>
      <c r="O5" s="11">
        <v>0.03</v>
      </c>
      <c r="P5" s="2">
        <v>36658117</v>
      </c>
      <c r="Q5" s="5">
        <v>0.05</v>
      </c>
    </row>
    <row r="6" spans="1:17" x14ac:dyDescent="0.4">
      <c r="A6" s="15">
        <v>2</v>
      </c>
      <c r="B6" s="2" t="s">
        <v>9</v>
      </c>
      <c r="C6" s="7">
        <f>450000+400000+450000+400000</f>
        <v>1700000</v>
      </c>
      <c r="D6" s="7">
        <f>450000+400000+450000+338000</f>
        <v>1638000</v>
      </c>
      <c r="E6" s="2">
        <v>55112</v>
      </c>
      <c r="F6" s="2">
        <v>97894</v>
      </c>
      <c r="G6" s="2">
        <v>2825</v>
      </c>
      <c r="H6" s="2">
        <v>171</v>
      </c>
      <c r="I6" s="6">
        <v>0.77300000000000002</v>
      </c>
      <c r="J6" s="2">
        <v>142</v>
      </c>
      <c r="K6" s="2">
        <v>71</v>
      </c>
      <c r="L6" s="2">
        <v>12</v>
      </c>
      <c r="M6" s="10">
        <v>16000000</v>
      </c>
      <c r="N6" s="10">
        <v>1311800</v>
      </c>
      <c r="O6" s="11">
        <v>0.03</v>
      </c>
      <c r="P6" s="2">
        <v>39933922</v>
      </c>
      <c r="Q6" s="5">
        <v>0.05</v>
      </c>
    </row>
    <row r="7" spans="1:17" x14ac:dyDescent="0.4">
      <c r="A7" s="16">
        <v>2</v>
      </c>
      <c r="B7" s="2" t="s">
        <v>6</v>
      </c>
      <c r="C7" s="7">
        <f>500000+500000+450000+350000</f>
        <v>1800000</v>
      </c>
      <c r="D7" s="7">
        <f>503000+502000+455000+347000</f>
        <v>1807000</v>
      </c>
      <c r="E7" s="2" t="s">
        <v>7</v>
      </c>
      <c r="F7" s="2">
        <v>29845</v>
      </c>
      <c r="G7" s="2">
        <v>3354</v>
      </c>
      <c r="H7" s="2">
        <v>128</v>
      </c>
      <c r="I7" s="6">
        <v>0.77300000000000002</v>
      </c>
      <c r="J7" s="2">
        <v>193</v>
      </c>
      <c r="K7" s="2">
        <v>72</v>
      </c>
      <c r="L7" s="2">
        <v>18</v>
      </c>
      <c r="M7" s="10">
        <v>16000000</v>
      </c>
      <c r="N7" s="10">
        <v>2238228</v>
      </c>
      <c r="O7" s="11">
        <v>0.03</v>
      </c>
      <c r="P7" s="2">
        <v>29254988</v>
      </c>
      <c r="Q7" s="5">
        <v>0.05</v>
      </c>
    </row>
    <row r="8" spans="1:17" x14ac:dyDescent="0.4">
      <c r="A8" s="15">
        <v>3</v>
      </c>
      <c r="B8" s="2" t="s">
        <v>9</v>
      </c>
      <c r="C8" s="7">
        <f>450000+400000+450000+400000</f>
        <v>1700000</v>
      </c>
      <c r="D8" s="7">
        <f>406000+360000+404000+352000</f>
        <v>1522000</v>
      </c>
      <c r="E8" s="2">
        <v>43798</v>
      </c>
      <c r="F8" s="2">
        <v>86658</v>
      </c>
      <c r="G8" s="2">
        <v>1802</v>
      </c>
      <c r="H8" s="2">
        <v>133</v>
      </c>
      <c r="I8" s="6">
        <v>0.66800000000000004</v>
      </c>
      <c r="J8" s="2">
        <v>163</v>
      </c>
      <c r="K8" s="2">
        <v>61</v>
      </c>
      <c r="L8" s="2">
        <v>24</v>
      </c>
      <c r="M8" s="10">
        <v>16000000</v>
      </c>
      <c r="N8" s="10">
        <v>4448484</v>
      </c>
      <c r="O8" s="11">
        <v>0.03</v>
      </c>
      <c r="P8" s="2">
        <v>22913321</v>
      </c>
      <c r="Q8" s="5">
        <v>0.05</v>
      </c>
    </row>
    <row r="9" spans="1:17" x14ac:dyDescent="0.4">
      <c r="A9" s="16">
        <v>3</v>
      </c>
      <c r="B9" s="2" t="s">
        <v>6</v>
      </c>
      <c r="C9" s="7">
        <f>500000+500000+450000+350000</f>
        <v>1800000</v>
      </c>
      <c r="D9" s="7">
        <f>492000+487300+456200+448000</f>
        <v>1883500</v>
      </c>
      <c r="E9" s="2" t="s">
        <v>7</v>
      </c>
      <c r="F9" s="2">
        <v>29135</v>
      </c>
      <c r="G9" s="2">
        <v>3455</v>
      </c>
      <c r="H9" s="2">
        <v>224</v>
      </c>
      <c r="I9" s="6">
        <v>1.31</v>
      </c>
      <c r="J9" s="2">
        <v>194</v>
      </c>
      <c r="K9" s="2">
        <v>65</v>
      </c>
      <c r="L9" s="2">
        <v>34</v>
      </c>
      <c r="M9" s="10">
        <v>16000000</v>
      </c>
      <c r="N9" s="10">
        <v>4474812</v>
      </c>
      <c r="O9" s="11">
        <v>0.03</v>
      </c>
      <c r="P9" s="2">
        <v>28383796</v>
      </c>
      <c r="Q9" s="5">
        <v>0.05</v>
      </c>
    </row>
    <row r="10" spans="1:17" x14ac:dyDescent="0.4">
      <c r="A10" s="15">
        <v>4</v>
      </c>
      <c r="B10" s="2" t="s">
        <v>9</v>
      </c>
      <c r="C10" s="7">
        <f>500000+500000</f>
        <v>1000000</v>
      </c>
      <c r="D10" s="7">
        <f>303000+328000</f>
        <v>631000</v>
      </c>
      <c r="E10" s="2" t="s">
        <v>7</v>
      </c>
      <c r="F10" s="9"/>
      <c r="G10" s="9"/>
      <c r="H10" s="2">
        <f>43+24</f>
        <v>67</v>
      </c>
      <c r="I10" s="5">
        <v>1.57</v>
      </c>
      <c r="J10" s="2">
        <v>99</v>
      </c>
      <c r="K10" s="2">
        <v>34</v>
      </c>
      <c r="L10" s="2">
        <v>14</v>
      </c>
      <c r="M10" s="10">
        <v>16000000</v>
      </c>
      <c r="N10" s="10">
        <v>4411039</v>
      </c>
      <c r="O10" s="11">
        <v>0.03</v>
      </c>
      <c r="P10" s="2">
        <v>34620171</v>
      </c>
      <c r="Q10" s="5">
        <v>0.05</v>
      </c>
    </row>
    <row r="11" spans="1:17" x14ac:dyDescent="0.4">
      <c r="A11" s="16">
        <v>4</v>
      </c>
      <c r="B11" s="2" t="s">
        <v>6</v>
      </c>
      <c r="C11" s="7">
        <f>500000+500000+350000+350000</f>
        <v>1700000</v>
      </c>
      <c r="D11" s="7">
        <f>496000+506000+357000+329000</f>
        <v>1688000</v>
      </c>
      <c r="E11" s="2" t="s">
        <v>7</v>
      </c>
      <c r="F11" s="9"/>
      <c r="G11" s="9"/>
      <c r="H11" s="2">
        <f>64+38+20+23</f>
        <v>145</v>
      </c>
      <c r="I11" s="5">
        <v>1.29</v>
      </c>
      <c r="J11" s="2">
        <v>178</v>
      </c>
      <c r="K11" s="2">
        <v>58</v>
      </c>
      <c r="L11" s="2">
        <v>14</v>
      </c>
      <c r="M11" s="10">
        <v>16000000</v>
      </c>
      <c r="N11" s="10">
        <v>2998286</v>
      </c>
      <c r="O11" s="11">
        <v>0.03</v>
      </c>
      <c r="P11" s="2">
        <v>39458807</v>
      </c>
      <c r="Q11" s="5">
        <v>0.05</v>
      </c>
    </row>
    <row r="12" spans="1:17" x14ac:dyDescent="0.4">
      <c r="A12" s="15">
        <v>5</v>
      </c>
      <c r="B12" s="2" t="s">
        <v>9</v>
      </c>
      <c r="C12" s="7">
        <f>500000+500000+500000</f>
        <v>1500000</v>
      </c>
      <c r="D12" s="7">
        <f>505685+506496+504284</f>
        <v>1516465</v>
      </c>
      <c r="E12" s="2">
        <v>48493</v>
      </c>
      <c r="F12" s="2">
        <v>85786</v>
      </c>
      <c r="G12" s="2">
        <v>1763</v>
      </c>
      <c r="H12" s="2">
        <v>140</v>
      </c>
      <c r="I12" s="5">
        <v>1.1299999999999999</v>
      </c>
      <c r="J12" s="2">
        <v>145</v>
      </c>
      <c r="K12" s="2">
        <v>58</v>
      </c>
      <c r="L12" s="2">
        <v>30</v>
      </c>
      <c r="M12" s="10">
        <v>16000000</v>
      </c>
      <c r="N12" s="10">
        <v>1870333</v>
      </c>
      <c r="O12" s="11">
        <v>0.03</v>
      </c>
      <c r="P12" s="2">
        <v>23022035</v>
      </c>
      <c r="Q12" s="5">
        <v>0.05</v>
      </c>
    </row>
    <row r="13" spans="1:17" x14ac:dyDescent="0.4">
      <c r="A13" s="16">
        <v>5</v>
      </c>
      <c r="B13" s="2" t="s">
        <v>6</v>
      </c>
      <c r="C13" s="7">
        <f>750000+500000+350000+600000</f>
        <v>2200000</v>
      </c>
      <c r="D13" s="7">
        <f>816823+475959+207359+488483</f>
        <v>1988624</v>
      </c>
      <c r="E13" s="2" t="s">
        <v>7</v>
      </c>
      <c r="F13" s="2">
        <v>76384</v>
      </c>
      <c r="G13" s="2">
        <v>2783</v>
      </c>
      <c r="H13" s="2">
        <v>211</v>
      </c>
      <c r="I13" s="5">
        <v>0.87</v>
      </c>
      <c r="J13" s="2">
        <v>231</v>
      </c>
      <c r="K13" s="2">
        <v>58</v>
      </c>
      <c r="L13" s="2">
        <v>38</v>
      </c>
      <c r="M13" s="10">
        <v>16000000</v>
      </c>
      <c r="N13" s="10">
        <v>1230231</v>
      </c>
      <c r="O13" s="11">
        <v>0.03</v>
      </c>
      <c r="P13" s="2">
        <v>21581904</v>
      </c>
      <c r="Q13" s="5">
        <v>0.05</v>
      </c>
    </row>
    <row r="14" spans="1:17" x14ac:dyDescent="0.4">
      <c r="A14" s="15">
        <v>6</v>
      </c>
      <c r="B14" s="2" t="s">
        <v>9</v>
      </c>
      <c r="C14" s="7">
        <f>500000+500000+500000</f>
        <v>1500000</v>
      </c>
      <c r="D14" s="7">
        <f>488493+487556+487009</f>
        <v>1463058</v>
      </c>
      <c r="E14" s="2">
        <v>53189</v>
      </c>
      <c r="F14" s="2">
        <v>106170</v>
      </c>
      <c r="G14" s="2">
        <v>1551</v>
      </c>
      <c r="H14" s="2">
        <v>129</v>
      </c>
      <c r="I14" s="5">
        <v>1.03</v>
      </c>
      <c r="J14" s="2">
        <v>132</v>
      </c>
      <c r="K14" s="2">
        <v>35</v>
      </c>
      <c r="L14" s="2">
        <v>34</v>
      </c>
      <c r="M14" s="10">
        <v>21000000</v>
      </c>
      <c r="N14" s="10">
        <v>1812597</v>
      </c>
      <c r="O14" s="11">
        <v>0.04</v>
      </c>
      <c r="P14" s="2">
        <v>27951811</v>
      </c>
      <c r="Q14" s="5">
        <v>0.08</v>
      </c>
    </row>
    <row r="15" spans="1:17" x14ac:dyDescent="0.4">
      <c r="A15" s="16">
        <v>6</v>
      </c>
      <c r="B15" s="2" t="s">
        <v>6</v>
      </c>
      <c r="C15" s="7">
        <f>750000+500000+350000+600000</f>
        <v>2200000</v>
      </c>
      <c r="D15" s="7">
        <f>745336+484082+348000+472239</f>
        <v>2049657</v>
      </c>
      <c r="E15" s="2" t="s">
        <v>7</v>
      </c>
      <c r="F15" s="2">
        <v>50014</v>
      </c>
      <c r="G15" s="2">
        <v>2825</v>
      </c>
      <c r="H15" s="2">
        <v>268</v>
      </c>
      <c r="I15" s="5">
        <v>1.1499999999999999</v>
      </c>
      <c r="J15" s="2">
        <v>259</v>
      </c>
      <c r="K15" s="2">
        <v>78</v>
      </c>
      <c r="L15" s="2">
        <v>32</v>
      </c>
      <c r="M15" s="10">
        <v>16000000</v>
      </c>
      <c r="N15" s="10">
        <v>3069268</v>
      </c>
      <c r="O15" s="11">
        <v>0.04</v>
      </c>
      <c r="P15" s="2">
        <v>22697799</v>
      </c>
      <c r="Q15" s="5">
        <v>0.08</v>
      </c>
    </row>
    <row r="16" spans="1:17" x14ac:dyDescent="0.4">
      <c r="A16" s="15">
        <v>7</v>
      </c>
      <c r="B16" s="2" t="s">
        <v>9</v>
      </c>
      <c r="C16" s="7">
        <f>500000+500000+500000+500000</f>
        <v>2000000</v>
      </c>
      <c r="D16" s="7">
        <f>500000+500000+500000+500000</f>
        <v>2000000</v>
      </c>
      <c r="E16" s="2">
        <v>64110</v>
      </c>
      <c r="F16" s="2">
        <v>113499</v>
      </c>
      <c r="G16" s="2">
        <v>1615</v>
      </c>
      <c r="H16" s="2">
        <v>147</v>
      </c>
      <c r="I16" s="5">
        <v>0.83</v>
      </c>
      <c r="J16" s="2">
        <v>161</v>
      </c>
      <c r="K16" s="2">
        <v>25</v>
      </c>
      <c r="L16" s="2">
        <v>21</v>
      </c>
      <c r="M16" s="10">
        <v>16000000</v>
      </c>
      <c r="N16" s="10">
        <v>3168640</v>
      </c>
      <c r="O16" s="11">
        <v>0.03</v>
      </c>
      <c r="P16" s="2">
        <v>35178434</v>
      </c>
      <c r="Q16" s="5">
        <v>0.05</v>
      </c>
    </row>
    <row r="17" spans="1:17" x14ac:dyDescent="0.4">
      <c r="A17" s="16">
        <v>7</v>
      </c>
      <c r="B17" s="2" t="s">
        <v>6</v>
      </c>
      <c r="C17" s="7">
        <f>600000+400000+350000</f>
        <v>1350000</v>
      </c>
      <c r="D17" s="7">
        <f>592111+380526+287885</f>
        <v>1260522</v>
      </c>
      <c r="E17" s="2" t="s">
        <v>7</v>
      </c>
      <c r="F17" s="2">
        <v>69386</v>
      </c>
      <c r="G17" s="2">
        <v>2257</v>
      </c>
      <c r="H17" s="2">
        <v>198</v>
      </c>
      <c r="I17" s="5">
        <v>1.21</v>
      </c>
      <c r="J17" s="2">
        <v>177</v>
      </c>
      <c r="K17" s="2">
        <v>72</v>
      </c>
      <c r="L17" s="2">
        <v>38</v>
      </c>
      <c r="M17" s="10">
        <v>16000000</v>
      </c>
      <c r="N17" s="10">
        <v>2377015</v>
      </c>
      <c r="O17" s="11">
        <v>0.03</v>
      </c>
      <c r="P17" s="2">
        <v>41820939</v>
      </c>
      <c r="Q17" s="5">
        <v>0.05</v>
      </c>
    </row>
    <row r="18" spans="1:17" x14ac:dyDescent="0.4">
      <c r="A18" s="15">
        <v>8</v>
      </c>
      <c r="B18" s="2" t="s">
        <v>3</v>
      </c>
      <c r="C18" s="7">
        <f>676319+678339+500000+500000</f>
        <v>2354658</v>
      </c>
      <c r="D18" s="7">
        <f>676319+678339+499999+184000</f>
        <v>2038657</v>
      </c>
      <c r="E18" s="2">
        <v>88821</v>
      </c>
      <c r="F18" s="2">
        <v>167833</v>
      </c>
      <c r="G18" s="2">
        <v>1263</v>
      </c>
      <c r="H18" s="2">
        <v>177</v>
      </c>
      <c r="I18" s="5">
        <v>1.4</v>
      </c>
      <c r="J18" s="2">
        <v>168</v>
      </c>
      <c r="K18" s="2">
        <v>64</v>
      </c>
      <c r="L18" s="2">
        <v>7</v>
      </c>
      <c r="M18" s="10">
        <v>16000000</v>
      </c>
      <c r="N18" s="10">
        <v>3406484</v>
      </c>
      <c r="O18" s="11">
        <v>0.03</v>
      </c>
      <c r="P18" s="2">
        <v>21746170</v>
      </c>
      <c r="Q18" s="5">
        <v>0.05</v>
      </c>
    </row>
    <row r="19" spans="1:17" x14ac:dyDescent="0.4">
      <c r="A19" s="16">
        <v>8</v>
      </c>
      <c r="B19" s="2" t="s">
        <v>6</v>
      </c>
      <c r="C19" s="7">
        <f>600000+400000+350000</f>
        <v>1350000</v>
      </c>
      <c r="D19" s="7">
        <f>565634+380526+302065</f>
        <v>1248225</v>
      </c>
      <c r="E19" s="2" t="s">
        <v>7</v>
      </c>
      <c r="F19" s="2">
        <v>31600</v>
      </c>
      <c r="G19" s="2"/>
      <c r="H19" s="2">
        <v>145</v>
      </c>
      <c r="I19" s="5">
        <v>0.95</v>
      </c>
      <c r="J19" s="2">
        <v>140</v>
      </c>
      <c r="K19" s="2">
        <v>63</v>
      </c>
      <c r="L19" s="2">
        <v>8</v>
      </c>
      <c r="M19" s="10">
        <v>16000000</v>
      </c>
      <c r="N19" s="10">
        <v>3706527</v>
      </c>
      <c r="O19" s="11">
        <v>0.03</v>
      </c>
      <c r="P19" s="2">
        <v>40737926</v>
      </c>
      <c r="Q19" s="5">
        <v>0.05</v>
      </c>
    </row>
    <row r="20" spans="1:17" x14ac:dyDescent="0.4">
      <c r="A20" s="15">
        <v>9</v>
      </c>
      <c r="B20" s="2" t="s">
        <v>9</v>
      </c>
      <c r="C20" s="7">
        <f>898711+801506</f>
        <v>1700217</v>
      </c>
      <c r="D20" s="7">
        <f>898711+801506</f>
        <v>1700217</v>
      </c>
      <c r="E20" s="2">
        <v>63227</v>
      </c>
      <c r="F20" s="2">
        <v>140060</v>
      </c>
      <c r="G20" s="2">
        <v>826</v>
      </c>
      <c r="H20" s="2">
        <v>153</v>
      </c>
      <c r="I20" s="5">
        <v>0.89</v>
      </c>
      <c r="J20" s="2">
        <v>158</v>
      </c>
      <c r="K20" s="2">
        <v>66</v>
      </c>
      <c r="L20" s="2">
        <v>8</v>
      </c>
      <c r="M20" s="10">
        <v>16000000</v>
      </c>
      <c r="N20" s="10">
        <v>2347970</v>
      </c>
      <c r="O20" s="11">
        <v>0.03</v>
      </c>
      <c r="P20" s="2">
        <v>41652989</v>
      </c>
      <c r="Q20" s="5">
        <v>0.05</v>
      </c>
    </row>
    <row r="21" spans="1:17" x14ac:dyDescent="0.4">
      <c r="A21" s="16">
        <v>9</v>
      </c>
      <c r="B21" s="2" t="s">
        <v>6</v>
      </c>
      <c r="C21" s="7">
        <f>569548+396477+241431+451680</f>
        <v>1659136</v>
      </c>
      <c r="D21" s="7">
        <f>569548+396477+241431+451680</f>
        <v>1659136</v>
      </c>
      <c r="E21" s="2" t="s">
        <v>7</v>
      </c>
      <c r="F21" s="2">
        <v>145459</v>
      </c>
      <c r="G21" s="2">
        <v>5052</v>
      </c>
      <c r="H21" s="2">
        <v>84</v>
      </c>
      <c r="I21" s="5">
        <v>0.68</v>
      </c>
      <c r="J21" s="2">
        <v>136</v>
      </c>
      <c r="K21" s="2">
        <v>48</v>
      </c>
      <c r="L21" s="2">
        <v>37</v>
      </c>
      <c r="M21" s="10">
        <v>16000000</v>
      </c>
      <c r="N21" s="10">
        <v>4027115</v>
      </c>
      <c r="O21" s="11">
        <v>0.03</v>
      </c>
      <c r="P21" s="2">
        <v>21600387</v>
      </c>
      <c r="Q21" s="5">
        <v>0.05</v>
      </c>
    </row>
    <row r="22" spans="1:17" x14ac:dyDescent="0.4">
      <c r="A22" s="15">
        <v>10</v>
      </c>
      <c r="B22" s="2" t="s">
        <v>9</v>
      </c>
      <c r="C22" s="7">
        <f>848417+500000</f>
        <v>1348417</v>
      </c>
      <c r="D22" s="7">
        <f>862996+571634</f>
        <v>1434630</v>
      </c>
      <c r="E22" s="2">
        <v>56600</v>
      </c>
      <c r="F22" s="2">
        <v>110020</v>
      </c>
      <c r="G22" s="2">
        <v>700</v>
      </c>
      <c r="H22" s="2">
        <v>135</v>
      </c>
      <c r="I22" s="5">
        <v>0.94</v>
      </c>
      <c r="J22" s="2">
        <v>138</v>
      </c>
      <c r="K22" s="2">
        <v>58</v>
      </c>
      <c r="L22" s="2">
        <v>37</v>
      </c>
      <c r="M22" s="10">
        <v>16000000</v>
      </c>
      <c r="N22" s="10">
        <v>2270159</v>
      </c>
      <c r="O22" s="11">
        <v>0.03</v>
      </c>
      <c r="P22" s="2">
        <v>22405566</v>
      </c>
      <c r="Q22" s="5">
        <v>0.05</v>
      </c>
    </row>
    <row r="23" spans="1:17" x14ac:dyDescent="0.4">
      <c r="A23" s="16">
        <v>10</v>
      </c>
      <c r="B23" s="2" t="s">
        <v>6</v>
      </c>
      <c r="C23" s="7">
        <f>550000+388700+236882</f>
        <v>1175582</v>
      </c>
      <c r="D23" s="7">
        <f>526669+367980+236882</f>
        <v>1131531</v>
      </c>
      <c r="E23" s="2"/>
      <c r="F23" s="2">
        <v>24686</v>
      </c>
      <c r="G23" s="2">
        <v>2033</v>
      </c>
      <c r="H23" s="2">
        <v>135</v>
      </c>
      <c r="I23" s="5">
        <v>0.73</v>
      </c>
      <c r="J23" s="2">
        <v>146</v>
      </c>
      <c r="K23" s="2">
        <v>64</v>
      </c>
      <c r="L23" s="2">
        <v>7</v>
      </c>
      <c r="M23" s="10">
        <v>16000000</v>
      </c>
      <c r="N23" s="10">
        <v>4438067</v>
      </c>
      <c r="O23" s="11">
        <v>0.03</v>
      </c>
      <c r="P23" s="2">
        <v>37752522</v>
      </c>
      <c r="Q23" s="5">
        <v>0.05</v>
      </c>
    </row>
    <row r="24" spans="1:17" x14ac:dyDescent="0.4">
      <c r="A24" s="15">
        <v>11</v>
      </c>
      <c r="B24" s="2" t="s">
        <v>9</v>
      </c>
      <c r="C24" s="7">
        <f>600000+500000</f>
        <v>1100000</v>
      </c>
      <c r="D24" s="7">
        <f>542049+520232</f>
        <v>1062281</v>
      </c>
      <c r="E24" s="2">
        <v>24482</v>
      </c>
      <c r="F24" s="2">
        <v>49258</v>
      </c>
      <c r="G24" s="2">
        <v>423</v>
      </c>
      <c r="H24" s="2">
        <v>67</v>
      </c>
      <c r="I24" s="5">
        <v>0.6</v>
      </c>
      <c r="J24" s="2">
        <v>74</v>
      </c>
      <c r="K24" s="2">
        <v>36</v>
      </c>
      <c r="L24" s="2">
        <v>15</v>
      </c>
      <c r="M24" s="10">
        <v>16000000</v>
      </c>
      <c r="N24" s="10">
        <v>2943805</v>
      </c>
      <c r="O24" s="11">
        <v>0.03</v>
      </c>
      <c r="P24" s="2">
        <v>26410846</v>
      </c>
      <c r="Q24" s="5">
        <v>0.05</v>
      </c>
    </row>
    <row r="25" spans="1:17" x14ac:dyDescent="0.4">
      <c r="A25" s="16">
        <v>11</v>
      </c>
      <c r="B25" s="2" t="s">
        <v>6</v>
      </c>
      <c r="C25" s="7">
        <f>1500000+500000+100000</f>
        <v>2100000</v>
      </c>
      <c r="D25" s="7">
        <f>1379811+415788+144000</f>
        <v>1939599</v>
      </c>
      <c r="E25" s="2"/>
      <c r="F25" s="2">
        <v>12227</v>
      </c>
      <c r="G25" s="2">
        <v>1667</v>
      </c>
      <c r="H25" s="2">
        <v>224</v>
      </c>
      <c r="I25" s="5">
        <v>1.01</v>
      </c>
      <c r="J25" s="2">
        <v>205</v>
      </c>
      <c r="K25" s="2">
        <v>66</v>
      </c>
      <c r="L25" s="2">
        <v>11</v>
      </c>
      <c r="M25" s="10">
        <v>16000000</v>
      </c>
      <c r="N25" s="10">
        <v>3172794</v>
      </c>
      <c r="O25" s="11">
        <v>0.03</v>
      </c>
      <c r="P25" s="2">
        <v>31634052</v>
      </c>
      <c r="Q25" s="5">
        <v>0.05</v>
      </c>
    </row>
    <row r="26" spans="1:17" x14ac:dyDescent="0.4">
      <c r="A26" s="15">
        <v>12</v>
      </c>
      <c r="B26" s="2" t="s">
        <v>9</v>
      </c>
      <c r="C26" s="7">
        <f>800000+700000</f>
        <v>1500000</v>
      </c>
      <c r="D26" s="7">
        <f>872643+655622</f>
        <v>1528265</v>
      </c>
      <c r="E26" s="2">
        <v>45543</v>
      </c>
      <c r="F26" s="2">
        <v>94122</v>
      </c>
      <c r="G26" s="2">
        <v>1724</v>
      </c>
      <c r="H26" s="2">
        <v>152</v>
      </c>
      <c r="I26" s="5">
        <v>1.38</v>
      </c>
      <c r="J26" s="2">
        <v>142</v>
      </c>
      <c r="K26" s="2">
        <v>31</v>
      </c>
      <c r="L26" s="2">
        <v>28</v>
      </c>
      <c r="M26" s="10">
        <v>21000000</v>
      </c>
      <c r="N26" s="10">
        <v>1414286</v>
      </c>
      <c r="O26" s="11">
        <v>0.04</v>
      </c>
      <c r="P26" s="2">
        <v>24499530</v>
      </c>
      <c r="Q26" s="5">
        <v>0.08</v>
      </c>
    </row>
    <row r="27" spans="1:17" x14ac:dyDescent="0.4">
      <c r="A27" s="16">
        <v>12</v>
      </c>
      <c r="B27" s="2" t="s">
        <v>6</v>
      </c>
      <c r="C27" s="7">
        <f>1500000+500000</f>
        <v>2000000</v>
      </c>
      <c r="D27" s="7">
        <f>1867923+707281</f>
        <v>2575204</v>
      </c>
      <c r="E27" s="2"/>
      <c r="F27" s="2">
        <v>24650</v>
      </c>
      <c r="G27" s="2">
        <v>2893</v>
      </c>
      <c r="H27" s="2">
        <v>387</v>
      </c>
      <c r="I27" s="5">
        <v>1.55</v>
      </c>
      <c r="J27" s="2">
        <v>275</v>
      </c>
      <c r="K27" s="2">
        <v>73</v>
      </c>
      <c r="L27" s="2">
        <v>35</v>
      </c>
      <c r="M27" s="10">
        <v>21000000</v>
      </c>
      <c r="N27" s="10">
        <v>2811682</v>
      </c>
      <c r="O27" s="11">
        <v>0.04</v>
      </c>
      <c r="P27" s="2">
        <v>36879007</v>
      </c>
      <c r="Q27" s="5">
        <v>0.08</v>
      </c>
    </row>
    <row r="28" spans="1:17" x14ac:dyDescent="0.4">
      <c r="C28" s="14"/>
      <c r="D28" s="14"/>
    </row>
  </sheetData>
  <mergeCells count="16">
    <mergeCell ref="A4:A5"/>
    <mergeCell ref="B2:I2"/>
    <mergeCell ref="J2:Q2"/>
    <mergeCell ref="A1:Q1"/>
    <mergeCell ref="A12:A13"/>
    <mergeCell ref="A14:A15"/>
    <mergeCell ref="A16:A17"/>
    <mergeCell ref="A6:A7"/>
    <mergeCell ref="A8:A9"/>
    <mergeCell ref="A10:A11"/>
    <mergeCell ref="C28:D28"/>
    <mergeCell ref="A18:A19"/>
    <mergeCell ref="A20:A21"/>
    <mergeCell ref="A22:A23"/>
    <mergeCell ref="A24:A25"/>
    <mergeCell ref="A26:A27"/>
  </mergeCells>
  <conditionalFormatting sqref="E26 E24 E22 E20 E18 E16 E14 E12 E8 E6 E4">
    <cfRule type="iconSet" priority="14">
      <iconSet iconSet="3Arrows">
        <cfvo type="percent" val="0"/>
        <cfvo type="percent" val="33"/>
        <cfvo type="percent" val="67"/>
      </iconSet>
    </cfRule>
  </conditionalFormatting>
  <pageMargins left="0.7" right="0.7" top="0.75" bottom="0.75" header="0.3" footer="0.3"/>
  <pageSetup paperSize="9" orientation="portrait" r:id="rId1"/>
  <ignoredErrors>
    <ignoredError sqref="C7:C8 C13"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F35E-7B10-4078-9EA9-12BC203ACCE7}">
  <dimension ref="A1:Q55"/>
  <sheetViews>
    <sheetView topLeftCell="A26" zoomScale="70" zoomScaleNormal="70" workbookViewId="0">
      <selection activeCell="K48" sqref="K48"/>
    </sheetView>
  </sheetViews>
  <sheetFormatPr baseColWidth="10" defaultRowHeight="14.4" x14ac:dyDescent="0.3"/>
  <cols>
    <col min="2" max="2" width="14.21875" bestFit="1" customWidth="1"/>
    <col min="3" max="3" width="39.5546875" customWidth="1"/>
    <col min="4" max="4" width="19.44140625" bestFit="1" customWidth="1"/>
    <col min="5" max="5" width="13.44140625" bestFit="1" customWidth="1"/>
    <col min="6" max="6" width="18" bestFit="1" customWidth="1"/>
    <col min="7" max="7" width="8.21875" customWidth="1"/>
    <col min="8" max="8" width="31.88671875" bestFit="1" customWidth="1"/>
    <col min="9" max="9" width="18.6640625" bestFit="1" customWidth="1"/>
    <col min="10" max="10" width="24.5546875" bestFit="1" customWidth="1"/>
    <col min="11" max="11" width="24.33203125" bestFit="1" customWidth="1"/>
    <col min="13" max="13" width="19.33203125" bestFit="1" customWidth="1"/>
    <col min="14" max="14" width="19.77734375" bestFit="1" customWidth="1"/>
    <col min="16" max="16" width="15.21875" bestFit="1" customWidth="1"/>
    <col min="17" max="17" width="31.6640625" customWidth="1"/>
  </cols>
  <sheetData>
    <row r="1" spans="1:17" ht="25.8" x14ac:dyDescent="0.5">
      <c r="A1" s="13"/>
      <c r="B1" s="17" t="s">
        <v>18</v>
      </c>
      <c r="C1" s="17"/>
      <c r="D1" s="17"/>
      <c r="E1" s="17"/>
      <c r="F1" s="17"/>
      <c r="G1" s="17"/>
      <c r="H1" s="17"/>
      <c r="I1" s="17"/>
      <c r="J1" s="18" t="s">
        <v>19</v>
      </c>
      <c r="K1" s="18"/>
      <c r="L1" s="18"/>
      <c r="M1" s="18"/>
      <c r="N1" s="18"/>
      <c r="O1" s="18"/>
      <c r="P1" s="18"/>
      <c r="Q1" s="18"/>
    </row>
    <row r="2" spans="1:17" ht="55.8" customHeight="1" x14ac:dyDescent="0.45">
      <c r="A2" s="20" t="s">
        <v>2</v>
      </c>
      <c r="B2" s="21" t="s">
        <v>20</v>
      </c>
      <c r="C2" s="21" t="s">
        <v>21</v>
      </c>
      <c r="D2" s="22" t="s">
        <v>10</v>
      </c>
      <c r="E2" s="22" t="s">
        <v>0</v>
      </c>
      <c r="F2" s="22" t="s">
        <v>1</v>
      </c>
      <c r="G2" s="22" t="s">
        <v>4</v>
      </c>
      <c r="H2" s="21" t="s">
        <v>22</v>
      </c>
      <c r="I2" s="21" t="s">
        <v>5</v>
      </c>
      <c r="J2" s="21" t="s">
        <v>23</v>
      </c>
      <c r="K2" s="21" t="s">
        <v>24</v>
      </c>
      <c r="L2" s="21" t="s">
        <v>14</v>
      </c>
      <c r="M2" s="21" t="s">
        <v>12</v>
      </c>
      <c r="N2" s="21" t="s">
        <v>13</v>
      </c>
      <c r="O2" s="21" t="s">
        <v>15</v>
      </c>
      <c r="P2" s="21" t="s">
        <v>16</v>
      </c>
      <c r="Q2" s="21" t="s">
        <v>17</v>
      </c>
    </row>
    <row r="3" spans="1:17" ht="24" x14ac:dyDescent="0.55000000000000004">
      <c r="A3" s="15">
        <v>1</v>
      </c>
      <c r="B3" s="2" t="s">
        <v>9</v>
      </c>
      <c r="C3" s="7">
        <f>300000+350000+450000+300000</f>
        <v>1400000</v>
      </c>
      <c r="D3" s="7">
        <f>300000+350000+450000+257000</f>
        <v>1357000</v>
      </c>
      <c r="E3" s="2">
        <v>54465</v>
      </c>
      <c r="F3" s="2">
        <v>100655</v>
      </c>
      <c r="G3" s="2">
        <v>2500</v>
      </c>
      <c r="H3" s="2">
        <v>209</v>
      </c>
      <c r="I3" s="5">
        <v>1.1499999999999999</v>
      </c>
      <c r="J3" s="2">
        <v>254</v>
      </c>
      <c r="K3" s="2">
        <v>169</v>
      </c>
      <c r="L3" s="2">
        <v>21</v>
      </c>
      <c r="M3" s="10">
        <v>16000000</v>
      </c>
      <c r="N3" s="10">
        <v>3644255</v>
      </c>
      <c r="O3" s="11">
        <v>0.03</v>
      </c>
      <c r="P3" s="2">
        <v>30156060</v>
      </c>
      <c r="Q3" s="5">
        <v>0.05</v>
      </c>
    </row>
    <row r="4" spans="1:17" ht="24" x14ac:dyDescent="0.55000000000000004">
      <c r="A4" s="16"/>
      <c r="B4" s="2" t="s">
        <v>6</v>
      </c>
      <c r="C4" s="7">
        <f>400000+400000+450000+350000</f>
        <v>1600000</v>
      </c>
      <c r="D4" s="7">
        <f>400000+400000+450000+350000</f>
        <v>1600000</v>
      </c>
      <c r="E4" s="2" t="s">
        <v>7</v>
      </c>
      <c r="F4" s="2">
        <v>27663</v>
      </c>
      <c r="G4" s="2">
        <v>3100</v>
      </c>
      <c r="H4" s="2">
        <v>239</v>
      </c>
      <c r="I4" s="5">
        <v>1.58</v>
      </c>
      <c r="J4" s="2">
        <v>246</v>
      </c>
      <c r="K4" s="2">
        <v>149</v>
      </c>
      <c r="L4" s="2">
        <v>39</v>
      </c>
      <c r="M4" s="10">
        <v>16000000</v>
      </c>
      <c r="N4" s="10">
        <v>2859483</v>
      </c>
      <c r="O4" s="11">
        <v>0.03</v>
      </c>
      <c r="P4" s="2">
        <v>36658117</v>
      </c>
      <c r="Q4" s="5">
        <v>0.05</v>
      </c>
    </row>
    <row r="5" spans="1:17" ht="24" x14ac:dyDescent="0.55000000000000004">
      <c r="A5" s="15">
        <v>2</v>
      </c>
      <c r="B5" s="2" t="s">
        <v>9</v>
      </c>
      <c r="C5" s="7">
        <f>450000+400000+450000+400000</f>
        <v>1700000</v>
      </c>
      <c r="D5" s="7">
        <f>450000+400000+450000+338000</f>
        <v>1638000</v>
      </c>
      <c r="E5" s="2">
        <v>55112</v>
      </c>
      <c r="F5" s="2">
        <v>97894</v>
      </c>
      <c r="G5" s="2">
        <v>2825</v>
      </c>
      <c r="H5" s="2">
        <v>171</v>
      </c>
      <c r="I5" s="6">
        <v>0.77300000000000002</v>
      </c>
      <c r="J5" s="2">
        <v>142</v>
      </c>
      <c r="K5" s="2">
        <v>71</v>
      </c>
      <c r="L5" s="2">
        <v>12</v>
      </c>
      <c r="M5" s="10">
        <v>16000000</v>
      </c>
      <c r="N5" s="10">
        <v>1311800</v>
      </c>
      <c r="O5" s="11">
        <v>0.03</v>
      </c>
      <c r="P5" s="2">
        <v>39933922</v>
      </c>
      <c r="Q5" s="5">
        <v>0.05</v>
      </c>
    </row>
    <row r="6" spans="1:17" ht="24" x14ac:dyDescent="0.55000000000000004">
      <c r="A6" s="16">
        <v>2</v>
      </c>
      <c r="B6" s="2" t="s">
        <v>6</v>
      </c>
      <c r="C6" s="7">
        <f>500000+500000+450000+350000</f>
        <v>1800000</v>
      </c>
      <c r="D6" s="7">
        <f>503000+502000+455000+347000</f>
        <v>1807000</v>
      </c>
      <c r="E6" s="2" t="s">
        <v>7</v>
      </c>
      <c r="F6" s="2">
        <v>29845</v>
      </c>
      <c r="G6" s="2">
        <v>3354</v>
      </c>
      <c r="H6" s="2">
        <v>128</v>
      </c>
      <c r="I6" s="6">
        <v>0.77300000000000002</v>
      </c>
      <c r="J6" s="2">
        <v>193</v>
      </c>
      <c r="K6" s="2">
        <v>72</v>
      </c>
      <c r="L6" s="2">
        <v>18</v>
      </c>
      <c r="M6" s="10">
        <v>16000000</v>
      </c>
      <c r="N6" s="10">
        <v>2238228</v>
      </c>
      <c r="O6" s="11">
        <v>0.03</v>
      </c>
      <c r="P6" s="2">
        <v>29254988</v>
      </c>
      <c r="Q6" s="5">
        <v>0.05</v>
      </c>
    </row>
    <row r="7" spans="1:17" ht="24" x14ac:dyDescent="0.55000000000000004">
      <c r="A7" s="15">
        <v>3</v>
      </c>
      <c r="B7" s="2" t="s">
        <v>9</v>
      </c>
      <c r="C7" s="7">
        <f>450000+400000+450000+400000</f>
        <v>1700000</v>
      </c>
      <c r="D7" s="7">
        <f>406000+360000+404000+352000</f>
        <v>1522000</v>
      </c>
      <c r="E7" s="2">
        <v>43798</v>
      </c>
      <c r="F7" s="2">
        <v>86658</v>
      </c>
      <c r="G7" s="2">
        <v>1802</v>
      </c>
      <c r="H7" s="2">
        <v>133</v>
      </c>
      <c r="I7" s="6">
        <v>0.66800000000000004</v>
      </c>
      <c r="J7" s="2">
        <v>163</v>
      </c>
      <c r="K7" s="2">
        <v>61</v>
      </c>
      <c r="L7" s="2">
        <v>24</v>
      </c>
      <c r="M7" s="10">
        <v>16000000</v>
      </c>
      <c r="N7" s="10">
        <v>4448484</v>
      </c>
      <c r="O7" s="11">
        <v>0.03</v>
      </c>
      <c r="P7" s="2">
        <v>22913321</v>
      </c>
      <c r="Q7" s="5">
        <v>0.05</v>
      </c>
    </row>
    <row r="8" spans="1:17" ht="24" x14ac:dyDescent="0.55000000000000004">
      <c r="A8" s="16">
        <v>3</v>
      </c>
      <c r="B8" s="2" t="s">
        <v>6</v>
      </c>
      <c r="C8" s="7">
        <f>500000+500000+450000+350000</f>
        <v>1800000</v>
      </c>
      <c r="D8" s="7">
        <f>492000+487300+456200+448000</f>
        <v>1883500</v>
      </c>
      <c r="E8" s="2" t="s">
        <v>7</v>
      </c>
      <c r="F8" s="2">
        <v>29135</v>
      </c>
      <c r="G8" s="2">
        <v>3455</v>
      </c>
      <c r="H8" s="2">
        <v>224</v>
      </c>
      <c r="I8" s="6">
        <v>1.31</v>
      </c>
      <c r="J8" s="2">
        <v>194</v>
      </c>
      <c r="K8" s="2">
        <v>65</v>
      </c>
      <c r="L8" s="2">
        <v>34</v>
      </c>
      <c r="M8" s="10">
        <v>16000000</v>
      </c>
      <c r="N8" s="10">
        <v>4474812</v>
      </c>
      <c r="O8" s="11">
        <v>0.03</v>
      </c>
      <c r="P8" s="2">
        <v>28383796</v>
      </c>
      <c r="Q8" s="5">
        <v>0.05</v>
      </c>
    </row>
    <row r="9" spans="1:17" ht="24" x14ac:dyDescent="0.55000000000000004">
      <c r="A9" s="15">
        <v>4</v>
      </c>
      <c r="B9" s="2" t="s">
        <v>9</v>
      </c>
      <c r="C9" s="7">
        <f>500000+500000</f>
        <v>1000000</v>
      </c>
      <c r="D9" s="7">
        <f>303000+328000</f>
        <v>631000</v>
      </c>
      <c r="E9" s="2" t="s">
        <v>7</v>
      </c>
      <c r="F9" s="9"/>
      <c r="G9" s="9"/>
      <c r="H9" s="2">
        <f>43+24</f>
        <v>67</v>
      </c>
      <c r="I9" s="5">
        <v>1.57</v>
      </c>
      <c r="J9" s="2">
        <v>99</v>
      </c>
      <c r="K9" s="2">
        <v>34</v>
      </c>
      <c r="L9" s="2">
        <v>14</v>
      </c>
      <c r="M9" s="10">
        <v>16000000</v>
      </c>
      <c r="N9" s="10">
        <v>4411039</v>
      </c>
      <c r="O9" s="11">
        <v>0.03</v>
      </c>
      <c r="P9" s="2">
        <v>34620171</v>
      </c>
      <c r="Q9" s="5">
        <v>0.05</v>
      </c>
    </row>
    <row r="10" spans="1:17" ht="24" x14ac:dyDescent="0.55000000000000004">
      <c r="A10" s="16">
        <v>4</v>
      </c>
      <c r="B10" s="2" t="s">
        <v>6</v>
      </c>
      <c r="C10" s="7">
        <f>500000+500000+350000+350000</f>
        <v>1700000</v>
      </c>
      <c r="D10" s="7">
        <f>496000+506000+357000+329000</f>
        <v>1688000</v>
      </c>
      <c r="E10" s="2" t="s">
        <v>7</v>
      </c>
      <c r="F10" s="9"/>
      <c r="G10" s="9"/>
      <c r="H10" s="2">
        <f>64+38+20+23</f>
        <v>145</v>
      </c>
      <c r="I10" s="5">
        <v>1.29</v>
      </c>
      <c r="J10" s="2">
        <v>178</v>
      </c>
      <c r="K10" s="2">
        <v>58</v>
      </c>
      <c r="L10" s="2">
        <v>14</v>
      </c>
      <c r="M10" s="10">
        <v>16000000</v>
      </c>
      <c r="N10" s="10">
        <v>2998286</v>
      </c>
      <c r="O10" s="11">
        <v>0.03</v>
      </c>
      <c r="P10" s="2">
        <v>39458807</v>
      </c>
      <c r="Q10" s="5">
        <v>0.05</v>
      </c>
    </row>
    <row r="11" spans="1:17" ht="24" x14ac:dyDescent="0.55000000000000004">
      <c r="A11" s="15">
        <v>5</v>
      </c>
      <c r="B11" s="2" t="s">
        <v>9</v>
      </c>
      <c r="C11" s="7">
        <f>500000+500000+500000</f>
        <v>1500000</v>
      </c>
      <c r="D11" s="7">
        <f>505685+506496+504284</f>
        <v>1516465</v>
      </c>
      <c r="E11" s="2">
        <v>48493</v>
      </c>
      <c r="F11" s="2">
        <v>85786</v>
      </c>
      <c r="G11" s="2">
        <v>1763</v>
      </c>
      <c r="H11" s="2">
        <v>140</v>
      </c>
      <c r="I11" s="5">
        <v>1.1299999999999999</v>
      </c>
      <c r="J11" s="2">
        <v>145</v>
      </c>
      <c r="K11" s="2">
        <v>58</v>
      </c>
      <c r="L11" s="2">
        <v>30</v>
      </c>
      <c r="M11" s="10">
        <v>16000000</v>
      </c>
      <c r="N11" s="10">
        <v>1870333</v>
      </c>
      <c r="O11" s="11">
        <v>0.03</v>
      </c>
      <c r="P11" s="2">
        <v>23022035</v>
      </c>
      <c r="Q11" s="5">
        <v>0.05</v>
      </c>
    </row>
    <row r="12" spans="1:17" ht="24" x14ac:dyDescent="0.55000000000000004">
      <c r="A12" s="16">
        <v>5</v>
      </c>
      <c r="B12" s="2" t="s">
        <v>6</v>
      </c>
      <c r="C12" s="7">
        <f>750000+500000+350000+600000</f>
        <v>2200000</v>
      </c>
      <c r="D12" s="7">
        <f>816823+475959+207359+488483</f>
        <v>1988624</v>
      </c>
      <c r="E12" s="2" t="s">
        <v>7</v>
      </c>
      <c r="F12" s="2">
        <v>76384</v>
      </c>
      <c r="G12" s="2">
        <v>2783</v>
      </c>
      <c r="H12" s="2">
        <v>211</v>
      </c>
      <c r="I12" s="5">
        <v>0.87</v>
      </c>
      <c r="J12" s="2">
        <v>231</v>
      </c>
      <c r="K12" s="2">
        <v>58</v>
      </c>
      <c r="L12" s="2">
        <v>38</v>
      </c>
      <c r="M12" s="10">
        <v>16000000</v>
      </c>
      <c r="N12" s="10">
        <v>1230231</v>
      </c>
      <c r="O12" s="11">
        <v>0.03</v>
      </c>
      <c r="P12" s="2">
        <v>21581904</v>
      </c>
      <c r="Q12" s="5">
        <v>0.05</v>
      </c>
    </row>
    <row r="13" spans="1:17" ht="24" x14ac:dyDescent="0.55000000000000004">
      <c r="A13" s="15">
        <v>6</v>
      </c>
      <c r="B13" s="2" t="s">
        <v>9</v>
      </c>
      <c r="C13" s="7">
        <f>500000+500000+500000</f>
        <v>1500000</v>
      </c>
      <c r="D13" s="7">
        <f>488493+487556+487009</f>
        <v>1463058</v>
      </c>
      <c r="E13" s="2">
        <v>53189</v>
      </c>
      <c r="F13" s="2">
        <v>106170</v>
      </c>
      <c r="G13" s="2">
        <v>1551</v>
      </c>
      <c r="H13" s="2">
        <v>129</v>
      </c>
      <c r="I13" s="5">
        <v>1.03</v>
      </c>
      <c r="J13" s="2">
        <v>132</v>
      </c>
      <c r="K13" s="2">
        <v>35</v>
      </c>
      <c r="L13" s="2">
        <v>34</v>
      </c>
      <c r="M13" s="10">
        <v>21000000</v>
      </c>
      <c r="N13" s="10">
        <v>1812597</v>
      </c>
      <c r="O13" s="11">
        <v>0.04</v>
      </c>
      <c r="P13" s="2">
        <v>27951811</v>
      </c>
      <c r="Q13" s="5">
        <v>0.08</v>
      </c>
    </row>
    <row r="14" spans="1:17" ht="24" x14ac:dyDescent="0.55000000000000004">
      <c r="A14" s="16">
        <v>6</v>
      </c>
      <c r="B14" s="2" t="s">
        <v>6</v>
      </c>
      <c r="C14" s="7">
        <f>750000+500000+350000+600000</f>
        <v>2200000</v>
      </c>
      <c r="D14" s="7">
        <f>745336+484082+348000+472239</f>
        <v>2049657</v>
      </c>
      <c r="E14" s="2" t="s">
        <v>7</v>
      </c>
      <c r="F14" s="2">
        <v>50014</v>
      </c>
      <c r="G14" s="2">
        <v>2825</v>
      </c>
      <c r="H14" s="2">
        <v>268</v>
      </c>
      <c r="I14" s="5">
        <v>1.1499999999999999</v>
      </c>
      <c r="J14" s="2">
        <v>259</v>
      </c>
      <c r="K14" s="2">
        <v>78</v>
      </c>
      <c r="L14" s="2">
        <v>32</v>
      </c>
      <c r="M14" s="10">
        <v>16000000</v>
      </c>
      <c r="N14" s="10">
        <v>3069268</v>
      </c>
      <c r="O14" s="11">
        <v>0.04</v>
      </c>
      <c r="P14" s="2">
        <v>22697799</v>
      </c>
      <c r="Q14" s="5">
        <v>0.08</v>
      </c>
    </row>
    <row r="15" spans="1:17" ht="24" x14ac:dyDescent="0.55000000000000004">
      <c r="A15" s="15">
        <v>7</v>
      </c>
      <c r="B15" s="2" t="s">
        <v>9</v>
      </c>
      <c r="C15" s="7">
        <f>500000+500000+500000+500000</f>
        <v>2000000</v>
      </c>
      <c r="D15" s="7">
        <f>500000+500000+500000+500000</f>
        <v>2000000</v>
      </c>
      <c r="E15" s="2">
        <v>64110</v>
      </c>
      <c r="F15" s="2">
        <v>113499</v>
      </c>
      <c r="G15" s="2">
        <v>1615</v>
      </c>
      <c r="H15" s="2">
        <v>147</v>
      </c>
      <c r="I15" s="5">
        <v>0.83</v>
      </c>
      <c r="J15" s="2">
        <v>161</v>
      </c>
      <c r="K15" s="2">
        <v>25</v>
      </c>
      <c r="L15" s="2">
        <v>21</v>
      </c>
      <c r="M15" s="10">
        <v>16000000</v>
      </c>
      <c r="N15" s="10">
        <v>3168640</v>
      </c>
      <c r="O15" s="11">
        <v>0.03</v>
      </c>
      <c r="P15" s="2">
        <v>35178434</v>
      </c>
      <c r="Q15" s="5">
        <v>0.05</v>
      </c>
    </row>
    <row r="16" spans="1:17" ht="24" x14ac:dyDescent="0.55000000000000004">
      <c r="A16" s="16">
        <v>7</v>
      </c>
      <c r="B16" s="2" t="s">
        <v>6</v>
      </c>
      <c r="C16" s="7">
        <f>600000+400000+350000</f>
        <v>1350000</v>
      </c>
      <c r="D16" s="7">
        <f>592111+380526+287885</f>
        <v>1260522</v>
      </c>
      <c r="E16" s="2" t="s">
        <v>7</v>
      </c>
      <c r="F16" s="2">
        <v>69386</v>
      </c>
      <c r="G16" s="2">
        <v>2257</v>
      </c>
      <c r="H16" s="2">
        <v>198</v>
      </c>
      <c r="I16" s="5">
        <v>1.21</v>
      </c>
      <c r="J16" s="2">
        <v>177</v>
      </c>
      <c r="K16" s="2">
        <v>72</v>
      </c>
      <c r="L16" s="2">
        <v>38</v>
      </c>
      <c r="M16" s="10">
        <v>16000000</v>
      </c>
      <c r="N16" s="10">
        <v>2377015</v>
      </c>
      <c r="O16" s="11">
        <v>0.03</v>
      </c>
      <c r="P16" s="2">
        <v>41820939</v>
      </c>
      <c r="Q16" s="5">
        <v>0.05</v>
      </c>
    </row>
    <row r="17" spans="1:17" ht="24" x14ac:dyDescent="0.55000000000000004">
      <c r="A17" s="15">
        <v>8</v>
      </c>
      <c r="B17" s="2" t="s">
        <v>3</v>
      </c>
      <c r="C17" s="7">
        <f>676319+678339+500000+500000</f>
        <v>2354658</v>
      </c>
      <c r="D17" s="7">
        <f>676319+678339+499999+184000</f>
        <v>2038657</v>
      </c>
      <c r="E17" s="2">
        <v>88821</v>
      </c>
      <c r="F17" s="2">
        <v>167833</v>
      </c>
      <c r="G17" s="2">
        <v>1263</v>
      </c>
      <c r="H17" s="2">
        <v>177</v>
      </c>
      <c r="I17" s="5">
        <v>1.4</v>
      </c>
      <c r="J17" s="2">
        <v>168</v>
      </c>
      <c r="K17" s="2">
        <v>64</v>
      </c>
      <c r="L17" s="2">
        <v>7</v>
      </c>
      <c r="M17" s="10">
        <v>16000000</v>
      </c>
      <c r="N17" s="10">
        <v>3406484</v>
      </c>
      <c r="O17" s="11">
        <v>0.03</v>
      </c>
      <c r="P17" s="2">
        <v>21746170</v>
      </c>
      <c r="Q17" s="5">
        <v>0.05</v>
      </c>
    </row>
    <row r="18" spans="1:17" ht="24" x14ac:dyDescent="0.55000000000000004">
      <c r="A18" s="16">
        <v>8</v>
      </c>
      <c r="B18" s="2" t="s">
        <v>6</v>
      </c>
      <c r="C18" s="7">
        <f>600000+400000+350000</f>
        <v>1350000</v>
      </c>
      <c r="D18" s="7">
        <f>565634+380526+302065</f>
        <v>1248225</v>
      </c>
      <c r="E18" s="2" t="s">
        <v>7</v>
      </c>
      <c r="F18" s="2">
        <v>31600</v>
      </c>
      <c r="G18" s="2"/>
      <c r="H18" s="2">
        <v>145</v>
      </c>
      <c r="I18" s="5">
        <v>0.95</v>
      </c>
      <c r="J18" s="2">
        <v>140</v>
      </c>
      <c r="K18" s="2">
        <v>63</v>
      </c>
      <c r="L18" s="2">
        <v>8</v>
      </c>
      <c r="M18" s="10">
        <v>16000000</v>
      </c>
      <c r="N18" s="10">
        <v>3706527</v>
      </c>
      <c r="O18" s="11">
        <v>0.03</v>
      </c>
      <c r="P18" s="2">
        <v>40737926</v>
      </c>
      <c r="Q18" s="5">
        <v>0.05</v>
      </c>
    </row>
    <row r="19" spans="1:17" ht="24" x14ac:dyDescent="0.55000000000000004">
      <c r="A19" s="15">
        <v>9</v>
      </c>
      <c r="B19" s="2" t="s">
        <v>9</v>
      </c>
      <c r="C19" s="7">
        <f>898711+801506</f>
        <v>1700217</v>
      </c>
      <c r="D19" s="7">
        <f>898711+801506</f>
        <v>1700217</v>
      </c>
      <c r="E19" s="2">
        <v>63227</v>
      </c>
      <c r="F19" s="2">
        <v>140060</v>
      </c>
      <c r="G19" s="2">
        <v>826</v>
      </c>
      <c r="H19" s="2">
        <v>153</v>
      </c>
      <c r="I19" s="5">
        <v>0.89</v>
      </c>
      <c r="J19" s="2">
        <v>158</v>
      </c>
      <c r="K19" s="2">
        <v>66</v>
      </c>
      <c r="L19" s="2">
        <v>8</v>
      </c>
      <c r="M19" s="10">
        <v>16000000</v>
      </c>
      <c r="N19" s="10">
        <v>2347970</v>
      </c>
      <c r="O19" s="11">
        <v>0.03</v>
      </c>
      <c r="P19" s="2">
        <v>41652989</v>
      </c>
      <c r="Q19" s="5">
        <v>0.05</v>
      </c>
    </row>
    <row r="20" spans="1:17" ht="24" x14ac:dyDescent="0.55000000000000004">
      <c r="A20" s="16">
        <v>9</v>
      </c>
      <c r="B20" s="2" t="s">
        <v>6</v>
      </c>
      <c r="C20" s="7">
        <f>569548+396477+241431+451680</f>
        <v>1659136</v>
      </c>
      <c r="D20" s="7">
        <f>569548+396477+241431+451680</f>
        <v>1659136</v>
      </c>
      <c r="E20" s="2" t="s">
        <v>7</v>
      </c>
      <c r="F20" s="2">
        <v>145459</v>
      </c>
      <c r="G20" s="2">
        <v>5052</v>
      </c>
      <c r="H20" s="2">
        <v>84</v>
      </c>
      <c r="I20" s="5">
        <v>0.68</v>
      </c>
      <c r="J20" s="2">
        <v>136</v>
      </c>
      <c r="K20" s="2">
        <v>48</v>
      </c>
      <c r="L20" s="2">
        <v>37</v>
      </c>
      <c r="M20" s="10">
        <v>16000000</v>
      </c>
      <c r="N20" s="10">
        <v>4027115</v>
      </c>
      <c r="O20" s="11">
        <v>0.03</v>
      </c>
      <c r="P20" s="2">
        <v>21600387</v>
      </c>
      <c r="Q20" s="5">
        <v>0.05</v>
      </c>
    </row>
    <row r="21" spans="1:17" ht="24" x14ac:dyDescent="0.55000000000000004">
      <c r="A21" s="15">
        <v>10</v>
      </c>
      <c r="B21" s="2" t="s">
        <v>9</v>
      </c>
      <c r="C21" s="7">
        <f>848417+500000</f>
        <v>1348417</v>
      </c>
      <c r="D21" s="7">
        <f>862996+571634</f>
        <v>1434630</v>
      </c>
      <c r="E21" s="2">
        <v>56600</v>
      </c>
      <c r="F21" s="2">
        <v>110020</v>
      </c>
      <c r="G21" s="2">
        <v>700</v>
      </c>
      <c r="H21" s="2">
        <v>135</v>
      </c>
      <c r="I21" s="5">
        <v>0.94</v>
      </c>
      <c r="J21" s="2">
        <v>138</v>
      </c>
      <c r="K21" s="2">
        <v>58</v>
      </c>
      <c r="L21" s="2">
        <v>37</v>
      </c>
      <c r="M21" s="10">
        <v>16000000</v>
      </c>
      <c r="N21" s="10">
        <v>2270159</v>
      </c>
      <c r="O21" s="11">
        <v>0.03</v>
      </c>
      <c r="P21" s="2">
        <v>22405566</v>
      </c>
      <c r="Q21" s="5">
        <v>0.05</v>
      </c>
    </row>
    <row r="22" spans="1:17" ht="24" x14ac:dyDescent="0.55000000000000004">
      <c r="A22" s="16">
        <v>10</v>
      </c>
      <c r="B22" s="2" t="s">
        <v>6</v>
      </c>
      <c r="C22" s="7">
        <f>550000+388700+236882</f>
        <v>1175582</v>
      </c>
      <c r="D22" s="7">
        <f>526669+367980+236882</f>
        <v>1131531</v>
      </c>
      <c r="E22" s="2"/>
      <c r="F22" s="2">
        <v>24686</v>
      </c>
      <c r="G22" s="2">
        <v>2033</v>
      </c>
      <c r="H22" s="2">
        <v>135</v>
      </c>
      <c r="I22" s="5">
        <v>0.73</v>
      </c>
      <c r="J22" s="2">
        <v>146</v>
      </c>
      <c r="K22" s="2">
        <v>64</v>
      </c>
      <c r="L22" s="2">
        <v>7</v>
      </c>
      <c r="M22" s="10">
        <v>16000000</v>
      </c>
      <c r="N22" s="10">
        <v>4438067</v>
      </c>
      <c r="O22" s="11">
        <v>0.03</v>
      </c>
      <c r="P22" s="2">
        <v>37752522</v>
      </c>
      <c r="Q22" s="5">
        <v>0.05</v>
      </c>
    </row>
    <row r="23" spans="1:17" ht="24" x14ac:dyDescent="0.55000000000000004">
      <c r="A23" s="15">
        <v>11</v>
      </c>
      <c r="B23" s="2" t="s">
        <v>9</v>
      </c>
      <c r="C23" s="7">
        <f>600000+500000</f>
        <v>1100000</v>
      </c>
      <c r="D23" s="7">
        <f>542049+520232</f>
        <v>1062281</v>
      </c>
      <c r="E23" s="2">
        <v>24482</v>
      </c>
      <c r="F23" s="2">
        <v>49258</v>
      </c>
      <c r="G23" s="2">
        <v>423</v>
      </c>
      <c r="H23" s="2">
        <v>67</v>
      </c>
      <c r="I23" s="5">
        <v>0.6</v>
      </c>
      <c r="J23" s="2">
        <v>74</v>
      </c>
      <c r="K23" s="2">
        <v>36</v>
      </c>
      <c r="L23" s="2">
        <v>15</v>
      </c>
      <c r="M23" s="10">
        <v>16000000</v>
      </c>
      <c r="N23" s="10">
        <v>2943805</v>
      </c>
      <c r="O23" s="11">
        <v>0.03</v>
      </c>
      <c r="P23" s="2">
        <v>26410846</v>
      </c>
      <c r="Q23" s="5">
        <v>0.05</v>
      </c>
    </row>
    <row r="24" spans="1:17" ht="24" x14ac:dyDescent="0.55000000000000004">
      <c r="A24" s="16">
        <v>11</v>
      </c>
      <c r="B24" s="2" t="s">
        <v>6</v>
      </c>
      <c r="C24" s="7">
        <f>1500000+500000+100000</f>
        <v>2100000</v>
      </c>
      <c r="D24" s="7">
        <f>1379811+415788+144000</f>
        <v>1939599</v>
      </c>
      <c r="E24" s="2"/>
      <c r="F24" s="2">
        <v>12227</v>
      </c>
      <c r="G24" s="2">
        <v>1667</v>
      </c>
      <c r="H24" s="2">
        <v>224</v>
      </c>
      <c r="I24" s="5">
        <v>1.01</v>
      </c>
      <c r="J24" s="2">
        <v>205</v>
      </c>
      <c r="K24" s="2">
        <v>66</v>
      </c>
      <c r="L24" s="2">
        <v>11</v>
      </c>
      <c r="M24" s="10">
        <v>16000000</v>
      </c>
      <c r="N24" s="10">
        <v>3172794</v>
      </c>
      <c r="O24" s="11">
        <v>0.03</v>
      </c>
      <c r="P24" s="2">
        <v>31634052</v>
      </c>
      <c r="Q24" s="5">
        <v>0.05</v>
      </c>
    </row>
    <row r="25" spans="1:17" ht="24" x14ac:dyDescent="0.55000000000000004">
      <c r="A25" s="15">
        <v>12</v>
      </c>
      <c r="B25" s="2" t="s">
        <v>9</v>
      </c>
      <c r="C25" s="7">
        <f>800000+700000</f>
        <v>1500000</v>
      </c>
      <c r="D25" s="7">
        <f>872643+655622</f>
        <v>1528265</v>
      </c>
      <c r="E25" s="2">
        <v>45543</v>
      </c>
      <c r="F25" s="2">
        <v>94122</v>
      </c>
      <c r="G25" s="2">
        <v>1724</v>
      </c>
      <c r="H25" s="2">
        <v>152</v>
      </c>
      <c r="I25" s="5">
        <v>1.38</v>
      </c>
      <c r="J25" s="2">
        <v>142</v>
      </c>
      <c r="K25" s="2">
        <v>31</v>
      </c>
      <c r="L25" s="2">
        <v>28</v>
      </c>
      <c r="M25" s="10">
        <v>21000000</v>
      </c>
      <c r="N25" s="10">
        <v>1414286</v>
      </c>
      <c r="O25" s="11">
        <v>0.04</v>
      </c>
      <c r="P25" s="2">
        <v>24499530</v>
      </c>
      <c r="Q25" s="5">
        <v>0.08</v>
      </c>
    </row>
    <row r="26" spans="1:17" ht="24" x14ac:dyDescent="0.55000000000000004">
      <c r="A26" s="16">
        <v>12</v>
      </c>
      <c r="B26" s="2" t="s">
        <v>6</v>
      </c>
      <c r="C26" s="7">
        <f>1500000+500000</f>
        <v>2000000</v>
      </c>
      <c r="D26" s="7">
        <f>1867923+707281</f>
        <v>2575204</v>
      </c>
      <c r="E26" s="2"/>
      <c r="F26" s="2">
        <v>24650</v>
      </c>
      <c r="G26" s="2">
        <v>2893</v>
      </c>
      <c r="H26" s="2">
        <v>387</v>
      </c>
      <c r="I26" s="5">
        <v>1.55</v>
      </c>
      <c r="J26" s="2">
        <v>275</v>
      </c>
      <c r="K26" s="2">
        <v>73</v>
      </c>
      <c r="L26" s="2">
        <v>35</v>
      </c>
      <c r="M26" s="10">
        <v>21000000</v>
      </c>
      <c r="N26" s="10">
        <v>2811682</v>
      </c>
      <c r="O26" s="11">
        <v>0.04</v>
      </c>
      <c r="P26" s="2">
        <v>36879007</v>
      </c>
      <c r="Q26" s="5">
        <v>0.08</v>
      </c>
    </row>
    <row r="29" spans="1:17" ht="20.399999999999999" x14ac:dyDescent="0.45">
      <c r="A29" s="24" t="s">
        <v>26</v>
      </c>
      <c r="B29" s="24"/>
      <c r="C29" s="24"/>
      <c r="D29" s="24"/>
      <c r="E29" s="24"/>
      <c r="F29" s="24"/>
    </row>
    <row r="32" spans="1:17" ht="16.8" x14ac:dyDescent="0.4">
      <c r="B32" s="26" t="s">
        <v>9</v>
      </c>
      <c r="C32" s="25" cm="1">
        <f t="array" ref="C32:C55">((P3:P26-(M3:M26+N3:N26+O3:O26))/C3:C26)*100</f>
        <v>750.84321214285706</v>
      </c>
    </row>
    <row r="33" spans="2:13" ht="16.8" x14ac:dyDescent="0.4">
      <c r="B33" s="26" t="s">
        <v>6</v>
      </c>
      <c r="C33">
        <v>1112.4146231249999</v>
      </c>
      <c r="J33" s="27"/>
      <c r="K33" s="27"/>
      <c r="L33" s="27"/>
      <c r="M33" s="27"/>
    </row>
    <row r="34" spans="2:13" ht="16.8" x14ac:dyDescent="0.4">
      <c r="B34" s="26" t="s">
        <v>9</v>
      </c>
      <c r="C34">
        <v>1330.7130570588236</v>
      </c>
      <c r="J34" s="27"/>
      <c r="K34" s="27"/>
      <c r="L34" s="27"/>
      <c r="M34" s="27"/>
    </row>
    <row r="35" spans="2:13" ht="16.8" x14ac:dyDescent="0.4">
      <c r="B35" s="26" t="s">
        <v>6</v>
      </c>
      <c r="C35">
        <v>612.04222055555556</v>
      </c>
      <c r="J35" s="23"/>
      <c r="K35" s="23"/>
      <c r="L35" s="23"/>
      <c r="M35" s="23"/>
    </row>
    <row r="36" spans="2:13" ht="16.8" x14ac:dyDescent="0.4">
      <c r="B36" s="26" t="s">
        <v>9</v>
      </c>
      <c r="C36">
        <v>144.99040999999991</v>
      </c>
      <c r="J36" s="23"/>
      <c r="K36" s="23"/>
      <c r="L36" s="23"/>
      <c r="M36" s="23"/>
    </row>
    <row r="37" spans="2:13" ht="16.8" x14ac:dyDescent="0.4">
      <c r="B37" s="26" t="s">
        <v>6</v>
      </c>
      <c r="C37">
        <v>439.38799833333331</v>
      </c>
      <c r="J37" s="23"/>
      <c r="K37" s="23"/>
      <c r="L37" s="23"/>
      <c r="M37" s="23"/>
    </row>
    <row r="38" spans="2:13" ht="16.8" x14ac:dyDescent="0.4">
      <c r="B38" s="26" t="s">
        <v>9</v>
      </c>
      <c r="C38">
        <v>1420.9131969999999</v>
      </c>
      <c r="J38" s="23"/>
      <c r="K38" s="23"/>
      <c r="L38" s="23"/>
      <c r="M38" s="23"/>
    </row>
    <row r="39" spans="2:13" ht="16.8" x14ac:dyDescent="0.4">
      <c r="B39" s="26" t="s">
        <v>6</v>
      </c>
      <c r="C39">
        <v>1203.5600570588235</v>
      </c>
      <c r="J39" s="23"/>
      <c r="K39" s="23"/>
      <c r="L39" s="23"/>
      <c r="M39" s="23"/>
    </row>
    <row r="40" spans="2:13" ht="16.8" x14ac:dyDescent="0.4">
      <c r="B40" s="26" t="s">
        <v>9</v>
      </c>
      <c r="C40">
        <v>343.44679799999989</v>
      </c>
      <c r="J40" s="23"/>
      <c r="K40" s="23"/>
      <c r="L40" s="23"/>
      <c r="M40" s="23"/>
    </row>
    <row r="41" spans="2:13" ht="16.8" x14ac:dyDescent="0.4">
      <c r="B41" s="26" t="s">
        <v>6</v>
      </c>
      <c r="C41">
        <v>197.80331681818177</v>
      </c>
      <c r="J41" s="23"/>
      <c r="K41" s="23"/>
      <c r="L41" s="23"/>
      <c r="M41" s="23"/>
    </row>
    <row r="42" spans="2:13" ht="16.8" x14ac:dyDescent="0.4">
      <c r="B42" s="26" t="s">
        <v>9</v>
      </c>
      <c r="C42">
        <v>342.61426400000005</v>
      </c>
      <c r="J42" s="23"/>
      <c r="K42" s="23"/>
      <c r="L42" s="23"/>
      <c r="M42" s="23"/>
    </row>
    <row r="43" spans="2:13" ht="16.8" x14ac:dyDescent="0.4">
      <c r="B43" s="26" t="s">
        <v>6</v>
      </c>
      <c r="C43">
        <v>164.93322545454549</v>
      </c>
      <c r="J43" s="23"/>
      <c r="K43" s="23"/>
      <c r="L43" s="23"/>
      <c r="M43" s="23"/>
    </row>
    <row r="44" spans="2:13" ht="16.8" x14ac:dyDescent="0.4">
      <c r="B44" s="26" t="s">
        <v>9</v>
      </c>
      <c r="C44">
        <v>800.48969850000003</v>
      </c>
      <c r="J44" s="23"/>
      <c r="K44" s="23"/>
      <c r="L44" s="23"/>
      <c r="M44" s="23"/>
    </row>
    <row r="45" spans="2:13" ht="16.8" x14ac:dyDescent="0.4">
      <c r="B45" s="26" t="s">
        <v>6</v>
      </c>
      <c r="C45">
        <v>1736.5869607407408</v>
      </c>
      <c r="J45" s="23"/>
      <c r="K45" s="23"/>
      <c r="L45" s="23"/>
      <c r="M45" s="23"/>
    </row>
    <row r="46" spans="2:13" ht="16.8" x14ac:dyDescent="0.4">
      <c r="B46" s="26" t="s">
        <v>3</v>
      </c>
      <c r="C46">
        <v>99.364152671003552</v>
      </c>
      <c r="J46" s="23"/>
      <c r="K46" s="23"/>
      <c r="L46" s="23"/>
      <c r="M46" s="23"/>
    </row>
    <row r="47" spans="2:13" ht="16.8" x14ac:dyDescent="0.4">
      <c r="B47" s="26" t="s">
        <v>6</v>
      </c>
      <c r="C47">
        <v>1557.881405185185</v>
      </c>
    </row>
    <row r="48" spans="2:13" ht="16.8" x14ac:dyDescent="0.4">
      <c r="B48" s="26" t="s">
        <v>9</v>
      </c>
      <c r="C48">
        <v>1370.7085019147555</v>
      </c>
    </row>
    <row r="49" spans="2:3" ht="16.8" x14ac:dyDescent="0.4">
      <c r="B49" s="26" t="s">
        <v>6</v>
      </c>
      <c r="C49">
        <v>94.824774460924161</v>
      </c>
    </row>
    <row r="50" spans="2:3" ht="16.8" x14ac:dyDescent="0.4">
      <c r="B50" s="26" t="s">
        <v>9</v>
      </c>
      <c r="C50">
        <v>306.68606002445824</v>
      </c>
    </row>
    <row r="51" spans="2:3" ht="16.8" x14ac:dyDescent="0.4">
      <c r="B51" s="26" t="s">
        <v>6</v>
      </c>
      <c r="C51">
        <v>1472.8411093398843</v>
      </c>
    </row>
    <row r="52" spans="2:3" ht="16.8" x14ac:dyDescent="0.4">
      <c r="B52" s="26" t="s">
        <v>9</v>
      </c>
      <c r="C52">
        <v>678.82190636363623</v>
      </c>
    </row>
    <row r="53" spans="2:3" ht="16.8" x14ac:dyDescent="0.4">
      <c r="B53" s="26" t="s">
        <v>6</v>
      </c>
      <c r="C53">
        <v>593.39323666666667</v>
      </c>
    </row>
    <row r="54" spans="2:3" ht="16.8" x14ac:dyDescent="0.4">
      <c r="B54" s="26" t="s">
        <v>9</v>
      </c>
      <c r="C54">
        <v>139.01626400000006</v>
      </c>
    </row>
    <row r="55" spans="2:3" ht="16.8" x14ac:dyDescent="0.4">
      <c r="B55" s="26" t="s">
        <v>6</v>
      </c>
      <c r="C55">
        <v>653.36624800000004</v>
      </c>
    </row>
  </sheetData>
  <mergeCells count="14">
    <mergeCell ref="A23:A24"/>
    <mergeCell ref="A25:A26"/>
    <mergeCell ref="A11:A12"/>
    <mergeCell ref="A13:A14"/>
    <mergeCell ref="A15:A16"/>
    <mergeCell ref="A17:A18"/>
    <mergeCell ref="A19:A20"/>
    <mergeCell ref="A21:A22"/>
    <mergeCell ref="B1:I1"/>
    <mergeCell ref="J1:Q1"/>
    <mergeCell ref="A3:A4"/>
    <mergeCell ref="A5:A6"/>
    <mergeCell ref="A7:A8"/>
    <mergeCell ref="A9:A10"/>
  </mergeCells>
  <conditionalFormatting sqref="E25 E23 E21 E19 E17 E15 E13 E11 E7 E5 E3">
    <cfRule type="iconSet" priority="2">
      <iconSet iconSet="3Arrows">
        <cfvo type="percent" val="0"/>
        <cfvo type="percent" val="33"/>
        <cfvo type="percent" val="67"/>
      </iconSet>
    </cfRule>
  </conditionalFormatting>
  <conditionalFormatting sqref="C32:C55">
    <cfRule type="dataBar" priority="1">
      <dataBar>
        <cfvo type="min"/>
        <cfvo type="max"/>
        <color rgb="FF638EC6"/>
      </dataBar>
      <extLst>
        <ext xmlns:x14="http://schemas.microsoft.com/office/spreadsheetml/2009/9/main" uri="{B025F937-C7B1-47D3-B67F-A62EFF666E3E}">
          <x14:id>{164B2211-0BEE-4795-BF77-B267475F3BDA}</x14:id>
        </ext>
      </extLst>
    </cfRule>
  </conditionalFormatting>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164B2211-0BEE-4795-BF77-B267475F3BDA}">
            <x14:dataBar minLength="0" maxLength="100" gradient="0">
              <x14:cfvo type="autoMin"/>
              <x14:cfvo type="autoMax"/>
              <x14:negativeFillColor rgb="FFFF0000"/>
              <x14:axisColor rgb="FF000000"/>
            </x14:dataBar>
          </x14:cfRule>
          <xm:sqref>C32:C55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238BD-5E3E-4EA6-849B-1FC27F3FF573}">
  <dimension ref="A1:Q31"/>
  <sheetViews>
    <sheetView topLeftCell="A12" zoomScale="86" zoomScaleNormal="86" workbookViewId="0">
      <selection sqref="A1:Q26"/>
    </sheetView>
  </sheetViews>
  <sheetFormatPr baseColWidth="10" defaultRowHeight="14.4" x14ac:dyDescent="0.3"/>
  <cols>
    <col min="3" max="4" width="18.6640625" bestFit="1" customWidth="1"/>
    <col min="5" max="5" width="12.6640625" bestFit="1" customWidth="1"/>
    <col min="13" max="13" width="15.33203125" bestFit="1" customWidth="1"/>
    <col min="14" max="14" width="13.77734375" bestFit="1" customWidth="1"/>
    <col min="16" max="16" width="15.44140625" bestFit="1" customWidth="1"/>
  </cols>
  <sheetData>
    <row r="1" spans="1:17" ht="25.8" x14ac:dyDescent="0.5">
      <c r="A1" s="13"/>
      <c r="B1" s="17" t="s">
        <v>18</v>
      </c>
      <c r="C1" s="17"/>
      <c r="D1" s="17"/>
      <c r="E1" s="17"/>
      <c r="F1" s="17"/>
      <c r="G1" s="17"/>
      <c r="H1" s="17"/>
      <c r="I1" s="17"/>
      <c r="J1" s="18" t="s">
        <v>19</v>
      </c>
      <c r="K1" s="18"/>
      <c r="L1" s="18"/>
      <c r="M1" s="18"/>
      <c r="N1" s="18"/>
      <c r="O1" s="18"/>
      <c r="P1" s="18"/>
      <c r="Q1" s="18"/>
    </row>
    <row r="2" spans="1:17" ht="48" customHeight="1" x14ac:dyDescent="0.4">
      <c r="A2" s="28" t="s">
        <v>2</v>
      </c>
      <c r="B2" s="29" t="s">
        <v>20</v>
      </c>
      <c r="C2" s="29" t="s">
        <v>21</v>
      </c>
      <c r="D2" s="30" t="s">
        <v>10</v>
      </c>
      <c r="E2" s="30" t="s">
        <v>0</v>
      </c>
      <c r="F2" s="30" t="s">
        <v>1</v>
      </c>
      <c r="G2" s="30" t="s">
        <v>4</v>
      </c>
      <c r="H2" s="29" t="s">
        <v>22</v>
      </c>
      <c r="I2" s="29" t="s">
        <v>5</v>
      </c>
      <c r="J2" s="29" t="s">
        <v>23</v>
      </c>
      <c r="K2" s="29" t="s">
        <v>27</v>
      </c>
      <c r="L2" s="29" t="s">
        <v>14</v>
      </c>
      <c r="M2" s="29" t="s">
        <v>12</v>
      </c>
      <c r="N2" s="29" t="s">
        <v>13</v>
      </c>
      <c r="O2" s="29" t="s">
        <v>15</v>
      </c>
      <c r="P2" s="29" t="s">
        <v>16</v>
      </c>
      <c r="Q2" s="29" t="s">
        <v>17</v>
      </c>
    </row>
    <row r="3" spans="1:17" ht="24" x14ac:dyDescent="0.55000000000000004">
      <c r="A3" s="15">
        <v>1</v>
      </c>
      <c r="B3" s="2" t="s">
        <v>9</v>
      </c>
      <c r="C3" s="7">
        <f>300000+350000+450000+300000</f>
        <v>1400000</v>
      </c>
      <c r="D3" s="7">
        <f>300000+350000+450000+257000</f>
        <v>1357000</v>
      </c>
      <c r="E3" s="2">
        <v>54465</v>
      </c>
      <c r="F3" s="2">
        <v>100655</v>
      </c>
      <c r="G3" s="2">
        <v>2500</v>
      </c>
      <c r="H3" s="2">
        <v>209</v>
      </c>
      <c r="I3" s="5">
        <v>1.1499999999999999</v>
      </c>
      <c r="J3" s="2">
        <v>254</v>
      </c>
      <c r="K3" s="2">
        <v>169</v>
      </c>
      <c r="L3" s="2">
        <v>21</v>
      </c>
      <c r="M3" s="10">
        <v>16000000</v>
      </c>
      <c r="N3" s="10">
        <v>3644255</v>
      </c>
      <c r="O3" s="11">
        <v>0.03</v>
      </c>
      <c r="P3" s="2">
        <v>30156060</v>
      </c>
      <c r="Q3" s="5">
        <v>0.05</v>
      </c>
    </row>
    <row r="4" spans="1:17" ht="24" x14ac:dyDescent="0.55000000000000004">
      <c r="A4" s="16"/>
      <c r="B4" s="2" t="s">
        <v>6</v>
      </c>
      <c r="C4" s="7">
        <f>400000+400000+450000+350000</f>
        <v>1600000</v>
      </c>
      <c r="D4" s="7">
        <f>400000+400000+450000+350000</f>
        <v>1600000</v>
      </c>
      <c r="E4" s="2" t="s">
        <v>7</v>
      </c>
      <c r="F4" s="2">
        <v>27663</v>
      </c>
      <c r="G4" s="2">
        <v>3100</v>
      </c>
      <c r="H4" s="2">
        <v>239</v>
      </c>
      <c r="I4" s="5">
        <v>1.58</v>
      </c>
      <c r="J4" s="2">
        <v>246</v>
      </c>
      <c r="K4" s="2">
        <v>149</v>
      </c>
      <c r="L4" s="2">
        <v>39</v>
      </c>
      <c r="M4" s="10">
        <v>16000000</v>
      </c>
      <c r="N4" s="10">
        <v>2859483</v>
      </c>
      <c r="O4" s="11">
        <v>0.03</v>
      </c>
      <c r="P4" s="2">
        <v>36658117</v>
      </c>
      <c r="Q4" s="5">
        <v>0.05</v>
      </c>
    </row>
    <row r="5" spans="1:17" ht="24" x14ac:dyDescent="0.55000000000000004">
      <c r="A5" s="15">
        <v>2</v>
      </c>
      <c r="B5" s="2" t="s">
        <v>9</v>
      </c>
      <c r="C5" s="7">
        <f>450000+400000+450000+400000</f>
        <v>1700000</v>
      </c>
      <c r="D5" s="7">
        <f>450000+400000+450000+338000</f>
        <v>1638000</v>
      </c>
      <c r="E5" s="2">
        <v>55112</v>
      </c>
      <c r="F5" s="2">
        <v>97894</v>
      </c>
      <c r="G5" s="2">
        <v>2825</v>
      </c>
      <c r="H5" s="2">
        <v>171</v>
      </c>
      <c r="I5" s="6">
        <v>0.77300000000000002</v>
      </c>
      <c r="J5" s="2">
        <v>142</v>
      </c>
      <c r="K5" s="2">
        <v>71</v>
      </c>
      <c r="L5" s="2">
        <v>12</v>
      </c>
      <c r="M5" s="10">
        <v>16000000</v>
      </c>
      <c r="N5" s="10">
        <v>1311800</v>
      </c>
      <c r="O5" s="11">
        <v>0.03</v>
      </c>
      <c r="P5" s="2">
        <v>39933922</v>
      </c>
      <c r="Q5" s="5">
        <v>0.05</v>
      </c>
    </row>
    <row r="6" spans="1:17" ht="24" x14ac:dyDescent="0.55000000000000004">
      <c r="A6" s="16">
        <v>2</v>
      </c>
      <c r="B6" s="2" t="s">
        <v>6</v>
      </c>
      <c r="C6" s="7">
        <f>500000+500000+450000+350000</f>
        <v>1800000</v>
      </c>
      <c r="D6" s="7">
        <f>503000+502000+455000+347000</f>
        <v>1807000</v>
      </c>
      <c r="E6" s="2" t="s">
        <v>7</v>
      </c>
      <c r="F6" s="2">
        <v>29845</v>
      </c>
      <c r="G6" s="2">
        <v>3354</v>
      </c>
      <c r="H6" s="2">
        <v>128</v>
      </c>
      <c r="I6" s="6">
        <v>0.77300000000000002</v>
      </c>
      <c r="J6" s="2">
        <v>193</v>
      </c>
      <c r="K6" s="2">
        <v>72</v>
      </c>
      <c r="L6" s="2">
        <v>18</v>
      </c>
      <c r="M6" s="10">
        <v>16000000</v>
      </c>
      <c r="N6" s="10">
        <v>2238228</v>
      </c>
      <c r="O6" s="11">
        <v>0.03</v>
      </c>
      <c r="P6" s="2">
        <v>29254988</v>
      </c>
      <c r="Q6" s="5">
        <v>0.05</v>
      </c>
    </row>
    <row r="7" spans="1:17" ht="24" x14ac:dyDescent="0.55000000000000004">
      <c r="A7" s="15">
        <v>3</v>
      </c>
      <c r="B7" s="2" t="s">
        <v>9</v>
      </c>
      <c r="C7" s="7">
        <f>450000+400000+450000+400000</f>
        <v>1700000</v>
      </c>
      <c r="D7" s="7">
        <f>406000+360000+404000+352000</f>
        <v>1522000</v>
      </c>
      <c r="E7" s="2">
        <v>43798</v>
      </c>
      <c r="F7" s="2">
        <v>86658</v>
      </c>
      <c r="G7" s="2">
        <v>1802</v>
      </c>
      <c r="H7" s="2">
        <v>133</v>
      </c>
      <c r="I7" s="6">
        <v>0.66800000000000004</v>
      </c>
      <c r="J7" s="2">
        <v>163</v>
      </c>
      <c r="K7" s="2">
        <v>61</v>
      </c>
      <c r="L7" s="2">
        <v>24</v>
      </c>
      <c r="M7" s="10">
        <v>16000000</v>
      </c>
      <c r="N7" s="10">
        <v>4448484</v>
      </c>
      <c r="O7" s="11">
        <v>0.03</v>
      </c>
      <c r="P7" s="2">
        <v>22913321</v>
      </c>
      <c r="Q7" s="5">
        <v>0.05</v>
      </c>
    </row>
    <row r="8" spans="1:17" ht="24" x14ac:dyDescent="0.55000000000000004">
      <c r="A8" s="16">
        <v>3</v>
      </c>
      <c r="B8" s="2" t="s">
        <v>6</v>
      </c>
      <c r="C8" s="7">
        <f>500000+500000+450000+350000</f>
        <v>1800000</v>
      </c>
      <c r="D8" s="7">
        <f>492000+487300+456200+448000</f>
        <v>1883500</v>
      </c>
      <c r="E8" s="2" t="s">
        <v>7</v>
      </c>
      <c r="F8" s="2">
        <v>29135</v>
      </c>
      <c r="G8" s="2">
        <v>3455</v>
      </c>
      <c r="H8" s="2">
        <v>224</v>
      </c>
      <c r="I8" s="6">
        <v>1.31</v>
      </c>
      <c r="J8" s="2">
        <v>194</v>
      </c>
      <c r="K8" s="2">
        <v>65</v>
      </c>
      <c r="L8" s="2">
        <v>34</v>
      </c>
      <c r="M8" s="10">
        <v>16000000</v>
      </c>
      <c r="N8" s="10">
        <v>4474812</v>
      </c>
      <c r="O8" s="11">
        <v>0.03</v>
      </c>
      <c r="P8" s="2">
        <v>28383796</v>
      </c>
      <c r="Q8" s="5">
        <v>0.05</v>
      </c>
    </row>
    <row r="9" spans="1:17" ht="24" x14ac:dyDescent="0.55000000000000004">
      <c r="A9" s="15">
        <v>4</v>
      </c>
      <c r="B9" s="2" t="s">
        <v>9</v>
      </c>
      <c r="C9" s="7">
        <f>500000+500000</f>
        <v>1000000</v>
      </c>
      <c r="D9" s="7">
        <f>303000+328000</f>
        <v>631000</v>
      </c>
      <c r="E9" s="2" t="s">
        <v>7</v>
      </c>
      <c r="F9" s="9"/>
      <c r="G9" s="9"/>
      <c r="H9" s="2">
        <f>43+24</f>
        <v>67</v>
      </c>
      <c r="I9" s="5">
        <v>1.57</v>
      </c>
      <c r="J9" s="2">
        <v>99</v>
      </c>
      <c r="K9" s="2">
        <v>34</v>
      </c>
      <c r="L9" s="2">
        <v>14</v>
      </c>
      <c r="M9" s="10">
        <v>16000000</v>
      </c>
      <c r="N9" s="10">
        <v>4411039</v>
      </c>
      <c r="O9" s="11">
        <v>0.03</v>
      </c>
      <c r="P9" s="2">
        <v>34620171</v>
      </c>
      <c r="Q9" s="5">
        <v>0.05</v>
      </c>
    </row>
    <row r="10" spans="1:17" ht="24" x14ac:dyDescent="0.55000000000000004">
      <c r="A10" s="16">
        <v>4</v>
      </c>
      <c r="B10" s="2" t="s">
        <v>6</v>
      </c>
      <c r="C10" s="7">
        <f>500000+500000+350000+350000</f>
        <v>1700000</v>
      </c>
      <c r="D10" s="7">
        <f>496000+506000+357000+329000</f>
        <v>1688000</v>
      </c>
      <c r="E10" s="2" t="s">
        <v>7</v>
      </c>
      <c r="F10" s="9"/>
      <c r="G10" s="9"/>
      <c r="H10" s="2">
        <f>64+38+20+23</f>
        <v>145</v>
      </c>
      <c r="I10" s="5">
        <v>1.29</v>
      </c>
      <c r="J10" s="2">
        <v>178</v>
      </c>
      <c r="K10" s="2">
        <v>58</v>
      </c>
      <c r="L10" s="2">
        <v>14</v>
      </c>
      <c r="M10" s="10">
        <v>16000000</v>
      </c>
      <c r="N10" s="10">
        <v>2998286</v>
      </c>
      <c r="O10" s="11">
        <v>0.03</v>
      </c>
      <c r="P10" s="2">
        <v>39458807</v>
      </c>
      <c r="Q10" s="5">
        <v>0.05</v>
      </c>
    </row>
    <row r="11" spans="1:17" ht="24" x14ac:dyDescent="0.55000000000000004">
      <c r="A11" s="15">
        <v>5</v>
      </c>
      <c r="B11" s="2" t="s">
        <v>9</v>
      </c>
      <c r="C11" s="7">
        <f>500000+500000+500000</f>
        <v>1500000</v>
      </c>
      <c r="D11" s="7">
        <f>505685+506496+504284</f>
        <v>1516465</v>
      </c>
      <c r="E11" s="2">
        <v>48493</v>
      </c>
      <c r="F11" s="2">
        <v>85786</v>
      </c>
      <c r="G11" s="2">
        <v>1763</v>
      </c>
      <c r="H11" s="2">
        <v>140</v>
      </c>
      <c r="I11" s="5">
        <v>1.1299999999999999</v>
      </c>
      <c r="J11" s="2">
        <v>145</v>
      </c>
      <c r="K11" s="2">
        <v>58</v>
      </c>
      <c r="L11" s="2">
        <v>30</v>
      </c>
      <c r="M11" s="10">
        <v>16000000</v>
      </c>
      <c r="N11" s="10">
        <v>1870333</v>
      </c>
      <c r="O11" s="11">
        <v>0.03</v>
      </c>
      <c r="P11" s="2">
        <v>23022035</v>
      </c>
      <c r="Q11" s="5">
        <v>0.05</v>
      </c>
    </row>
    <row r="12" spans="1:17" ht="24" x14ac:dyDescent="0.55000000000000004">
      <c r="A12" s="16">
        <v>5</v>
      </c>
      <c r="B12" s="2" t="s">
        <v>6</v>
      </c>
      <c r="C12" s="7">
        <f>750000+500000+350000+600000</f>
        <v>2200000</v>
      </c>
      <c r="D12" s="7">
        <f>816823+475959+207359+488483</f>
        <v>1988624</v>
      </c>
      <c r="E12" s="2" t="s">
        <v>7</v>
      </c>
      <c r="F12" s="2">
        <v>76384</v>
      </c>
      <c r="G12" s="2">
        <v>2783</v>
      </c>
      <c r="H12" s="2">
        <v>211</v>
      </c>
      <c r="I12" s="5">
        <v>0.87</v>
      </c>
      <c r="J12" s="2">
        <v>231</v>
      </c>
      <c r="K12" s="2">
        <v>58</v>
      </c>
      <c r="L12" s="2">
        <v>38</v>
      </c>
      <c r="M12" s="10">
        <v>16000000</v>
      </c>
      <c r="N12" s="10">
        <v>1230231</v>
      </c>
      <c r="O12" s="11">
        <v>0.03</v>
      </c>
      <c r="P12" s="2">
        <v>21581904</v>
      </c>
      <c r="Q12" s="5">
        <v>0.05</v>
      </c>
    </row>
    <row r="13" spans="1:17" ht="24" x14ac:dyDescent="0.55000000000000004">
      <c r="A13" s="15">
        <v>6</v>
      </c>
      <c r="B13" s="2" t="s">
        <v>9</v>
      </c>
      <c r="C13" s="7">
        <f>500000+500000+500000</f>
        <v>1500000</v>
      </c>
      <c r="D13" s="7">
        <f>488493+487556+487009</f>
        <v>1463058</v>
      </c>
      <c r="E13" s="2">
        <v>53189</v>
      </c>
      <c r="F13" s="2">
        <v>106170</v>
      </c>
      <c r="G13" s="2">
        <v>1551</v>
      </c>
      <c r="H13" s="2">
        <v>129</v>
      </c>
      <c r="I13" s="5">
        <v>1.03</v>
      </c>
      <c r="J13" s="2">
        <v>132</v>
      </c>
      <c r="K13" s="2">
        <v>35</v>
      </c>
      <c r="L13" s="2">
        <v>34</v>
      </c>
      <c r="M13" s="10">
        <v>21000000</v>
      </c>
      <c r="N13" s="10">
        <v>1812597</v>
      </c>
      <c r="O13" s="11">
        <v>0.04</v>
      </c>
      <c r="P13" s="2">
        <v>27951811</v>
      </c>
      <c r="Q13" s="5">
        <v>0.08</v>
      </c>
    </row>
    <row r="14" spans="1:17" ht="24" x14ac:dyDescent="0.55000000000000004">
      <c r="A14" s="16">
        <v>6</v>
      </c>
      <c r="B14" s="2" t="s">
        <v>6</v>
      </c>
      <c r="C14" s="7">
        <f>750000+500000+350000+600000</f>
        <v>2200000</v>
      </c>
      <c r="D14" s="7">
        <f>745336+484082+348000+472239</f>
        <v>2049657</v>
      </c>
      <c r="E14" s="2" t="s">
        <v>7</v>
      </c>
      <c r="F14" s="2">
        <v>50014</v>
      </c>
      <c r="G14" s="2">
        <v>2825</v>
      </c>
      <c r="H14" s="2">
        <v>268</v>
      </c>
      <c r="I14" s="5">
        <v>1.1499999999999999</v>
      </c>
      <c r="J14" s="2">
        <v>259</v>
      </c>
      <c r="K14" s="2">
        <v>78</v>
      </c>
      <c r="L14" s="2">
        <v>32</v>
      </c>
      <c r="M14" s="10">
        <v>16000000</v>
      </c>
      <c r="N14" s="10">
        <v>3069268</v>
      </c>
      <c r="O14" s="11">
        <v>0.04</v>
      </c>
      <c r="P14" s="2">
        <v>22697799</v>
      </c>
      <c r="Q14" s="5">
        <v>0.08</v>
      </c>
    </row>
    <row r="15" spans="1:17" ht="24" x14ac:dyDescent="0.55000000000000004">
      <c r="A15" s="15">
        <v>7</v>
      </c>
      <c r="B15" s="2" t="s">
        <v>9</v>
      </c>
      <c r="C15" s="7">
        <f>500000+500000+500000+500000</f>
        <v>2000000</v>
      </c>
      <c r="D15" s="7">
        <f>500000+500000+500000+500000</f>
        <v>2000000</v>
      </c>
      <c r="E15" s="2">
        <v>64110</v>
      </c>
      <c r="F15" s="2">
        <v>113499</v>
      </c>
      <c r="G15" s="2">
        <v>1615</v>
      </c>
      <c r="H15" s="2">
        <v>147</v>
      </c>
      <c r="I15" s="5">
        <v>0.83</v>
      </c>
      <c r="J15" s="2">
        <v>161</v>
      </c>
      <c r="K15" s="2">
        <v>25</v>
      </c>
      <c r="L15" s="2">
        <v>21</v>
      </c>
      <c r="M15" s="10">
        <v>16000000</v>
      </c>
      <c r="N15" s="10">
        <v>3168640</v>
      </c>
      <c r="O15" s="11">
        <v>0.03</v>
      </c>
      <c r="P15" s="2">
        <v>35178434</v>
      </c>
      <c r="Q15" s="5">
        <v>0.05</v>
      </c>
    </row>
    <row r="16" spans="1:17" ht="24" x14ac:dyDescent="0.55000000000000004">
      <c r="A16" s="16">
        <v>7</v>
      </c>
      <c r="B16" s="2" t="s">
        <v>6</v>
      </c>
      <c r="C16" s="7">
        <f>600000+400000+350000</f>
        <v>1350000</v>
      </c>
      <c r="D16" s="7">
        <f>592111+380526+287885</f>
        <v>1260522</v>
      </c>
      <c r="E16" s="2" t="s">
        <v>7</v>
      </c>
      <c r="F16" s="2">
        <v>69386</v>
      </c>
      <c r="G16" s="2">
        <v>2257</v>
      </c>
      <c r="H16" s="2">
        <v>198</v>
      </c>
      <c r="I16" s="5">
        <v>1.21</v>
      </c>
      <c r="J16" s="2">
        <v>177</v>
      </c>
      <c r="K16" s="2">
        <v>72</v>
      </c>
      <c r="L16" s="2">
        <v>38</v>
      </c>
      <c r="M16" s="10">
        <v>16000000</v>
      </c>
      <c r="N16" s="10">
        <v>2377015</v>
      </c>
      <c r="O16" s="11">
        <v>0.03</v>
      </c>
      <c r="P16" s="2">
        <v>41820939</v>
      </c>
      <c r="Q16" s="5">
        <v>0.05</v>
      </c>
    </row>
    <row r="17" spans="1:17" ht="24" x14ac:dyDescent="0.55000000000000004">
      <c r="A17" s="15">
        <v>8</v>
      </c>
      <c r="B17" s="2" t="s">
        <v>3</v>
      </c>
      <c r="C17" s="7">
        <f>676319+678339+500000+500000</f>
        <v>2354658</v>
      </c>
      <c r="D17" s="7">
        <f>676319+678339+499999+184000</f>
        <v>2038657</v>
      </c>
      <c r="E17" s="2">
        <v>88821</v>
      </c>
      <c r="F17" s="2">
        <v>167833</v>
      </c>
      <c r="G17" s="2">
        <v>1263</v>
      </c>
      <c r="H17" s="2">
        <v>177</v>
      </c>
      <c r="I17" s="5">
        <v>1.4</v>
      </c>
      <c r="J17" s="2">
        <v>168</v>
      </c>
      <c r="K17" s="2">
        <v>64</v>
      </c>
      <c r="L17" s="2">
        <v>7</v>
      </c>
      <c r="M17" s="10">
        <v>16000000</v>
      </c>
      <c r="N17" s="10">
        <v>3406484</v>
      </c>
      <c r="O17" s="11">
        <v>0.03</v>
      </c>
      <c r="P17" s="2">
        <v>21746170</v>
      </c>
      <c r="Q17" s="5">
        <v>0.05</v>
      </c>
    </row>
    <row r="18" spans="1:17" ht="24" x14ac:dyDescent="0.55000000000000004">
      <c r="A18" s="16">
        <v>8</v>
      </c>
      <c r="B18" s="2" t="s">
        <v>6</v>
      </c>
      <c r="C18" s="7">
        <f>600000+400000+350000</f>
        <v>1350000</v>
      </c>
      <c r="D18" s="7">
        <f>565634+380526+302065</f>
        <v>1248225</v>
      </c>
      <c r="E18" s="2" t="s">
        <v>7</v>
      </c>
      <c r="F18" s="2">
        <v>31600</v>
      </c>
      <c r="G18" s="2"/>
      <c r="H18" s="2">
        <v>145</v>
      </c>
      <c r="I18" s="5">
        <v>0.95</v>
      </c>
      <c r="J18" s="2">
        <v>140</v>
      </c>
      <c r="K18" s="2">
        <v>63</v>
      </c>
      <c r="L18" s="2">
        <v>8</v>
      </c>
      <c r="M18" s="10">
        <v>16000000</v>
      </c>
      <c r="N18" s="10">
        <v>3706527</v>
      </c>
      <c r="O18" s="11">
        <v>0.03</v>
      </c>
      <c r="P18" s="2">
        <v>40737926</v>
      </c>
      <c r="Q18" s="5">
        <v>0.05</v>
      </c>
    </row>
    <row r="19" spans="1:17" ht="24" x14ac:dyDescent="0.55000000000000004">
      <c r="A19" s="15">
        <v>9</v>
      </c>
      <c r="B19" s="2" t="s">
        <v>9</v>
      </c>
      <c r="C19" s="7">
        <f>898711+801506</f>
        <v>1700217</v>
      </c>
      <c r="D19" s="7">
        <f>898711+801506</f>
        <v>1700217</v>
      </c>
      <c r="E19" s="2">
        <v>63227</v>
      </c>
      <c r="F19" s="2">
        <v>140060</v>
      </c>
      <c r="G19" s="2">
        <v>826</v>
      </c>
      <c r="H19" s="2">
        <v>153</v>
      </c>
      <c r="I19" s="5">
        <v>0.89</v>
      </c>
      <c r="J19" s="2">
        <v>158</v>
      </c>
      <c r="K19" s="2">
        <v>66</v>
      </c>
      <c r="L19" s="2">
        <v>8</v>
      </c>
      <c r="M19" s="10">
        <v>16000000</v>
      </c>
      <c r="N19" s="10">
        <v>2347970</v>
      </c>
      <c r="O19" s="11">
        <v>0.03</v>
      </c>
      <c r="P19" s="2">
        <v>41652989</v>
      </c>
      <c r="Q19" s="5">
        <v>0.05</v>
      </c>
    </row>
    <row r="20" spans="1:17" ht="24" x14ac:dyDescent="0.55000000000000004">
      <c r="A20" s="16">
        <v>9</v>
      </c>
      <c r="B20" s="2" t="s">
        <v>6</v>
      </c>
      <c r="C20" s="7">
        <f>569548+396477+241431+451680</f>
        <v>1659136</v>
      </c>
      <c r="D20" s="7">
        <f>569548+396477+241431+451680</f>
        <v>1659136</v>
      </c>
      <c r="E20" s="2" t="s">
        <v>7</v>
      </c>
      <c r="F20" s="2">
        <v>145459</v>
      </c>
      <c r="G20" s="2">
        <v>5052</v>
      </c>
      <c r="H20" s="2">
        <v>84</v>
      </c>
      <c r="I20" s="5">
        <v>0.68</v>
      </c>
      <c r="J20" s="2">
        <v>136</v>
      </c>
      <c r="K20" s="2">
        <v>48</v>
      </c>
      <c r="L20" s="2">
        <v>37</v>
      </c>
      <c r="M20" s="10">
        <v>16000000</v>
      </c>
      <c r="N20" s="10">
        <v>4027115</v>
      </c>
      <c r="O20" s="11">
        <v>0.03</v>
      </c>
      <c r="P20" s="2">
        <v>21600387</v>
      </c>
      <c r="Q20" s="5">
        <v>0.05</v>
      </c>
    </row>
    <row r="21" spans="1:17" ht="24" x14ac:dyDescent="0.55000000000000004">
      <c r="A21" s="15">
        <v>10</v>
      </c>
      <c r="B21" s="2" t="s">
        <v>9</v>
      </c>
      <c r="C21" s="7">
        <f>848417+500000</f>
        <v>1348417</v>
      </c>
      <c r="D21" s="7">
        <f>862996+571634</f>
        <v>1434630</v>
      </c>
      <c r="E21" s="2">
        <v>56600</v>
      </c>
      <c r="F21" s="2">
        <v>110020</v>
      </c>
      <c r="G21" s="2">
        <v>700</v>
      </c>
      <c r="H21" s="2">
        <v>135</v>
      </c>
      <c r="I21" s="5">
        <v>0.94</v>
      </c>
      <c r="J21" s="2">
        <v>138</v>
      </c>
      <c r="K21" s="2">
        <v>58</v>
      </c>
      <c r="L21" s="2">
        <v>37</v>
      </c>
      <c r="M21" s="10">
        <v>16000000</v>
      </c>
      <c r="N21" s="10">
        <v>2270159</v>
      </c>
      <c r="O21" s="11">
        <v>0.03</v>
      </c>
      <c r="P21" s="2">
        <v>22405566</v>
      </c>
      <c r="Q21" s="5">
        <v>0.05</v>
      </c>
    </row>
    <row r="22" spans="1:17" ht="24" x14ac:dyDescent="0.55000000000000004">
      <c r="A22" s="16">
        <v>10</v>
      </c>
      <c r="B22" s="2" t="s">
        <v>6</v>
      </c>
      <c r="C22" s="7">
        <f>550000+388700+236882</f>
        <v>1175582</v>
      </c>
      <c r="D22" s="7">
        <f>526669+367980+236882</f>
        <v>1131531</v>
      </c>
      <c r="E22" s="2"/>
      <c r="F22" s="2">
        <v>24686</v>
      </c>
      <c r="G22" s="2">
        <v>2033</v>
      </c>
      <c r="H22" s="2">
        <v>135</v>
      </c>
      <c r="I22" s="5">
        <v>0.73</v>
      </c>
      <c r="J22" s="2">
        <v>146</v>
      </c>
      <c r="K22" s="2">
        <v>64</v>
      </c>
      <c r="L22" s="2">
        <v>7</v>
      </c>
      <c r="M22" s="10">
        <v>16000000</v>
      </c>
      <c r="N22" s="10">
        <v>4438067</v>
      </c>
      <c r="O22" s="11">
        <v>0.03</v>
      </c>
      <c r="P22" s="2">
        <v>37752522</v>
      </c>
      <c r="Q22" s="5">
        <v>0.05</v>
      </c>
    </row>
    <row r="23" spans="1:17" ht="24" x14ac:dyDescent="0.55000000000000004">
      <c r="A23" s="15">
        <v>11</v>
      </c>
      <c r="B23" s="2" t="s">
        <v>9</v>
      </c>
      <c r="C23" s="7">
        <f>600000+500000</f>
        <v>1100000</v>
      </c>
      <c r="D23" s="7">
        <f>542049+520232</f>
        <v>1062281</v>
      </c>
      <c r="E23" s="2">
        <v>24482</v>
      </c>
      <c r="F23" s="2">
        <v>49258</v>
      </c>
      <c r="G23" s="2">
        <v>423</v>
      </c>
      <c r="H23" s="2">
        <v>67</v>
      </c>
      <c r="I23" s="5">
        <v>0.6</v>
      </c>
      <c r="J23" s="2">
        <v>74</v>
      </c>
      <c r="K23" s="2">
        <v>36</v>
      </c>
      <c r="L23" s="2">
        <v>15</v>
      </c>
      <c r="M23" s="10">
        <v>16000000</v>
      </c>
      <c r="N23" s="10">
        <v>2943805</v>
      </c>
      <c r="O23" s="11">
        <v>0.03</v>
      </c>
      <c r="P23" s="2">
        <v>26410846</v>
      </c>
      <c r="Q23" s="5">
        <v>0.05</v>
      </c>
    </row>
    <row r="24" spans="1:17" ht="24" x14ac:dyDescent="0.55000000000000004">
      <c r="A24" s="16">
        <v>11</v>
      </c>
      <c r="B24" s="2" t="s">
        <v>6</v>
      </c>
      <c r="C24" s="7">
        <f>1500000+500000+100000</f>
        <v>2100000</v>
      </c>
      <c r="D24" s="7">
        <f>1379811+415788+144000</f>
        <v>1939599</v>
      </c>
      <c r="E24" s="2"/>
      <c r="F24" s="2">
        <v>12227</v>
      </c>
      <c r="G24" s="2">
        <v>1667</v>
      </c>
      <c r="H24" s="2">
        <v>224</v>
      </c>
      <c r="I24" s="5">
        <v>1.01</v>
      </c>
      <c r="J24" s="2">
        <v>205</v>
      </c>
      <c r="K24" s="2">
        <v>66</v>
      </c>
      <c r="L24" s="2">
        <v>11</v>
      </c>
      <c r="M24" s="10">
        <v>16000000</v>
      </c>
      <c r="N24" s="10">
        <v>3172794</v>
      </c>
      <c r="O24" s="11">
        <v>0.03</v>
      </c>
      <c r="P24" s="2">
        <v>31634052</v>
      </c>
      <c r="Q24" s="5">
        <v>0.05</v>
      </c>
    </row>
    <row r="25" spans="1:17" ht="24" x14ac:dyDescent="0.55000000000000004">
      <c r="A25" s="15">
        <v>12</v>
      </c>
      <c r="B25" s="2" t="s">
        <v>9</v>
      </c>
      <c r="C25" s="7">
        <f>800000+700000</f>
        <v>1500000</v>
      </c>
      <c r="D25" s="7">
        <f>872643+655622</f>
        <v>1528265</v>
      </c>
      <c r="E25" s="2">
        <v>45543</v>
      </c>
      <c r="F25" s="2">
        <v>94122</v>
      </c>
      <c r="G25" s="2">
        <v>1724</v>
      </c>
      <c r="H25" s="2">
        <v>152</v>
      </c>
      <c r="I25" s="5">
        <v>1.38</v>
      </c>
      <c r="J25" s="2">
        <v>142</v>
      </c>
      <c r="K25" s="2">
        <v>31</v>
      </c>
      <c r="L25" s="2">
        <v>28</v>
      </c>
      <c r="M25" s="10">
        <v>21000000</v>
      </c>
      <c r="N25" s="10">
        <v>1414286</v>
      </c>
      <c r="O25" s="11">
        <v>0.04</v>
      </c>
      <c r="P25" s="2">
        <v>24499530</v>
      </c>
      <c r="Q25" s="5">
        <v>0.08</v>
      </c>
    </row>
    <row r="26" spans="1:17" ht="24" x14ac:dyDescent="0.55000000000000004">
      <c r="A26" s="16">
        <v>12</v>
      </c>
      <c r="B26" s="2" t="s">
        <v>6</v>
      </c>
      <c r="C26" s="7">
        <f>1500000+500000</f>
        <v>2000000</v>
      </c>
      <c r="D26" s="7">
        <f>1867923+707281</f>
        <v>2575204</v>
      </c>
      <c r="E26" s="2"/>
      <c r="F26" s="2">
        <v>24650</v>
      </c>
      <c r="G26" s="2">
        <v>2893</v>
      </c>
      <c r="H26" s="2">
        <v>387</v>
      </c>
      <c r="I26" s="5">
        <v>1.55</v>
      </c>
      <c r="J26" s="2">
        <v>275</v>
      </c>
      <c r="K26" s="2">
        <v>73</v>
      </c>
      <c r="L26" s="2">
        <v>35</v>
      </c>
      <c r="M26" s="10">
        <v>21000000</v>
      </c>
      <c r="N26" s="10">
        <v>2811682</v>
      </c>
      <c r="O26" s="11">
        <v>0.04</v>
      </c>
      <c r="P26" s="2">
        <v>36879007</v>
      </c>
      <c r="Q26" s="5">
        <v>0.08</v>
      </c>
    </row>
    <row r="29" spans="1:17" ht="15" x14ac:dyDescent="0.35">
      <c r="B29" s="31" t="s">
        <v>28</v>
      </c>
    </row>
    <row r="31" spans="1:17" x14ac:dyDescent="0.3">
      <c r="B31" t="s">
        <v>29</v>
      </c>
      <c r="C31">
        <f>CORREL(I3:I26, L3:L26)</f>
        <v>0.22406743347821431</v>
      </c>
    </row>
  </sheetData>
  <mergeCells count="14">
    <mergeCell ref="A23:A24"/>
    <mergeCell ref="A25:A26"/>
    <mergeCell ref="A11:A12"/>
    <mergeCell ref="A13:A14"/>
    <mergeCell ref="A15:A16"/>
    <mergeCell ref="A17:A18"/>
    <mergeCell ref="A19:A20"/>
    <mergeCell ref="A21:A22"/>
    <mergeCell ref="B1:I1"/>
    <mergeCell ref="J1:Q1"/>
    <mergeCell ref="A3:A4"/>
    <mergeCell ref="A5:A6"/>
    <mergeCell ref="A7:A8"/>
    <mergeCell ref="A9:A10"/>
  </mergeCells>
  <conditionalFormatting sqref="E25 E23 E21 E19 E17 E15 E13 E11 E7 E5 E3">
    <cfRule type="iconSet" priority="1">
      <iconSet iconSet="3Arrows">
        <cfvo type="percent" val="0"/>
        <cfvo type="percent" val="33"/>
        <cfvo type="percent" val="67"/>
      </iconSet>
    </cfRule>
  </conditionalFormatting>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184C7-44CB-46D5-8924-9011935F2D99}">
  <dimension ref="A1:Q54"/>
  <sheetViews>
    <sheetView tabSelected="1" topLeftCell="A20" zoomScale="81" zoomScaleNormal="81" workbookViewId="0">
      <selection activeCell="L41" sqref="L41"/>
    </sheetView>
  </sheetViews>
  <sheetFormatPr baseColWidth="10" defaultRowHeight="14.4" x14ac:dyDescent="0.3"/>
  <cols>
    <col min="3" max="4" width="18.6640625" bestFit="1" customWidth="1"/>
    <col min="5" max="5" width="12.77734375" bestFit="1" customWidth="1"/>
    <col min="13" max="13" width="15.21875" bestFit="1" customWidth="1"/>
    <col min="14" max="14" width="13.5546875" bestFit="1" customWidth="1"/>
    <col min="16" max="16" width="15" bestFit="1" customWidth="1"/>
  </cols>
  <sheetData>
    <row r="1" spans="1:17" ht="25.8" x14ac:dyDescent="0.5">
      <c r="A1" s="13"/>
      <c r="B1" s="17" t="s">
        <v>18</v>
      </c>
      <c r="C1" s="17"/>
      <c r="D1" s="17"/>
      <c r="E1" s="17"/>
      <c r="F1" s="17"/>
      <c r="G1" s="17"/>
      <c r="H1" s="17"/>
      <c r="I1" s="17"/>
      <c r="J1" s="18" t="s">
        <v>19</v>
      </c>
      <c r="K1" s="18"/>
      <c r="L1" s="18"/>
      <c r="M1" s="18"/>
      <c r="N1" s="18"/>
      <c r="O1" s="18"/>
      <c r="P1" s="18"/>
      <c r="Q1" s="18"/>
    </row>
    <row r="2" spans="1:17" ht="100.8" x14ac:dyDescent="0.4">
      <c r="A2" s="28" t="s">
        <v>2</v>
      </c>
      <c r="B2" s="29" t="s">
        <v>20</v>
      </c>
      <c r="C2" s="29" t="s">
        <v>21</v>
      </c>
      <c r="D2" s="30" t="s">
        <v>10</v>
      </c>
      <c r="E2" s="30" t="s">
        <v>0</v>
      </c>
      <c r="F2" s="30" t="s">
        <v>1</v>
      </c>
      <c r="G2" s="30" t="s">
        <v>4</v>
      </c>
      <c r="H2" s="29" t="s">
        <v>22</v>
      </c>
      <c r="I2" s="29" t="s">
        <v>5</v>
      </c>
      <c r="J2" s="29" t="s">
        <v>23</v>
      </c>
      <c r="K2" s="29" t="s">
        <v>27</v>
      </c>
      <c r="L2" s="29" t="s">
        <v>14</v>
      </c>
      <c r="M2" s="29" t="s">
        <v>12</v>
      </c>
      <c r="N2" s="29" t="s">
        <v>13</v>
      </c>
      <c r="O2" s="29" t="s">
        <v>15</v>
      </c>
      <c r="P2" s="29" t="s">
        <v>16</v>
      </c>
      <c r="Q2" s="29" t="s">
        <v>17</v>
      </c>
    </row>
    <row r="3" spans="1:17" ht="24" x14ac:dyDescent="0.55000000000000004">
      <c r="A3" s="15">
        <v>1</v>
      </c>
      <c r="B3" s="2" t="s">
        <v>9</v>
      </c>
      <c r="C3" s="7">
        <f>300000+350000+450000+300000</f>
        <v>1400000</v>
      </c>
      <c r="D3" s="7">
        <f>300000+350000+450000+257000</f>
        <v>1357000</v>
      </c>
      <c r="E3" s="2">
        <v>54465</v>
      </c>
      <c r="F3" s="2">
        <v>100655</v>
      </c>
      <c r="G3" s="2">
        <v>2500</v>
      </c>
      <c r="H3" s="2">
        <v>209</v>
      </c>
      <c r="I3" s="5">
        <v>1.1499999999999999</v>
      </c>
      <c r="J3" s="2">
        <v>254</v>
      </c>
      <c r="K3" s="2">
        <v>169</v>
      </c>
      <c r="L3" s="2">
        <v>21</v>
      </c>
      <c r="M3" s="10">
        <v>16000000</v>
      </c>
      <c r="N3" s="10">
        <v>3644255</v>
      </c>
      <c r="O3" s="11">
        <v>0.03</v>
      </c>
      <c r="P3" s="2">
        <v>30156060</v>
      </c>
      <c r="Q3" s="5">
        <v>0.05</v>
      </c>
    </row>
    <row r="4" spans="1:17" ht="24" x14ac:dyDescent="0.55000000000000004">
      <c r="A4" s="16"/>
      <c r="B4" s="2" t="s">
        <v>6</v>
      </c>
      <c r="C4" s="7">
        <f>400000+400000+450000+350000</f>
        <v>1600000</v>
      </c>
      <c r="D4" s="7">
        <f>400000+400000+450000+350000</f>
        <v>1600000</v>
      </c>
      <c r="E4" s="2" t="s">
        <v>7</v>
      </c>
      <c r="F4" s="2">
        <v>27663</v>
      </c>
      <c r="G4" s="2">
        <v>3100</v>
      </c>
      <c r="H4" s="2">
        <v>239</v>
      </c>
      <c r="I4" s="5">
        <v>1.58</v>
      </c>
      <c r="J4" s="2">
        <v>246</v>
      </c>
      <c r="K4" s="2">
        <v>149</v>
      </c>
      <c r="L4" s="2">
        <v>39</v>
      </c>
      <c r="M4" s="10">
        <v>16000000</v>
      </c>
      <c r="N4" s="10">
        <v>2859483</v>
      </c>
      <c r="O4" s="11">
        <v>0.03</v>
      </c>
      <c r="P4" s="2">
        <v>36658117</v>
      </c>
      <c r="Q4" s="5">
        <v>0.05</v>
      </c>
    </row>
    <row r="5" spans="1:17" ht="24" x14ac:dyDescent="0.55000000000000004">
      <c r="A5" s="15">
        <v>2</v>
      </c>
      <c r="B5" s="2" t="s">
        <v>9</v>
      </c>
      <c r="C5" s="7">
        <f>450000+400000+450000+400000</f>
        <v>1700000</v>
      </c>
      <c r="D5" s="7">
        <f>450000+400000+450000+338000</f>
        <v>1638000</v>
      </c>
      <c r="E5" s="2">
        <v>55112</v>
      </c>
      <c r="F5" s="2">
        <v>97894</v>
      </c>
      <c r="G5" s="2">
        <v>2825</v>
      </c>
      <c r="H5" s="2">
        <v>171</v>
      </c>
      <c r="I5" s="6">
        <v>0.77300000000000002</v>
      </c>
      <c r="J5" s="2">
        <v>142</v>
      </c>
      <c r="K5" s="2">
        <v>71</v>
      </c>
      <c r="L5" s="2">
        <v>12</v>
      </c>
      <c r="M5" s="10">
        <v>16000000</v>
      </c>
      <c r="N5" s="10">
        <v>1311800</v>
      </c>
      <c r="O5" s="11">
        <v>0.03</v>
      </c>
      <c r="P5" s="2">
        <v>39933922</v>
      </c>
      <c r="Q5" s="5">
        <v>0.05</v>
      </c>
    </row>
    <row r="6" spans="1:17" ht="24" x14ac:dyDescent="0.55000000000000004">
      <c r="A6" s="16">
        <v>2</v>
      </c>
      <c r="B6" s="2" t="s">
        <v>6</v>
      </c>
      <c r="C6" s="7">
        <f>500000+500000+450000+350000</f>
        <v>1800000</v>
      </c>
      <c r="D6" s="7">
        <f>503000+502000+455000+347000</f>
        <v>1807000</v>
      </c>
      <c r="E6" s="2" t="s">
        <v>7</v>
      </c>
      <c r="F6" s="2">
        <v>29845</v>
      </c>
      <c r="G6" s="2">
        <v>3354</v>
      </c>
      <c r="H6" s="2">
        <v>128</v>
      </c>
      <c r="I6" s="6">
        <v>0.77300000000000002</v>
      </c>
      <c r="J6" s="2">
        <v>193</v>
      </c>
      <c r="K6" s="2">
        <v>72</v>
      </c>
      <c r="L6" s="2">
        <v>18</v>
      </c>
      <c r="M6" s="10">
        <v>16000000</v>
      </c>
      <c r="N6" s="10">
        <v>2238228</v>
      </c>
      <c r="O6" s="11">
        <v>0.03</v>
      </c>
      <c r="P6" s="2">
        <v>29254988</v>
      </c>
      <c r="Q6" s="5">
        <v>0.05</v>
      </c>
    </row>
    <row r="7" spans="1:17" ht="24" x14ac:dyDescent="0.55000000000000004">
      <c r="A7" s="15">
        <v>3</v>
      </c>
      <c r="B7" s="2" t="s">
        <v>9</v>
      </c>
      <c r="C7" s="7">
        <f>450000+400000+450000+400000</f>
        <v>1700000</v>
      </c>
      <c r="D7" s="7">
        <f>406000+360000+404000+352000</f>
        <v>1522000</v>
      </c>
      <c r="E7" s="2">
        <v>43798</v>
      </c>
      <c r="F7" s="2">
        <v>86658</v>
      </c>
      <c r="G7" s="2">
        <v>1802</v>
      </c>
      <c r="H7" s="2">
        <v>133</v>
      </c>
      <c r="I7" s="6">
        <v>0.66800000000000004</v>
      </c>
      <c r="J7" s="2">
        <v>163</v>
      </c>
      <c r="K7" s="2">
        <v>61</v>
      </c>
      <c r="L7" s="2">
        <v>24</v>
      </c>
      <c r="M7" s="10">
        <v>16000000</v>
      </c>
      <c r="N7" s="10">
        <v>4448484</v>
      </c>
      <c r="O7" s="11">
        <v>0.03</v>
      </c>
      <c r="P7" s="2">
        <v>22913321</v>
      </c>
      <c r="Q7" s="5">
        <v>0.05</v>
      </c>
    </row>
    <row r="8" spans="1:17" ht="24" x14ac:dyDescent="0.55000000000000004">
      <c r="A8" s="16">
        <v>3</v>
      </c>
      <c r="B8" s="2" t="s">
        <v>6</v>
      </c>
      <c r="C8" s="7">
        <f>500000+500000+450000+350000</f>
        <v>1800000</v>
      </c>
      <c r="D8" s="7">
        <f>492000+487300+456200+448000</f>
        <v>1883500</v>
      </c>
      <c r="E8" s="2" t="s">
        <v>7</v>
      </c>
      <c r="F8" s="2">
        <v>29135</v>
      </c>
      <c r="G8" s="2">
        <v>3455</v>
      </c>
      <c r="H8" s="2">
        <v>224</v>
      </c>
      <c r="I8" s="6">
        <v>1.31</v>
      </c>
      <c r="J8" s="2">
        <v>194</v>
      </c>
      <c r="K8" s="2">
        <v>65</v>
      </c>
      <c r="L8" s="2">
        <v>34</v>
      </c>
      <c r="M8" s="10">
        <v>16000000</v>
      </c>
      <c r="N8" s="10">
        <v>4474812</v>
      </c>
      <c r="O8" s="11">
        <v>0.03</v>
      </c>
      <c r="P8" s="2">
        <v>28383796</v>
      </c>
      <c r="Q8" s="5">
        <v>0.05</v>
      </c>
    </row>
    <row r="9" spans="1:17" ht="24" x14ac:dyDescent="0.55000000000000004">
      <c r="A9" s="15">
        <v>4</v>
      </c>
      <c r="B9" s="2" t="s">
        <v>9</v>
      </c>
      <c r="C9" s="7">
        <f>500000+500000</f>
        <v>1000000</v>
      </c>
      <c r="D9" s="7">
        <f>303000+328000</f>
        <v>631000</v>
      </c>
      <c r="E9" s="2" t="s">
        <v>7</v>
      </c>
      <c r="F9" s="9"/>
      <c r="G9" s="9"/>
      <c r="H9" s="2">
        <f>43+24</f>
        <v>67</v>
      </c>
      <c r="I9" s="5">
        <v>1.57</v>
      </c>
      <c r="J9" s="2">
        <v>99</v>
      </c>
      <c r="K9" s="2">
        <v>34</v>
      </c>
      <c r="L9" s="2">
        <v>14</v>
      </c>
      <c r="M9" s="10">
        <v>16000000</v>
      </c>
      <c r="N9" s="10">
        <v>4411039</v>
      </c>
      <c r="O9" s="11">
        <v>0.03</v>
      </c>
      <c r="P9" s="2">
        <v>34620171</v>
      </c>
      <c r="Q9" s="5">
        <v>0.05</v>
      </c>
    </row>
    <row r="10" spans="1:17" ht="24" x14ac:dyDescent="0.55000000000000004">
      <c r="A10" s="16">
        <v>4</v>
      </c>
      <c r="B10" s="2" t="s">
        <v>6</v>
      </c>
      <c r="C10" s="7">
        <f>500000+500000+350000+350000</f>
        <v>1700000</v>
      </c>
      <c r="D10" s="7">
        <f>496000+506000+357000+329000</f>
        <v>1688000</v>
      </c>
      <c r="E10" s="2" t="s">
        <v>7</v>
      </c>
      <c r="F10" s="9"/>
      <c r="G10" s="9"/>
      <c r="H10" s="2">
        <f>64+38+20+23</f>
        <v>145</v>
      </c>
      <c r="I10" s="5">
        <v>1.29</v>
      </c>
      <c r="J10" s="2">
        <v>178</v>
      </c>
      <c r="K10" s="2">
        <v>58</v>
      </c>
      <c r="L10" s="2">
        <v>14</v>
      </c>
      <c r="M10" s="10">
        <v>16000000</v>
      </c>
      <c r="N10" s="10">
        <v>2998286</v>
      </c>
      <c r="O10" s="11">
        <v>0.03</v>
      </c>
      <c r="P10" s="2">
        <v>39458807</v>
      </c>
      <c r="Q10" s="5">
        <v>0.05</v>
      </c>
    </row>
    <row r="11" spans="1:17" ht="24" x14ac:dyDescent="0.55000000000000004">
      <c r="A11" s="15">
        <v>5</v>
      </c>
      <c r="B11" s="2" t="s">
        <v>9</v>
      </c>
      <c r="C11" s="7">
        <f>500000+500000+500000</f>
        <v>1500000</v>
      </c>
      <c r="D11" s="7">
        <f>505685+506496+504284</f>
        <v>1516465</v>
      </c>
      <c r="E11" s="2">
        <v>48493</v>
      </c>
      <c r="F11" s="2">
        <v>85786</v>
      </c>
      <c r="G11" s="2">
        <v>1763</v>
      </c>
      <c r="H11" s="2">
        <v>140</v>
      </c>
      <c r="I11" s="5">
        <v>1.1299999999999999</v>
      </c>
      <c r="J11" s="2">
        <v>145</v>
      </c>
      <c r="K11" s="2">
        <v>58</v>
      </c>
      <c r="L11" s="2">
        <v>30</v>
      </c>
      <c r="M11" s="10">
        <v>16000000</v>
      </c>
      <c r="N11" s="10">
        <v>1870333</v>
      </c>
      <c r="O11" s="11">
        <v>0.03</v>
      </c>
      <c r="P11" s="2">
        <v>23022035</v>
      </c>
      <c r="Q11" s="5">
        <v>0.05</v>
      </c>
    </row>
    <row r="12" spans="1:17" ht="24" x14ac:dyDescent="0.55000000000000004">
      <c r="A12" s="16">
        <v>5</v>
      </c>
      <c r="B12" s="2" t="s">
        <v>6</v>
      </c>
      <c r="C12" s="7">
        <f>750000+500000+350000+600000</f>
        <v>2200000</v>
      </c>
      <c r="D12" s="7">
        <f>816823+475959+207359+488483</f>
        <v>1988624</v>
      </c>
      <c r="E12" s="2" t="s">
        <v>7</v>
      </c>
      <c r="F12" s="2">
        <v>76384</v>
      </c>
      <c r="G12" s="2">
        <v>2783</v>
      </c>
      <c r="H12" s="2">
        <v>211</v>
      </c>
      <c r="I12" s="5">
        <v>0.87</v>
      </c>
      <c r="J12" s="2">
        <v>231</v>
      </c>
      <c r="K12" s="2">
        <v>58</v>
      </c>
      <c r="L12" s="2">
        <v>38</v>
      </c>
      <c r="M12" s="10">
        <v>16000000</v>
      </c>
      <c r="N12" s="10">
        <v>1230231</v>
      </c>
      <c r="O12" s="11">
        <v>0.03</v>
      </c>
      <c r="P12" s="2">
        <v>21581904</v>
      </c>
      <c r="Q12" s="5">
        <v>0.05</v>
      </c>
    </row>
    <row r="13" spans="1:17" ht="24" x14ac:dyDescent="0.55000000000000004">
      <c r="A13" s="15">
        <v>6</v>
      </c>
      <c r="B13" s="2" t="s">
        <v>9</v>
      </c>
      <c r="C13" s="7">
        <f>500000+500000+500000</f>
        <v>1500000</v>
      </c>
      <c r="D13" s="7">
        <f>488493+487556+487009</f>
        <v>1463058</v>
      </c>
      <c r="E13" s="2">
        <v>53189</v>
      </c>
      <c r="F13" s="2">
        <v>106170</v>
      </c>
      <c r="G13" s="2">
        <v>1551</v>
      </c>
      <c r="H13" s="2">
        <v>129</v>
      </c>
      <c r="I13" s="5">
        <v>1.03</v>
      </c>
      <c r="J13" s="2">
        <v>132</v>
      </c>
      <c r="K13" s="2">
        <v>35</v>
      </c>
      <c r="L13" s="2">
        <v>34</v>
      </c>
      <c r="M13" s="10">
        <v>21000000</v>
      </c>
      <c r="N13" s="10">
        <v>1812597</v>
      </c>
      <c r="O13" s="11">
        <v>0.04</v>
      </c>
      <c r="P13" s="2">
        <v>27951811</v>
      </c>
      <c r="Q13" s="5">
        <v>0.08</v>
      </c>
    </row>
    <row r="14" spans="1:17" ht="24" x14ac:dyDescent="0.55000000000000004">
      <c r="A14" s="16">
        <v>6</v>
      </c>
      <c r="B14" s="2" t="s">
        <v>6</v>
      </c>
      <c r="C14" s="7">
        <f>750000+500000+350000+600000</f>
        <v>2200000</v>
      </c>
      <c r="D14" s="7">
        <f>745336+484082+348000+472239</f>
        <v>2049657</v>
      </c>
      <c r="E14" s="2" t="s">
        <v>7</v>
      </c>
      <c r="F14" s="2">
        <v>50014</v>
      </c>
      <c r="G14" s="2">
        <v>2825</v>
      </c>
      <c r="H14" s="2">
        <v>268</v>
      </c>
      <c r="I14" s="5">
        <v>1.1499999999999999</v>
      </c>
      <c r="J14" s="2">
        <v>259</v>
      </c>
      <c r="K14" s="2">
        <v>78</v>
      </c>
      <c r="L14" s="2">
        <v>32</v>
      </c>
      <c r="M14" s="10">
        <v>16000000</v>
      </c>
      <c r="N14" s="10">
        <v>3069268</v>
      </c>
      <c r="O14" s="11">
        <v>0.04</v>
      </c>
      <c r="P14" s="2">
        <v>22697799</v>
      </c>
      <c r="Q14" s="5">
        <v>0.08</v>
      </c>
    </row>
    <row r="15" spans="1:17" ht="24" x14ac:dyDescent="0.55000000000000004">
      <c r="A15" s="15">
        <v>7</v>
      </c>
      <c r="B15" s="2" t="s">
        <v>9</v>
      </c>
      <c r="C15" s="7">
        <f>500000+500000+500000+500000</f>
        <v>2000000</v>
      </c>
      <c r="D15" s="7">
        <f>500000+500000+500000+500000</f>
        <v>2000000</v>
      </c>
      <c r="E15" s="2">
        <v>64110</v>
      </c>
      <c r="F15" s="2">
        <v>113499</v>
      </c>
      <c r="G15" s="2">
        <v>1615</v>
      </c>
      <c r="H15" s="2">
        <v>147</v>
      </c>
      <c r="I15" s="5">
        <v>0.83</v>
      </c>
      <c r="J15" s="2">
        <v>161</v>
      </c>
      <c r="K15" s="2">
        <v>25</v>
      </c>
      <c r="L15" s="2">
        <v>21</v>
      </c>
      <c r="M15" s="10">
        <v>16000000</v>
      </c>
      <c r="N15" s="10">
        <v>3168640</v>
      </c>
      <c r="O15" s="11">
        <v>0.03</v>
      </c>
      <c r="P15" s="2">
        <v>35178434</v>
      </c>
      <c r="Q15" s="5">
        <v>0.05</v>
      </c>
    </row>
    <row r="16" spans="1:17" ht="24" x14ac:dyDescent="0.55000000000000004">
      <c r="A16" s="16">
        <v>7</v>
      </c>
      <c r="B16" s="2" t="s">
        <v>6</v>
      </c>
      <c r="C16" s="7">
        <f>600000+400000+350000</f>
        <v>1350000</v>
      </c>
      <c r="D16" s="7">
        <f>592111+380526+287885</f>
        <v>1260522</v>
      </c>
      <c r="E16" s="2" t="s">
        <v>7</v>
      </c>
      <c r="F16" s="2">
        <v>69386</v>
      </c>
      <c r="G16" s="2">
        <v>2257</v>
      </c>
      <c r="H16" s="2">
        <v>198</v>
      </c>
      <c r="I16" s="5">
        <v>1.21</v>
      </c>
      <c r="J16" s="2">
        <v>177</v>
      </c>
      <c r="K16" s="2">
        <v>72</v>
      </c>
      <c r="L16" s="2">
        <v>38</v>
      </c>
      <c r="M16" s="10">
        <v>16000000</v>
      </c>
      <c r="N16" s="10">
        <v>2377015</v>
      </c>
      <c r="O16" s="11">
        <v>0.03</v>
      </c>
      <c r="P16" s="2">
        <v>41820939</v>
      </c>
      <c r="Q16" s="5">
        <v>0.05</v>
      </c>
    </row>
    <row r="17" spans="1:17" ht="24" x14ac:dyDescent="0.55000000000000004">
      <c r="A17" s="15">
        <v>8</v>
      </c>
      <c r="B17" s="2" t="s">
        <v>3</v>
      </c>
      <c r="C17" s="7">
        <f>676319+678339+500000+500000</f>
        <v>2354658</v>
      </c>
      <c r="D17" s="7">
        <f>676319+678339+499999+184000</f>
        <v>2038657</v>
      </c>
      <c r="E17" s="2">
        <v>88821</v>
      </c>
      <c r="F17" s="2">
        <v>167833</v>
      </c>
      <c r="G17" s="2">
        <v>1263</v>
      </c>
      <c r="H17" s="2">
        <v>177</v>
      </c>
      <c r="I17" s="5">
        <v>1.4</v>
      </c>
      <c r="J17" s="2">
        <v>168</v>
      </c>
      <c r="K17" s="2">
        <v>64</v>
      </c>
      <c r="L17" s="2">
        <v>7</v>
      </c>
      <c r="M17" s="10">
        <v>16000000</v>
      </c>
      <c r="N17" s="10">
        <v>3406484</v>
      </c>
      <c r="O17" s="11">
        <v>0.03</v>
      </c>
      <c r="P17" s="2">
        <v>21746170</v>
      </c>
      <c r="Q17" s="5">
        <v>0.05</v>
      </c>
    </row>
    <row r="18" spans="1:17" ht="24" x14ac:dyDescent="0.55000000000000004">
      <c r="A18" s="16">
        <v>8</v>
      </c>
      <c r="B18" s="2" t="s">
        <v>6</v>
      </c>
      <c r="C18" s="7">
        <f>600000+400000+350000</f>
        <v>1350000</v>
      </c>
      <c r="D18" s="7">
        <f>565634+380526+302065</f>
        <v>1248225</v>
      </c>
      <c r="E18" s="2" t="s">
        <v>7</v>
      </c>
      <c r="F18" s="2">
        <v>31600</v>
      </c>
      <c r="G18" s="2"/>
      <c r="H18" s="2">
        <v>145</v>
      </c>
      <c r="I18" s="5">
        <v>0.95</v>
      </c>
      <c r="J18" s="2">
        <v>140</v>
      </c>
      <c r="K18" s="2">
        <v>63</v>
      </c>
      <c r="L18" s="2">
        <v>8</v>
      </c>
      <c r="M18" s="10">
        <v>16000000</v>
      </c>
      <c r="N18" s="10">
        <v>3706527</v>
      </c>
      <c r="O18" s="11">
        <v>0.03</v>
      </c>
      <c r="P18" s="2">
        <v>40737926</v>
      </c>
      <c r="Q18" s="5">
        <v>0.05</v>
      </c>
    </row>
    <row r="19" spans="1:17" ht="24" x14ac:dyDescent="0.55000000000000004">
      <c r="A19" s="15">
        <v>9</v>
      </c>
      <c r="B19" s="2" t="s">
        <v>9</v>
      </c>
      <c r="C19" s="7">
        <f>898711+801506</f>
        <v>1700217</v>
      </c>
      <c r="D19" s="7">
        <f>898711+801506</f>
        <v>1700217</v>
      </c>
      <c r="E19" s="2">
        <v>63227</v>
      </c>
      <c r="F19" s="2">
        <v>140060</v>
      </c>
      <c r="G19" s="2">
        <v>826</v>
      </c>
      <c r="H19" s="2">
        <v>153</v>
      </c>
      <c r="I19" s="5">
        <v>0.89</v>
      </c>
      <c r="J19" s="2">
        <v>158</v>
      </c>
      <c r="K19" s="2">
        <v>66</v>
      </c>
      <c r="L19" s="2">
        <v>8</v>
      </c>
      <c r="M19" s="10">
        <v>16000000</v>
      </c>
      <c r="N19" s="10">
        <v>2347970</v>
      </c>
      <c r="O19" s="11">
        <v>0.03</v>
      </c>
      <c r="P19" s="2">
        <v>41652989</v>
      </c>
      <c r="Q19" s="5">
        <v>0.05</v>
      </c>
    </row>
    <row r="20" spans="1:17" ht="24" x14ac:dyDescent="0.55000000000000004">
      <c r="A20" s="16">
        <v>9</v>
      </c>
      <c r="B20" s="2" t="s">
        <v>6</v>
      </c>
      <c r="C20" s="7">
        <f>569548+396477+241431+451680</f>
        <v>1659136</v>
      </c>
      <c r="D20" s="7">
        <f>569548+396477+241431+451680</f>
        <v>1659136</v>
      </c>
      <c r="E20" s="2" t="s">
        <v>7</v>
      </c>
      <c r="F20" s="2">
        <v>145459</v>
      </c>
      <c r="G20" s="2">
        <v>5052</v>
      </c>
      <c r="H20" s="2">
        <v>84</v>
      </c>
      <c r="I20" s="5">
        <v>0.68</v>
      </c>
      <c r="J20" s="2">
        <v>136</v>
      </c>
      <c r="K20" s="2">
        <v>48</v>
      </c>
      <c r="L20" s="2">
        <v>37</v>
      </c>
      <c r="M20" s="10">
        <v>16000000</v>
      </c>
      <c r="N20" s="10">
        <v>4027115</v>
      </c>
      <c r="O20" s="11">
        <v>0.03</v>
      </c>
      <c r="P20" s="2">
        <v>21600387</v>
      </c>
      <c r="Q20" s="5">
        <v>0.05</v>
      </c>
    </row>
    <row r="21" spans="1:17" ht="24" x14ac:dyDescent="0.55000000000000004">
      <c r="A21" s="15">
        <v>10</v>
      </c>
      <c r="B21" s="2" t="s">
        <v>9</v>
      </c>
      <c r="C21" s="7">
        <f>848417+500000</f>
        <v>1348417</v>
      </c>
      <c r="D21" s="7">
        <f>862996+571634</f>
        <v>1434630</v>
      </c>
      <c r="E21" s="2">
        <v>56600</v>
      </c>
      <c r="F21" s="2">
        <v>110020</v>
      </c>
      <c r="G21" s="2">
        <v>700</v>
      </c>
      <c r="H21" s="2">
        <v>135</v>
      </c>
      <c r="I21" s="5">
        <v>0.94</v>
      </c>
      <c r="J21" s="2">
        <v>138</v>
      </c>
      <c r="K21" s="2">
        <v>58</v>
      </c>
      <c r="L21" s="2">
        <v>37</v>
      </c>
      <c r="M21" s="10">
        <v>16000000</v>
      </c>
      <c r="N21" s="10">
        <v>2270159</v>
      </c>
      <c r="O21" s="11">
        <v>0.03</v>
      </c>
      <c r="P21" s="2">
        <v>22405566</v>
      </c>
      <c r="Q21" s="5">
        <v>0.05</v>
      </c>
    </row>
    <row r="22" spans="1:17" ht="24" x14ac:dyDescent="0.55000000000000004">
      <c r="A22" s="16">
        <v>10</v>
      </c>
      <c r="B22" s="2" t="s">
        <v>6</v>
      </c>
      <c r="C22" s="7">
        <f>550000+388700+236882</f>
        <v>1175582</v>
      </c>
      <c r="D22" s="7">
        <f>526669+367980+236882</f>
        <v>1131531</v>
      </c>
      <c r="E22" s="2"/>
      <c r="F22" s="2">
        <v>24686</v>
      </c>
      <c r="G22" s="2">
        <v>2033</v>
      </c>
      <c r="H22" s="2">
        <v>135</v>
      </c>
      <c r="I22" s="5">
        <v>0.73</v>
      </c>
      <c r="J22" s="2">
        <v>146</v>
      </c>
      <c r="K22" s="2">
        <v>64</v>
      </c>
      <c r="L22" s="2">
        <v>7</v>
      </c>
      <c r="M22" s="10">
        <v>16000000</v>
      </c>
      <c r="N22" s="10">
        <v>4438067</v>
      </c>
      <c r="O22" s="11">
        <v>0.03</v>
      </c>
      <c r="P22" s="2">
        <v>37752522</v>
      </c>
      <c r="Q22" s="5">
        <v>0.05</v>
      </c>
    </row>
    <row r="23" spans="1:17" ht="24" x14ac:dyDescent="0.55000000000000004">
      <c r="A23" s="15">
        <v>11</v>
      </c>
      <c r="B23" s="2" t="s">
        <v>9</v>
      </c>
      <c r="C23" s="7">
        <f>600000+500000</f>
        <v>1100000</v>
      </c>
      <c r="D23" s="7">
        <f>542049+520232</f>
        <v>1062281</v>
      </c>
      <c r="E23" s="2">
        <v>24482</v>
      </c>
      <c r="F23" s="2">
        <v>49258</v>
      </c>
      <c r="G23" s="2">
        <v>423</v>
      </c>
      <c r="H23" s="2">
        <v>67</v>
      </c>
      <c r="I23" s="5">
        <v>0.6</v>
      </c>
      <c r="J23" s="2">
        <v>74</v>
      </c>
      <c r="K23" s="2">
        <v>36</v>
      </c>
      <c r="L23" s="2">
        <v>15</v>
      </c>
      <c r="M23" s="10">
        <v>16000000</v>
      </c>
      <c r="N23" s="10">
        <v>2943805</v>
      </c>
      <c r="O23" s="11">
        <v>0.03</v>
      </c>
      <c r="P23" s="2">
        <v>26410846</v>
      </c>
      <c r="Q23" s="5">
        <v>0.05</v>
      </c>
    </row>
    <row r="24" spans="1:17" ht="24" x14ac:dyDescent="0.55000000000000004">
      <c r="A24" s="16">
        <v>11</v>
      </c>
      <c r="B24" s="2" t="s">
        <v>6</v>
      </c>
      <c r="C24" s="7">
        <f>1500000+500000+100000</f>
        <v>2100000</v>
      </c>
      <c r="D24" s="7">
        <f>1379811+415788+144000</f>
        <v>1939599</v>
      </c>
      <c r="E24" s="2"/>
      <c r="F24" s="2">
        <v>12227</v>
      </c>
      <c r="G24" s="2">
        <v>1667</v>
      </c>
      <c r="H24" s="2">
        <v>224</v>
      </c>
      <c r="I24" s="5">
        <v>1.01</v>
      </c>
      <c r="J24" s="2">
        <v>205</v>
      </c>
      <c r="K24" s="2">
        <v>66</v>
      </c>
      <c r="L24" s="2">
        <v>11</v>
      </c>
      <c r="M24" s="10">
        <v>16000000</v>
      </c>
      <c r="N24" s="10">
        <v>3172794</v>
      </c>
      <c r="O24" s="11">
        <v>0.03</v>
      </c>
      <c r="P24" s="2">
        <v>31634052</v>
      </c>
      <c r="Q24" s="5">
        <v>0.05</v>
      </c>
    </row>
    <row r="25" spans="1:17" ht="24" x14ac:dyDescent="0.55000000000000004">
      <c r="A25" s="15">
        <v>12</v>
      </c>
      <c r="B25" s="2" t="s">
        <v>9</v>
      </c>
      <c r="C25" s="7">
        <f>800000+700000</f>
        <v>1500000</v>
      </c>
      <c r="D25" s="7">
        <f>872643+655622</f>
        <v>1528265</v>
      </c>
      <c r="E25" s="2">
        <v>45543</v>
      </c>
      <c r="F25" s="2">
        <v>94122</v>
      </c>
      <c r="G25" s="2">
        <v>1724</v>
      </c>
      <c r="H25" s="2">
        <v>152</v>
      </c>
      <c r="I25" s="5">
        <v>1.38</v>
      </c>
      <c r="J25" s="2">
        <v>142</v>
      </c>
      <c r="K25" s="2">
        <v>31</v>
      </c>
      <c r="L25" s="2">
        <v>28</v>
      </c>
      <c r="M25" s="10">
        <v>21000000</v>
      </c>
      <c r="N25" s="10">
        <v>1414286</v>
      </c>
      <c r="O25" s="11">
        <v>0.04</v>
      </c>
      <c r="P25" s="2">
        <v>24499530</v>
      </c>
      <c r="Q25" s="5">
        <v>0.08</v>
      </c>
    </row>
    <row r="26" spans="1:17" ht="24" x14ac:dyDescent="0.55000000000000004">
      <c r="A26" s="16">
        <v>12</v>
      </c>
      <c r="B26" s="2" t="s">
        <v>6</v>
      </c>
      <c r="C26" s="7">
        <f>1500000+500000</f>
        <v>2000000</v>
      </c>
      <c r="D26" s="7">
        <f>1867923+707281</f>
        <v>2575204</v>
      </c>
      <c r="E26" s="2"/>
      <c r="F26" s="2">
        <v>24650</v>
      </c>
      <c r="G26" s="2">
        <v>2893</v>
      </c>
      <c r="H26" s="2">
        <v>387</v>
      </c>
      <c r="I26" s="5">
        <v>1.55</v>
      </c>
      <c r="J26" s="2">
        <v>275</v>
      </c>
      <c r="K26" s="2">
        <v>73</v>
      </c>
      <c r="L26" s="2">
        <v>35</v>
      </c>
      <c r="M26" s="10">
        <v>21000000</v>
      </c>
      <c r="N26" s="10">
        <v>2811682</v>
      </c>
      <c r="O26" s="11">
        <v>0.04</v>
      </c>
      <c r="P26" s="2">
        <v>36879007</v>
      </c>
      <c r="Q26" s="5">
        <v>0.08</v>
      </c>
    </row>
    <row r="29" spans="1:17" ht="15" x14ac:dyDescent="0.35">
      <c r="B29" s="31" t="s">
        <v>25</v>
      </c>
    </row>
    <row r="31" spans="1:17" ht="17.399999999999999" x14ac:dyDescent="0.4">
      <c r="B31" s="32" t="s">
        <v>9</v>
      </c>
      <c r="C31" s="33" cm="1">
        <f t="array" ref="C31:C54">C3:C26/G3:G26</f>
        <v>560</v>
      </c>
    </row>
    <row r="32" spans="1:17" ht="17.399999999999999" x14ac:dyDescent="0.4">
      <c r="B32" s="32" t="s">
        <v>6</v>
      </c>
      <c r="C32" s="34">
        <v>516.12903225806451</v>
      </c>
    </row>
    <row r="33" spans="2:3" ht="17.399999999999999" x14ac:dyDescent="0.4">
      <c r="B33" s="32" t="s">
        <v>9</v>
      </c>
      <c r="C33" s="34">
        <v>601.76991150442473</v>
      </c>
    </row>
    <row r="34" spans="2:3" ht="17.399999999999999" x14ac:dyDescent="0.4">
      <c r="B34" s="32" t="s">
        <v>6</v>
      </c>
      <c r="C34" s="34">
        <v>536.67262969588546</v>
      </c>
    </row>
    <row r="35" spans="2:3" ht="17.399999999999999" x14ac:dyDescent="0.4">
      <c r="B35" s="32" t="s">
        <v>9</v>
      </c>
      <c r="C35" s="34">
        <v>943.39622641509436</v>
      </c>
    </row>
    <row r="36" spans="2:3" ht="17.399999999999999" x14ac:dyDescent="0.4">
      <c r="B36" s="32" t="s">
        <v>6</v>
      </c>
      <c r="C36" s="34">
        <v>520.98408104196812</v>
      </c>
    </row>
    <row r="37" spans="2:3" ht="17.399999999999999" x14ac:dyDescent="0.4">
      <c r="B37" s="32" t="s">
        <v>9</v>
      </c>
      <c r="C37" s="34" t="e">
        <v>#DIV/0!</v>
      </c>
    </row>
    <row r="38" spans="2:3" ht="17.399999999999999" x14ac:dyDescent="0.4">
      <c r="B38" s="32" t="s">
        <v>6</v>
      </c>
      <c r="C38" s="34" t="e">
        <v>#DIV/0!</v>
      </c>
    </row>
    <row r="39" spans="2:3" ht="17.399999999999999" x14ac:dyDescent="0.4">
      <c r="B39" s="32" t="s">
        <v>9</v>
      </c>
      <c r="C39" s="34">
        <v>850.82246171298925</v>
      </c>
    </row>
    <row r="40" spans="2:3" ht="17.399999999999999" x14ac:dyDescent="0.4">
      <c r="B40" s="32" t="s">
        <v>6</v>
      </c>
      <c r="C40" s="34">
        <v>790.51383399209487</v>
      </c>
    </row>
    <row r="41" spans="2:3" ht="17.399999999999999" x14ac:dyDescent="0.4">
      <c r="B41" s="32" t="s">
        <v>9</v>
      </c>
      <c r="C41" s="34">
        <v>967.11798839458413</v>
      </c>
    </row>
    <row r="42" spans="2:3" ht="17.399999999999999" x14ac:dyDescent="0.4">
      <c r="B42" s="32" t="s">
        <v>6</v>
      </c>
      <c r="C42" s="34">
        <v>778.7610619469026</v>
      </c>
    </row>
    <row r="43" spans="2:3" ht="17.399999999999999" x14ac:dyDescent="0.4">
      <c r="B43" s="32" t="s">
        <v>9</v>
      </c>
      <c r="C43" s="34">
        <v>1238.3900928792571</v>
      </c>
    </row>
    <row r="44" spans="2:3" ht="17.399999999999999" x14ac:dyDescent="0.4">
      <c r="B44" s="32" t="s">
        <v>6</v>
      </c>
      <c r="C44" s="34">
        <v>598.13912272928667</v>
      </c>
    </row>
    <row r="45" spans="2:3" ht="17.399999999999999" x14ac:dyDescent="0.4">
      <c r="B45" s="32" t="s">
        <v>3</v>
      </c>
      <c r="C45" s="34">
        <v>1864.3372921615203</v>
      </c>
    </row>
    <row r="46" spans="2:3" ht="17.399999999999999" x14ac:dyDescent="0.4">
      <c r="B46" s="32" t="s">
        <v>6</v>
      </c>
      <c r="C46" s="34" t="e">
        <v>#DIV/0!</v>
      </c>
    </row>
    <row r="47" spans="2:3" ht="17.399999999999999" x14ac:dyDescent="0.4">
      <c r="B47" s="32" t="s">
        <v>9</v>
      </c>
      <c r="C47" s="34">
        <v>2058.3740920096852</v>
      </c>
    </row>
    <row r="48" spans="2:3" ht="17.399999999999999" x14ac:dyDescent="0.4">
      <c r="B48" s="32" t="s">
        <v>6</v>
      </c>
      <c r="C48" s="34">
        <v>328.41171813143308</v>
      </c>
    </row>
    <row r="49" spans="2:3" ht="17.399999999999999" x14ac:dyDescent="0.4">
      <c r="B49" s="32" t="s">
        <v>9</v>
      </c>
      <c r="C49" s="34">
        <v>1926.31</v>
      </c>
    </row>
    <row r="50" spans="2:3" ht="17.399999999999999" x14ac:dyDescent="0.4">
      <c r="B50" s="32" t="s">
        <v>6</v>
      </c>
      <c r="C50" s="34">
        <v>578.24987702902115</v>
      </c>
    </row>
    <row r="51" spans="2:3" ht="17.399999999999999" x14ac:dyDescent="0.4">
      <c r="B51" s="32" t="s">
        <v>9</v>
      </c>
      <c r="C51" s="34">
        <v>2600.4728132387709</v>
      </c>
    </row>
    <row r="52" spans="2:3" ht="17.399999999999999" x14ac:dyDescent="0.4">
      <c r="B52" s="32" t="s">
        <v>6</v>
      </c>
      <c r="C52" s="34">
        <v>1259.7480503899221</v>
      </c>
    </row>
    <row r="53" spans="2:3" ht="17.399999999999999" x14ac:dyDescent="0.4">
      <c r="B53" s="32" t="s">
        <v>9</v>
      </c>
      <c r="C53" s="34">
        <v>870.06960556844547</v>
      </c>
    </row>
    <row r="54" spans="2:3" ht="17.399999999999999" x14ac:dyDescent="0.4">
      <c r="B54" s="32" t="s">
        <v>6</v>
      </c>
      <c r="C54" s="34">
        <v>691.32388524023509</v>
      </c>
    </row>
  </sheetData>
  <mergeCells count="14">
    <mergeCell ref="A23:A24"/>
    <mergeCell ref="A25:A26"/>
    <mergeCell ref="A11:A12"/>
    <mergeCell ref="A13:A14"/>
    <mergeCell ref="A15:A16"/>
    <mergeCell ref="A17:A18"/>
    <mergeCell ref="A19:A20"/>
    <mergeCell ref="A21:A22"/>
    <mergeCell ref="B1:I1"/>
    <mergeCell ref="J1:Q1"/>
    <mergeCell ref="A3:A4"/>
    <mergeCell ref="A5:A6"/>
    <mergeCell ref="A7:A8"/>
    <mergeCell ref="A9:A10"/>
  </mergeCells>
  <conditionalFormatting sqref="E25 E23 E21 E19 E17 E15 E13 E11 E7 E5 E3">
    <cfRule type="iconSet" priority="1">
      <iconSet iconSet="3Arrows">
        <cfvo type="percent" val="0"/>
        <cfvo type="percent" val="33"/>
        <cfvo type="percent" val="67"/>
      </iconSet>
    </cfRule>
  </conditionalFormatting>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bd</vt:lpstr>
      <vt:lpstr>Q1</vt:lpstr>
      <vt:lpstr>Q2</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DANIEL ALEJANDRO</dc:creator>
  <cp:lastModifiedBy>Sebastian Guerrero Arias</cp:lastModifiedBy>
  <cp:lastPrinted>2024-02-23T14:46:36Z</cp:lastPrinted>
  <dcterms:created xsi:type="dcterms:W3CDTF">2024-01-29T15:47:52Z</dcterms:created>
  <dcterms:modified xsi:type="dcterms:W3CDTF">2024-05-17T05:16:11Z</dcterms:modified>
</cp:coreProperties>
</file>