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ooks\"/>
    </mc:Choice>
  </mc:AlternateContent>
  <xr:revisionPtr revIDLastSave="0" documentId="13_ncr:1_{5C1F4EBE-B1A6-478B-BBA6-2807BAA1CEAB}" xr6:coauthVersionLast="46" xr6:coauthVersionMax="46" xr10:uidLastSave="{00000000-0000-0000-0000-000000000000}"/>
  <bookViews>
    <workbookView xWindow="-110" yWindow="-110" windowWidth="19420" windowHeight="10420" firstSheet="42" activeTab="48" xr2:uid="{00000000-000D-0000-FFFF-FFFF00000000}"/>
  </bookViews>
  <sheets>
    <sheet name="Jul 2019 New (2)" sheetId="50" r:id="rId1"/>
    <sheet name="Feb 2015" sheetId="1" r:id="rId2"/>
    <sheet name="March 2015" sheetId="2" r:id="rId3"/>
    <sheet name="APR 2015" sheetId="3" r:id="rId4"/>
    <sheet name="May 2015" sheetId="4" r:id="rId5"/>
    <sheet name="June 15" sheetId="5" r:id="rId6"/>
    <sheet name="July 15" sheetId="6" r:id="rId7"/>
    <sheet name="Oct 2018" sheetId="38" r:id="rId8"/>
    <sheet name="Aug15" sheetId="8" r:id="rId9"/>
    <sheet name="Sep15" sheetId="9" r:id="rId10"/>
    <sheet name="Sheet2" sheetId="11" r:id="rId11"/>
    <sheet name="Oct 2015" sheetId="10" r:id="rId12"/>
    <sheet name="nov2015" sheetId="12" r:id="rId13"/>
    <sheet name="DEC2015" sheetId="13" r:id="rId14"/>
    <sheet name="jan2016" sheetId="14" r:id="rId15"/>
    <sheet name="feb2016" sheetId="15" r:id="rId16"/>
    <sheet name="July 2016" sheetId="16" r:id="rId17"/>
    <sheet name="Sheet3" sheetId="17" r:id="rId18"/>
    <sheet name="Jan2017" sheetId="19" r:id="rId19"/>
    <sheet name="mar17" sheetId="18" r:id="rId20"/>
    <sheet name="ap" sheetId="20" r:id="rId21"/>
    <sheet name="Sheet4" sheetId="21" r:id="rId22"/>
    <sheet name="Jul17" sheetId="22" r:id="rId23"/>
    <sheet name="Sep17" sheetId="23" r:id="rId24"/>
    <sheet name="Oct17" sheetId="24" r:id="rId25"/>
    <sheet name="rough" sheetId="25" r:id="rId26"/>
    <sheet name="Dec17" sheetId="26" r:id="rId27"/>
    <sheet name="Jan 18" sheetId="27" r:id="rId28"/>
    <sheet name="Sheet5" sheetId="28" r:id="rId29"/>
    <sheet name="Feb 2018" sheetId="29" r:id="rId30"/>
    <sheet name="Mar 2018" sheetId="30" r:id="rId31"/>
    <sheet name="Apr 2018 " sheetId="32" r:id="rId32"/>
    <sheet name="May 2018" sheetId="33" r:id="rId33"/>
    <sheet name="July 2018" sheetId="35" r:id="rId34"/>
    <sheet name="Aug 2018" sheetId="37" r:id="rId35"/>
    <sheet name="Dec 2018" sheetId="7" r:id="rId36"/>
    <sheet name="Rough2" sheetId="34" r:id="rId37"/>
    <sheet name="Rewards Points Screen Shot" sheetId="31" r:id="rId38"/>
    <sheet name="Jewels" sheetId="36" r:id="rId39"/>
    <sheet name="Jan 2019" sheetId="39" r:id="rId40"/>
    <sheet name="Feb 2019" sheetId="40" r:id="rId41"/>
    <sheet name="Mar 2019" sheetId="41" r:id="rId42"/>
    <sheet name="Apr 2019" sheetId="43" r:id="rId43"/>
    <sheet name="May 2019" sheetId="44" r:id="rId44"/>
    <sheet name="Jun 2019" sheetId="45" r:id="rId45"/>
    <sheet name="Aug 2019" sheetId="47" r:id="rId46"/>
    <sheet name="Sep 2019" sheetId="49" r:id="rId47"/>
    <sheet name="Sep 2020" sheetId="52" r:id="rId48"/>
    <sheet name="Dec 2020" sheetId="54" r:id="rId49"/>
    <sheet name="Sheet1" sheetId="53" r:id="rId50"/>
  </sheets>
  <definedNames>
    <definedName name="_xlnm._FilterDatabase" localSheetId="1" hidden="1">'Feb 2015'!$A$6:$C$27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3" i="54" l="1"/>
  <c r="F19" i="54"/>
  <c r="E16" i="52" l="1"/>
  <c r="E7" i="52"/>
  <c r="G14" i="52"/>
  <c r="H11" i="52"/>
  <c r="C27" i="52" l="1"/>
  <c r="C35" i="54" l="1"/>
  <c r="K34" i="54"/>
  <c r="B34" i="54"/>
  <c r="B27" i="54"/>
  <c r="G22" i="54"/>
  <c r="D22" i="54"/>
  <c r="L21" i="54"/>
  <c r="L14" i="54"/>
  <c r="H7" i="54"/>
  <c r="G22" i="52" l="1"/>
  <c r="M41" i="53" l="1"/>
  <c r="G40" i="53"/>
  <c r="K34" i="52" l="1"/>
  <c r="L21" i="52" l="1"/>
  <c r="L14" i="52"/>
  <c r="K21" i="49" l="1"/>
  <c r="H7" i="52" l="1"/>
  <c r="F24" i="49" l="1"/>
  <c r="G15" i="49"/>
  <c r="F15" i="49"/>
  <c r="C12" i="49"/>
  <c r="D2" i="47"/>
  <c r="F26" i="50"/>
  <c r="L8" i="50"/>
  <c r="C18" i="50"/>
  <c r="C17" i="50"/>
  <c r="C15" i="50"/>
  <c r="I14" i="50"/>
  <c r="J14" i="50" s="1"/>
  <c r="H14" i="50"/>
  <c r="F15" i="50" s="1"/>
  <c r="C13" i="50"/>
  <c r="C12" i="50"/>
  <c r="C11" i="50"/>
  <c r="C9" i="50"/>
  <c r="B7" i="50"/>
  <c r="B25" i="50" s="1"/>
  <c r="C6" i="50"/>
  <c r="C5" i="50"/>
  <c r="I2" i="50"/>
  <c r="J2" i="50" s="1"/>
  <c r="H2" i="50"/>
  <c r="F3" i="50" s="1"/>
  <c r="K17" i="47"/>
  <c r="K19" i="47" s="1"/>
  <c r="I16" i="47"/>
  <c r="I17" i="47" s="1"/>
  <c r="I18" i="47" s="1"/>
  <c r="I19" i="47" s="1"/>
  <c r="I20" i="47" s="1"/>
  <c r="B7" i="47"/>
  <c r="B25" i="47" s="1"/>
  <c r="B28" i="47" s="1"/>
  <c r="N4" i="47"/>
  <c r="O5" i="47" s="1"/>
  <c r="O6" i="47" s="1"/>
  <c r="M13" i="47"/>
  <c r="M12" i="47"/>
  <c r="K11" i="47"/>
  <c r="K12" i="47" s="1"/>
  <c r="F19" i="47"/>
  <c r="F18" i="47"/>
  <c r="G16" i="47"/>
  <c r="F11" i="47"/>
  <c r="G11" i="47" s="1"/>
  <c r="C18" i="47"/>
  <c r="C17" i="47"/>
  <c r="C15" i="47"/>
  <c r="C13" i="47"/>
  <c r="C12" i="47"/>
  <c r="C11" i="47"/>
  <c r="C9" i="47"/>
  <c r="C6" i="47"/>
  <c r="C5" i="47"/>
  <c r="H4" i="47"/>
  <c r="I4" i="47" s="1"/>
  <c r="J4" i="47" s="1"/>
  <c r="F6" i="47"/>
  <c r="H6" i="47" s="1"/>
  <c r="H7" i="47" s="1"/>
  <c r="B23" i="45"/>
  <c r="B28" i="45" s="1"/>
  <c r="K11" i="45"/>
  <c r="K12" i="45" s="1"/>
  <c r="K3" i="45"/>
  <c r="K5" i="45" s="1"/>
  <c r="K6" i="45" s="1"/>
  <c r="J3" i="45"/>
  <c r="J13" i="45" s="1"/>
  <c r="J14" i="45" s="1"/>
  <c r="I3" i="45"/>
  <c r="I13" i="45" s="1"/>
  <c r="N13" i="45"/>
  <c r="G6" i="45"/>
  <c r="G5" i="45"/>
  <c r="G4" i="45"/>
  <c r="G3" i="45"/>
  <c r="G2" i="45"/>
  <c r="D2" i="45"/>
  <c r="E2" i="45" s="1"/>
  <c r="C3" i="45" s="1"/>
  <c r="O1" i="45"/>
  <c r="O2" i="45" s="1"/>
  <c r="O3" i="45" s="1"/>
  <c r="O4" i="45" s="1"/>
  <c r="O5" i="45" s="1"/>
  <c r="O6" i="45" s="1"/>
  <c r="G1" i="45"/>
  <c r="M1" i="44"/>
  <c r="M2" i="44" s="1"/>
  <c r="M3" i="44" s="1"/>
  <c r="M4" i="44" s="1"/>
  <c r="M5" i="44" s="1"/>
  <c r="M6" i="44" s="1"/>
  <c r="L13" i="44"/>
  <c r="B28" i="44"/>
  <c r="G6" i="44"/>
  <c r="G5" i="44"/>
  <c r="G4" i="44"/>
  <c r="G3" i="44"/>
  <c r="G2" i="44"/>
  <c r="D2" i="44"/>
  <c r="E2" i="44" s="1"/>
  <c r="C3" i="44" s="1"/>
  <c r="G1" i="44"/>
  <c r="G6" i="43"/>
  <c r="G5" i="43"/>
  <c r="G1" i="43"/>
  <c r="G4" i="43"/>
  <c r="G3" i="43"/>
  <c r="G2" i="43"/>
  <c r="C3" i="43"/>
  <c r="B28" i="43"/>
  <c r="D2" i="43"/>
  <c r="E2" i="43" s="1"/>
  <c r="K30" i="41"/>
  <c r="H21" i="41"/>
  <c r="G31" i="41"/>
  <c r="G35" i="41" s="1"/>
  <c r="B31" i="41"/>
  <c r="J6" i="40"/>
  <c r="E31" i="40"/>
  <c r="B31" i="40"/>
  <c r="I24" i="39"/>
  <c r="I2" i="39"/>
  <c r="I1" i="39"/>
  <c r="J21" i="39"/>
  <c r="J8" i="39"/>
  <c r="I11" i="39"/>
  <c r="J17" i="39" s="1"/>
  <c r="B21" i="39"/>
  <c r="E24" i="39" s="1"/>
  <c r="E3" i="39"/>
  <c r="E8" i="39"/>
  <c r="C8" i="39"/>
  <c r="C24" i="39"/>
  <c r="B11" i="39"/>
  <c r="C15" i="39" s="1"/>
  <c r="C3" i="39"/>
  <c r="K18" i="7"/>
  <c r="K19" i="7" s="1"/>
  <c r="K20" i="7" s="1"/>
  <c r="M24" i="7"/>
  <c r="N24" i="7"/>
  <c r="H6" i="7"/>
  <c r="C21" i="7"/>
  <c r="C8" i="7"/>
  <c r="E3" i="38"/>
  <c r="E7" i="38"/>
  <c r="E15" i="38"/>
  <c r="F15" i="38" s="1"/>
  <c r="B26" i="38"/>
  <c r="C3" i="7"/>
  <c r="B11" i="7"/>
  <c r="C15" i="7" s="1"/>
  <c r="C7" i="38"/>
  <c r="C8" i="38"/>
  <c r="C9" i="38"/>
  <c r="C11" i="38"/>
  <c r="C12" i="38"/>
  <c r="C13" i="38"/>
  <c r="C14" i="38"/>
  <c r="C15" i="38"/>
  <c r="C17" i="38"/>
  <c r="C18" i="38"/>
  <c r="C19" i="38"/>
  <c r="C20" i="38"/>
  <c r="C21" i="38"/>
  <c r="C22" i="38"/>
  <c r="C23" i="38"/>
  <c r="C24" i="38"/>
  <c r="C25" i="38"/>
  <c r="C5" i="38"/>
  <c r="B10" i="38"/>
  <c r="G28" i="37"/>
  <c r="L31" i="37"/>
  <c r="C53" i="37"/>
  <c r="C55" i="37" s="1"/>
  <c r="B46" i="37"/>
  <c r="C46" i="37" s="1"/>
  <c r="D47" i="37" s="1"/>
  <c r="D50" i="37" s="1"/>
  <c r="C15" i="37"/>
  <c r="B6" i="37"/>
  <c r="B23" i="37" s="1"/>
  <c r="B26" i="37" s="1"/>
  <c r="B31" i="37" s="1"/>
  <c r="H23" i="36"/>
  <c r="I15" i="36"/>
  <c r="H15" i="36"/>
  <c r="G15" i="36"/>
  <c r="H19" i="36" s="1"/>
  <c r="G16" i="35"/>
  <c r="I14" i="35"/>
  <c r="I17" i="35" s="1"/>
  <c r="I20" i="35" s="1"/>
  <c r="B49" i="36"/>
  <c r="C49" i="36" s="1"/>
  <c r="C51" i="36" s="1"/>
  <c r="D14" i="36"/>
  <c r="D22" i="36" s="1"/>
  <c r="D24" i="36" s="1"/>
  <c r="C14" i="36"/>
  <c r="C22" i="36" s="1"/>
  <c r="C24" i="36" s="1"/>
  <c r="B14" i="36"/>
  <c r="B22" i="36" s="1"/>
  <c r="B24" i="36" s="1"/>
  <c r="C53" i="35"/>
  <c r="C55" i="35" s="1"/>
  <c r="B46" i="35"/>
  <c r="C46" i="35" s="1"/>
  <c r="D47" i="35" s="1"/>
  <c r="D50" i="35" s="1"/>
  <c r="J58" i="35"/>
  <c r="J59" i="35" s="1"/>
  <c r="K50" i="35"/>
  <c r="K51" i="35" s="1"/>
  <c r="J50" i="35"/>
  <c r="J51" i="35" s="1"/>
  <c r="L51" i="35" s="1"/>
  <c r="L52" i="35" s="1"/>
  <c r="L53" i="35" s="1"/>
  <c r="L54" i="35" s="1"/>
  <c r="K41" i="35"/>
  <c r="K42" i="35" s="1"/>
  <c r="J41" i="35"/>
  <c r="J42" i="35" s="1"/>
  <c r="G6" i="35"/>
  <c r="S28" i="35"/>
  <c r="O28" i="35"/>
  <c r="O29" i="35" s="1"/>
  <c r="O27" i="35"/>
  <c r="O26" i="35"/>
  <c r="M27" i="35"/>
  <c r="M28" i="35" s="1"/>
  <c r="N21" i="35"/>
  <c r="N20" i="35" s="1"/>
  <c r="N19" i="35" s="1"/>
  <c r="N17" i="35" s="1"/>
  <c r="N16" i="35" s="1"/>
  <c r="N15" i="35" s="1"/>
  <c r="O16" i="35" s="1"/>
  <c r="U16" i="35"/>
  <c r="V16" i="35"/>
  <c r="U17" i="35"/>
  <c r="V17" i="35"/>
  <c r="U19" i="35"/>
  <c r="V19" i="35"/>
  <c r="U20" i="35"/>
  <c r="V20" i="35"/>
  <c r="U21" i="35"/>
  <c r="V21" i="35"/>
  <c r="V15" i="35"/>
  <c r="U15" i="35"/>
  <c r="M32" i="35"/>
  <c r="Q21" i="35"/>
  <c r="Q20" i="35"/>
  <c r="Q19" i="35"/>
  <c r="Q17" i="35"/>
  <c r="Q16" i="35"/>
  <c r="Q15" i="35"/>
  <c r="L28" i="35"/>
  <c r="L30" i="35" s="1"/>
  <c r="B17" i="35"/>
  <c r="C15" i="35"/>
  <c r="B6" i="35"/>
  <c r="H32" i="34"/>
  <c r="H17" i="34"/>
  <c r="I15" i="34"/>
  <c r="H6" i="34"/>
  <c r="D14" i="34"/>
  <c r="D17" i="34"/>
  <c r="D23" i="34"/>
  <c r="D12" i="34"/>
  <c r="D1" i="34"/>
  <c r="B33" i="34"/>
  <c r="B18" i="34"/>
  <c r="B6" i="34"/>
  <c r="B25" i="34" s="1"/>
  <c r="E25" i="33"/>
  <c r="C45" i="33"/>
  <c r="B25" i="33"/>
  <c r="B8" i="33"/>
  <c r="B4" i="33"/>
  <c r="B25" i="32"/>
  <c r="I11" i="32"/>
  <c r="K8" i="32"/>
  <c r="B8" i="32"/>
  <c r="B4" i="32"/>
  <c r="E3" i="32"/>
  <c r="E17" i="32" s="1"/>
  <c r="E26" i="32" s="1"/>
  <c r="L2" i="32"/>
  <c r="L1" i="32"/>
  <c r="K1" i="32"/>
  <c r="L2" i="30"/>
  <c r="L1" i="30"/>
  <c r="K8" i="30"/>
  <c r="K1" i="30"/>
  <c r="I11" i="30"/>
  <c r="E3" i="30"/>
  <c r="E17" i="30" s="1"/>
  <c r="E26" i="30" s="1"/>
  <c r="B25" i="30"/>
  <c r="B8" i="30"/>
  <c r="B30" i="30" s="1"/>
  <c r="B4" i="30"/>
  <c r="F14" i="29"/>
  <c r="G1" i="29"/>
  <c r="G14" i="29" s="1"/>
  <c r="C24" i="29"/>
  <c r="C23" i="29"/>
  <c r="C22" i="29"/>
  <c r="C21" i="29"/>
  <c r="C20" i="29"/>
  <c r="C19" i="29"/>
  <c r="C18" i="29"/>
  <c r="C15" i="29"/>
  <c r="C14" i="29"/>
  <c r="C13" i="29"/>
  <c r="C12" i="29"/>
  <c r="C11" i="29"/>
  <c r="B25" i="29"/>
  <c r="C25" i="29" s="1"/>
  <c r="L24" i="29"/>
  <c r="N24" i="29" s="1"/>
  <c r="J23" i="29"/>
  <c r="B8" i="29"/>
  <c r="B4" i="29"/>
  <c r="J23" i="27"/>
  <c r="L24" i="27" s="1"/>
  <c r="N24" i="27" s="1"/>
  <c r="B4" i="27"/>
  <c r="B30" i="27"/>
  <c r="B25" i="27"/>
  <c r="B8" i="27"/>
  <c r="D48" i="26"/>
  <c r="I46" i="26"/>
  <c r="D45" i="26"/>
  <c r="B39" i="26"/>
  <c r="B21" i="26"/>
  <c r="H25" i="26"/>
  <c r="B16" i="26"/>
  <c r="B3" i="26"/>
  <c r="H46" i="25"/>
  <c r="B21" i="25"/>
  <c r="D40" i="25"/>
  <c r="B35" i="25"/>
  <c r="H34" i="25"/>
  <c r="I41" i="25" s="1"/>
  <c r="J42" i="25" s="1"/>
  <c r="I17" i="25"/>
  <c r="I20" i="25" s="1"/>
  <c r="B17" i="25"/>
  <c r="B39" i="25" s="1"/>
  <c r="K12" i="25"/>
  <c r="B8" i="25"/>
  <c r="B9" i="25" s="1"/>
  <c r="B13" i="25" s="1"/>
  <c r="B14" i="25" s="1"/>
  <c r="K3" i="25"/>
  <c r="K12" i="24"/>
  <c r="K3" i="24"/>
  <c r="K32" i="24" s="1"/>
  <c r="B35" i="24"/>
  <c r="D40" i="24"/>
  <c r="H34" i="24"/>
  <c r="I41" i="24" s="1"/>
  <c r="J42" i="24" s="1"/>
  <c r="I17" i="24"/>
  <c r="I20" i="24" s="1"/>
  <c r="B17" i="24"/>
  <c r="B8" i="24"/>
  <c r="B9" i="24" s="1"/>
  <c r="B13" i="24" s="1"/>
  <c r="B14" i="24" s="1"/>
  <c r="I34" i="23"/>
  <c r="I41" i="23" s="1"/>
  <c r="J42" i="23" s="1"/>
  <c r="D40" i="23"/>
  <c r="J17" i="23"/>
  <c r="J20" i="23" s="1"/>
  <c r="B17" i="23"/>
  <c r="B39" i="23" s="1"/>
  <c r="B14" i="23"/>
  <c r="B8" i="23"/>
  <c r="B9" i="23" s="1"/>
  <c r="I41" i="22"/>
  <c r="J42" i="22" s="1"/>
  <c r="J17" i="22"/>
  <c r="J20" i="22" s="1"/>
  <c r="D40" i="22"/>
  <c r="B17" i="22"/>
  <c r="B39" i="22" s="1"/>
  <c r="B14" i="22"/>
  <c r="B8" i="22"/>
  <c r="B9" i="22" s="1"/>
  <c r="B37" i="21"/>
  <c r="D40" i="21"/>
  <c r="J18" i="21"/>
  <c r="J19" i="21" s="1"/>
  <c r="M17" i="21"/>
  <c r="L17" i="21"/>
  <c r="B17" i="21"/>
  <c r="B14" i="21"/>
  <c r="B8" i="21"/>
  <c r="B9" i="21" s="1"/>
  <c r="J3" i="21"/>
  <c r="I3" i="21"/>
  <c r="H3" i="21"/>
  <c r="G3" i="21"/>
  <c r="J3" i="20"/>
  <c r="I3" i="20"/>
  <c r="H3" i="20"/>
  <c r="G3" i="20"/>
  <c r="D19" i="20"/>
  <c r="D21" i="20" s="1"/>
  <c r="J23" i="20"/>
  <c r="J24" i="20" s="1"/>
  <c r="M22" i="20"/>
  <c r="L22" i="20"/>
  <c r="B22" i="20"/>
  <c r="B38" i="20" s="1"/>
  <c r="B8" i="20"/>
  <c r="B9" i="20" s="1"/>
  <c r="B13" i="20" s="1"/>
  <c r="B14" i="20" s="1"/>
  <c r="B26" i="19"/>
  <c r="B27" i="19" s="1"/>
  <c r="A26" i="19"/>
  <c r="A27" i="19" s="1"/>
  <c r="F5" i="19"/>
  <c r="J24" i="18"/>
  <c r="M22" i="18"/>
  <c r="L22" i="18"/>
  <c r="J23" i="18"/>
  <c r="B22" i="18"/>
  <c r="B38" i="18" s="1"/>
  <c r="B8" i="18"/>
  <c r="B9" i="18" s="1"/>
  <c r="F26" i="17"/>
  <c r="K39" i="17"/>
  <c r="K40" i="17" s="1"/>
  <c r="K38" i="17"/>
  <c r="C34" i="17"/>
  <c r="B2" i="17"/>
  <c r="B8" i="17" s="1"/>
  <c r="B9" i="17" s="1"/>
  <c r="B13" i="17" s="1"/>
  <c r="B14" i="17" s="1"/>
  <c r="P26" i="17"/>
  <c r="P27" i="17" s="1"/>
  <c r="J23" i="17"/>
  <c r="B22" i="17"/>
  <c r="B37" i="17" s="1"/>
  <c r="H10" i="17"/>
  <c r="K5" i="17"/>
  <c r="K16" i="17" s="1"/>
  <c r="J5" i="17"/>
  <c r="J16" i="17" s="1"/>
  <c r="P27" i="16"/>
  <c r="J23" i="16"/>
  <c r="P26" i="16"/>
  <c r="B12" i="16"/>
  <c r="H10" i="16"/>
  <c r="J5" i="16"/>
  <c r="J16" i="16" s="1"/>
  <c r="K5" i="16"/>
  <c r="K16" i="16" s="1"/>
  <c r="B2" i="16"/>
  <c r="B8" i="16" s="1"/>
  <c r="B9" i="16" s="1"/>
  <c r="B13" i="16" s="1"/>
  <c r="B22" i="16"/>
  <c r="B37" i="16" s="1"/>
  <c r="B37" i="15"/>
  <c r="B22" i="15"/>
  <c r="B8" i="15"/>
  <c r="B9" i="15" s="1"/>
  <c r="B13" i="15" s="1"/>
  <c r="B14" i="15" s="1"/>
  <c r="O25" i="14"/>
  <c r="M24" i="14"/>
  <c r="M22" i="14"/>
  <c r="P17" i="14"/>
  <c r="Q17" i="14" s="1"/>
  <c r="I19" i="14"/>
  <c r="K9" i="14"/>
  <c r="D27" i="14"/>
  <c r="B30" i="14"/>
  <c r="D25" i="14"/>
  <c r="D24" i="14"/>
  <c r="D23" i="14"/>
  <c r="D21" i="14"/>
  <c r="D20" i="14"/>
  <c r="D19" i="14"/>
  <c r="B16" i="14"/>
  <c r="B31" i="14" s="1"/>
  <c r="D15" i="14"/>
  <c r="D14" i="14"/>
  <c r="C10" i="14"/>
  <c r="C6" i="14"/>
  <c r="C4" i="14"/>
  <c r="G19" i="13"/>
  <c r="D19" i="13"/>
  <c r="D24" i="13"/>
  <c r="D23" i="13"/>
  <c r="D22" i="13"/>
  <c r="D21" i="13"/>
  <c r="D20" i="13"/>
  <c r="D15" i="13"/>
  <c r="D14" i="13"/>
  <c r="D26" i="13" s="1"/>
  <c r="B29" i="13"/>
  <c r="T17" i="13"/>
  <c r="B16" i="13"/>
  <c r="B30" i="13" s="1"/>
  <c r="S14" i="13"/>
  <c r="U17" i="13" s="1"/>
  <c r="S13" i="13"/>
  <c r="C10" i="13"/>
  <c r="I7" i="13"/>
  <c r="G7" i="13"/>
  <c r="C6" i="13"/>
  <c r="O5" i="13"/>
  <c r="P6" i="13" s="1"/>
  <c r="C4" i="13"/>
  <c r="E4" i="13" s="1"/>
  <c r="T17" i="12"/>
  <c r="S13" i="12"/>
  <c r="S14" i="12" s="1"/>
  <c r="U17" i="12" s="1"/>
  <c r="I7" i="12"/>
  <c r="E4" i="12"/>
  <c r="O19" i="12"/>
  <c r="O5" i="12"/>
  <c r="P6" i="12" s="1"/>
  <c r="G7" i="12"/>
  <c r="C6" i="12"/>
  <c r="C4" i="12"/>
  <c r="C10" i="12"/>
  <c r="B28" i="12"/>
  <c r="B27" i="12"/>
  <c r="B16" i="12"/>
  <c r="B3" i="11"/>
  <c r="N15" i="11"/>
  <c r="N16" i="11" s="1"/>
  <c r="N17" i="11" s="1"/>
  <c r="L26" i="11"/>
  <c r="L23" i="11"/>
  <c r="I24" i="11"/>
  <c r="F22" i="11"/>
  <c r="H22" i="11" s="1"/>
  <c r="H24" i="11" s="1"/>
  <c r="G11" i="11"/>
  <c r="E9" i="11"/>
  <c r="B12" i="11"/>
  <c r="B27" i="11" s="1"/>
  <c r="G14" i="10"/>
  <c r="D27" i="10"/>
  <c r="U10" i="10"/>
  <c r="H21" i="10"/>
  <c r="I28" i="10"/>
  <c r="L3" i="10"/>
  <c r="L2" i="10"/>
  <c r="H12" i="10"/>
  <c r="I12" i="10" s="1"/>
  <c r="J12" i="10" s="1"/>
  <c r="J13" i="10" s="1"/>
  <c r="H8" i="10"/>
  <c r="I8" i="10" s="1"/>
  <c r="J8" i="10" s="1"/>
  <c r="J9" i="10" s="1"/>
  <c r="R27" i="10"/>
  <c r="R12" i="10"/>
  <c r="R28" i="10" s="1"/>
  <c r="O27" i="10"/>
  <c r="O12" i="10"/>
  <c r="O28" i="10" s="1"/>
  <c r="B31" i="10"/>
  <c r="B12" i="10"/>
  <c r="B32" i="10" s="1"/>
  <c r="B25" i="9"/>
  <c r="B10" i="9"/>
  <c r="B26" i="9" s="1"/>
  <c r="P12" i="8"/>
  <c r="O28" i="8"/>
  <c r="M19" i="8"/>
  <c r="B19" i="8"/>
  <c r="B5" i="8"/>
  <c r="B11" i="8"/>
  <c r="Q28" i="8"/>
  <c r="Q30" i="8" s="1"/>
  <c r="B27" i="8"/>
  <c r="P20" i="8"/>
  <c r="J20" i="8"/>
  <c r="H7" i="8"/>
  <c r="H8" i="8" s="1"/>
  <c r="C2" i="8"/>
  <c r="B23" i="6"/>
  <c r="N15" i="5"/>
  <c r="F7" i="5"/>
  <c r="B22" i="5"/>
  <c r="B21" i="5"/>
  <c r="J19" i="4"/>
  <c r="P19" i="4"/>
  <c r="Q24" i="4"/>
  <c r="Q26" i="4" s="1"/>
  <c r="B24" i="4"/>
  <c r="B23" i="4"/>
  <c r="D8" i="4"/>
  <c r="H6" i="4"/>
  <c r="H7" i="4" s="1"/>
  <c r="C2" i="4"/>
  <c r="B25" i="3"/>
  <c r="H9" i="3"/>
  <c r="H8" i="3"/>
  <c r="D10" i="3"/>
  <c r="B26" i="3"/>
  <c r="E18" i="2"/>
  <c r="N23" i="2"/>
  <c r="D11" i="2"/>
  <c r="D10" i="2"/>
  <c r="B26" i="2"/>
  <c r="O9" i="2"/>
  <c r="L5" i="2"/>
  <c r="D3" i="2"/>
  <c r="P3" i="2"/>
  <c r="P9" i="2" s="1"/>
  <c r="Q9" i="2" s="1"/>
  <c r="P3" i="1"/>
  <c r="P9" i="1"/>
  <c r="F5" i="1"/>
  <c r="F7" i="1" s="1"/>
  <c r="D6" i="1"/>
  <c r="E5" i="1"/>
  <c r="O9" i="1"/>
  <c r="B25" i="1"/>
  <c r="L5" i="1"/>
  <c r="C57" i="35" l="1"/>
  <c r="C56" i="35"/>
  <c r="G51" i="35"/>
  <c r="D9" i="4"/>
  <c r="B30" i="29"/>
  <c r="B33" i="29" s="1"/>
  <c r="K17" i="32"/>
  <c r="H23" i="34"/>
  <c r="H26" i="34" s="1"/>
  <c r="H35" i="34" s="1"/>
  <c r="B33" i="27"/>
  <c r="B39" i="24"/>
  <c r="U18" i="12"/>
  <c r="U19" i="12"/>
  <c r="G59" i="35"/>
  <c r="L59" i="35"/>
  <c r="L60" i="35" s="1"/>
  <c r="L61" i="35" s="1"/>
  <c r="K20" i="47"/>
  <c r="K21" i="47"/>
  <c r="G26" i="13"/>
  <c r="G28" i="13" s="1"/>
  <c r="H21" i="36"/>
  <c r="H22" i="36" s="1"/>
  <c r="H24" i="36" s="1"/>
  <c r="H26" i="36" s="1"/>
  <c r="B30" i="11"/>
  <c r="L42" i="35"/>
  <c r="L43" i="35" s="1"/>
  <c r="C53" i="36"/>
  <c r="C52" i="36"/>
  <c r="G42" i="35"/>
  <c r="C25" i="47"/>
  <c r="D25" i="47" s="1"/>
  <c r="C25" i="50"/>
  <c r="D25" i="50" s="1"/>
  <c r="E10" i="2"/>
  <c r="E12" i="2" s="1"/>
  <c r="K32" i="25"/>
  <c r="B28" i="8"/>
  <c r="B29" i="8" s="1"/>
  <c r="B40" i="20"/>
  <c r="B30" i="32"/>
  <c r="B33" i="32" s="1"/>
  <c r="B27" i="52"/>
  <c r="B25" i="49"/>
  <c r="H15" i="50"/>
  <c r="F16" i="50" s="1"/>
  <c r="I15" i="50"/>
  <c r="J15" i="50" s="1"/>
  <c r="H3" i="50"/>
  <c r="F4" i="50" s="1"/>
  <c r="I3" i="50"/>
  <c r="J3" i="50" s="1"/>
  <c r="G14" i="45"/>
  <c r="I5" i="45"/>
  <c r="I6" i="45" s="1"/>
  <c r="I14" i="45"/>
  <c r="G14" i="44"/>
  <c r="G14" i="43"/>
  <c r="I31" i="39"/>
  <c r="C27" i="39"/>
  <c r="C31" i="39" s="1"/>
  <c r="E27" i="39"/>
  <c r="E31" i="39" s="1"/>
  <c r="C23" i="7"/>
  <c r="C27" i="7" s="1"/>
  <c r="C10" i="38"/>
  <c r="C56" i="37"/>
  <c r="C57" i="37" s="1"/>
  <c r="C25" i="36"/>
  <c r="C26" i="36" s="1"/>
  <c r="B25" i="36"/>
  <c r="B26" i="36" s="1"/>
  <c r="D25" i="36"/>
  <c r="D26" i="36" s="1"/>
  <c r="C15" i="36"/>
  <c r="G22" i="35"/>
  <c r="G25" i="35" s="1"/>
  <c r="G30" i="35" s="1"/>
  <c r="B23" i="35"/>
  <c r="B26" i="35" s="1"/>
  <c r="B31" i="35" s="1"/>
  <c r="Q28" i="35"/>
  <c r="B30" i="33"/>
  <c r="B33" i="33" s="1"/>
  <c r="B46" i="33" s="1"/>
  <c r="K17" i="30"/>
  <c r="B33" i="30"/>
  <c r="B41" i="25"/>
  <c r="B47" i="25" s="1"/>
  <c r="B41" i="24"/>
  <c r="B41" i="23"/>
  <c r="B41" i="22"/>
  <c r="B39" i="21"/>
  <c r="B41" i="21" s="1"/>
  <c r="B13" i="18"/>
  <c r="B14" i="18" s="1"/>
  <c r="B40" i="18" s="1"/>
  <c r="B39" i="17"/>
  <c r="B14" i="16"/>
  <c r="B39" i="16" s="1"/>
  <c r="B39" i="15"/>
  <c r="B32" i="14"/>
  <c r="B31" i="13"/>
  <c r="U19" i="13"/>
  <c r="U18" i="13"/>
  <c r="B29" i="12"/>
  <c r="L5" i="10"/>
  <c r="J10" i="10"/>
  <c r="V11" i="10"/>
  <c r="V12" i="10" s="1"/>
  <c r="V13" i="10" s="1"/>
  <c r="V14" i="10" s="1"/>
  <c r="R29" i="10"/>
  <c r="J14" i="10"/>
  <c r="O29" i="10"/>
  <c r="B33" i="10"/>
  <c r="B27" i="9"/>
  <c r="B25" i="4"/>
  <c r="D9" i="8"/>
  <c r="D10" i="8" s="1"/>
  <c r="B23" i="5"/>
  <c r="C3" i="3"/>
  <c r="D11" i="3" s="1"/>
  <c r="B27" i="3"/>
  <c r="D26" i="2"/>
  <c r="Q9" i="1"/>
  <c r="G62" i="35" l="1"/>
  <c r="G64" i="35" s="1"/>
  <c r="G65" i="35"/>
  <c r="G66" i="35"/>
  <c r="L44" i="35"/>
  <c r="L45" i="35" s="1"/>
  <c r="M65" i="35" s="1"/>
  <c r="L62" i="35"/>
  <c r="H16" i="50"/>
  <c r="F17" i="50" s="1"/>
  <c r="I16" i="50"/>
  <c r="J16" i="50" s="1"/>
  <c r="H4" i="50"/>
  <c r="F5" i="50" s="1"/>
  <c r="I4" i="50"/>
  <c r="J4" i="50" s="1"/>
  <c r="J5" i="45"/>
  <c r="J6" i="45" s="1"/>
  <c r="C28" i="36"/>
  <c r="L29" i="10"/>
  <c r="G15" i="29"/>
  <c r="H5" i="50" l="1"/>
  <c r="F6" i="50" s="1"/>
  <c r="I5" i="50"/>
  <c r="J5" i="50" s="1"/>
  <c r="H17" i="50"/>
  <c r="F18" i="50" s="1"/>
  <c r="I17" i="50"/>
  <c r="J17" i="50" s="1"/>
  <c r="H18" i="50" l="1"/>
  <c r="F19" i="50" s="1"/>
  <c r="I18" i="50"/>
  <c r="J18" i="50" s="1"/>
  <c r="I6" i="50"/>
  <c r="J6" i="50" s="1"/>
  <c r="H6" i="50"/>
  <c r="F7" i="50" s="1"/>
  <c r="H7" i="50" l="1"/>
  <c r="F8" i="50" s="1"/>
  <c r="I7" i="50"/>
  <c r="J7" i="50" s="1"/>
  <c r="H19" i="50"/>
  <c r="F20" i="50" s="1"/>
  <c r="I19" i="50"/>
  <c r="J19" i="50" s="1"/>
  <c r="H8" i="50" l="1"/>
  <c r="I8" i="50"/>
  <c r="J8" i="50" s="1"/>
  <c r="H20" i="50"/>
  <c r="I20" i="50"/>
  <c r="J20" i="50" s="1"/>
  <c r="N10" i="21" l="1"/>
  <c r="D16" i="22"/>
  <c r="D23" i="22"/>
  <c r="D23" i="25"/>
  <c r="D16" i="25"/>
  <c r="D23" i="21"/>
  <c r="D16" i="21"/>
  <c r="D16" i="24"/>
  <c r="D23" i="24"/>
  <c r="D16" i="23"/>
  <c r="D23" i="23"/>
  <c r="N10" i="20"/>
  <c r="N10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Sundar</author>
  </authors>
  <commentList>
    <comment ref="F16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Sundar:</t>
        </r>
        <r>
          <rPr>
            <sz val="9"/>
            <color indexed="81"/>
            <rFont val="Tahoma"/>
            <family val="2"/>
          </rPr>
          <t xml:space="preserve">
Withdraw from ICICI sundar</t>
        </r>
      </text>
    </comment>
    <comment ref="G16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Sundar:</t>
        </r>
        <r>
          <rPr>
            <sz val="9"/>
            <color indexed="81"/>
            <rFont val="Tahoma"/>
            <family val="2"/>
          </rPr>
          <t xml:space="preserve">
withdraw from CITI terry</t>
        </r>
      </text>
    </comment>
  </commentList>
</comments>
</file>

<file path=xl/sharedStrings.xml><?xml version="1.0" encoding="utf-8"?>
<sst xmlns="http://schemas.openxmlformats.org/spreadsheetml/2006/main" count="1814" uniqueCount="336">
  <si>
    <t>Feb</t>
  </si>
  <si>
    <t>terry</t>
  </si>
  <si>
    <t>sundar</t>
  </si>
  <si>
    <t>home loan</t>
  </si>
  <si>
    <t>curr acc</t>
  </si>
  <si>
    <t xml:space="preserve">rent  </t>
  </si>
  <si>
    <t>vegetables</t>
  </si>
  <si>
    <t>EB</t>
  </si>
  <si>
    <t>milk</t>
  </si>
  <si>
    <t>my exp</t>
  </si>
  <si>
    <t>terry exp</t>
  </si>
  <si>
    <t>Phone bill</t>
  </si>
  <si>
    <t>Insurance</t>
  </si>
  <si>
    <t>Educational loan</t>
  </si>
  <si>
    <t>Rice</t>
  </si>
  <si>
    <t>Internet</t>
  </si>
  <si>
    <t>Gas</t>
  </si>
  <si>
    <t>Maintenance</t>
  </si>
  <si>
    <t>a</t>
  </si>
  <si>
    <t>b</t>
  </si>
  <si>
    <t>Broker</t>
  </si>
  <si>
    <t xml:space="preserve">Feb </t>
  </si>
  <si>
    <t>provision</t>
  </si>
  <si>
    <t>Airtel TV Recharge</t>
  </si>
  <si>
    <t>Mar</t>
  </si>
  <si>
    <t>House Tax</t>
  </si>
  <si>
    <t>bubbi</t>
  </si>
  <si>
    <t>chappi</t>
  </si>
  <si>
    <t xml:space="preserve">Post Office </t>
  </si>
  <si>
    <t>Balance in hand</t>
  </si>
  <si>
    <t>Earning for the month</t>
  </si>
  <si>
    <t>Expense for the month</t>
  </si>
  <si>
    <t>Apr</t>
  </si>
  <si>
    <t>terry's Income</t>
  </si>
  <si>
    <t>sundar's Income</t>
  </si>
  <si>
    <t>Withdraw from Terry</t>
  </si>
  <si>
    <t>My icici bal</t>
  </si>
  <si>
    <t>Bike</t>
  </si>
  <si>
    <t>Book</t>
  </si>
  <si>
    <t>Vests briefs</t>
  </si>
  <si>
    <t>Withdraw 16250</t>
  </si>
  <si>
    <t>Bal 18283</t>
  </si>
  <si>
    <t>sundar icome</t>
  </si>
  <si>
    <t>Post ofc</t>
  </si>
  <si>
    <t>Travel</t>
  </si>
  <si>
    <t>Sundar exp</t>
  </si>
  <si>
    <t>Baby exp</t>
  </si>
  <si>
    <t>PG Rent</t>
  </si>
  <si>
    <t>My travel</t>
  </si>
  <si>
    <t>PG advance</t>
  </si>
  <si>
    <t>Dress</t>
  </si>
  <si>
    <t>Prov</t>
  </si>
  <si>
    <t>Done</t>
  </si>
  <si>
    <t>withdraw</t>
  </si>
  <si>
    <t>gas</t>
  </si>
  <si>
    <t xml:space="preserve">cash in hand </t>
  </si>
  <si>
    <t>transferred</t>
  </si>
  <si>
    <t>online payment</t>
  </si>
  <si>
    <t>paste</t>
  </si>
  <si>
    <t>shaving cream</t>
  </si>
  <si>
    <t>blade</t>
  </si>
  <si>
    <t>iron box</t>
  </si>
  <si>
    <t>polish brush</t>
  </si>
  <si>
    <t>shoe polish</t>
  </si>
  <si>
    <t>shoes and slippers</t>
  </si>
  <si>
    <t>zintac</t>
  </si>
  <si>
    <t xml:space="preserve">roll on </t>
  </si>
  <si>
    <t>charger</t>
  </si>
  <si>
    <t>belt</t>
  </si>
  <si>
    <t>socks</t>
  </si>
  <si>
    <t>soap</t>
  </si>
  <si>
    <t>pen drive</t>
  </si>
  <si>
    <t>comb</t>
  </si>
  <si>
    <t>account</t>
  </si>
  <si>
    <t>Home loan</t>
  </si>
  <si>
    <t>+700</t>
  </si>
  <si>
    <t xml:space="preserve"> </t>
  </si>
  <si>
    <t>Appu Mom Credit repay</t>
  </si>
  <si>
    <t>Food</t>
  </si>
  <si>
    <t>Chair, tube light, charminar</t>
  </si>
  <si>
    <t>Decoration</t>
  </si>
  <si>
    <t>exam</t>
  </si>
  <si>
    <t>sundar's Income Balance after his expence</t>
  </si>
  <si>
    <t>Bike Due</t>
  </si>
  <si>
    <t>GRT Gold Scheme</t>
  </si>
  <si>
    <t>hdfc</t>
  </si>
  <si>
    <t>citi</t>
  </si>
  <si>
    <t xml:space="preserve">IN ACCOUNT </t>
  </si>
  <si>
    <t>IN HAND</t>
  </si>
  <si>
    <t>Jewel interest - Night shift allowance</t>
  </si>
  <si>
    <t>sundar visa</t>
  </si>
  <si>
    <t>Post office</t>
  </si>
  <si>
    <t>Jewel interest</t>
  </si>
  <si>
    <t>Jan'17</t>
  </si>
  <si>
    <t>CITI</t>
  </si>
  <si>
    <t>bike</t>
  </si>
  <si>
    <t>grt</t>
  </si>
  <si>
    <t>internet</t>
  </si>
  <si>
    <t>phone bill</t>
  </si>
  <si>
    <t>tv reharge</t>
  </si>
  <si>
    <t>diaper</t>
  </si>
  <si>
    <t>edu loan</t>
  </si>
  <si>
    <t>rice</t>
  </si>
  <si>
    <t>veg</t>
  </si>
  <si>
    <t>paid</t>
  </si>
  <si>
    <t>1 pack bought</t>
  </si>
  <si>
    <t>ins</t>
  </si>
  <si>
    <t>transferred 2/28/2017</t>
  </si>
  <si>
    <t>http://www.xnxx.com/video-bo9tfba/gal_feels_one-eyed_monster_in_vagina</t>
  </si>
  <si>
    <t>credit card purchse</t>
  </si>
  <si>
    <t>vacc</t>
  </si>
  <si>
    <t>Mutual Fund Terry</t>
  </si>
  <si>
    <t>Sep'17</t>
  </si>
  <si>
    <t>Paid EB-Usha</t>
  </si>
  <si>
    <t>Paid EB-Terry (Advance)</t>
  </si>
  <si>
    <t>GRT</t>
  </si>
  <si>
    <t>Tikona</t>
  </si>
  <si>
    <t>Diaper</t>
  </si>
  <si>
    <t>Phone</t>
  </si>
  <si>
    <t>Mutual Fund</t>
  </si>
  <si>
    <t>Groccery</t>
  </si>
  <si>
    <t>Rent</t>
  </si>
  <si>
    <t>Cr. Card payment</t>
  </si>
  <si>
    <t>Paid - GRT</t>
  </si>
  <si>
    <t>Paid - Tikona</t>
  </si>
  <si>
    <t>Paid - Diaper</t>
  </si>
  <si>
    <t>Paid - Rent</t>
  </si>
  <si>
    <t>Repay debt to appu Mom</t>
  </si>
  <si>
    <t>Other Expenses - Appu Mom</t>
  </si>
  <si>
    <t>bike due</t>
  </si>
  <si>
    <t>MF</t>
  </si>
  <si>
    <t>Maintainence</t>
  </si>
  <si>
    <t>Edu loan</t>
  </si>
  <si>
    <t>Appu Mom</t>
  </si>
  <si>
    <t>Debt</t>
  </si>
  <si>
    <t>tv</t>
  </si>
  <si>
    <t>Boo Boo Earing</t>
  </si>
  <si>
    <t>Chit</t>
  </si>
  <si>
    <t>11/30/2017 - Transferred 9200 to Appu Mom</t>
  </si>
  <si>
    <t>11/30/2017 - Paid (1700*3 = 5100) towards Appu education loan</t>
  </si>
  <si>
    <t>11/30/2017 - Repaid 9000 borrowed from Sakthi(Office)</t>
  </si>
  <si>
    <t>Terry Salary</t>
  </si>
  <si>
    <t>Paid</t>
  </si>
  <si>
    <t>total salary</t>
  </si>
  <si>
    <t>sundar exp</t>
  </si>
  <si>
    <t>Total savnigs</t>
  </si>
  <si>
    <t>TOTAL EXP</t>
  </si>
  <si>
    <t>*</t>
  </si>
  <si>
    <t>Maint</t>
  </si>
  <si>
    <t>Edu Loan</t>
  </si>
  <si>
    <t>Cr Card</t>
  </si>
  <si>
    <t>SSG Gold Scheme</t>
  </si>
  <si>
    <t>Due</t>
  </si>
  <si>
    <t>Bought</t>
  </si>
  <si>
    <t>Cr Card Amount</t>
  </si>
  <si>
    <t>Booboo school fees</t>
  </si>
  <si>
    <t>AC</t>
  </si>
  <si>
    <t>Appu Mom2</t>
  </si>
  <si>
    <t>Gold</t>
  </si>
  <si>
    <t>Phone Bill</t>
  </si>
  <si>
    <t>Fees</t>
  </si>
  <si>
    <t>Savemejesus</t>
  </si>
  <si>
    <t xml:space="preserve">Appu Mom rent  </t>
  </si>
  <si>
    <t>Repay AC debt to appu Mom</t>
  </si>
  <si>
    <t xml:space="preserve">Cash in Hand </t>
  </si>
  <si>
    <t>LIC Insurance</t>
  </si>
  <si>
    <t>Airtel TV Recharge - (Appu Money)</t>
  </si>
  <si>
    <t>Appu Salary</t>
  </si>
  <si>
    <t>Tejas School Fees</t>
  </si>
  <si>
    <t>Amount Short</t>
  </si>
  <si>
    <t>Tejas School Van</t>
  </si>
  <si>
    <t xml:space="preserve">Sundar Monthly expense </t>
  </si>
  <si>
    <t>Milk</t>
  </si>
  <si>
    <t>Internet Bill</t>
  </si>
  <si>
    <t>Provision</t>
  </si>
  <si>
    <t>Vegetables</t>
  </si>
  <si>
    <t>Terry exp</t>
  </si>
  <si>
    <t>Jewel Interest</t>
  </si>
  <si>
    <t>Partially</t>
  </si>
  <si>
    <t>(A) Balance from Appu Salary</t>
  </si>
  <si>
    <t>(B) Terry Salary</t>
  </si>
  <si>
    <t>(A + B)</t>
  </si>
  <si>
    <t>Cr Card Bill</t>
  </si>
  <si>
    <t xml:space="preserve">Jewelry loan - Monthly payment </t>
  </si>
  <si>
    <r>
      <rPr>
        <u/>
        <sz val="11"/>
        <color theme="1"/>
        <rFont val="Calibri"/>
        <family val="2"/>
        <scheme val="minor"/>
      </rPr>
      <t>Cr Card Bill</t>
    </r>
    <r>
      <rPr>
        <sz val="11"/>
        <color theme="1"/>
        <rFont val="Calibri"/>
        <family val="2"/>
        <scheme val="minor"/>
      </rPr>
      <t xml:space="preserve">
1. SSG Gold Scheme - 3000
2. Internet Bill - 1003
3. Phone bill - 1200</t>
    </r>
  </si>
  <si>
    <t>Home Loan Details</t>
  </si>
  <si>
    <t>Apr2018 - Mar2019</t>
  </si>
  <si>
    <t>Principal Paid</t>
  </si>
  <si>
    <t>Interest Paid</t>
  </si>
  <si>
    <t>Apr2017 - Mar2018</t>
  </si>
  <si>
    <t>Apr2016 - Mar2017</t>
  </si>
  <si>
    <t>Apr2015 - Mar2016</t>
  </si>
  <si>
    <t>Apr2014 - Mar2015</t>
  </si>
  <si>
    <t>Apr2013 - Mar2014</t>
  </si>
  <si>
    <t>Bangle</t>
  </si>
  <si>
    <t>Saravana</t>
  </si>
  <si>
    <t>Chain</t>
  </si>
  <si>
    <t>Earing</t>
  </si>
  <si>
    <t>Neckalace</t>
  </si>
  <si>
    <t>Jeyachan</t>
  </si>
  <si>
    <t>Haram</t>
  </si>
  <si>
    <t>Rings</t>
  </si>
  <si>
    <t>Bangle and dollar chain</t>
  </si>
  <si>
    <t>Grams</t>
  </si>
  <si>
    <t>Saravana Thanga Maligai</t>
  </si>
  <si>
    <t>GRT Jewelers</t>
  </si>
  <si>
    <t>Jeyachandhiran Jewelers</t>
  </si>
  <si>
    <t>Less %</t>
  </si>
  <si>
    <t>Bangles (2)</t>
  </si>
  <si>
    <t>Earings</t>
  </si>
  <si>
    <t>-</t>
  </si>
  <si>
    <t>Necklace</t>
  </si>
  <si>
    <t>Long Haram</t>
  </si>
  <si>
    <t>Sovereign</t>
  </si>
  <si>
    <t>gram</t>
  </si>
  <si>
    <t>Gold Rate</t>
  </si>
  <si>
    <t>Amount</t>
  </si>
  <si>
    <t>Total Amount</t>
  </si>
  <si>
    <t>Less Amount</t>
  </si>
  <si>
    <t xml:space="preserve">Haram </t>
  </si>
  <si>
    <t>Short Haram</t>
  </si>
  <si>
    <t>Long Chain</t>
  </si>
  <si>
    <t>Dollar Chain</t>
  </si>
  <si>
    <t>Short Chain</t>
  </si>
  <si>
    <t>Muruku Chain</t>
  </si>
  <si>
    <t>Bangles</t>
  </si>
  <si>
    <t>Jimiki</t>
  </si>
  <si>
    <t>Thali Chain</t>
  </si>
  <si>
    <t>Appu Chain</t>
  </si>
  <si>
    <t>Appu Ring</t>
  </si>
  <si>
    <t>Earings (smalls)</t>
  </si>
  <si>
    <t>Rings (smalls)</t>
  </si>
  <si>
    <t>Debt to appu Mom</t>
  </si>
  <si>
    <t>Taico Bank</t>
  </si>
  <si>
    <t>Aaram - 1</t>
  </si>
  <si>
    <t>Todu (4 Pairs) 8</t>
  </si>
  <si>
    <t>Thodu Jimiki - 2</t>
  </si>
  <si>
    <t>Kaadhu Valayam - 2</t>
  </si>
  <si>
    <t>Actual amount pledged</t>
  </si>
  <si>
    <t>Original Value given in bank receipt</t>
  </si>
  <si>
    <t>Bangles - 2</t>
  </si>
  <si>
    <t>Kaapu - 2</t>
  </si>
  <si>
    <t>Bangles - 3</t>
  </si>
  <si>
    <t>Dollar Chain - 1</t>
  </si>
  <si>
    <t>Chain - 1</t>
  </si>
  <si>
    <t>Stone Dollar Chain</t>
  </si>
  <si>
    <t>Pattai - 1</t>
  </si>
  <si>
    <t>Kambi Design Bangle - 2</t>
  </si>
  <si>
    <t>Transfer to appu mom</t>
  </si>
  <si>
    <t>Van</t>
  </si>
  <si>
    <t>Cr card</t>
  </si>
  <si>
    <t>Repay AC EMI to appu Mom</t>
  </si>
  <si>
    <t>Total Transfer to Appu Mom</t>
  </si>
  <si>
    <t>Total Appu Exp</t>
  </si>
  <si>
    <t>Total Salary</t>
  </si>
  <si>
    <t>Credit card bill</t>
  </si>
  <si>
    <t>Saving</t>
  </si>
  <si>
    <t>Saving from previous months</t>
  </si>
  <si>
    <t>Movie</t>
  </si>
  <si>
    <t>Gym</t>
  </si>
  <si>
    <t>Salary</t>
  </si>
  <si>
    <t xml:space="preserve">Credit card </t>
  </si>
  <si>
    <t>Income</t>
  </si>
  <si>
    <t>Expense</t>
  </si>
  <si>
    <t>Extra money in hand or needed</t>
  </si>
  <si>
    <t>Total Expenses</t>
  </si>
  <si>
    <t>Money in Hand after all expenses</t>
  </si>
  <si>
    <t>Dec 2018 - Took 2000 fro my Mom money</t>
  </si>
  <si>
    <t>My Mom Money to be returned</t>
  </si>
  <si>
    <t>Velankanni Exp in Feb'18</t>
  </si>
  <si>
    <t>Velankanni</t>
  </si>
  <si>
    <t>Debt from last month</t>
  </si>
  <si>
    <t>Terry Mom's money repay</t>
  </si>
  <si>
    <t>Additional exp this month</t>
  </si>
  <si>
    <t>HDFC debt</t>
  </si>
  <si>
    <t>Balance saved previous</t>
  </si>
  <si>
    <t>60th Wedding</t>
  </si>
  <si>
    <t>Recurring Deposit</t>
  </si>
  <si>
    <t>LIC Pension Plan</t>
  </si>
  <si>
    <t>Credit card bill (Including GRT)</t>
  </si>
  <si>
    <t>CAR EMI</t>
  </si>
  <si>
    <t>2019-2020</t>
  </si>
  <si>
    <t>Gross</t>
  </si>
  <si>
    <t>Net</t>
  </si>
  <si>
    <t>Sep</t>
  </si>
  <si>
    <t>Tejas Fee</t>
  </si>
  <si>
    <t>Cash in hand from Last month</t>
  </si>
  <si>
    <t>Petrol</t>
  </si>
  <si>
    <t>Don’t delete this data</t>
  </si>
  <si>
    <t>Month</t>
  </si>
  <si>
    <t>Oct</t>
  </si>
  <si>
    <t>Nov</t>
  </si>
  <si>
    <t>Dec</t>
  </si>
  <si>
    <t>Jan</t>
  </si>
  <si>
    <t>May</t>
  </si>
  <si>
    <t>Jun</t>
  </si>
  <si>
    <t>Jul</t>
  </si>
  <si>
    <t>Expected to save</t>
  </si>
  <si>
    <t>Actually saved</t>
  </si>
  <si>
    <t>Chairs</t>
  </si>
  <si>
    <t>HDFC balance as of Sep'19</t>
  </si>
  <si>
    <t>feb</t>
  </si>
  <si>
    <t>mar</t>
  </si>
  <si>
    <t>apr</t>
  </si>
  <si>
    <t>may</t>
  </si>
  <si>
    <t>june</t>
  </si>
  <si>
    <t>New Home loan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</si>
  <si>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</si>
  <si>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</si>
  <si>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</si>
  <si>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</si>
  <si>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</si>
  <si>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</si>
  <si>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</si>
  <si>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</si>
  <si>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</si>
  <si>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</si>
  <si>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June</t>
  </si>
  <si>
    <t>fridge, bed</t>
  </si>
  <si>
    <t xml:space="preserve">Terry Mutual fund </t>
  </si>
  <si>
    <t>cash</t>
  </si>
  <si>
    <t>Usha Car EMI</t>
  </si>
  <si>
    <t>Credit card</t>
  </si>
  <si>
    <t>Usha</t>
  </si>
  <si>
    <t>LIC</t>
  </si>
  <si>
    <t>House exp</t>
  </si>
  <si>
    <t>Terry sal</t>
  </si>
  <si>
    <t>Sundar</t>
  </si>
  <si>
    <t>jan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</si>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</sst>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_);[Red]\(0.00\)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333333"/>
      <name val="Arial"/>
      <family val="2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2" fillId="14" borderId="9" applyNumberFormat="0" applyAlignment="0" applyProtection="0"/>
  </cellStyleXfs>
  <cellXfs count="204">
    <xf numFmtId="0" fontId="0" fillId="0" borderId="0" xfId="0"/>
    <xf numFmtId="0" fontId="1" fillId="0" borderId="0" xfId="0" applyFont="1"/>
    <xf numFmtId="0" fontId="0" fillId="2" borderId="0" xfId="0" applyFill="1"/>
    <xf numFmtId="4" fontId="2" fillId="0" borderId="0" xfId="0" applyNumberFormat="1" applyFont="1"/>
    <xf numFmtId="4" fontId="0" fillId="0" borderId="0" xfId="0" applyNumberFormat="1"/>
    <xf numFmtId="0" fontId="3" fillId="2" borderId="0" xfId="0" applyFont="1" applyFill="1"/>
    <xf numFmtId="0" fontId="0" fillId="0" borderId="0" xfId="0" applyFill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0" fillId="3" borderId="0" xfId="0" applyFill="1"/>
    <xf numFmtId="0" fontId="0" fillId="4" borderId="0" xfId="0" applyFill="1"/>
    <xf numFmtId="0" fontId="3" fillId="3" borderId="0" xfId="0" applyFont="1" applyFill="1"/>
    <xf numFmtId="0" fontId="0" fillId="0" borderId="0" xfId="0" applyFont="1"/>
    <xf numFmtId="0" fontId="0" fillId="5" borderId="0" xfId="0" applyFont="1" applyFill="1"/>
    <xf numFmtId="0" fontId="0" fillId="5" borderId="0" xfId="0" applyFill="1"/>
    <xf numFmtId="0" fontId="1" fillId="4" borderId="0" xfId="0" applyFont="1" applyFill="1"/>
    <xf numFmtId="0" fontId="4" fillId="3" borderId="0" xfId="0" applyFont="1" applyFill="1"/>
    <xf numFmtId="0" fontId="1" fillId="0" borderId="0" xfId="0" applyFont="1" applyFill="1"/>
    <xf numFmtId="0" fontId="0" fillId="6" borderId="0" xfId="0" applyFill="1"/>
    <xf numFmtId="0" fontId="5" fillId="3" borderId="0" xfId="0" applyFont="1" applyFill="1"/>
    <xf numFmtId="0" fontId="5" fillId="6" borderId="0" xfId="0" applyFont="1" applyFill="1"/>
    <xf numFmtId="0" fontId="5" fillId="0" borderId="0" xfId="0" applyFont="1"/>
    <xf numFmtId="0" fontId="5" fillId="7" borderId="0" xfId="0" applyFont="1" applyFill="1"/>
    <xf numFmtId="0" fontId="0" fillId="7" borderId="0" xfId="0" applyFill="1"/>
    <xf numFmtId="0" fontId="1" fillId="7" borderId="0" xfId="0" applyFont="1" applyFill="1"/>
    <xf numFmtId="0" fontId="4" fillId="7" borderId="0" xfId="0" applyFont="1" applyFill="1"/>
    <xf numFmtId="0" fontId="6" fillId="0" borderId="0" xfId="0" applyFont="1"/>
    <xf numFmtId="0" fontId="7" fillId="3" borderId="0" xfId="0" applyFont="1" applyFill="1"/>
    <xf numFmtId="0" fontId="0" fillId="6" borderId="0" xfId="0" applyFont="1" applyFill="1"/>
    <xf numFmtId="0" fontId="0" fillId="4" borderId="0" xfId="0" applyFont="1" applyFill="1"/>
    <xf numFmtId="0" fontId="0" fillId="3" borderId="0" xfId="0" applyFont="1" applyFill="1"/>
    <xf numFmtId="0" fontId="1" fillId="8" borderId="0" xfId="0" applyFont="1" applyFill="1"/>
    <xf numFmtId="0" fontId="5" fillId="8" borderId="0" xfId="0" applyFont="1" applyFill="1"/>
    <xf numFmtId="0" fontId="0" fillId="0" borderId="0" xfId="0" applyFill="1" applyBorder="1"/>
    <xf numFmtId="0" fontId="0" fillId="0" borderId="0" xfId="0" applyFont="1" applyFill="1" applyBorder="1"/>
    <xf numFmtId="0" fontId="5" fillId="0" borderId="0" xfId="0" applyFont="1" applyFill="1" applyBorder="1"/>
    <xf numFmtId="0" fontId="1" fillId="0" borderId="0" xfId="0" applyFont="1" applyFill="1" applyBorder="1"/>
    <xf numFmtId="0" fontId="1" fillId="0" borderId="2" xfId="0" applyFont="1" applyFill="1" applyBorder="1"/>
    <xf numFmtId="0" fontId="0" fillId="0" borderId="4" xfId="0" applyBorder="1"/>
    <xf numFmtId="0" fontId="0" fillId="0" borderId="5" xfId="0" applyFont="1" applyFill="1" applyBorder="1"/>
    <xf numFmtId="0" fontId="5" fillId="0" borderId="5" xfId="0" applyFont="1" applyFill="1" applyBorder="1"/>
    <xf numFmtId="0" fontId="1" fillId="0" borderId="3" xfId="0" applyFont="1" applyFill="1" applyBorder="1"/>
    <xf numFmtId="0" fontId="5" fillId="9" borderId="0" xfId="0" applyFont="1" applyFill="1" applyBorder="1"/>
    <xf numFmtId="0" fontId="5" fillId="10" borderId="0" xfId="0" applyFont="1" applyFill="1" applyBorder="1"/>
    <xf numFmtId="0" fontId="0" fillId="10" borderId="0" xfId="0" applyFont="1" applyFill="1" applyBorder="1"/>
    <xf numFmtId="0" fontId="0" fillId="10" borderId="0" xfId="0" applyFill="1"/>
    <xf numFmtId="0" fontId="7" fillId="0" borderId="0" xfId="0" applyFont="1" applyFill="1" applyBorder="1"/>
    <xf numFmtId="0" fontId="0" fillId="9" borderId="0" xfId="0" applyFont="1" applyFill="1" applyBorder="1"/>
    <xf numFmtId="4" fontId="8" fillId="0" borderId="0" xfId="0" applyNumberFormat="1" applyFont="1"/>
    <xf numFmtId="0" fontId="1" fillId="11" borderId="0" xfId="0" applyFont="1" applyFill="1" applyBorder="1"/>
    <xf numFmtId="0" fontId="1" fillId="9" borderId="0" xfId="0" applyFont="1" applyFill="1" applyBorder="1"/>
    <xf numFmtId="0" fontId="0" fillId="0" borderId="0" xfId="0" quotePrefix="1"/>
    <xf numFmtId="0" fontId="0" fillId="12" borderId="0" xfId="0" applyFill="1"/>
    <xf numFmtId="0" fontId="1" fillId="3" borderId="0" xfId="0" applyFont="1" applyFill="1" applyBorder="1"/>
    <xf numFmtId="0" fontId="0" fillId="3" borderId="0" xfId="0" applyFont="1" applyFill="1" applyBorder="1"/>
    <xf numFmtId="0" fontId="1" fillId="12" borderId="0" xfId="0" applyFont="1" applyFill="1" applyBorder="1"/>
    <xf numFmtId="0" fontId="0" fillId="13" borderId="0" xfId="0" applyFont="1" applyFill="1" applyBorder="1"/>
    <xf numFmtId="0" fontId="0" fillId="0" borderId="0" xfId="0" applyAlignment="1">
      <alignment wrapText="1"/>
    </xf>
    <xf numFmtId="0" fontId="0" fillId="0" borderId="6" xfId="0" applyFont="1" applyFill="1" applyBorder="1"/>
    <xf numFmtId="0" fontId="1" fillId="0" borderId="7" xfId="0" applyFont="1" applyFill="1" applyBorder="1"/>
    <xf numFmtId="0" fontId="0" fillId="0" borderId="0" xfId="0" quotePrefix="1" applyFont="1"/>
    <xf numFmtId="0" fontId="1" fillId="0" borderId="3" xfId="0" applyFont="1" applyBorder="1"/>
    <xf numFmtId="0" fontId="0" fillId="3" borderId="6" xfId="0" applyFont="1" applyFill="1" applyBorder="1"/>
    <xf numFmtId="0" fontId="1" fillId="0" borderId="8" xfId="0" applyFont="1" applyFill="1" applyBorder="1"/>
    <xf numFmtId="0" fontId="0" fillId="0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1" fillId="13" borderId="0" xfId="0" applyFont="1" applyFill="1" applyBorder="1"/>
    <xf numFmtId="0" fontId="0" fillId="0" borderId="0" xfId="0" applyFill="1" applyAlignment="1">
      <alignment horizontal="left"/>
    </xf>
    <xf numFmtId="0" fontId="11" fillId="0" borderId="0" xfId="0" applyFont="1"/>
    <xf numFmtId="0" fontId="1" fillId="0" borderId="1" xfId="0" applyFont="1" applyBorder="1" applyAlignment="1">
      <alignment horizontal="left"/>
    </xf>
    <xf numFmtId="0" fontId="1" fillId="12" borderId="0" xfId="0" applyFont="1" applyFill="1" applyAlignment="1">
      <alignment horizontal="left"/>
    </xf>
    <xf numFmtId="14" fontId="0" fillId="0" borderId="0" xfId="0" applyNumberFormat="1"/>
    <xf numFmtId="0" fontId="13" fillId="12" borderId="9" xfId="1" applyFont="1" applyFill="1"/>
    <xf numFmtId="0" fontId="1" fillId="15" borderId="0" xfId="0" applyFont="1" applyFill="1"/>
    <xf numFmtId="0" fontId="1" fillId="15" borderId="0" xfId="0" applyFont="1" applyFill="1" applyBorder="1"/>
    <xf numFmtId="3" fontId="0" fillId="0" borderId="0" xfId="0" applyNumberFormat="1"/>
    <xf numFmtId="0" fontId="14" fillId="13" borderId="0" xfId="0" applyFont="1" applyFill="1"/>
    <xf numFmtId="0" fontId="15" fillId="16" borderId="0" xfId="0" applyFont="1" applyFill="1"/>
    <xf numFmtId="14" fontId="1" fillId="17" borderId="0" xfId="0" applyNumberFormat="1" applyFont="1" applyFill="1"/>
    <xf numFmtId="0" fontId="1" fillId="11" borderId="0" xfId="0" applyFont="1" applyFill="1"/>
    <xf numFmtId="0" fontId="0" fillId="17" borderId="0" xfId="0" applyFill="1"/>
    <xf numFmtId="0" fontId="0" fillId="18" borderId="0" xfId="0" applyFill="1"/>
    <xf numFmtId="0" fontId="0" fillId="0" borderId="0" xfId="0" applyFill="1" applyAlignment="1">
      <alignment wrapText="1"/>
    </xf>
    <xf numFmtId="44" fontId="0" fillId="0" borderId="0" xfId="0" applyNumberFormat="1"/>
    <xf numFmtId="44" fontId="1" fillId="0" borderId="0" xfId="0" applyNumberFormat="1" applyFont="1"/>
    <xf numFmtId="0" fontId="1" fillId="0" borderId="0" xfId="0" applyFont="1" applyBorder="1"/>
    <xf numFmtId="0" fontId="0" fillId="0" borderId="0" xfId="0" applyNumberFormat="1"/>
    <xf numFmtId="0" fontId="1" fillId="0" borderId="0" xfId="0" applyNumberFormat="1" applyFont="1"/>
    <xf numFmtId="9" fontId="0" fillId="0" borderId="0" xfId="0" applyNumberFormat="1"/>
    <xf numFmtId="0" fontId="1" fillId="8" borderId="0" xfId="0" applyFont="1" applyFill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44" fontId="0" fillId="8" borderId="0" xfId="0" applyNumberFormat="1" applyFill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44" fontId="0" fillId="0" borderId="0" xfId="0" applyNumberFormat="1" applyFont="1"/>
    <xf numFmtId="0" fontId="0" fillId="0" borderId="0" xfId="0" applyFont="1" applyFill="1" applyAlignment="1">
      <alignment wrapText="1"/>
    </xf>
    <xf numFmtId="0" fontId="0" fillId="0" borderId="0" xfId="0" applyNumberFormat="1" applyAlignment="1">
      <alignment horizontal="left"/>
    </xf>
    <xf numFmtId="44" fontId="0" fillId="0" borderId="0" xfId="0" applyNumberFormat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NumberFormat="1" applyFont="1" applyAlignment="1">
      <alignment horizontal="left"/>
    </xf>
    <xf numFmtId="0" fontId="0" fillId="13" borderId="0" xfId="0" applyFont="1" applyFill="1" applyAlignment="1">
      <alignment horizontal="left"/>
    </xf>
    <xf numFmtId="0" fontId="0" fillId="13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0" fillId="0" borderId="0" xfId="0" applyNumberFormat="1" applyFill="1" applyAlignment="1">
      <alignment horizontal="left"/>
    </xf>
    <xf numFmtId="44" fontId="0" fillId="0" borderId="0" xfId="0" applyNumberFormat="1" applyFill="1" applyAlignment="1">
      <alignment horizontal="left"/>
    </xf>
    <xf numFmtId="0" fontId="0" fillId="19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44" fontId="1" fillId="0" borderId="0" xfId="0" applyNumberFormat="1" applyFont="1" applyAlignment="1">
      <alignment horizontal="left"/>
    </xf>
    <xf numFmtId="0" fontId="0" fillId="19" borderId="0" xfId="0" applyFill="1" applyBorder="1" applyAlignment="1">
      <alignment horizontal="left"/>
    </xf>
    <xf numFmtId="164" fontId="1" fillId="0" borderId="0" xfId="0" applyNumberFormat="1" applyFont="1" applyFill="1" applyAlignment="1">
      <alignment horizontal="left"/>
    </xf>
    <xf numFmtId="44" fontId="0" fillId="3" borderId="0" xfId="0" applyNumberFormat="1" applyFill="1" applyAlignment="1">
      <alignment horizontal="left"/>
    </xf>
    <xf numFmtId="164" fontId="0" fillId="0" borderId="0" xfId="0" applyNumberFormat="1" applyFont="1" applyFill="1" applyAlignment="1">
      <alignment horizontal="left"/>
    </xf>
    <xf numFmtId="164" fontId="0" fillId="0" borderId="0" xfId="0" applyNumberFormat="1" applyAlignment="1">
      <alignment horizontal="left"/>
    </xf>
    <xf numFmtId="164" fontId="0" fillId="13" borderId="0" xfId="0" applyNumberFormat="1" applyFont="1" applyFill="1" applyAlignment="1">
      <alignment horizontal="left"/>
    </xf>
    <xf numFmtId="164" fontId="0" fillId="13" borderId="0" xfId="0" applyNumberFormat="1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left"/>
    </xf>
    <xf numFmtId="164" fontId="0" fillId="19" borderId="0" xfId="0" applyNumberFormat="1" applyFont="1" applyFill="1" applyBorder="1" applyAlignment="1">
      <alignment horizontal="left"/>
    </xf>
    <xf numFmtId="164" fontId="0" fillId="0" borderId="0" xfId="0" applyNumberFormat="1" applyFill="1" applyAlignment="1">
      <alignment horizontal="left"/>
    </xf>
    <xf numFmtId="164" fontId="17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164" fontId="0" fillId="20" borderId="0" xfId="0" applyNumberFormat="1" applyFill="1" applyAlignment="1">
      <alignment horizontal="left"/>
    </xf>
    <xf numFmtId="164" fontId="1" fillId="20" borderId="0" xfId="0" applyNumberFormat="1" applyFont="1" applyFill="1" applyAlignment="1">
      <alignment horizontal="left"/>
    </xf>
    <xf numFmtId="17" fontId="0" fillId="0" borderId="0" xfId="0" applyNumberFormat="1" applyAlignment="1">
      <alignment horizontal="left"/>
    </xf>
    <xf numFmtId="0" fontId="5" fillId="0" borderId="0" xfId="0" applyFont="1" applyFill="1" applyAlignment="1">
      <alignment horizontal="left"/>
    </xf>
    <xf numFmtId="44" fontId="5" fillId="0" borderId="0" xfId="0" applyNumberFormat="1" applyFont="1" applyAlignment="1">
      <alignment horizontal="left"/>
    </xf>
    <xf numFmtId="44" fontId="5" fillId="0" borderId="0" xfId="0" applyNumberFormat="1" applyFont="1" applyFill="1" applyAlignment="1">
      <alignment horizontal="left"/>
    </xf>
    <xf numFmtId="0" fontId="5" fillId="13" borderId="0" xfId="0" applyFont="1" applyFill="1" applyAlignment="1">
      <alignment horizontal="left"/>
    </xf>
    <xf numFmtId="0" fontId="5" fillId="13" borderId="0" xfId="0" applyFont="1" applyFill="1" applyBorder="1" applyAlignment="1">
      <alignment horizontal="left"/>
    </xf>
    <xf numFmtId="44" fontId="5" fillId="13" borderId="0" xfId="0" applyNumberFormat="1" applyFont="1" applyFill="1" applyBorder="1" applyAlignment="1">
      <alignment horizontal="left"/>
    </xf>
    <xf numFmtId="0" fontId="5" fillId="19" borderId="0" xfId="0" applyFont="1" applyFill="1" applyBorder="1" applyAlignment="1">
      <alignment horizontal="left"/>
    </xf>
    <xf numFmtId="44" fontId="5" fillId="19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44" fontId="5" fillId="0" borderId="0" xfId="0" applyNumberFormat="1" applyFont="1" applyFill="1" applyBorder="1" applyAlignment="1">
      <alignment horizontal="left"/>
    </xf>
    <xf numFmtId="0" fontId="5" fillId="16" borderId="0" xfId="0" applyFont="1" applyFill="1" applyBorder="1" applyAlignment="1">
      <alignment horizontal="left"/>
    </xf>
    <xf numFmtId="44" fontId="5" fillId="16" borderId="0" xfId="0" applyNumberFormat="1" applyFont="1" applyFill="1" applyBorder="1" applyAlignment="1">
      <alignment horizontal="left"/>
    </xf>
    <xf numFmtId="12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5" fillId="10" borderId="0" xfId="0" applyFont="1" applyFill="1" applyBorder="1" applyAlignment="1">
      <alignment horizontal="left"/>
    </xf>
    <xf numFmtId="44" fontId="5" fillId="10" borderId="0" xfId="0" applyNumberFormat="1" applyFont="1" applyFill="1" applyBorder="1" applyAlignment="1">
      <alignment horizontal="left"/>
    </xf>
    <xf numFmtId="44" fontId="7" fillId="13" borderId="0" xfId="0" applyNumberFormat="1" applyFont="1" applyFill="1" applyAlignment="1">
      <alignment horizontal="left"/>
    </xf>
    <xf numFmtId="44" fontId="7" fillId="19" borderId="0" xfId="0" applyNumberFormat="1" applyFont="1" applyFill="1" applyBorder="1" applyAlignment="1">
      <alignment horizontal="left"/>
    </xf>
    <xf numFmtId="44" fontId="7" fillId="0" borderId="0" xfId="0" applyNumberFormat="1" applyFont="1" applyAlignment="1">
      <alignment horizontal="left"/>
    </xf>
    <xf numFmtId="44" fontId="7" fillId="13" borderId="0" xfId="0" applyNumberFormat="1" applyFont="1" applyFill="1" applyBorder="1" applyAlignment="1">
      <alignment horizontal="left"/>
    </xf>
    <xf numFmtId="9" fontId="5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0" fontId="5" fillId="0" borderId="0" xfId="0" applyNumberFormat="1" applyFont="1" applyFill="1" applyAlignment="1">
      <alignment horizontal="left"/>
    </xf>
    <xf numFmtId="44" fontId="5" fillId="0" borderId="1" xfId="0" applyNumberFormat="1" applyFont="1" applyBorder="1" applyAlignment="1">
      <alignment horizontal="left"/>
    </xf>
    <xf numFmtId="44" fontId="7" fillId="0" borderId="1" xfId="0" applyNumberFormat="1" applyFont="1" applyBorder="1" applyAlignment="1">
      <alignment horizontal="left"/>
    </xf>
    <xf numFmtId="44" fontId="5" fillId="0" borderId="1" xfId="0" applyNumberFormat="1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44" fontId="5" fillId="3" borderId="0" xfId="0" applyNumberFormat="1" applyFont="1" applyFill="1" applyAlignment="1">
      <alignment horizontal="left"/>
    </xf>
    <xf numFmtId="164" fontId="5" fillId="0" borderId="0" xfId="0" applyNumberFormat="1" applyFont="1" applyAlignment="1">
      <alignment horizontal="left"/>
    </xf>
    <xf numFmtId="16" fontId="5" fillId="0" borderId="0" xfId="0" applyNumberFormat="1" applyFont="1" applyAlignment="1">
      <alignment horizontal="left"/>
    </xf>
    <xf numFmtId="0" fontId="20" fillId="0" borderId="0" xfId="0" applyFont="1" applyFill="1" applyAlignment="1">
      <alignment horizontal="left"/>
    </xf>
    <xf numFmtId="44" fontId="20" fillId="0" borderId="0" xfId="0" applyNumberFormat="1" applyFont="1" applyAlignment="1">
      <alignment horizontal="left"/>
    </xf>
    <xf numFmtId="40" fontId="20" fillId="0" borderId="0" xfId="0" applyNumberFormat="1" applyFont="1" applyAlignment="1">
      <alignment horizontal="left"/>
    </xf>
    <xf numFmtId="40" fontId="20" fillId="0" borderId="0" xfId="0" applyNumberFormat="1" applyFont="1" applyAlignment="1">
      <alignment horizontal="right"/>
    </xf>
    <xf numFmtId="40" fontId="20" fillId="0" borderId="0" xfId="0" applyNumberFormat="1" applyFont="1" applyFill="1" applyAlignment="1">
      <alignment horizontal="left"/>
    </xf>
    <xf numFmtId="0" fontId="20" fillId="13" borderId="0" xfId="0" applyFont="1" applyFill="1" applyAlignment="1">
      <alignment horizontal="left"/>
    </xf>
    <xf numFmtId="40" fontId="20" fillId="13" borderId="0" xfId="0" applyNumberFormat="1" applyFont="1" applyFill="1" applyAlignment="1">
      <alignment horizontal="center"/>
    </xf>
    <xf numFmtId="0" fontId="20" fillId="13" borderId="0" xfId="0" applyFont="1" applyFill="1" applyBorder="1" applyAlignment="1">
      <alignment horizontal="left"/>
    </xf>
    <xf numFmtId="40" fontId="20" fillId="13" borderId="0" xfId="0" applyNumberFormat="1" applyFont="1" applyFill="1" applyBorder="1" applyAlignment="1">
      <alignment horizontal="center"/>
    </xf>
    <xf numFmtId="44" fontId="20" fillId="3" borderId="0" xfId="0" applyNumberFormat="1" applyFont="1" applyFill="1" applyAlignment="1">
      <alignment horizontal="left"/>
    </xf>
    <xf numFmtId="44" fontId="20" fillId="0" borderId="0" xfId="0" applyNumberFormat="1" applyFont="1" applyFill="1" applyAlignment="1">
      <alignment horizontal="left"/>
    </xf>
    <xf numFmtId="0" fontId="20" fillId="19" borderId="0" xfId="0" applyFont="1" applyFill="1" applyBorder="1" applyAlignment="1">
      <alignment horizontal="left"/>
    </xf>
    <xf numFmtId="40" fontId="20" fillId="19" borderId="0" xfId="0" applyNumberFormat="1" applyFont="1" applyFill="1" applyBorder="1" applyAlignment="1">
      <alignment horizontal="left"/>
    </xf>
    <xf numFmtId="44" fontId="21" fillId="22" borderId="3" xfId="0" applyNumberFormat="1" applyFont="1" applyFill="1" applyBorder="1" applyAlignment="1">
      <alignment horizontal="left"/>
    </xf>
    <xf numFmtId="44" fontId="20" fillId="0" borderId="12" xfId="0" applyNumberFormat="1" applyFont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40" fontId="20" fillId="0" borderId="0" xfId="0" applyNumberFormat="1" applyFont="1" applyFill="1" applyBorder="1" applyAlignment="1">
      <alignment horizontal="left"/>
    </xf>
    <xf numFmtId="44" fontId="20" fillId="0" borderId="1" xfId="0" applyNumberFormat="1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40" fontId="20" fillId="0" borderId="0" xfId="0" applyNumberFormat="1" applyFont="1" applyBorder="1" applyAlignment="1">
      <alignment horizontal="left"/>
    </xf>
    <xf numFmtId="44" fontId="20" fillId="0" borderId="0" xfId="0" applyNumberFormat="1" applyFont="1" applyBorder="1" applyAlignment="1">
      <alignment horizontal="left"/>
    </xf>
    <xf numFmtId="0" fontId="20" fillId="0" borderId="0" xfId="0" applyFont="1" applyAlignment="1">
      <alignment horizontal="left"/>
    </xf>
    <xf numFmtId="40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right"/>
    </xf>
    <xf numFmtId="44" fontId="20" fillId="0" borderId="0" xfId="0" applyNumberFormat="1" applyFont="1" applyAlignment="1">
      <alignment horizontal="right"/>
    </xf>
    <xf numFmtId="44" fontId="20" fillId="0" borderId="0" xfId="0" applyNumberFormat="1" applyFont="1" applyFill="1" applyAlignment="1">
      <alignment horizontal="right"/>
    </xf>
    <xf numFmtId="12" fontId="20" fillId="0" borderId="0" xfId="0" applyNumberFormat="1" applyFont="1" applyAlignment="1">
      <alignment horizontal="right"/>
    </xf>
    <xf numFmtId="44" fontId="20" fillId="0" borderId="0" xfId="0" applyNumberFormat="1" applyFont="1" applyBorder="1" applyAlignment="1">
      <alignment horizontal="right"/>
    </xf>
    <xf numFmtId="0" fontId="20" fillId="23" borderId="0" xfId="0" applyFont="1" applyFill="1" applyBorder="1" applyAlignment="1">
      <alignment horizontal="left"/>
    </xf>
    <xf numFmtId="40" fontId="20" fillId="23" borderId="0" xfId="0" applyNumberFormat="1" applyFont="1" applyFill="1" applyBorder="1" applyAlignment="1">
      <alignment horizontal="left"/>
    </xf>
    <xf numFmtId="0" fontId="20" fillId="15" borderId="0" xfId="0" applyFont="1" applyFill="1" applyBorder="1" applyAlignment="1">
      <alignment horizontal="left"/>
    </xf>
    <xf numFmtId="40" fontId="20" fillId="15" borderId="0" xfId="0" applyNumberFormat="1" applyFont="1" applyFill="1" applyBorder="1" applyAlignment="1">
      <alignment horizontal="left"/>
    </xf>
    <xf numFmtId="40" fontId="20" fillId="19" borderId="0" xfId="0" applyNumberFormat="1" applyFont="1" applyFill="1" applyBorder="1" applyAlignment="1">
      <alignment horizontal="center"/>
    </xf>
    <xf numFmtId="40" fontId="20" fillId="13" borderId="0" xfId="0" applyNumberFormat="1" applyFont="1" applyFill="1" applyBorder="1" applyAlignment="1">
      <alignment horizontal="right"/>
    </xf>
    <xf numFmtId="40" fontId="20" fillId="15" borderId="0" xfId="0" applyNumberFormat="1" applyFont="1" applyFill="1" applyBorder="1" applyAlignment="1">
      <alignment horizontal="right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44" fontId="18" fillId="21" borderId="10" xfId="0" applyNumberFormat="1" applyFont="1" applyFill="1" applyBorder="1" applyAlignment="1">
      <alignment horizontal="center"/>
    </xf>
    <xf numFmtId="44" fontId="18" fillId="21" borderId="11" xfId="0" applyNumberFormat="1" applyFont="1" applyFill="1" applyBorder="1" applyAlignment="1">
      <alignment horizontal="center"/>
    </xf>
    <xf numFmtId="44" fontId="18" fillId="6" borderId="10" xfId="0" applyNumberFormat="1" applyFont="1" applyFill="1" applyBorder="1" applyAlignment="1">
      <alignment horizontal="center"/>
    </xf>
    <xf numFmtId="44" fontId="18" fillId="6" borderId="11" xfId="0" applyNumberFormat="1" applyFont="1" applyFill="1" applyBorder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485775</xdr:colOff>
      <xdr:row>22</xdr:row>
      <xdr:rowOff>104775</xdr:rowOff>
    </xdr:to>
    <xdr:pic>
      <xdr:nvPicPr>
        <xdr:cNvPr id="4099" name="Picture 3">
          <a:extLst>
            <a:ext uri="{FF2B5EF4-FFF2-40B4-BE49-F238E27FC236}">
              <a16:creationId xmlns:a16="http://schemas.microsoft.com/office/drawing/2014/main" id="{00000000-0008-0000-1C00-00000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4752975" cy="4295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57151</xdr:rowOff>
    </xdr:from>
    <xdr:to>
      <xdr:col>11</xdr:col>
      <xdr:colOff>219075</xdr:colOff>
      <xdr:row>31</xdr:row>
      <xdr:rowOff>74761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00000000-0008-0000-2500-00000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" y="247651"/>
          <a:ext cx="7219950" cy="57326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533400</xdr:colOff>
      <xdr:row>1</xdr:row>
      <xdr:rowOff>104775</xdr:rowOff>
    </xdr:from>
    <xdr:to>
      <xdr:col>23</xdr:col>
      <xdr:colOff>393306</xdr:colOff>
      <xdr:row>31</xdr:row>
      <xdr:rowOff>10275</xdr:rowOff>
    </xdr:to>
    <xdr:pic>
      <xdr:nvPicPr>
        <xdr:cNvPr id="4099" name="Picture 3">
          <a:extLst>
            <a:ext uri="{FF2B5EF4-FFF2-40B4-BE49-F238E27FC236}">
              <a16:creationId xmlns:a16="http://schemas.microsoft.com/office/drawing/2014/main" id="{00000000-0008-0000-2500-00000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39000" y="295275"/>
          <a:ext cx="7175106" cy="5620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34</xdr:row>
      <xdr:rowOff>28575</xdr:rowOff>
    </xdr:from>
    <xdr:to>
      <xdr:col>11</xdr:col>
      <xdr:colOff>89199</xdr:colOff>
      <xdr:row>62</xdr:row>
      <xdr:rowOff>66675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25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6886575"/>
          <a:ext cx="7099599" cy="5372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126550</xdr:colOff>
      <xdr:row>34</xdr:row>
      <xdr:rowOff>126813</xdr:rowOff>
    </xdr:from>
    <xdr:to>
      <xdr:col>22</xdr:col>
      <xdr:colOff>190499</xdr:colOff>
      <xdr:row>63</xdr:row>
      <xdr:rowOff>9525</xdr:rowOff>
    </xdr:to>
    <xdr:pic>
      <xdr:nvPicPr>
        <xdr:cNvPr id="5122" name="Picture 2">
          <a:extLst>
            <a:ext uri="{FF2B5EF4-FFF2-40B4-BE49-F238E27FC236}">
              <a16:creationId xmlns:a16="http://schemas.microsoft.com/office/drawing/2014/main" id="{00000000-0008-0000-2500-000002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7136950" y="6984813"/>
          <a:ext cx="6769549" cy="540721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66</xdr:row>
      <xdr:rowOff>9525</xdr:rowOff>
    </xdr:from>
    <xdr:to>
      <xdr:col>10</xdr:col>
      <xdr:colOff>446999</xdr:colOff>
      <xdr:row>94</xdr:row>
      <xdr:rowOff>9525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25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0" y="12582525"/>
          <a:ext cx="6847799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507337</xdr:colOff>
      <xdr:row>66</xdr:row>
      <xdr:rowOff>58285</xdr:rowOff>
    </xdr:from>
    <xdr:to>
      <xdr:col>22</xdr:col>
      <xdr:colOff>132763</xdr:colOff>
      <xdr:row>95</xdr:row>
      <xdr:rowOff>153407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908137" y="12631285"/>
          <a:ext cx="6940626" cy="561962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zoomScale="115" zoomScaleNormal="115" workbookViewId="0">
      <selection activeCell="H25" sqref="H25"/>
    </sheetView>
  </sheetViews>
  <sheetFormatPr defaultColWidth="9.1796875" defaultRowHeight="13" x14ac:dyDescent="0.3"/>
  <cols>
    <col min="1" max="1" width="27.54296875" style="146" bestFit="1" customWidth="1"/>
    <col min="2" max="2" width="13.453125" style="134" bestFit="1" customWidth="1"/>
    <col min="3" max="3" width="11.54296875" style="146" bestFit="1" customWidth="1"/>
    <col min="4" max="4" width="11" style="146" bestFit="1" customWidth="1"/>
    <col min="5" max="5" width="10" style="154" bestFit="1" customWidth="1"/>
    <col min="6" max="7" width="13.453125" style="146" bestFit="1" customWidth="1"/>
    <col min="8" max="8" width="12" style="146" bestFit="1" customWidth="1"/>
    <col min="9" max="9" width="13.453125" style="146" bestFit="1" customWidth="1"/>
    <col min="10" max="10" width="12" style="146" bestFit="1" customWidth="1"/>
    <col min="11" max="11" width="14.453125" style="146" bestFit="1" customWidth="1"/>
    <col min="12" max="12" width="13.453125" style="146" bestFit="1" customWidth="1"/>
    <col min="13" max="13" width="12" style="146" bestFit="1" customWidth="1"/>
    <col min="14" max="14" width="11" style="146" bestFit="1" customWidth="1"/>
    <col min="15" max="15" width="13.453125" style="146" bestFit="1" customWidth="1"/>
    <col min="16" max="16384" width="9.1796875" style="146"/>
  </cols>
  <sheetData>
    <row r="1" spans="1:12" s="134" customFormat="1" x14ac:dyDescent="0.3">
      <c r="A1" s="133" t="s">
        <v>167</v>
      </c>
      <c r="B1" s="134">
        <v>108000</v>
      </c>
      <c r="I1" s="134" t="s">
        <v>282</v>
      </c>
      <c r="J1" s="134" t="s">
        <v>283</v>
      </c>
    </row>
    <row r="2" spans="1:12" s="134" customFormat="1" x14ac:dyDescent="0.3">
      <c r="A2" s="133" t="s">
        <v>141</v>
      </c>
      <c r="B2" s="134">
        <v>60000</v>
      </c>
      <c r="E2" s="154" t="s">
        <v>281</v>
      </c>
      <c r="F2" s="134">
        <v>1430000</v>
      </c>
      <c r="G2" s="153">
        <v>0.1</v>
      </c>
      <c r="H2" s="134">
        <f>+F2*G2</f>
        <v>143000</v>
      </c>
      <c r="I2" s="134">
        <f>+F2/12</f>
        <v>119166.66666666667</v>
      </c>
      <c r="J2" s="134">
        <f>+I2-10000</f>
        <v>109166.66666666667</v>
      </c>
    </row>
    <row r="3" spans="1:12" s="134" customFormat="1" x14ac:dyDescent="0.3">
      <c r="A3" s="133"/>
      <c r="E3" s="154">
        <v>2020</v>
      </c>
      <c r="F3" s="134">
        <f>+F2+H2</f>
        <v>1573000</v>
      </c>
      <c r="G3" s="153">
        <v>0.1</v>
      </c>
      <c r="H3" s="134">
        <f t="shared" ref="H3:H8" si="0">+F3*G3</f>
        <v>157300</v>
      </c>
      <c r="I3" s="134">
        <f t="shared" ref="I3:I8" si="1">+F3/12</f>
        <v>131083.33333333334</v>
      </c>
      <c r="J3" s="134">
        <f t="shared" ref="J3:J8" si="2">+I3-10000</f>
        <v>121083.33333333334</v>
      </c>
    </row>
    <row r="4" spans="1:12" s="134" customFormat="1" x14ac:dyDescent="0.3">
      <c r="A4" s="133"/>
      <c r="B4" s="135"/>
      <c r="E4" s="154">
        <v>2021</v>
      </c>
      <c r="F4" s="134">
        <f>+F3+H3</f>
        <v>1730300</v>
      </c>
      <c r="G4" s="153">
        <v>0.1</v>
      </c>
      <c r="H4" s="134">
        <f t="shared" si="0"/>
        <v>173030</v>
      </c>
      <c r="I4" s="134">
        <f t="shared" si="1"/>
        <v>144191.66666666666</v>
      </c>
      <c r="J4" s="134">
        <f t="shared" si="2"/>
        <v>134191.66666666666</v>
      </c>
    </row>
    <row r="5" spans="1:12" s="134" customFormat="1" x14ac:dyDescent="0.3">
      <c r="A5" s="136" t="s">
        <v>74</v>
      </c>
      <c r="B5" s="149">
        <v>-20000</v>
      </c>
      <c r="C5" s="134">
        <f>+B5</f>
        <v>-20000</v>
      </c>
      <c r="E5" s="154">
        <v>2022</v>
      </c>
      <c r="F5" s="134">
        <f>+F4+H4</f>
        <v>1903330</v>
      </c>
      <c r="G5" s="153">
        <v>0.1</v>
      </c>
      <c r="H5" s="134">
        <f t="shared" si="0"/>
        <v>190333</v>
      </c>
      <c r="I5" s="134">
        <f t="shared" si="1"/>
        <v>158610.83333333334</v>
      </c>
      <c r="J5" s="134">
        <f t="shared" si="2"/>
        <v>148610.83333333334</v>
      </c>
    </row>
    <row r="6" spans="1:12" s="134" customFormat="1" x14ac:dyDescent="0.3">
      <c r="A6" s="137" t="s">
        <v>171</v>
      </c>
      <c r="B6" s="138">
        <v>-5000</v>
      </c>
      <c r="C6" s="134">
        <f>+B6</f>
        <v>-5000</v>
      </c>
      <c r="E6" s="154">
        <v>2023</v>
      </c>
      <c r="F6" s="134">
        <f t="shared" ref="F6:F8" si="3">+F5+H5</f>
        <v>2093663</v>
      </c>
      <c r="G6" s="153">
        <v>0.1</v>
      </c>
      <c r="H6" s="134">
        <f t="shared" si="0"/>
        <v>209366.30000000002</v>
      </c>
      <c r="I6" s="134">
        <f t="shared" si="1"/>
        <v>174471.91666666666</v>
      </c>
      <c r="J6" s="134">
        <f t="shared" si="2"/>
        <v>164471.91666666666</v>
      </c>
    </row>
    <row r="7" spans="1:12" s="134" customFormat="1" x14ac:dyDescent="0.3">
      <c r="A7" s="136" t="s">
        <v>277</v>
      </c>
      <c r="B7" s="149">
        <f>-30000</f>
        <v>-30000</v>
      </c>
      <c r="E7" s="154">
        <v>2024</v>
      </c>
      <c r="F7" s="134">
        <f t="shared" si="3"/>
        <v>2303029.2999999998</v>
      </c>
      <c r="G7" s="153">
        <v>0.1</v>
      </c>
      <c r="H7" s="134">
        <f t="shared" si="0"/>
        <v>230302.93</v>
      </c>
      <c r="I7" s="134">
        <f t="shared" si="1"/>
        <v>191919.10833333331</v>
      </c>
      <c r="J7" s="134">
        <f t="shared" si="2"/>
        <v>181919.10833333331</v>
      </c>
    </row>
    <row r="8" spans="1:12" s="134" customFormat="1" x14ac:dyDescent="0.3">
      <c r="A8" s="136" t="s">
        <v>278</v>
      </c>
      <c r="B8" s="149">
        <v>-10000</v>
      </c>
      <c r="E8" s="154">
        <v>2025</v>
      </c>
      <c r="F8" s="134">
        <f t="shared" si="3"/>
        <v>2533332.23</v>
      </c>
      <c r="G8" s="153">
        <v>0.1</v>
      </c>
      <c r="H8" s="134">
        <f t="shared" si="0"/>
        <v>253333.223</v>
      </c>
      <c r="I8" s="134">
        <f t="shared" si="1"/>
        <v>211111.01916666667</v>
      </c>
      <c r="J8" s="134">
        <f t="shared" si="2"/>
        <v>201111.01916666667</v>
      </c>
      <c r="L8" s="134">
        <f>1430000*7.5%</f>
        <v>107250</v>
      </c>
    </row>
    <row r="9" spans="1:12" s="135" customFormat="1" x14ac:dyDescent="0.3">
      <c r="A9" s="137" t="s">
        <v>176</v>
      </c>
      <c r="B9" s="152">
        <v>-3000</v>
      </c>
      <c r="C9" s="134">
        <f>+B9</f>
        <v>-3000</v>
      </c>
      <c r="L9" s="135">
        <v>1430000</v>
      </c>
    </row>
    <row r="10" spans="1:12" s="134" customFormat="1" x14ac:dyDescent="0.3">
      <c r="E10" s="154"/>
    </row>
    <row r="11" spans="1:12" s="134" customFormat="1" x14ac:dyDescent="0.3">
      <c r="A11" s="139" t="s">
        <v>162</v>
      </c>
      <c r="B11" s="140">
        <v>-5000</v>
      </c>
      <c r="C11" s="134">
        <f t="shared" ref="C11:C15" si="4">+B11</f>
        <v>-5000</v>
      </c>
      <c r="E11" s="154"/>
    </row>
    <row r="12" spans="1:12" s="134" customFormat="1" x14ac:dyDescent="0.3">
      <c r="A12" s="139" t="s">
        <v>172</v>
      </c>
      <c r="B12" s="140">
        <v>-2100</v>
      </c>
      <c r="C12" s="134">
        <f t="shared" si="4"/>
        <v>-2100</v>
      </c>
      <c r="E12" s="154"/>
      <c r="J12" s="155"/>
    </row>
    <row r="13" spans="1:12" s="134" customFormat="1" x14ac:dyDescent="0.3">
      <c r="A13" s="139" t="s">
        <v>165</v>
      </c>
      <c r="B13" s="150">
        <v>-2100</v>
      </c>
      <c r="C13" s="134">
        <f t="shared" si="4"/>
        <v>-2100</v>
      </c>
      <c r="I13" s="134" t="s">
        <v>282</v>
      </c>
      <c r="J13" s="134" t="s">
        <v>283</v>
      </c>
    </row>
    <row r="14" spans="1:12" s="134" customFormat="1" x14ac:dyDescent="0.3">
      <c r="A14" s="139" t="s">
        <v>128</v>
      </c>
      <c r="B14" s="140">
        <v>-4000</v>
      </c>
      <c r="C14" s="134">
        <v>-3000</v>
      </c>
      <c r="E14" s="154" t="s">
        <v>281</v>
      </c>
      <c r="F14" s="134">
        <v>1430000</v>
      </c>
      <c r="G14" s="153">
        <v>0.08</v>
      </c>
      <c r="H14" s="134">
        <f>+F14*G14</f>
        <v>114400</v>
      </c>
      <c r="I14" s="134">
        <f>+F14/12</f>
        <v>119166.66666666667</v>
      </c>
      <c r="J14" s="134">
        <f>+I14-10000</f>
        <v>109166.66666666667</v>
      </c>
    </row>
    <row r="15" spans="1:12" s="135" customFormat="1" x14ac:dyDescent="0.3">
      <c r="A15" s="139" t="s">
        <v>170</v>
      </c>
      <c r="B15" s="140">
        <v>-1200</v>
      </c>
      <c r="C15" s="134">
        <f t="shared" si="4"/>
        <v>-1200</v>
      </c>
      <c r="E15" s="154">
        <v>2020</v>
      </c>
      <c r="F15" s="134">
        <f>+F14+H14</f>
        <v>1544400</v>
      </c>
      <c r="G15" s="153">
        <v>0.08</v>
      </c>
      <c r="H15" s="134">
        <f t="shared" ref="H15:H20" si="5">+F15*G15</f>
        <v>123552</v>
      </c>
      <c r="I15" s="134">
        <f t="shared" ref="I15:I20" si="6">+F15/12</f>
        <v>128700</v>
      </c>
      <c r="J15" s="134">
        <f t="shared" ref="J15:J20" si="7">+I15-10000</f>
        <v>118700</v>
      </c>
    </row>
    <row r="16" spans="1:12" s="134" customFormat="1" x14ac:dyDescent="0.3">
      <c r="A16" s="141"/>
      <c r="B16" s="142"/>
      <c r="E16" s="154">
        <v>2021</v>
      </c>
      <c r="F16" s="134">
        <f>+F15+H15</f>
        <v>1667952</v>
      </c>
      <c r="G16" s="153">
        <v>0.08</v>
      </c>
      <c r="H16" s="134">
        <f t="shared" si="5"/>
        <v>133436.16</v>
      </c>
      <c r="I16" s="134">
        <f t="shared" si="6"/>
        <v>138996</v>
      </c>
      <c r="J16" s="134">
        <f t="shared" si="7"/>
        <v>128996</v>
      </c>
    </row>
    <row r="17" spans="1:10" s="134" customFormat="1" x14ac:dyDescent="0.3">
      <c r="A17" s="143" t="s">
        <v>17</v>
      </c>
      <c r="B17" s="144">
        <v>-350</v>
      </c>
      <c r="C17" s="134">
        <f t="shared" ref="C17:C18" si="8">+B17</f>
        <v>-350</v>
      </c>
      <c r="E17" s="154">
        <v>2022</v>
      </c>
      <c r="F17" s="134">
        <f>+F16+H16</f>
        <v>1801388.16</v>
      </c>
      <c r="G17" s="153">
        <v>0.08</v>
      </c>
      <c r="H17" s="134">
        <f t="shared" si="5"/>
        <v>144111.0528</v>
      </c>
      <c r="I17" s="134">
        <f t="shared" si="6"/>
        <v>150115.68</v>
      </c>
      <c r="J17" s="134">
        <f t="shared" si="7"/>
        <v>140115.68</v>
      </c>
    </row>
    <row r="18" spans="1:10" s="134" customFormat="1" x14ac:dyDescent="0.3">
      <c r="A18" s="143" t="s">
        <v>16</v>
      </c>
      <c r="B18" s="144">
        <v>-850</v>
      </c>
      <c r="C18" s="134">
        <f t="shared" si="8"/>
        <v>-850</v>
      </c>
      <c r="E18" s="154">
        <v>2023</v>
      </c>
      <c r="F18" s="134">
        <f t="shared" ref="F18:F20" si="9">+F17+H17</f>
        <v>1945499.2127999999</v>
      </c>
      <c r="G18" s="153">
        <v>0.08</v>
      </c>
      <c r="H18" s="134">
        <f t="shared" si="5"/>
        <v>155639.93702399998</v>
      </c>
      <c r="I18" s="134">
        <f t="shared" si="6"/>
        <v>162124.9344</v>
      </c>
      <c r="J18" s="134">
        <f t="shared" si="7"/>
        <v>152124.9344</v>
      </c>
    </row>
    <row r="19" spans="1:10" s="134" customFormat="1" x14ac:dyDescent="0.3">
      <c r="A19" s="143" t="s">
        <v>7</v>
      </c>
      <c r="B19" s="144">
        <v>-2000</v>
      </c>
      <c r="C19" s="134">
        <v>-750</v>
      </c>
      <c r="D19" s="145"/>
      <c r="E19" s="154">
        <v>2024</v>
      </c>
      <c r="F19" s="134">
        <f t="shared" si="9"/>
        <v>2101139.149824</v>
      </c>
      <c r="G19" s="153">
        <v>0.08</v>
      </c>
      <c r="H19" s="134">
        <f t="shared" si="5"/>
        <v>168091.13198591999</v>
      </c>
      <c r="I19" s="134">
        <f t="shared" si="6"/>
        <v>175094.929152</v>
      </c>
      <c r="J19" s="134">
        <f t="shared" si="7"/>
        <v>165094.929152</v>
      </c>
    </row>
    <row r="20" spans="1:10" s="134" customFormat="1" x14ac:dyDescent="0.3">
      <c r="A20" s="146"/>
      <c r="E20" s="154">
        <v>2025</v>
      </c>
      <c r="F20" s="134">
        <f t="shared" si="9"/>
        <v>2269230.28180992</v>
      </c>
      <c r="G20" s="153">
        <v>0.08</v>
      </c>
      <c r="H20" s="134">
        <f t="shared" si="5"/>
        <v>181538.4225447936</v>
      </c>
      <c r="I20" s="134">
        <f t="shared" si="6"/>
        <v>189102.52348415999</v>
      </c>
      <c r="J20" s="134">
        <f t="shared" si="7"/>
        <v>179102.52348415999</v>
      </c>
    </row>
    <row r="21" spans="1:10" s="134" customFormat="1" x14ac:dyDescent="0.3">
      <c r="A21" s="147" t="s">
        <v>279</v>
      </c>
      <c r="B21" s="148">
        <v>-26000</v>
      </c>
      <c r="C21" s="134">
        <v>-23500</v>
      </c>
      <c r="E21" s="154"/>
    </row>
    <row r="22" spans="1:10" s="134" customFormat="1" x14ac:dyDescent="0.3">
      <c r="A22" s="134" t="s">
        <v>280</v>
      </c>
      <c r="B22" s="151"/>
      <c r="E22" s="154"/>
    </row>
    <row r="23" spans="1:10" s="134" customFormat="1" x14ac:dyDescent="0.3">
      <c r="E23" s="154"/>
    </row>
    <row r="24" spans="1:10" s="134" customFormat="1" x14ac:dyDescent="0.3">
      <c r="E24" s="154"/>
      <c r="F24" s="134">
        <v>10000</v>
      </c>
    </row>
    <row r="25" spans="1:10" s="134" customFormat="1" x14ac:dyDescent="0.3">
      <c r="A25" s="146" t="s">
        <v>266</v>
      </c>
      <c r="B25" s="134">
        <f>SUM(B1:B24)</f>
        <v>56400</v>
      </c>
      <c r="C25" s="134">
        <f>SUM(C5:C24)</f>
        <v>-66850</v>
      </c>
      <c r="D25" s="134">
        <f>+B2+C25</f>
        <v>-6850</v>
      </c>
      <c r="E25" s="154"/>
      <c r="F25" s="134">
        <v>35000</v>
      </c>
    </row>
    <row r="26" spans="1:10" s="134" customFormat="1" x14ac:dyDescent="0.3">
      <c r="E26" s="154"/>
      <c r="F26" s="134">
        <f>56400-45000</f>
        <v>11400</v>
      </c>
    </row>
    <row r="27" spans="1:10" s="134" customFormat="1" x14ac:dyDescent="0.3">
      <c r="E27" s="154"/>
    </row>
    <row r="28" spans="1:10" s="134" customFormat="1" x14ac:dyDescent="0.3">
      <c r="E28" s="154"/>
    </row>
    <row r="29" spans="1:10" s="134" customFormat="1" x14ac:dyDescent="0.3">
      <c r="A29" s="146"/>
      <c r="E29" s="154"/>
    </row>
    <row r="30" spans="1:10" s="134" customFormat="1" x14ac:dyDescent="0.3">
      <c r="A30" s="146"/>
      <c r="E30" s="154"/>
    </row>
    <row r="31" spans="1:10" s="134" customFormat="1" x14ac:dyDescent="0.3">
      <c r="E31" s="154"/>
    </row>
    <row r="32" spans="1:10" s="134" customFormat="1" x14ac:dyDescent="0.3">
      <c r="A32" s="146"/>
      <c r="E32" s="154"/>
    </row>
    <row r="33" spans="1:5" s="134" customFormat="1" x14ac:dyDescent="0.3">
      <c r="A33" s="146"/>
      <c r="E33" s="154"/>
    </row>
    <row r="34" spans="1:5" s="134" customFormat="1" x14ac:dyDescent="0.3">
      <c r="A34" s="146"/>
      <c r="E34" s="15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1"/>
  <sheetViews>
    <sheetView workbookViewId="0"/>
  </sheetViews>
  <sheetFormatPr defaultRowHeight="14.5" x14ac:dyDescent="0.35"/>
  <cols>
    <col min="1" max="1" width="21.54296875" bestFit="1" customWidth="1"/>
    <col min="6" max="6" width="15.7265625" bestFit="1" customWidth="1"/>
    <col min="10" max="10" width="8.1796875" customWidth="1"/>
  </cols>
  <sheetData>
    <row r="1" spans="1:10" x14ac:dyDescent="0.35">
      <c r="A1" s="1" t="s">
        <v>33</v>
      </c>
      <c r="B1" s="1">
        <v>43000</v>
      </c>
      <c r="C1" s="12"/>
      <c r="D1" s="12"/>
      <c r="E1" s="12"/>
      <c r="F1" s="12"/>
      <c r="G1" s="12"/>
      <c r="H1" s="12"/>
      <c r="I1" s="12"/>
      <c r="J1" s="12"/>
    </row>
    <row r="2" spans="1:10" x14ac:dyDescent="0.35">
      <c r="A2" s="1" t="s">
        <v>34</v>
      </c>
      <c r="B2" s="1">
        <v>55000</v>
      </c>
      <c r="C2" s="12"/>
      <c r="D2" s="12"/>
      <c r="E2" s="12"/>
      <c r="F2" s="12"/>
      <c r="G2" s="12"/>
      <c r="H2" s="12"/>
      <c r="I2" s="12"/>
      <c r="J2" s="12"/>
    </row>
    <row r="3" spans="1:10" x14ac:dyDescent="0.35">
      <c r="C3" s="12"/>
      <c r="D3" s="12"/>
      <c r="E3" s="12"/>
      <c r="F3" s="12"/>
      <c r="G3" s="12"/>
      <c r="H3" s="12"/>
      <c r="I3" s="12"/>
      <c r="J3" s="12"/>
    </row>
    <row r="4" spans="1:10" x14ac:dyDescent="0.35">
      <c r="A4" t="s">
        <v>3</v>
      </c>
      <c r="B4">
        <v>32000</v>
      </c>
      <c r="C4" s="12"/>
      <c r="D4" s="12"/>
      <c r="E4" s="12"/>
      <c r="F4" s="12"/>
      <c r="G4" s="12"/>
      <c r="H4" s="12"/>
      <c r="I4" s="12"/>
      <c r="J4" s="12"/>
    </row>
    <row r="5" spans="1:10" x14ac:dyDescent="0.35">
      <c r="A5" t="s">
        <v>15</v>
      </c>
      <c r="B5" s="17">
        <v>1100</v>
      </c>
      <c r="C5" s="12"/>
      <c r="D5" s="12"/>
      <c r="E5" s="12"/>
      <c r="F5" s="12"/>
      <c r="G5" s="12"/>
      <c r="H5" s="12"/>
      <c r="I5" s="12"/>
      <c r="J5" s="12"/>
    </row>
    <row r="6" spans="1:10" x14ac:dyDescent="0.35">
      <c r="A6" t="s">
        <v>11</v>
      </c>
      <c r="B6" s="1">
        <v>1000</v>
      </c>
      <c r="C6" s="12"/>
      <c r="D6" s="12"/>
      <c r="E6" s="12"/>
      <c r="F6" s="12"/>
      <c r="G6" s="12"/>
      <c r="H6" s="12"/>
      <c r="I6" s="12"/>
      <c r="J6" s="12"/>
    </row>
    <row r="7" spans="1:10" x14ac:dyDescent="0.35">
      <c r="A7" t="s">
        <v>23</v>
      </c>
      <c r="B7" s="31">
        <v>500</v>
      </c>
      <c r="C7" s="12"/>
      <c r="D7" s="12"/>
      <c r="E7" s="12"/>
      <c r="F7" s="12"/>
      <c r="G7" s="12"/>
      <c r="H7" s="12"/>
      <c r="I7" s="12"/>
      <c r="J7" s="12"/>
    </row>
    <row r="8" spans="1:10" x14ac:dyDescent="0.35">
      <c r="A8" t="s">
        <v>22</v>
      </c>
      <c r="B8" s="12">
        <v>3000</v>
      </c>
      <c r="C8" s="12"/>
      <c r="D8" s="12"/>
      <c r="E8" s="12"/>
      <c r="F8" s="12"/>
      <c r="G8" s="12"/>
      <c r="H8" s="12"/>
      <c r="I8" s="12"/>
      <c r="J8" s="12"/>
    </row>
    <row r="9" spans="1:10" x14ac:dyDescent="0.35">
      <c r="A9" t="s">
        <v>5</v>
      </c>
      <c r="B9" s="12">
        <v>5000</v>
      </c>
      <c r="C9" s="12"/>
      <c r="D9" s="12"/>
      <c r="E9" s="12"/>
      <c r="F9" s="12"/>
      <c r="G9" s="12"/>
      <c r="H9" s="12"/>
      <c r="I9" s="12"/>
      <c r="J9" s="12"/>
    </row>
    <row r="10" spans="1:10" x14ac:dyDescent="0.35">
      <c r="A10" t="s">
        <v>8</v>
      </c>
      <c r="B10" s="12">
        <f>1400+700</f>
        <v>2100</v>
      </c>
      <c r="C10" s="12"/>
      <c r="D10" s="12"/>
      <c r="E10" s="12"/>
      <c r="F10" s="12"/>
      <c r="G10" s="12"/>
      <c r="H10" s="12"/>
      <c r="I10" s="12"/>
      <c r="J10" s="12"/>
    </row>
    <row r="11" spans="1:10" x14ac:dyDescent="0.35">
      <c r="A11" t="s">
        <v>45</v>
      </c>
      <c r="B11" s="12">
        <v>5000</v>
      </c>
      <c r="C11" s="12"/>
      <c r="D11" s="12"/>
      <c r="E11" s="12"/>
      <c r="F11" s="12"/>
      <c r="G11" s="12"/>
      <c r="H11" s="12"/>
      <c r="I11" s="12"/>
      <c r="J11" s="12"/>
    </row>
    <row r="12" spans="1:10" x14ac:dyDescent="0.35">
      <c r="A12" t="s">
        <v>12</v>
      </c>
      <c r="B12" s="12">
        <v>2100</v>
      </c>
      <c r="C12" s="12"/>
      <c r="D12" s="12"/>
      <c r="E12" s="12"/>
      <c r="F12" s="12"/>
      <c r="G12" s="12"/>
      <c r="H12" s="12"/>
      <c r="I12" s="12"/>
      <c r="J12" s="12"/>
    </row>
    <row r="13" spans="1:10" x14ac:dyDescent="0.35">
      <c r="A13" t="s">
        <v>13</v>
      </c>
      <c r="B13" s="12">
        <v>1700</v>
      </c>
      <c r="C13" s="12"/>
      <c r="D13" s="12"/>
      <c r="E13" s="12"/>
      <c r="F13" s="12"/>
      <c r="G13" s="12"/>
      <c r="H13" s="12"/>
      <c r="I13" s="12"/>
      <c r="J13" s="12"/>
    </row>
    <row r="14" spans="1:10" x14ac:dyDescent="0.35">
      <c r="A14" t="s">
        <v>17</v>
      </c>
      <c r="B14" s="12">
        <v>200</v>
      </c>
      <c r="C14" s="12"/>
      <c r="D14" s="12"/>
      <c r="E14" s="12"/>
      <c r="F14" s="12"/>
      <c r="G14" s="12"/>
      <c r="H14" s="12"/>
      <c r="I14" s="12"/>
      <c r="J14" s="12"/>
    </row>
    <row r="15" spans="1:10" x14ac:dyDescent="0.35">
      <c r="A15" t="s">
        <v>14</v>
      </c>
      <c r="B15" s="12">
        <v>500</v>
      </c>
      <c r="C15" s="12"/>
      <c r="D15" s="12"/>
      <c r="E15" s="12"/>
      <c r="F15" s="12"/>
      <c r="G15" s="12"/>
      <c r="H15" s="12"/>
      <c r="I15" s="12"/>
      <c r="J15" s="12"/>
    </row>
    <row r="16" spans="1:10" x14ac:dyDescent="0.35">
      <c r="A16" t="s">
        <v>6</v>
      </c>
      <c r="B16" s="12">
        <v>1000</v>
      </c>
      <c r="C16" s="12"/>
      <c r="D16" s="12"/>
      <c r="E16" s="12"/>
      <c r="F16" s="12"/>
      <c r="G16" s="12"/>
      <c r="H16" s="12"/>
      <c r="I16" s="12"/>
      <c r="J16" s="12"/>
    </row>
    <row r="17" spans="1:10" x14ac:dyDescent="0.35">
      <c r="A17" t="s">
        <v>7</v>
      </c>
      <c r="B17" s="12">
        <v>1000</v>
      </c>
      <c r="C17" s="12"/>
      <c r="D17" s="12"/>
      <c r="E17" s="12"/>
      <c r="F17" s="12"/>
      <c r="G17" s="12"/>
      <c r="H17" s="12"/>
      <c r="I17" s="12"/>
      <c r="J17" s="12"/>
    </row>
    <row r="18" spans="1:10" x14ac:dyDescent="0.35">
      <c r="A18" t="s">
        <v>10</v>
      </c>
      <c r="B18" s="12">
        <v>3000</v>
      </c>
      <c r="C18" s="12"/>
      <c r="D18" s="12"/>
      <c r="E18" s="12"/>
      <c r="F18" s="12"/>
      <c r="G18" s="12"/>
      <c r="H18" s="12"/>
      <c r="I18" s="12"/>
      <c r="J18" s="12"/>
    </row>
    <row r="19" spans="1:10" x14ac:dyDescent="0.35">
      <c r="A19" t="s">
        <v>46</v>
      </c>
      <c r="B19" s="12">
        <v>2500</v>
      </c>
      <c r="C19" s="12"/>
      <c r="D19" s="12"/>
      <c r="E19" s="12"/>
      <c r="F19" s="12"/>
      <c r="G19" s="12"/>
      <c r="H19" s="12"/>
      <c r="I19" s="12"/>
      <c r="J19" s="12"/>
    </row>
    <row r="20" spans="1:10" x14ac:dyDescent="0.35">
      <c r="B20" s="12"/>
      <c r="C20" s="12"/>
      <c r="D20" s="12"/>
      <c r="E20" s="12"/>
      <c r="F20" s="12"/>
      <c r="G20" s="12"/>
      <c r="H20" s="12"/>
      <c r="I20" s="12"/>
      <c r="J20" s="12"/>
    </row>
    <row r="21" spans="1:10" x14ac:dyDescent="0.35">
      <c r="C21" s="12"/>
      <c r="D21" s="12"/>
      <c r="E21" s="12"/>
      <c r="F21" s="12"/>
      <c r="G21" s="12"/>
      <c r="H21" s="12"/>
      <c r="I21" s="12"/>
      <c r="J21" s="12"/>
    </row>
    <row r="22" spans="1:10" x14ac:dyDescent="0.35">
      <c r="B22" s="32"/>
      <c r="C22" s="12"/>
      <c r="D22" s="12"/>
      <c r="E22" s="12"/>
      <c r="F22" s="12"/>
      <c r="G22" s="12"/>
      <c r="H22" s="12"/>
      <c r="I22" s="12"/>
      <c r="J22" s="12"/>
    </row>
    <row r="23" spans="1:10" x14ac:dyDescent="0.35">
      <c r="B23" s="21"/>
      <c r="C23" s="12"/>
      <c r="D23" s="12"/>
      <c r="E23" s="12"/>
      <c r="F23" s="12"/>
      <c r="G23" s="12"/>
      <c r="H23" s="12"/>
      <c r="I23" s="12"/>
      <c r="J23" s="12"/>
    </row>
    <row r="24" spans="1:10" x14ac:dyDescent="0.35">
      <c r="C24" s="12"/>
      <c r="D24" s="12"/>
      <c r="E24" s="12"/>
      <c r="F24" s="12"/>
      <c r="G24" s="12"/>
      <c r="H24" s="12"/>
      <c r="I24" s="12"/>
      <c r="J24" s="12"/>
    </row>
    <row r="25" spans="1:10" x14ac:dyDescent="0.35">
      <c r="A25" t="s">
        <v>30</v>
      </c>
      <c r="B25" s="12">
        <f>SUM(B1:B2)</f>
        <v>98000</v>
      </c>
      <c r="C25" s="12"/>
      <c r="D25" s="12"/>
      <c r="E25" s="12"/>
      <c r="F25" s="12"/>
      <c r="G25" s="12"/>
      <c r="H25" s="12"/>
      <c r="I25" s="12"/>
      <c r="J25" s="12"/>
    </row>
    <row r="26" spans="1:10" x14ac:dyDescent="0.35">
      <c r="A26" t="s">
        <v>31</v>
      </c>
      <c r="B26" s="12">
        <f>SUM(B4:B24)</f>
        <v>61700</v>
      </c>
      <c r="C26" s="12"/>
      <c r="D26" s="12"/>
      <c r="E26" s="12"/>
      <c r="F26" s="12"/>
      <c r="G26" s="12"/>
      <c r="H26" s="12"/>
      <c r="I26" s="12"/>
      <c r="J26" s="12"/>
    </row>
    <row r="27" spans="1:10" x14ac:dyDescent="0.35">
      <c r="A27" s="1" t="s">
        <v>29</v>
      </c>
      <c r="B27" s="1">
        <f>+B25-B26</f>
        <v>36300</v>
      </c>
      <c r="C27" s="12"/>
      <c r="D27" s="12"/>
      <c r="E27" s="12"/>
      <c r="F27" s="12"/>
      <c r="G27" s="12"/>
      <c r="H27" s="12"/>
      <c r="I27" s="12"/>
      <c r="J27" s="12"/>
    </row>
    <row r="35" spans="2:2" x14ac:dyDescent="0.35">
      <c r="B35" s="17"/>
    </row>
    <row r="36" spans="2:2" x14ac:dyDescent="0.35">
      <c r="B36" s="1"/>
    </row>
    <row r="37" spans="2:2" x14ac:dyDescent="0.35">
      <c r="B37" s="17"/>
    </row>
    <row r="38" spans="2:2" x14ac:dyDescent="0.35">
      <c r="B38" s="17"/>
    </row>
    <row r="39" spans="2:2" x14ac:dyDescent="0.35">
      <c r="B39" s="17"/>
    </row>
    <row r="40" spans="2:2" x14ac:dyDescent="0.35">
      <c r="B40" s="17"/>
    </row>
    <row r="41" spans="2:2" x14ac:dyDescent="0.35">
      <c r="B41" s="17"/>
    </row>
    <row r="42" spans="2:2" x14ac:dyDescent="0.35">
      <c r="B42" s="17"/>
    </row>
    <row r="43" spans="2:2" x14ac:dyDescent="0.35">
      <c r="B43" s="17"/>
    </row>
    <row r="44" spans="2:2" x14ac:dyDescent="0.35">
      <c r="B44" s="17"/>
    </row>
    <row r="45" spans="2:2" x14ac:dyDescent="0.35">
      <c r="B45" s="17"/>
    </row>
    <row r="46" spans="2:2" x14ac:dyDescent="0.35">
      <c r="B46" s="17"/>
    </row>
    <row r="47" spans="2:2" x14ac:dyDescent="0.35">
      <c r="B47" s="17"/>
    </row>
    <row r="48" spans="2:2" x14ac:dyDescent="0.35">
      <c r="B48" s="17"/>
    </row>
    <row r="49" spans="2:2" x14ac:dyDescent="0.35">
      <c r="B49" s="17"/>
    </row>
    <row r="50" spans="2:2" x14ac:dyDescent="0.35">
      <c r="B50" s="17"/>
    </row>
    <row r="51" spans="2:2" x14ac:dyDescent="0.35">
      <c r="B51" s="2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7"/>
  <sheetViews>
    <sheetView workbookViewId="0">
      <selection activeCell="N13" sqref="N13"/>
    </sheetView>
  </sheetViews>
  <sheetFormatPr defaultColWidth="13.81640625" defaultRowHeight="14.5" x14ac:dyDescent="0.35"/>
  <cols>
    <col min="11" max="11" width="17.54296875" bestFit="1" customWidth="1"/>
  </cols>
  <sheetData>
    <row r="1" spans="1:14" x14ac:dyDescent="0.35">
      <c r="A1" s="36" t="s">
        <v>33</v>
      </c>
      <c r="B1" s="36">
        <v>39000</v>
      </c>
      <c r="C1" s="36"/>
      <c r="H1" s="33" t="s">
        <v>3</v>
      </c>
      <c r="I1" s="33">
        <v>32000</v>
      </c>
      <c r="J1" s="33" t="s">
        <v>52</v>
      </c>
      <c r="K1" t="s">
        <v>58</v>
      </c>
    </row>
    <row r="2" spans="1:14" x14ac:dyDescent="0.35">
      <c r="A2" s="36" t="s">
        <v>34</v>
      </c>
      <c r="B2" s="36">
        <v>66000</v>
      </c>
      <c r="C2" s="36"/>
      <c r="H2" s="33" t="s">
        <v>22</v>
      </c>
      <c r="I2" s="34">
        <v>4000</v>
      </c>
      <c r="J2" s="33" t="s">
        <v>52</v>
      </c>
      <c r="K2" t="s">
        <v>59</v>
      </c>
    </row>
    <row r="3" spans="1:14" x14ac:dyDescent="0.35">
      <c r="A3" s="33"/>
      <c r="B3" s="33">
        <f>B1+B2</f>
        <v>105000</v>
      </c>
      <c r="C3" s="33"/>
      <c r="H3" s="33" t="s">
        <v>53</v>
      </c>
      <c r="I3" s="35">
        <v>2500</v>
      </c>
      <c r="K3" t="s">
        <v>60</v>
      </c>
    </row>
    <row r="4" spans="1:14" x14ac:dyDescent="0.35">
      <c r="K4" t="s">
        <v>61</v>
      </c>
    </row>
    <row r="5" spans="1:14" x14ac:dyDescent="0.35">
      <c r="A5" s="33" t="s">
        <v>74</v>
      </c>
      <c r="B5" s="33">
        <v>32000</v>
      </c>
      <c r="C5" s="33"/>
      <c r="K5" t="s">
        <v>62</v>
      </c>
    </row>
    <row r="6" spans="1:14" x14ac:dyDescent="0.35">
      <c r="A6" s="33" t="s">
        <v>15</v>
      </c>
      <c r="B6" s="49">
        <v>1100</v>
      </c>
      <c r="C6" s="36"/>
      <c r="K6" t="s">
        <v>63</v>
      </c>
    </row>
    <row r="7" spans="1:14" x14ac:dyDescent="0.35">
      <c r="A7" s="33" t="s">
        <v>11</v>
      </c>
      <c r="B7" s="49">
        <v>1000</v>
      </c>
      <c r="C7" s="36"/>
      <c r="E7">
        <v>32750</v>
      </c>
      <c r="K7" t="s">
        <v>64</v>
      </c>
    </row>
    <row r="8" spans="1:14" x14ac:dyDescent="0.35">
      <c r="A8" s="33" t="s">
        <v>23</v>
      </c>
      <c r="B8" s="49">
        <v>510</v>
      </c>
      <c r="E8">
        <v>16144</v>
      </c>
      <c r="K8" t="s">
        <v>65</v>
      </c>
    </row>
    <row r="9" spans="1:14" x14ac:dyDescent="0.35">
      <c r="A9" s="33"/>
      <c r="B9" s="36"/>
      <c r="C9" s="36"/>
      <c r="E9">
        <f>SUM(E7:E8)</f>
        <v>48894</v>
      </c>
      <c r="G9">
        <v>48894</v>
      </c>
      <c r="K9" t="s">
        <v>66</v>
      </c>
    </row>
    <row r="10" spans="1:14" x14ac:dyDescent="0.35">
      <c r="A10" s="33" t="s">
        <v>51</v>
      </c>
      <c r="B10" s="49">
        <v>3000</v>
      </c>
      <c r="G10">
        <v>-45110</v>
      </c>
      <c r="K10" t="s">
        <v>67</v>
      </c>
    </row>
    <row r="11" spans="1:14" x14ac:dyDescent="0.35">
      <c r="A11" s="33" t="s">
        <v>5</v>
      </c>
      <c r="B11" s="47">
        <v>5000</v>
      </c>
      <c r="C11" s="34"/>
      <c r="G11">
        <f>SUM(G9:G10)</f>
        <v>3784</v>
      </c>
      <c r="K11" t="s">
        <v>68</v>
      </c>
    </row>
    <row r="12" spans="1:14" x14ac:dyDescent="0.35">
      <c r="A12" s="33" t="s">
        <v>8</v>
      </c>
      <c r="B12" s="47">
        <f>1400+700</f>
        <v>2100</v>
      </c>
      <c r="C12" s="34"/>
      <c r="K12" t="s">
        <v>69</v>
      </c>
    </row>
    <row r="13" spans="1:14" x14ac:dyDescent="0.35">
      <c r="A13" s="33" t="s">
        <v>12</v>
      </c>
      <c r="B13" s="47">
        <v>2100</v>
      </c>
      <c r="C13" s="34"/>
      <c r="K13" t="s">
        <v>70</v>
      </c>
    </row>
    <row r="14" spans="1:14" x14ac:dyDescent="0.35">
      <c r="A14" s="33" t="s">
        <v>13</v>
      </c>
      <c r="B14" s="47">
        <v>1700</v>
      </c>
      <c r="C14" s="34"/>
      <c r="K14" t="s">
        <v>71</v>
      </c>
    </row>
    <row r="15" spans="1:14" x14ac:dyDescent="0.35">
      <c r="A15" s="33" t="s">
        <v>17</v>
      </c>
      <c r="B15" s="47">
        <v>200</v>
      </c>
      <c r="C15" s="34"/>
      <c r="G15">
        <v>21700</v>
      </c>
      <c r="H15" t="s">
        <v>56</v>
      </c>
      <c r="K15" t="s">
        <v>72</v>
      </c>
      <c r="N15">
        <f>975000/12</f>
        <v>81250</v>
      </c>
    </row>
    <row r="16" spans="1:14" x14ac:dyDescent="0.35">
      <c r="A16" s="33" t="s">
        <v>14</v>
      </c>
      <c r="B16" s="47">
        <v>500</v>
      </c>
      <c r="C16" s="34"/>
      <c r="F16">
        <v>16100</v>
      </c>
      <c r="G16">
        <v>4700</v>
      </c>
      <c r="H16" t="s">
        <v>53</v>
      </c>
      <c r="N16">
        <f>N15-15000</f>
        <v>66250</v>
      </c>
    </row>
    <row r="17" spans="1:14" x14ac:dyDescent="0.35">
      <c r="A17" s="33" t="s">
        <v>6</v>
      </c>
      <c r="B17" s="47">
        <v>1000</v>
      </c>
      <c r="C17" s="34"/>
      <c r="N17">
        <f>N16*23/30</f>
        <v>50791.666666666664</v>
      </c>
    </row>
    <row r="18" spans="1:14" x14ac:dyDescent="0.35">
      <c r="A18" s="33" t="s">
        <v>7</v>
      </c>
      <c r="B18" s="47">
        <v>1000</v>
      </c>
      <c r="C18" s="34"/>
    </row>
    <row r="19" spans="1:14" x14ac:dyDescent="0.35">
      <c r="A19" s="33" t="s">
        <v>10</v>
      </c>
      <c r="B19" s="47">
        <v>3000</v>
      </c>
      <c r="C19" s="34"/>
    </row>
    <row r="20" spans="1:14" x14ac:dyDescent="0.35">
      <c r="A20" s="33" t="s">
        <v>46</v>
      </c>
      <c r="B20" s="50">
        <v>2500</v>
      </c>
      <c r="C20" s="33" t="s">
        <v>73</v>
      </c>
      <c r="F20" s="48">
        <v>32750.240000000002</v>
      </c>
    </row>
    <row r="21" spans="1:14" x14ac:dyDescent="0.35">
      <c r="A21" s="33" t="s">
        <v>54</v>
      </c>
      <c r="B21" s="47">
        <v>700</v>
      </c>
      <c r="C21" s="34"/>
      <c r="F21">
        <v>-21700</v>
      </c>
    </row>
    <row r="22" spans="1:14" x14ac:dyDescent="0.35">
      <c r="A22" s="33"/>
      <c r="B22" s="34"/>
      <c r="C22" s="34"/>
      <c r="F22" s="4">
        <f>SUM(F20:F21)</f>
        <v>11050.240000000002</v>
      </c>
      <c r="G22">
        <v>16144</v>
      </c>
      <c r="H22" s="4">
        <f>+F22+G22</f>
        <v>27194.240000000002</v>
      </c>
    </row>
    <row r="23" spans="1:14" x14ac:dyDescent="0.35">
      <c r="A23" s="33" t="s">
        <v>49</v>
      </c>
      <c r="B23" s="43">
        <v>7000</v>
      </c>
      <c r="C23" s="46">
        <v>9200</v>
      </c>
      <c r="H23">
        <v>-20800</v>
      </c>
      <c r="L23">
        <f>20800-17000</f>
        <v>3800</v>
      </c>
    </row>
    <row r="24" spans="1:14" x14ac:dyDescent="0.35">
      <c r="A24" s="33" t="s">
        <v>48</v>
      </c>
      <c r="B24" s="44">
        <v>5000</v>
      </c>
      <c r="C24" s="36">
        <v>5000</v>
      </c>
      <c r="H24" s="4">
        <f>SUM(H22:H23)</f>
        <v>6394.2400000000016</v>
      </c>
      <c r="I24">
        <f>-1100-1000-510</f>
        <v>-2610</v>
      </c>
    </row>
    <row r="25" spans="1:14" x14ac:dyDescent="0.35">
      <c r="A25" s="33" t="s">
        <v>45</v>
      </c>
      <c r="B25" s="44">
        <v>6000</v>
      </c>
      <c r="C25" s="36">
        <v>6000</v>
      </c>
    </row>
    <row r="26" spans="1:14" x14ac:dyDescent="0.35">
      <c r="A26" s="33" t="s">
        <v>50</v>
      </c>
      <c r="B26" s="44"/>
      <c r="C26" s="36">
        <v>1500</v>
      </c>
      <c r="L26">
        <f>20800-1500</f>
        <v>19300</v>
      </c>
    </row>
    <row r="27" spans="1:14" x14ac:dyDescent="0.35">
      <c r="A27" s="33"/>
      <c r="B27" s="33">
        <f>SUM(B5:B26)</f>
        <v>75410</v>
      </c>
      <c r="C27" s="34"/>
    </row>
    <row r="28" spans="1:14" x14ac:dyDescent="0.35">
      <c r="A28" s="33"/>
      <c r="B28" s="34"/>
      <c r="C28" s="36"/>
    </row>
    <row r="30" spans="1:14" x14ac:dyDescent="0.35">
      <c r="B30">
        <f>B3-B27</f>
        <v>29590</v>
      </c>
    </row>
    <row r="35" spans="2:3" x14ac:dyDescent="0.35">
      <c r="B35" s="45"/>
      <c r="C35" t="s">
        <v>56</v>
      </c>
    </row>
    <row r="36" spans="2:3" x14ac:dyDescent="0.35">
      <c r="B36" s="42"/>
      <c r="C36" t="s">
        <v>55</v>
      </c>
    </row>
    <row r="37" spans="2:3" x14ac:dyDescent="0.35">
      <c r="B37" s="49"/>
      <c r="C37" t="s">
        <v>57</v>
      </c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8"/>
  <sheetViews>
    <sheetView workbookViewId="0">
      <selection activeCell="N1" sqref="N1:O29"/>
    </sheetView>
  </sheetViews>
  <sheetFormatPr defaultRowHeight="14.5" x14ac:dyDescent="0.35"/>
  <cols>
    <col min="1" max="1" width="21.54296875" bestFit="1" customWidth="1"/>
    <col min="2" max="2" width="6" bestFit="1" customWidth="1"/>
    <col min="6" max="6" width="5.7265625" bestFit="1" customWidth="1"/>
    <col min="7" max="7" width="8" bestFit="1" customWidth="1"/>
    <col min="8" max="10" width="12" bestFit="1" customWidth="1"/>
    <col min="12" max="12" width="6" bestFit="1" customWidth="1"/>
    <col min="13" max="13" width="8.1796875" customWidth="1"/>
    <col min="14" max="14" width="21.54296875" bestFit="1" customWidth="1"/>
    <col min="15" max="15" width="7" bestFit="1" customWidth="1"/>
    <col min="17" max="17" width="21.54296875" bestFit="1" customWidth="1"/>
    <col min="18" max="18" width="7" bestFit="1" customWidth="1"/>
    <col min="21" max="21" width="7" bestFit="1" customWidth="1"/>
    <col min="22" max="22" width="6" bestFit="1" customWidth="1"/>
  </cols>
  <sheetData>
    <row r="1" spans="1:22" x14ac:dyDescent="0.35">
      <c r="A1" s="36" t="s">
        <v>33</v>
      </c>
      <c r="B1" s="36">
        <v>39000</v>
      </c>
      <c r="C1" s="36"/>
      <c r="D1" s="36"/>
      <c r="E1" s="36"/>
      <c r="F1" s="34">
        <v>-7200</v>
      </c>
      <c r="G1" s="34">
        <v>-3906</v>
      </c>
      <c r="H1" s="34"/>
      <c r="I1" s="34"/>
      <c r="J1" s="34"/>
      <c r="K1" s="34"/>
      <c r="L1" s="34"/>
      <c r="M1" s="34"/>
      <c r="N1" s="36" t="s">
        <v>33</v>
      </c>
      <c r="O1" s="36">
        <v>39000</v>
      </c>
      <c r="P1" s="34"/>
      <c r="Q1" s="36" t="s">
        <v>33</v>
      </c>
      <c r="R1" s="36">
        <v>41000</v>
      </c>
      <c r="S1" s="34"/>
      <c r="T1" s="34"/>
      <c r="U1" s="34"/>
    </row>
    <row r="2" spans="1:22" x14ac:dyDescent="0.35">
      <c r="A2" s="36" t="s">
        <v>34</v>
      </c>
      <c r="B2" s="36">
        <v>52000</v>
      </c>
      <c r="C2" s="36"/>
      <c r="D2" s="36"/>
      <c r="E2" s="36"/>
      <c r="F2" s="34"/>
      <c r="G2" s="34"/>
      <c r="H2" s="34"/>
      <c r="I2" s="34"/>
      <c r="J2" s="34"/>
      <c r="K2" s="34"/>
      <c r="L2" s="34">
        <f>+O2-B2</f>
        <v>16000</v>
      </c>
      <c r="M2" s="34"/>
      <c r="N2" s="36" t="s">
        <v>34</v>
      </c>
      <c r="O2" s="36">
        <v>68000</v>
      </c>
      <c r="P2" s="34"/>
      <c r="Q2" s="36" t="s">
        <v>34</v>
      </c>
      <c r="R2" s="36">
        <v>69000</v>
      </c>
      <c r="S2" s="34"/>
      <c r="T2" s="34"/>
      <c r="U2" s="34"/>
    </row>
    <row r="3" spans="1:22" x14ac:dyDescent="0.35">
      <c r="A3" s="33"/>
      <c r="B3" s="33"/>
      <c r="C3" s="33"/>
      <c r="D3" s="33"/>
      <c r="E3" s="33"/>
      <c r="F3" s="34"/>
      <c r="G3" s="34"/>
      <c r="H3" s="34"/>
      <c r="I3" s="34"/>
      <c r="J3" s="34"/>
      <c r="K3" s="34"/>
      <c r="L3" s="34">
        <f>10200-6250</f>
        <v>3950</v>
      </c>
      <c r="M3" s="34"/>
      <c r="N3" s="33"/>
      <c r="O3" s="33"/>
      <c r="P3" s="34"/>
      <c r="Q3" s="33"/>
      <c r="R3" s="33"/>
      <c r="S3" s="34"/>
      <c r="T3" s="34"/>
      <c r="U3" s="33"/>
    </row>
    <row r="4" spans="1:22" x14ac:dyDescent="0.35">
      <c r="A4" s="33" t="s">
        <v>3</v>
      </c>
      <c r="B4" s="33">
        <v>32000</v>
      </c>
      <c r="C4" s="33" t="s">
        <v>52</v>
      </c>
      <c r="D4" s="33"/>
      <c r="E4" s="33"/>
      <c r="F4" s="34"/>
      <c r="G4" s="34"/>
      <c r="H4" s="34"/>
      <c r="I4" s="34"/>
      <c r="J4" s="34"/>
      <c r="K4" s="34"/>
      <c r="L4" s="34">
        <v>5000</v>
      </c>
      <c r="M4" s="34"/>
      <c r="N4" s="33" t="s">
        <v>3</v>
      </c>
      <c r="O4" s="33">
        <v>32000</v>
      </c>
      <c r="P4" s="34"/>
      <c r="Q4" s="33" t="s">
        <v>3</v>
      </c>
      <c r="R4" s="33">
        <v>32000</v>
      </c>
      <c r="S4" s="34"/>
      <c r="T4" s="34"/>
      <c r="U4" s="34"/>
    </row>
    <row r="5" spans="1:22" x14ac:dyDescent="0.35">
      <c r="A5" s="33"/>
      <c r="B5" s="33"/>
      <c r="C5" s="33"/>
      <c r="D5" s="33"/>
      <c r="E5" s="33"/>
      <c r="F5" s="34"/>
      <c r="G5" s="34"/>
      <c r="H5" s="34"/>
      <c r="I5" s="34"/>
      <c r="J5" s="34"/>
      <c r="K5" s="34"/>
      <c r="L5" s="34">
        <f>SUM(L2:L4)</f>
        <v>24950</v>
      </c>
      <c r="M5" s="34"/>
      <c r="N5" s="33"/>
      <c r="O5" s="33"/>
      <c r="P5" s="34"/>
      <c r="Q5" s="33"/>
      <c r="R5" s="33"/>
      <c r="S5" s="34"/>
      <c r="T5" s="34"/>
      <c r="U5" s="34"/>
    </row>
    <row r="6" spans="1:22" x14ac:dyDescent="0.35">
      <c r="A6" s="33" t="s">
        <v>15</v>
      </c>
      <c r="B6" s="36">
        <v>1100</v>
      </c>
      <c r="C6" s="36"/>
      <c r="D6" s="36"/>
      <c r="E6" s="36"/>
      <c r="F6" s="34"/>
      <c r="G6" s="34"/>
      <c r="H6" s="34"/>
      <c r="I6" s="34"/>
      <c r="J6" s="34"/>
      <c r="K6" s="34"/>
      <c r="L6" s="34"/>
      <c r="M6" s="34"/>
      <c r="N6" s="33" t="s">
        <v>15</v>
      </c>
      <c r="O6" s="36">
        <v>1100</v>
      </c>
      <c r="P6" s="34"/>
      <c r="Q6" s="33" t="s">
        <v>15</v>
      </c>
      <c r="R6" s="36">
        <v>1100</v>
      </c>
      <c r="S6" s="34"/>
      <c r="T6" s="34"/>
      <c r="U6" s="34"/>
    </row>
    <row r="7" spans="1:22" x14ac:dyDescent="0.35">
      <c r="A7" s="33" t="s">
        <v>11</v>
      </c>
      <c r="B7" s="36">
        <v>1000</v>
      </c>
      <c r="C7" s="36"/>
      <c r="D7" s="36"/>
      <c r="E7" s="36"/>
      <c r="F7" s="34"/>
      <c r="G7" s="34"/>
      <c r="H7" s="34"/>
      <c r="I7" s="34"/>
      <c r="J7" s="34"/>
      <c r="K7" s="34"/>
      <c r="L7" s="34"/>
      <c r="M7" s="34"/>
      <c r="N7" s="33" t="s">
        <v>11</v>
      </c>
      <c r="O7" s="36">
        <v>1000</v>
      </c>
      <c r="P7" s="34"/>
      <c r="Q7" s="33" t="s">
        <v>11</v>
      </c>
      <c r="R7" s="36">
        <v>1000</v>
      </c>
      <c r="S7" s="34"/>
      <c r="T7" s="34"/>
      <c r="U7" s="34"/>
    </row>
    <row r="8" spans="1:22" x14ac:dyDescent="0.35">
      <c r="A8" s="33" t="s">
        <v>23</v>
      </c>
      <c r="B8" s="36">
        <v>510</v>
      </c>
      <c r="D8" s="36"/>
      <c r="E8" s="36"/>
      <c r="F8" s="34"/>
      <c r="G8" s="34">
        <v>790000</v>
      </c>
      <c r="H8" s="34">
        <f>+G8/12</f>
        <v>65833.333333333328</v>
      </c>
      <c r="I8" s="34">
        <f>+H8*35/100</f>
        <v>23041.666666666664</v>
      </c>
      <c r="J8" s="34">
        <f>+I8*12/100</f>
        <v>2765</v>
      </c>
      <c r="K8" s="34"/>
      <c r="L8" s="34"/>
      <c r="M8" s="34"/>
      <c r="N8" s="33" t="s">
        <v>23</v>
      </c>
      <c r="O8" s="36">
        <v>500</v>
      </c>
      <c r="P8" s="34"/>
      <c r="Q8" s="33" t="s">
        <v>23</v>
      </c>
      <c r="R8" s="36">
        <v>510</v>
      </c>
      <c r="S8" s="34"/>
      <c r="T8" s="34"/>
      <c r="U8" s="34"/>
    </row>
    <row r="9" spans="1:22" x14ac:dyDescent="0.35">
      <c r="A9" s="33"/>
      <c r="B9" s="36"/>
      <c r="C9" s="36"/>
      <c r="D9" s="36"/>
      <c r="E9" s="36"/>
      <c r="F9" s="34"/>
      <c r="G9" s="34"/>
      <c r="H9" s="34"/>
      <c r="I9" s="34"/>
      <c r="J9" s="34">
        <f>+J8*4</f>
        <v>11060</v>
      </c>
      <c r="K9" s="34"/>
      <c r="L9" s="34"/>
      <c r="M9" s="34"/>
      <c r="N9" s="33"/>
      <c r="O9" s="36"/>
      <c r="P9" s="34"/>
      <c r="Q9" s="33"/>
      <c r="R9" s="36"/>
      <c r="S9" s="34"/>
      <c r="T9" s="34"/>
      <c r="U9" s="34">
        <v>990000</v>
      </c>
    </row>
    <row r="10" spans="1:22" x14ac:dyDescent="0.35">
      <c r="A10" s="33" t="s">
        <v>22</v>
      </c>
      <c r="B10" s="34">
        <v>4000</v>
      </c>
      <c r="C10" s="33" t="s">
        <v>52</v>
      </c>
      <c r="D10" s="34"/>
      <c r="E10" s="34"/>
      <c r="F10" s="34"/>
      <c r="G10" s="34"/>
      <c r="H10" s="34"/>
      <c r="I10" s="34"/>
      <c r="J10" s="34">
        <f>+H8-J9</f>
        <v>54773.333333333328</v>
      </c>
      <c r="K10" s="34"/>
      <c r="L10" s="34"/>
      <c r="M10" s="34"/>
      <c r="N10" s="33" t="s">
        <v>22</v>
      </c>
      <c r="O10" s="34">
        <v>3000</v>
      </c>
      <c r="P10" s="34"/>
      <c r="Q10" s="33" t="s">
        <v>22</v>
      </c>
      <c r="R10" s="34">
        <v>3000</v>
      </c>
      <c r="S10" s="34"/>
      <c r="T10" s="34"/>
      <c r="U10" s="34">
        <f>+U9/12</f>
        <v>82500</v>
      </c>
    </row>
    <row r="11" spans="1:22" x14ac:dyDescent="0.35">
      <c r="A11" s="33" t="s">
        <v>5</v>
      </c>
      <c r="B11" s="34">
        <v>5000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3" t="s">
        <v>5</v>
      </c>
      <c r="O11" s="34">
        <v>5000</v>
      </c>
      <c r="P11" s="33"/>
      <c r="Q11" s="33" t="s">
        <v>5</v>
      </c>
      <c r="R11" s="34">
        <v>5000</v>
      </c>
      <c r="S11" s="34"/>
      <c r="T11" s="34"/>
      <c r="U11" s="34"/>
      <c r="V11">
        <f>+U10*35/100</f>
        <v>28875</v>
      </c>
    </row>
    <row r="12" spans="1:22" x14ac:dyDescent="0.35">
      <c r="A12" s="33" t="s">
        <v>8</v>
      </c>
      <c r="B12" s="34">
        <f>1400+700</f>
        <v>2100</v>
      </c>
      <c r="C12" s="34"/>
      <c r="D12" s="34"/>
      <c r="E12" s="34"/>
      <c r="F12" s="34"/>
      <c r="G12" s="34">
        <v>1000000</v>
      </c>
      <c r="H12" s="34">
        <f>+G12/12</f>
        <v>83333.333333333328</v>
      </c>
      <c r="I12" s="34">
        <f>+H12*35/100</f>
        <v>29166.666666666664</v>
      </c>
      <c r="J12" s="34">
        <f>+I12*12/100</f>
        <v>3500</v>
      </c>
      <c r="K12" s="34"/>
      <c r="L12" s="34"/>
      <c r="M12" s="34"/>
      <c r="N12" s="33" t="s">
        <v>8</v>
      </c>
      <c r="O12" s="34">
        <f>1400+700</f>
        <v>2100</v>
      </c>
      <c r="P12" s="34"/>
      <c r="Q12" s="33" t="s">
        <v>8</v>
      </c>
      <c r="R12" s="34">
        <f>1400+700</f>
        <v>2100</v>
      </c>
      <c r="S12" s="34"/>
      <c r="T12" s="34"/>
      <c r="U12" s="34"/>
      <c r="V12">
        <f>+V11*12/100</f>
        <v>3465</v>
      </c>
    </row>
    <row r="13" spans="1:22" ht="15" thickBot="1" x14ac:dyDescent="0.4">
      <c r="A13" s="33" t="s">
        <v>12</v>
      </c>
      <c r="B13" s="34">
        <v>2100</v>
      </c>
      <c r="C13" s="34"/>
      <c r="D13" s="34"/>
      <c r="E13" s="34"/>
      <c r="F13" s="34"/>
      <c r="G13" s="34"/>
      <c r="H13" s="34"/>
      <c r="I13" s="34"/>
      <c r="J13" s="34">
        <f>+J12*4</f>
        <v>14000</v>
      </c>
      <c r="K13" s="34"/>
      <c r="L13" s="34"/>
      <c r="M13" s="34"/>
      <c r="N13" s="33" t="s">
        <v>12</v>
      </c>
      <c r="O13" s="34">
        <v>2100</v>
      </c>
      <c r="P13" s="34"/>
      <c r="Q13" s="33" t="s">
        <v>12</v>
      </c>
      <c r="R13" s="34">
        <v>2100</v>
      </c>
      <c r="S13" s="34"/>
      <c r="T13" s="34"/>
      <c r="U13" s="34"/>
      <c r="V13">
        <f>+V12*4</f>
        <v>13860</v>
      </c>
    </row>
    <row r="14" spans="1:22" x14ac:dyDescent="0.35">
      <c r="A14" s="33" t="s">
        <v>13</v>
      </c>
      <c r="B14" s="34">
        <v>1700</v>
      </c>
      <c r="C14" s="34"/>
      <c r="D14" s="38">
        <v>48144</v>
      </c>
      <c r="E14" s="34"/>
      <c r="F14" s="34"/>
      <c r="G14" s="38">
        <f>48144-32000</f>
        <v>16144</v>
      </c>
      <c r="H14" s="34"/>
      <c r="I14" s="34"/>
      <c r="J14" s="34">
        <f>+H12-J13</f>
        <v>69333.333333333328</v>
      </c>
      <c r="K14" s="34"/>
      <c r="L14" s="34"/>
      <c r="M14" s="34"/>
      <c r="N14" s="33" t="s">
        <v>13</v>
      </c>
      <c r="O14" s="34">
        <v>1700</v>
      </c>
      <c r="P14" s="34"/>
      <c r="Q14" s="33" t="s">
        <v>13</v>
      </c>
      <c r="R14" s="34">
        <v>1700</v>
      </c>
      <c r="S14" s="34"/>
      <c r="T14" s="34"/>
      <c r="U14" s="34"/>
      <c r="V14">
        <f>+U10-V13</f>
        <v>68640</v>
      </c>
    </row>
    <row r="15" spans="1:22" x14ac:dyDescent="0.35">
      <c r="A15" s="33" t="s">
        <v>17</v>
      </c>
      <c r="B15" s="34">
        <v>200</v>
      </c>
      <c r="C15" s="34"/>
      <c r="D15" s="39">
        <v>32750</v>
      </c>
      <c r="E15" s="34"/>
      <c r="F15" s="34"/>
      <c r="G15" s="34">
        <v>-22700</v>
      </c>
      <c r="H15" s="34"/>
      <c r="I15" s="34"/>
      <c r="J15" s="34"/>
      <c r="K15" s="34"/>
      <c r="L15" s="34"/>
      <c r="M15" s="34"/>
      <c r="N15" s="33" t="s">
        <v>17</v>
      </c>
      <c r="O15" s="34">
        <v>200</v>
      </c>
      <c r="P15" s="34"/>
      <c r="Q15" s="33" t="s">
        <v>17</v>
      </c>
      <c r="R15" s="34">
        <v>200</v>
      </c>
      <c r="S15" s="34"/>
      <c r="T15" s="34"/>
      <c r="U15" s="34"/>
    </row>
    <row r="16" spans="1:22" x14ac:dyDescent="0.35">
      <c r="A16" s="33" t="s">
        <v>14</v>
      </c>
      <c r="B16" s="34">
        <v>500</v>
      </c>
      <c r="C16" s="34"/>
      <c r="D16" s="39">
        <v>-32000</v>
      </c>
      <c r="E16" s="34"/>
      <c r="F16" s="34"/>
      <c r="G16" s="34"/>
      <c r="H16" s="34"/>
      <c r="I16" s="34"/>
      <c r="J16" s="34"/>
      <c r="K16" s="34"/>
      <c r="L16" s="34"/>
      <c r="M16" s="34"/>
      <c r="N16" s="33" t="s">
        <v>14</v>
      </c>
      <c r="O16" s="34">
        <v>500</v>
      </c>
      <c r="P16" s="34"/>
      <c r="Q16" s="33" t="s">
        <v>14</v>
      </c>
      <c r="R16" s="34">
        <v>500</v>
      </c>
      <c r="S16" s="34"/>
      <c r="T16" s="34"/>
      <c r="U16" s="34"/>
    </row>
    <row r="17" spans="1:21" x14ac:dyDescent="0.35">
      <c r="A17" s="33" t="s">
        <v>6</v>
      </c>
      <c r="B17" s="34">
        <v>1000</v>
      </c>
      <c r="C17" s="34"/>
      <c r="D17" s="39">
        <v>-4000</v>
      </c>
      <c r="E17" s="34"/>
      <c r="F17" s="34"/>
      <c r="G17" s="34"/>
      <c r="H17" s="34"/>
      <c r="I17" s="34"/>
      <c r="J17" s="34"/>
      <c r="K17" s="34"/>
      <c r="L17" s="34"/>
      <c r="M17" s="34"/>
      <c r="N17" s="33" t="s">
        <v>6</v>
      </c>
      <c r="O17" s="34">
        <v>1000</v>
      </c>
      <c r="P17" s="34"/>
      <c r="Q17" s="33" t="s">
        <v>6</v>
      </c>
      <c r="R17" s="34">
        <v>1000</v>
      </c>
      <c r="S17" s="34"/>
      <c r="T17" s="34"/>
      <c r="U17" s="34"/>
    </row>
    <row r="18" spans="1:21" x14ac:dyDescent="0.35">
      <c r="A18" s="33" t="s">
        <v>7</v>
      </c>
      <c r="B18" s="34">
        <v>1000</v>
      </c>
      <c r="C18" s="34"/>
      <c r="D18" s="39">
        <v>-2500</v>
      </c>
      <c r="E18" s="34"/>
      <c r="F18" s="34"/>
      <c r="G18" s="34"/>
      <c r="H18" s="34"/>
      <c r="I18" s="34">
        <v>52000</v>
      </c>
      <c r="J18" s="34"/>
      <c r="K18" s="34"/>
      <c r="L18" s="34"/>
      <c r="M18" s="34"/>
      <c r="N18" s="33" t="s">
        <v>7</v>
      </c>
      <c r="O18" s="34">
        <v>1000</v>
      </c>
      <c r="P18" s="34"/>
      <c r="Q18" s="33" t="s">
        <v>7</v>
      </c>
      <c r="R18" s="34">
        <v>1000</v>
      </c>
      <c r="S18" s="34"/>
      <c r="T18" s="34"/>
      <c r="U18" s="34"/>
    </row>
    <row r="19" spans="1:21" x14ac:dyDescent="0.35">
      <c r="A19" s="33" t="s">
        <v>10</v>
      </c>
      <c r="B19" s="34">
        <v>3000</v>
      </c>
      <c r="C19" s="34"/>
      <c r="D19" s="39"/>
      <c r="E19" s="34"/>
      <c r="F19" s="34"/>
      <c r="G19" s="34"/>
      <c r="H19" s="34"/>
      <c r="I19" s="34">
        <v>-32000</v>
      </c>
      <c r="J19" s="34"/>
      <c r="K19" s="34"/>
      <c r="L19" s="34"/>
      <c r="M19" s="34"/>
      <c r="N19" s="33" t="s">
        <v>10</v>
      </c>
      <c r="O19" s="34">
        <v>3000</v>
      </c>
      <c r="P19" s="34"/>
      <c r="Q19" s="33" t="s">
        <v>10</v>
      </c>
      <c r="R19" s="34">
        <v>3000</v>
      </c>
      <c r="S19" s="34"/>
      <c r="T19" s="34"/>
      <c r="U19" s="34"/>
    </row>
    <row r="20" spans="1:21" x14ac:dyDescent="0.35">
      <c r="A20" s="33" t="s">
        <v>46</v>
      </c>
      <c r="B20" s="34">
        <v>1500</v>
      </c>
      <c r="C20" s="34"/>
      <c r="D20" s="39"/>
      <c r="E20" s="34"/>
      <c r="F20" s="34"/>
      <c r="G20" s="34"/>
      <c r="H20" s="34"/>
      <c r="I20" s="34"/>
      <c r="J20" s="34"/>
      <c r="K20" s="34"/>
      <c r="L20" s="34"/>
      <c r="M20" s="34"/>
      <c r="N20" s="33" t="s">
        <v>46</v>
      </c>
      <c r="O20" s="34">
        <v>2500</v>
      </c>
      <c r="P20" s="34"/>
      <c r="Q20" s="33" t="s">
        <v>46</v>
      </c>
      <c r="R20" s="34">
        <v>2500</v>
      </c>
      <c r="S20" s="34"/>
      <c r="T20" s="34"/>
      <c r="U20" s="34"/>
    </row>
    <row r="21" spans="1:21" x14ac:dyDescent="0.35">
      <c r="A21" s="33" t="s">
        <v>54</v>
      </c>
      <c r="B21" s="34">
        <v>700</v>
      </c>
      <c r="C21" s="34"/>
      <c r="D21" s="39"/>
      <c r="E21" s="34"/>
      <c r="F21" s="34"/>
      <c r="G21" s="34"/>
      <c r="H21" s="34">
        <f>1800+5000</f>
        <v>6800</v>
      </c>
      <c r="I21" s="34"/>
      <c r="J21" s="34"/>
      <c r="K21" s="34"/>
      <c r="L21" s="34"/>
      <c r="M21" s="34"/>
      <c r="N21" s="33"/>
      <c r="O21" s="34"/>
      <c r="P21" s="34"/>
      <c r="Q21" s="33"/>
      <c r="R21" s="34"/>
      <c r="S21" s="34"/>
      <c r="T21" s="34"/>
      <c r="U21" s="34"/>
    </row>
    <row r="22" spans="1:21" x14ac:dyDescent="0.35">
      <c r="A22" s="33"/>
      <c r="B22" s="34"/>
      <c r="C22" s="35">
        <v>9200</v>
      </c>
      <c r="D22" s="40"/>
      <c r="E22" s="35"/>
      <c r="F22" s="34"/>
      <c r="G22" s="34"/>
      <c r="H22" s="34"/>
      <c r="I22" s="34"/>
      <c r="J22" s="34"/>
      <c r="K22" s="34"/>
      <c r="L22" s="34"/>
      <c r="M22" s="34"/>
      <c r="N22" s="33" t="s">
        <v>47</v>
      </c>
      <c r="O22" s="35">
        <v>6250</v>
      </c>
      <c r="P22" s="34"/>
      <c r="Q22" s="33" t="s">
        <v>47</v>
      </c>
      <c r="R22" s="35">
        <v>6250</v>
      </c>
      <c r="S22" s="34"/>
      <c r="T22" s="34"/>
      <c r="U22" s="34"/>
    </row>
    <row r="23" spans="1:21" x14ac:dyDescent="0.35">
      <c r="A23" s="33" t="s">
        <v>49</v>
      </c>
      <c r="B23" s="35">
        <v>10200</v>
      </c>
      <c r="C23" s="34">
        <v>5000</v>
      </c>
      <c r="D23" s="39"/>
      <c r="E23" s="34"/>
      <c r="F23" s="34"/>
      <c r="G23" s="34"/>
      <c r="H23" s="34"/>
      <c r="I23" s="34"/>
      <c r="J23" s="34"/>
      <c r="K23" s="34"/>
      <c r="L23" s="34"/>
      <c r="M23" s="34"/>
      <c r="N23" s="33" t="s">
        <v>48</v>
      </c>
      <c r="O23" s="34">
        <v>5000</v>
      </c>
      <c r="P23" s="34"/>
      <c r="Q23" s="33" t="s">
        <v>48</v>
      </c>
      <c r="R23" s="34">
        <v>5000</v>
      </c>
      <c r="S23" s="34"/>
      <c r="T23" s="34"/>
      <c r="U23" s="34"/>
    </row>
    <row r="24" spans="1:21" x14ac:dyDescent="0.35">
      <c r="A24" s="33" t="s">
        <v>48</v>
      </c>
      <c r="B24" s="34">
        <v>5000</v>
      </c>
      <c r="C24" s="34">
        <v>6000</v>
      </c>
      <c r="D24" s="39"/>
      <c r="E24" s="34"/>
      <c r="F24" s="34"/>
      <c r="G24" s="34"/>
      <c r="H24" s="34"/>
      <c r="I24" s="34"/>
      <c r="J24" s="34"/>
      <c r="K24" s="34"/>
      <c r="L24" s="34"/>
      <c r="M24" s="34"/>
      <c r="N24" s="33" t="s">
        <v>45</v>
      </c>
      <c r="O24" s="34">
        <v>6000</v>
      </c>
      <c r="P24" s="34"/>
      <c r="Q24" s="33" t="s">
        <v>45</v>
      </c>
      <c r="R24" s="34">
        <v>6000</v>
      </c>
      <c r="S24" s="34"/>
      <c r="T24" s="34"/>
      <c r="U24" s="34"/>
    </row>
    <row r="25" spans="1:21" x14ac:dyDescent="0.35">
      <c r="A25" s="33" t="s">
        <v>45</v>
      </c>
      <c r="B25" s="34">
        <v>6000</v>
      </c>
      <c r="C25" s="34">
        <v>1500</v>
      </c>
      <c r="D25" s="39"/>
      <c r="E25" s="34"/>
      <c r="F25" s="34"/>
      <c r="G25" s="34"/>
      <c r="H25" s="34"/>
      <c r="I25" s="34"/>
      <c r="J25" s="34"/>
      <c r="K25" s="34"/>
      <c r="L25" s="34"/>
      <c r="M25" s="34"/>
      <c r="N25" s="33"/>
      <c r="O25" s="35"/>
      <c r="P25" s="34"/>
      <c r="Q25" s="33"/>
      <c r="R25" s="35"/>
      <c r="S25" s="34"/>
      <c r="T25" s="34"/>
      <c r="U25" s="34"/>
    </row>
    <row r="26" spans="1:21" ht="15" thickBot="1" x14ac:dyDescent="0.4">
      <c r="A26" s="33" t="s">
        <v>50</v>
      </c>
      <c r="B26" s="34">
        <v>5000</v>
      </c>
      <c r="C26" s="35">
        <v>1000</v>
      </c>
      <c r="D26" s="40"/>
      <c r="E26" s="35"/>
      <c r="F26" s="34"/>
      <c r="G26" s="34"/>
      <c r="H26" s="34"/>
      <c r="I26" s="34"/>
      <c r="J26" s="34"/>
      <c r="K26" s="34"/>
      <c r="L26" s="34"/>
      <c r="M26" s="34"/>
      <c r="N26" s="33"/>
      <c r="O26" s="33"/>
      <c r="P26" s="34"/>
      <c r="Q26" s="33"/>
      <c r="R26" s="33"/>
      <c r="S26" s="34"/>
      <c r="T26" s="34"/>
      <c r="U26" s="34"/>
    </row>
    <row r="27" spans="1:21" ht="15" thickBot="1" x14ac:dyDescent="0.4">
      <c r="A27" s="33" t="s">
        <v>51</v>
      </c>
      <c r="B27" s="35">
        <v>1000</v>
      </c>
      <c r="C27" s="33"/>
      <c r="D27" s="41">
        <f>SUM(D14:D26)</f>
        <v>42394</v>
      </c>
      <c r="E27" s="33"/>
      <c r="F27" s="34"/>
      <c r="G27" s="34"/>
      <c r="H27" s="34"/>
      <c r="I27" s="34"/>
      <c r="J27" s="34"/>
      <c r="K27" s="34"/>
      <c r="L27" s="34"/>
      <c r="M27" s="34"/>
      <c r="N27" s="33" t="s">
        <v>30</v>
      </c>
      <c r="O27" s="34">
        <f>SUM(O1:O2)</f>
        <v>107000</v>
      </c>
      <c r="P27" s="34"/>
      <c r="Q27" s="33" t="s">
        <v>30</v>
      </c>
      <c r="R27" s="34">
        <f>SUM(R1:R2)</f>
        <v>110000</v>
      </c>
      <c r="S27" s="34"/>
      <c r="T27" s="34"/>
      <c r="U27" s="34"/>
    </row>
    <row r="28" spans="1:21" x14ac:dyDescent="0.35">
      <c r="A28" s="33"/>
      <c r="B28" s="35"/>
      <c r="C28" s="34"/>
      <c r="D28" s="34"/>
      <c r="E28" s="34"/>
      <c r="F28" s="34"/>
      <c r="G28" s="34"/>
      <c r="H28" s="34"/>
      <c r="I28" s="36">
        <f>SUM(I18:I27)</f>
        <v>20000</v>
      </c>
      <c r="J28" s="34"/>
      <c r="K28" s="34"/>
      <c r="L28" s="34"/>
      <c r="M28" s="34"/>
      <c r="N28" s="33" t="s">
        <v>31</v>
      </c>
      <c r="O28" s="34">
        <f>SUM(O4:O26)</f>
        <v>73950</v>
      </c>
      <c r="P28" s="34"/>
      <c r="Q28" s="33" t="s">
        <v>31</v>
      </c>
      <c r="R28" s="34">
        <f>SUM(R4:R26)</f>
        <v>73960</v>
      </c>
      <c r="S28" s="34"/>
      <c r="T28" s="34"/>
      <c r="U28" s="34"/>
    </row>
    <row r="29" spans="1:21" ht="15" thickBot="1" x14ac:dyDescent="0.4">
      <c r="A29" s="33" t="s">
        <v>53</v>
      </c>
      <c r="B29" s="35">
        <v>2500</v>
      </c>
      <c r="C29" s="34"/>
      <c r="D29" s="34"/>
      <c r="E29" s="34"/>
      <c r="F29" s="34"/>
      <c r="G29" s="34"/>
      <c r="H29" s="34"/>
      <c r="I29" s="34"/>
      <c r="J29" s="34"/>
      <c r="K29" s="34"/>
      <c r="L29" s="34">
        <f>+O29-B33</f>
        <v>29160</v>
      </c>
      <c r="M29" s="34"/>
      <c r="N29" s="37" t="s">
        <v>29</v>
      </c>
      <c r="O29" s="37">
        <f>+O27-O28</f>
        <v>33050</v>
      </c>
      <c r="P29" s="34"/>
      <c r="Q29" s="36" t="s">
        <v>29</v>
      </c>
      <c r="R29" s="36">
        <f>+R27-R28</f>
        <v>36040</v>
      </c>
      <c r="S29" s="34"/>
      <c r="T29" s="34"/>
      <c r="U29" s="34"/>
    </row>
    <row r="30" spans="1:21" ht="15" thickTop="1" x14ac:dyDescent="0.35">
      <c r="A30" s="33"/>
      <c r="B30" s="33"/>
      <c r="C30" s="36"/>
      <c r="D30" s="36"/>
      <c r="E30" s="36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</row>
    <row r="31" spans="1:21" x14ac:dyDescent="0.35">
      <c r="A31" s="33" t="s">
        <v>30</v>
      </c>
      <c r="B31" s="34">
        <f>SUM(B1:B2)</f>
        <v>91000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Q31" s="34"/>
      <c r="R31" s="34"/>
      <c r="S31" s="34"/>
      <c r="T31" s="34"/>
      <c r="U31" s="34"/>
    </row>
    <row r="32" spans="1:21" x14ac:dyDescent="0.35">
      <c r="A32" s="33" t="s">
        <v>31</v>
      </c>
      <c r="B32" s="34">
        <f>SUM(B4:B30)</f>
        <v>87110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</row>
    <row r="33" spans="1:21" ht="15" thickBot="1" x14ac:dyDescent="0.4">
      <c r="A33" s="37" t="s">
        <v>29</v>
      </c>
      <c r="B33" s="37">
        <f>+B31-B32</f>
        <v>3890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</row>
    <row r="34" spans="1:21" ht="15" thickTop="1" x14ac:dyDescent="0.35">
      <c r="A34" s="34"/>
      <c r="B34" s="3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</row>
    <row r="35" spans="1:21" x14ac:dyDescent="0.35">
      <c r="A35" s="34"/>
      <c r="B35" s="3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</row>
    <row r="36" spans="1:21" x14ac:dyDescent="0.35">
      <c r="A36" s="34"/>
      <c r="B36" s="34"/>
    </row>
    <row r="37" spans="1:21" x14ac:dyDescent="0.35">
      <c r="A37" s="33"/>
      <c r="B37" s="33"/>
    </row>
    <row r="38" spans="1:21" x14ac:dyDescent="0.35">
      <c r="A38" s="33"/>
      <c r="B38" s="33"/>
    </row>
    <row r="39" spans="1:21" x14ac:dyDescent="0.35">
      <c r="C39" s="17"/>
      <c r="D39" s="17"/>
      <c r="E39" s="17"/>
    </row>
    <row r="40" spans="1:21" x14ac:dyDescent="0.35">
      <c r="C40" s="1"/>
      <c r="D40" s="1"/>
      <c r="E40" s="1"/>
    </row>
    <row r="41" spans="1:21" x14ac:dyDescent="0.35">
      <c r="C41" s="17"/>
      <c r="D41" s="17"/>
      <c r="E41" s="17"/>
    </row>
    <row r="42" spans="1:21" x14ac:dyDescent="0.35">
      <c r="B42" s="17"/>
      <c r="C42" s="17"/>
      <c r="D42" s="17"/>
      <c r="E42" s="17"/>
    </row>
    <row r="43" spans="1:21" x14ac:dyDescent="0.35">
      <c r="B43" s="1"/>
      <c r="C43" s="17"/>
      <c r="D43" s="17"/>
      <c r="E43" s="17"/>
    </row>
    <row r="44" spans="1:21" x14ac:dyDescent="0.35">
      <c r="B44" s="17"/>
      <c r="C44" s="17"/>
      <c r="D44" s="17"/>
      <c r="E44" s="17"/>
    </row>
    <row r="45" spans="1:21" x14ac:dyDescent="0.35">
      <c r="B45" s="17"/>
      <c r="C45" s="17"/>
      <c r="D45" s="17"/>
      <c r="E45" s="17"/>
    </row>
    <row r="46" spans="1:21" x14ac:dyDescent="0.35">
      <c r="B46" s="17"/>
      <c r="C46" s="17"/>
      <c r="D46" s="17"/>
      <c r="E46" s="17"/>
    </row>
    <row r="47" spans="1:21" x14ac:dyDescent="0.35">
      <c r="B47" s="17"/>
      <c r="C47" s="17"/>
      <c r="D47" s="17"/>
      <c r="E47" s="17"/>
    </row>
    <row r="48" spans="1:21" x14ac:dyDescent="0.35">
      <c r="B48" s="17"/>
      <c r="C48" s="17"/>
      <c r="D48" s="17"/>
      <c r="E48" s="17"/>
    </row>
    <row r="49" spans="2:5" x14ac:dyDescent="0.35">
      <c r="B49" s="17"/>
      <c r="C49" s="17"/>
      <c r="D49" s="17"/>
      <c r="E49" s="17"/>
    </row>
    <row r="50" spans="2:5" x14ac:dyDescent="0.35">
      <c r="B50" s="17"/>
      <c r="C50" s="17"/>
      <c r="D50" s="17"/>
      <c r="E50" s="17"/>
    </row>
    <row r="51" spans="2:5" x14ac:dyDescent="0.35">
      <c r="B51" s="17"/>
      <c r="C51" s="17"/>
      <c r="D51" s="17"/>
      <c r="E51" s="17"/>
    </row>
    <row r="52" spans="2:5" x14ac:dyDescent="0.35">
      <c r="B52" s="17"/>
      <c r="C52" s="17"/>
      <c r="D52" s="17"/>
      <c r="E52" s="17"/>
    </row>
    <row r="53" spans="2:5" x14ac:dyDescent="0.35">
      <c r="B53" s="17"/>
      <c r="C53" s="17"/>
      <c r="D53" s="17"/>
      <c r="E53" s="17"/>
    </row>
    <row r="54" spans="2:5" x14ac:dyDescent="0.35">
      <c r="B54" s="17"/>
      <c r="C54" s="17"/>
      <c r="D54" s="17"/>
      <c r="E54" s="17"/>
    </row>
    <row r="55" spans="2:5" x14ac:dyDescent="0.35">
      <c r="B55" s="17"/>
      <c r="C55" s="21"/>
      <c r="D55" s="21"/>
      <c r="E55" s="21"/>
    </row>
    <row r="56" spans="2:5" x14ac:dyDescent="0.35">
      <c r="B56" s="17"/>
    </row>
    <row r="57" spans="2:5" x14ac:dyDescent="0.35">
      <c r="B57" s="17"/>
    </row>
    <row r="58" spans="2:5" x14ac:dyDescent="0.35">
      <c r="B58" s="2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30"/>
  <sheetViews>
    <sheetView workbookViewId="0">
      <selection sqref="A1:XFD1048576"/>
    </sheetView>
  </sheetViews>
  <sheetFormatPr defaultRowHeight="14.5" x14ac:dyDescent="0.35"/>
  <cols>
    <col min="1" max="1" width="21.54296875" bestFit="1" customWidth="1"/>
    <col min="2" max="2" width="7" bestFit="1" customWidth="1"/>
  </cols>
  <sheetData>
    <row r="1" spans="1:19" x14ac:dyDescent="0.35">
      <c r="A1" s="36" t="s">
        <v>33</v>
      </c>
      <c r="B1" s="36">
        <v>39000</v>
      </c>
      <c r="I1">
        <v>43500</v>
      </c>
    </row>
    <row r="2" spans="1:19" x14ac:dyDescent="0.35">
      <c r="A2" s="36" t="s">
        <v>34</v>
      </c>
      <c r="B2" s="36">
        <v>54000</v>
      </c>
      <c r="C2" s="51" t="s">
        <v>75</v>
      </c>
      <c r="I2">
        <v>-22100</v>
      </c>
    </row>
    <row r="3" spans="1:19" x14ac:dyDescent="0.35">
      <c r="A3" s="33"/>
      <c r="B3" s="33"/>
      <c r="I3">
        <v>-2100</v>
      </c>
    </row>
    <row r="4" spans="1:19" x14ac:dyDescent="0.35">
      <c r="A4" s="33" t="s">
        <v>3</v>
      </c>
      <c r="B4" s="33">
        <v>32000</v>
      </c>
      <c r="C4" s="52">
        <f>+B4</f>
        <v>32000</v>
      </c>
      <c r="E4">
        <f>+C4+C6</f>
        <v>49250</v>
      </c>
      <c r="G4">
        <v>54700</v>
      </c>
    </row>
    <row r="5" spans="1:19" x14ac:dyDescent="0.35">
      <c r="A5" s="33"/>
      <c r="B5" s="33"/>
      <c r="G5">
        <v>-49250</v>
      </c>
      <c r="O5">
        <f>34000</f>
        <v>34000</v>
      </c>
      <c r="P5">
        <v>17250</v>
      </c>
    </row>
    <row r="6" spans="1:19" x14ac:dyDescent="0.35">
      <c r="A6" s="33" t="s">
        <v>47</v>
      </c>
      <c r="B6" s="35">
        <v>6250</v>
      </c>
      <c r="C6" s="52">
        <f>SUM(B6:B8)</f>
        <v>17250</v>
      </c>
      <c r="G6">
        <v>-400</v>
      </c>
      <c r="P6">
        <f>+P5+O5</f>
        <v>51250</v>
      </c>
    </row>
    <row r="7" spans="1:19" x14ac:dyDescent="0.35">
      <c r="A7" s="33" t="s">
        <v>48</v>
      </c>
      <c r="B7" s="34">
        <v>5000</v>
      </c>
      <c r="C7" s="52"/>
      <c r="G7" s="1">
        <f>SUM(G4:G6)</f>
        <v>5050</v>
      </c>
      <c r="I7" s="1">
        <f>SUM(I1:I6)</f>
        <v>19300</v>
      </c>
    </row>
    <row r="8" spans="1:19" x14ac:dyDescent="0.35">
      <c r="A8" s="33" t="s">
        <v>45</v>
      </c>
      <c r="B8" s="34">
        <v>6000</v>
      </c>
      <c r="C8" s="52"/>
    </row>
    <row r="9" spans="1:19" x14ac:dyDescent="0.35">
      <c r="A9" s="33"/>
      <c r="B9" s="33"/>
    </row>
    <row r="10" spans="1:19" x14ac:dyDescent="0.35">
      <c r="A10" s="33" t="s">
        <v>15</v>
      </c>
      <c r="B10" s="36">
        <v>1100</v>
      </c>
      <c r="C10" s="52">
        <f>SUM(B10:B12)</f>
        <v>2605</v>
      </c>
      <c r="D10" t="s">
        <v>52</v>
      </c>
    </row>
    <row r="11" spans="1:19" x14ac:dyDescent="0.35">
      <c r="A11" s="33" t="s">
        <v>11</v>
      </c>
      <c r="B11" s="36">
        <v>1000</v>
      </c>
      <c r="C11" s="52"/>
    </row>
    <row r="12" spans="1:19" x14ac:dyDescent="0.35">
      <c r="A12" s="33" t="s">
        <v>23</v>
      </c>
      <c r="B12" s="36">
        <v>505</v>
      </c>
      <c r="C12" s="52"/>
      <c r="D12" t="s">
        <v>52</v>
      </c>
    </row>
    <row r="13" spans="1:19" x14ac:dyDescent="0.35">
      <c r="A13" s="33"/>
      <c r="B13" s="36"/>
      <c r="R13">
        <v>144000</v>
      </c>
      <c r="S13">
        <f>+R13*R14/100</f>
        <v>19440</v>
      </c>
    </row>
    <row r="14" spans="1:19" x14ac:dyDescent="0.35">
      <c r="A14" s="33" t="s">
        <v>22</v>
      </c>
      <c r="B14" s="34">
        <v>3000</v>
      </c>
      <c r="R14">
        <v>13.5</v>
      </c>
      <c r="S14">
        <f>+S13/12</f>
        <v>1620</v>
      </c>
    </row>
    <row r="15" spans="1:19" x14ac:dyDescent="0.35">
      <c r="A15" s="33" t="s">
        <v>5</v>
      </c>
      <c r="B15" s="34">
        <v>5000</v>
      </c>
    </row>
    <row r="16" spans="1:19" x14ac:dyDescent="0.35">
      <c r="A16" s="33" t="s">
        <v>8</v>
      </c>
      <c r="B16" s="34">
        <f>1400+700</f>
        <v>2100</v>
      </c>
    </row>
    <row r="17" spans="1:21" x14ac:dyDescent="0.35">
      <c r="A17" s="33" t="s">
        <v>12</v>
      </c>
      <c r="B17" s="34">
        <v>2100</v>
      </c>
      <c r="H17" t="s">
        <v>76</v>
      </c>
      <c r="T17">
        <f>30-11</f>
        <v>19</v>
      </c>
      <c r="U17">
        <f>+S14/30</f>
        <v>54</v>
      </c>
    </row>
    <row r="18" spans="1:21" x14ac:dyDescent="0.35">
      <c r="A18" s="33" t="s">
        <v>13</v>
      </c>
      <c r="B18" s="34">
        <v>1700</v>
      </c>
      <c r="T18">
        <v>28</v>
      </c>
      <c r="U18">
        <f>+U17*T17</f>
        <v>1026</v>
      </c>
    </row>
    <row r="19" spans="1:21" x14ac:dyDescent="0.35">
      <c r="A19" s="33" t="s">
        <v>17</v>
      </c>
      <c r="B19" s="34">
        <v>200</v>
      </c>
      <c r="O19">
        <f>69000/30</f>
        <v>2300</v>
      </c>
      <c r="U19">
        <f>+U17*T18</f>
        <v>1512</v>
      </c>
    </row>
    <row r="20" spans="1:21" x14ac:dyDescent="0.35">
      <c r="A20" s="33" t="s">
        <v>14</v>
      </c>
      <c r="B20" s="34">
        <v>500</v>
      </c>
    </row>
    <row r="21" spans="1:21" x14ac:dyDescent="0.35">
      <c r="A21" s="33" t="s">
        <v>6</v>
      </c>
      <c r="B21" s="34">
        <v>1000</v>
      </c>
    </row>
    <row r="22" spans="1:21" x14ac:dyDescent="0.35">
      <c r="A22" s="33" t="s">
        <v>7</v>
      </c>
      <c r="B22" s="34">
        <v>1000</v>
      </c>
    </row>
    <row r="23" spans="1:21" x14ac:dyDescent="0.35">
      <c r="A23" s="33" t="s">
        <v>10</v>
      </c>
      <c r="B23" s="34">
        <v>3000</v>
      </c>
    </row>
    <row r="24" spans="1:21" x14ac:dyDescent="0.35">
      <c r="A24" s="33" t="s">
        <v>46</v>
      </c>
      <c r="B24" s="34">
        <v>2500</v>
      </c>
    </row>
    <row r="25" spans="1:21" x14ac:dyDescent="0.35">
      <c r="A25" s="33"/>
      <c r="B25" s="34"/>
    </row>
    <row r="26" spans="1:21" x14ac:dyDescent="0.35">
      <c r="A26" s="33"/>
      <c r="B26" s="33"/>
    </row>
    <row r="27" spans="1:21" x14ac:dyDescent="0.35">
      <c r="A27" s="33" t="s">
        <v>30</v>
      </c>
      <c r="B27" s="34">
        <f>SUM(B1:B2)</f>
        <v>93000</v>
      </c>
    </row>
    <row r="28" spans="1:21" x14ac:dyDescent="0.35">
      <c r="A28" s="33" t="s">
        <v>31</v>
      </c>
      <c r="B28" s="34">
        <f>SUM(B4:B26)</f>
        <v>73955</v>
      </c>
    </row>
    <row r="29" spans="1:21" ht="15" thickBot="1" x14ac:dyDescent="0.4">
      <c r="A29" s="37" t="s">
        <v>29</v>
      </c>
      <c r="B29" s="37">
        <f>+B27-B28</f>
        <v>19045</v>
      </c>
    </row>
    <row r="30" spans="1:21" ht="15" thickTop="1" x14ac:dyDescent="0.35"/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32"/>
  <sheetViews>
    <sheetView workbookViewId="0">
      <selection activeCell="K17" sqref="K17"/>
    </sheetView>
  </sheetViews>
  <sheetFormatPr defaultRowHeight="14.5" x14ac:dyDescent="0.35"/>
  <cols>
    <col min="1" max="1" width="21.54296875" bestFit="1" customWidth="1"/>
    <col min="2" max="2" width="7" bestFit="1" customWidth="1"/>
  </cols>
  <sheetData>
    <row r="1" spans="1:19" x14ac:dyDescent="0.35">
      <c r="A1" s="36" t="s">
        <v>33</v>
      </c>
      <c r="B1" s="36">
        <v>41000</v>
      </c>
      <c r="I1">
        <v>43500</v>
      </c>
    </row>
    <row r="2" spans="1:19" x14ac:dyDescent="0.35">
      <c r="A2" s="36" t="s">
        <v>34</v>
      </c>
      <c r="B2" s="36">
        <v>67800</v>
      </c>
      <c r="C2" s="51" t="s">
        <v>75</v>
      </c>
      <c r="I2">
        <v>-22100</v>
      </c>
    </row>
    <row r="3" spans="1:19" x14ac:dyDescent="0.35">
      <c r="A3" s="33"/>
      <c r="B3" s="33"/>
      <c r="I3">
        <v>-2100</v>
      </c>
    </row>
    <row r="4" spans="1:19" x14ac:dyDescent="0.35">
      <c r="A4" s="33" t="s">
        <v>3</v>
      </c>
      <c r="B4" s="33">
        <v>32000</v>
      </c>
      <c r="C4" s="52">
        <f>+B4</f>
        <v>32000</v>
      </c>
      <c r="E4">
        <f>+C4+C6</f>
        <v>49250</v>
      </c>
      <c r="G4">
        <v>54700</v>
      </c>
    </row>
    <row r="5" spans="1:19" x14ac:dyDescent="0.35">
      <c r="A5" s="33"/>
      <c r="B5" s="33"/>
      <c r="G5">
        <v>-49250</v>
      </c>
      <c r="O5">
        <f>34000</f>
        <v>34000</v>
      </c>
      <c r="P5">
        <v>17250</v>
      </c>
    </row>
    <row r="6" spans="1:19" x14ac:dyDescent="0.35">
      <c r="A6" s="33" t="s">
        <v>47</v>
      </c>
      <c r="B6" s="35">
        <v>6250</v>
      </c>
      <c r="C6" s="52">
        <f>SUM(B6:B8)</f>
        <v>17250</v>
      </c>
      <c r="G6">
        <v>-400</v>
      </c>
      <c r="P6">
        <f>+P5+O5</f>
        <v>51250</v>
      </c>
    </row>
    <row r="7" spans="1:19" x14ac:dyDescent="0.35">
      <c r="A7" s="33" t="s">
        <v>48</v>
      </c>
      <c r="B7" s="34">
        <v>5000</v>
      </c>
      <c r="C7" s="52"/>
      <c r="G7" s="1">
        <f>SUM(G4:G6)</f>
        <v>5050</v>
      </c>
      <c r="I7" s="1">
        <f>SUM(I1:I6)</f>
        <v>19300</v>
      </c>
    </row>
    <row r="8" spans="1:19" x14ac:dyDescent="0.35">
      <c r="A8" s="33" t="s">
        <v>45</v>
      </c>
      <c r="B8" s="34">
        <v>6000</v>
      </c>
      <c r="C8" s="52"/>
    </row>
    <row r="9" spans="1:19" x14ac:dyDescent="0.35">
      <c r="A9" s="33"/>
      <c r="B9" s="33"/>
    </row>
    <row r="10" spans="1:19" x14ac:dyDescent="0.35">
      <c r="A10" s="33" t="s">
        <v>15</v>
      </c>
      <c r="B10" s="53">
        <v>1100</v>
      </c>
      <c r="C10" s="52">
        <f>SUM(B10:B12)</f>
        <v>2605</v>
      </c>
      <c r="D10" t="s">
        <v>52</v>
      </c>
    </row>
    <row r="11" spans="1:19" x14ac:dyDescent="0.35">
      <c r="A11" s="33" t="s">
        <v>11</v>
      </c>
      <c r="B11" s="36">
        <v>1000</v>
      </c>
      <c r="C11" s="52"/>
    </row>
    <row r="12" spans="1:19" x14ac:dyDescent="0.35">
      <c r="A12" s="33" t="s">
        <v>23</v>
      </c>
      <c r="B12" s="53">
        <v>505</v>
      </c>
      <c r="C12" s="52"/>
      <c r="D12" t="s">
        <v>52</v>
      </c>
    </row>
    <row r="13" spans="1:19" x14ac:dyDescent="0.35">
      <c r="A13" s="33"/>
      <c r="B13" s="36"/>
      <c r="N13">
        <v>16800</v>
      </c>
      <c r="R13">
        <v>144000</v>
      </c>
      <c r="S13">
        <f>+R13*R14/100</f>
        <v>19440</v>
      </c>
    </row>
    <row r="14" spans="1:19" x14ac:dyDescent="0.35">
      <c r="A14" s="33" t="s">
        <v>22</v>
      </c>
      <c r="B14" s="36">
        <v>3000</v>
      </c>
      <c r="D14">
        <f>+B14</f>
        <v>3000</v>
      </c>
      <c r="N14">
        <v>2100</v>
      </c>
      <c r="R14">
        <v>13.5</v>
      </c>
      <c r="S14">
        <f>+S13/12</f>
        <v>1620</v>
      </c>
    </row>
    <row r="15" spans="1:19" x14ac:dyDescent="0.35">
      <c r="A15" s="33" t="s">
        <v>5</v>
      </c>
      <c r="B15" s="55">
        <v>5000</v>
      </c>
      <c r="D15">
        <f>+B15</f>
        <v>5000</v>
      </c>
      <c r="N15">
        <v>2100</v>
      </c>
    </row>
    <row r="16" spans="1:19" x14ac:dyDescent="0.35">
      <c r="A16" s="33" t="s">
        <v>8</v>
      </c>
      <c r="B16" s="54">
        <f>1400+700</f>
        <v>2100</v>
      </c>
      <c r="N16">
        <v>1700</v>
      </c>
    </row>
    <row r="17" spans="1:21" x14ac:dyDescent="0.35">
      <c r="A17" s="33" t="s">
        <v>12</v>
      </c>
      <c r="B17" s="54">
        <v>2100</v>
      </c>
      <c r="H17" t="s">
        <v>76</v>
      </c>
      <c r="N17">
        <v>5000</v>
      </c>
      <c r="T17">
        <f>30-11</f>
        <v>19</v>
      </c>
      <c r="U17">
        <f>+S14/30</f>
        <v>54</v>
      </c>
    </row>
    <row r="18" spans="1:21" x14ac:dyDescent="0.35">
      <c r="A18" s="33" t="s">
        <v>13</v>
      </c>
      <c r="B18" s="53">
        <v>1700</v>
      </c>
      <c r="T18">
        <v>28</v>
      </c>
      <c r="U18">
        <f>+U17*T17</f>
        <v>1026</v>
      </c>
    </row>
    <row r="19" spans="1:21" x14ac:dyDescent="0.35">
      <c r="A19" s="33" t="s">
        <v>17</v>
      </c>
      <c r="B19" s="36">
        <v>1000</v>
      </c>
      <c r="D19">
        <f t="shared" ref="D19:D24" si="0">+B19</f>
        <v>1000</v>
      </c>
      <c r="G19" s="1">
        <f>16300+41000-10000-25000-800</f>
        <v>21500</v>
      </c>
      <c r="U19">
        <f>+U17*T18</f>
        <v>1512</v>
      </c>
    </row>
    <row r="20" spans="1:21" x14ac:dyDescent="0.35">
      <c r="A20" s="33" t="s">
        <v>14</v>
      </c>
      <c r="B20" s="36">
        <v>500</v>
      </c>
      <c r="D20">
        <f t="shared" si="0"/>
        <v>500</v>
      </c>
    </row>
    <row r="21" spans="1:21" x14ac:dyDescent="0.35">
      <c r="A21" s="33" t="s">
        <v>6</v>
      </c>
      <c r="B21" s="36">
        <v>1000</v>
      </c>
      <c r="D21">
        <f t="shared" si="0"/>
        <v>1000</v>
      </c>
    </row>
    <row r="22" spans="1:21" x14ac:dyDescent="0.35">
      <c r="A22" s="33" t="s">
        <v>7</v>
      </c>
      <c r="B22" s="36">
        <v>1000</v>
      </c>
      <c r="D22">
        <f t="shared" si="0"/>
        <v>1000</v>
      </c>
    </row>
    <row r="23" spans="1:21" x14ac:dyDescent="0.35">
      <c r="A23" s="33" t="s">
        <v>10</v>
      </c>
      <c r="B23" s="36">
        <v>3000</v>
      </c>
      <c r="D23">
        <f t="shared" si="0"/>
        <v>3000</v>
      </c>
    </row>
    <row r="24" spans="1:21" x14ac:dyDescent="0.35">
      <c r="A24" s="33" t="s">
        <v>46</v>
      </c>
      <c r="B24" s="36">
        <v>2500</v>
      </c>
      <c r="D24">
        <f t="shared" si="0"/>
        <v>2500</v>
      </c>
    </row>
    <row r="25" spans="1:21" x14ac:dyDescent="0.35">
      <c r="A25" s="33"/>
      <c r="B25" s="34"/>
    </row>
    <row r="26" spans="1:21" x14ac:dyDescent="0.35">
      <c r="A26" s="33" t="s">
        <v>77</v>
      </c>
      <c r="B26" s="54">
        <v>16800</v>
      </c>
      <c r="D26" s="1">
        <f>SUM(D14:D25)</f>
        <v>17000</v>
      </c>
      <c r="G26" s="1">
        <f>+G19-D26</f>
        <v>4500</v>
      </c>
    </row>
    <row r="27" spans="1:21" x14ac:dyDescent="0.35">
      <c r="A27" s="33"/>
      <c r="B27" s="34"/>
      <c r="G27">
        <v>3000</v>
      </c>
    </row>
    <row r="28" spans="1:21" x14ac:dyDescent="0.35">
      <c r="A28" s="33"/>
      <c r="B28" s="33"/>
      <c r="G28">
        <f>+G26+G27</f>
        <v>7500</v>
      </c>
    </row>
    <row r="29" spans="1:21" x14ac:dyDescent="0.35">
      <c r="A29" s="33" t="s">
        <v>30</v>
      </c>
      <c r="B29" s="34">
        <f>SUM(B1:B2)</f>
        <v>108800</v>
      </c>
    </row>
    <row r="30" spans="1:21" x14ac:dyDescent="0.35">
      <c r="A30" s="33" t="s">
        <v>31</v>
      </c>
      <c r="B30" s="34">
        <f>SUM(B4:B28)</f>
        <v>91555</v>
      </c>
    </row>
    <row r="31" spans="1:21" ht="15" thickBot="1" x14ac:dyDescent="0.4">
      <c r="A31" s="37" t="s">
        <v>29</v>
      </c>
      <c r="B31" s="37">
        <f>+B29-B30</f>
        <v>17245</v>
      </c>
    </row>
    <row r="32" spans="1:21" ht="15" thickTop="1" x14ac:dyDescent="0.35"/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33"/>
  <sheetViews>
    <sheetView topLeftCell="A10" workbookViewId="0">
      <selection activeCell="A14" sqref="A14:B25"/>
    </sheetView>
  </sheetViews>
  <sheetFormatPr defaultRowHeight="14.5" x14ac:dyDescent="0.35"/>
  <cols>
    <col min="1" max="1" width="21.54296875" bestFit="1" customWidth="1"/>
    <col min="2" max="2" width="7" bestFit="1" customWidth="1"/>
    <col min="10" max="10" width="25.54296875" bestFit="1" customWidth="1"/>
  </cols>
  <sheetData>
    <row r="1" spans="1:16" x14ac:dyDescent="0.35">
      <c r="A1" s="36" t="s">
        <v>33</v>
      </c>
      <c r="B1" s="36">
        <v>39232</v>
      </c>
      <c r="J1" t="s">
        <v>78</v>
      </c>
      <c r="K1">
        <v>15000</v>
      </c>
    </row>
    <row r="2" spans="1:16" x14ac:dyDescent="0.35">
      <c r="A2" s="36" t="s">
        <v>34</v>
      </c>
      <c r="B2" s="36">
        <v>67800</v>
      </c>
      <c r="C2" s="51"/>
      <c r="J2" t="s">
        <v>50</v>
      </c>
      <c r="K2">
        <v>10000</v>
      </c>
    </row>
    <row r="3" spans="1:16" x14ac:dyDescent="0.35">
      <c r="A3" s="33"/>
      <c r="B3" s="33"/>
      <c r="J3" t="s">
        <v>79</v>
      </c>
      <c r="K3">
        <v>5000</v>
      </c>
    </row>
    <row r="4" spans="1:16" x14ac:dyDescent="0.35">
      <c r="A4" s="33" t="s">
        <v>3</v>
      </c>
      <c r="B4" s="33">
        <v>32000</v>
      </c>
      <c r="C4" s="52">
        <f>+B4</f>
        <v>32000</v>
      </c>
      <c r="J4" t="s">
        <v>80</v>
      </c>
      <c r="K4">
        <v>2000</v>
      </c>
    </row>
    <row r="5" spans="1:16" x14ac:dyDescent="0.35">
      <c r="A5" s="33"/>
      <c r="B5" s="33"/>
    </row>
    <row r="6" spans="1:16" x14ac:dyDescent="0.35">
      <c r="A6" s="33" t="s">
        <v>47</v>
      </c>
      <c r="B6" s="35">
        <v>7000</v>
      </c>
      <c r="C6" s="52">
        <f>SUM(B6:B8)</f>
        <v>18000</v>
      </c>
    </row>
    <row r="7" spans="1:16" x14ac:dyDescent="0.35">
      <c r="A7" s="33" t="s">
        <v>48</v>
      </c>
      <c r="B7" s="34">
        <v>5000</v>
      </c>
      <c r="C7" s="52"/>
    </row>
    <row r="8" spans="1:16" x14ac:dyDescent="0.35">
      <c r="A8" s="33" t="s">
        <v>45</v>
      </c>
      <c r="B8" s="34">
        <v>6000</v>
      </c>
      <c r="C8" s="52"/>
    </row>
    <row r="9" spans="1:16" x14ac:dyDescent="0.35">
      <c r="A9" s="33"/>
      <c r="B9" s="33"/>
      <c r="K9" s="1">
        <f>SUM(K1:K8)</f>
        <v>32000</v>
      </c>
    </row>
    <row r="10" spans="1:16" x14ac:dyDescent="0.35">
      <c r="A10" s="33" t="s">
        <v>15</v>
      </c>
      <c r="B10" s="53">
        <v>1100</v>
      </c>
      <c r="C10" s="52">
        <f>SUM(B10:B12)</f>
        <v>2610</v>
      </c>
      <c r="D10" t="s">
        <v>52</v>
      </c>
    </row>
    <row r="11" spans="1:16" x14ac:dyDescent="0.35">
      <c r="A11" s="33" t="s">
        <v>11</v>
      </c>
      <c r="B11" s="36">
        <v>1000</v>
      </c>
      <c r="C11" s="52"/>
    </row>
    <row r="12" spans="1:16" x14ac:dyDescent="0.35">
      <c r="A12" s="33" t="s">
        <v>23</v>
      </c>
      <c r="B12" s="53">
        <v>510</v>
      </c>
      <c r="C12" s="52"/>
      <c r="D12" t="s">
        <v>52</v>
      </c>
    </row>
    <row r="13" spans="1:16" x14ac:dyDescent="0.35">
      <c r="A13" s="33"/>
      <c r="B13" s="36"/>
      <c r="I13">
        <v>31000</v>
      </c>
    </row>
    <row r="14" spans="1:16" x14ac:dyDescent="0.35">
      <c r="A14" s="33" t="s">
        <v>22</v>
      </c>
      <c r="B14" s="36">
        <v>3000</v>
      </c>
      <c r="D14">
        <f>+B14</f>
        <v>3000</v>
      </c>
      <c r="I14">
        <v>-24760</v>
      </c>
    </row>
    <row r="15" spans="1:16" x14ac:dyDescent="0.35">
      <c r="A15" s="33" t="s">
        <v>5</v>
      </c>
      <c r="B15" s="55">
        <v>5000</v>
      </c>
      <c r="D15">
        <f>+B15</f>
        <v>5000</v>
      </c>
      <c r="I15">
        <v>-1000</v>
      </c>
      <c r="P15">
        <v>2610</v>
      </c>
    </row>
    <row r="16" spans="1:16" x14ac:dyDescent="0.35">
      <c r="A16" s="33" t="s">
        <v>8</v>
      </c>
      <c r="B16" s="54">
        <f>1400+700</f>
        <v>2100</v>
      </c>
      <c r="P16">
        <v>23000</v>
      </c>
    </row>
    <row r="17" spans="1:17" x14ac:dyDescent="0.35">
      <c r="A17" s="33" t="s">
        <v>12</v>
      </c>
      <c r="B17" s="54">
        <v>2100</v>
      </c>
      <c r="P17" s="1">
        <f>SUM(P15:P16)</f>
        <v>25610</v>
      </c>
      <c r="Q17">
        <f>31000-P17</f>
        <v>5390</v>
      </c>
    </row>
    <row r="18" spans="1:17" x14ac:dyDescent="0.35">
      <c r="A18" s="33" t="s">
        <v>13</v>
      </c>
      <c r="B18" s="53">
        <v>1700</v>
      </c>
    </row>
    <row r="19" spans="1:17" x14ac:dyDescent="0.35">
      <c r="A19" s="33" t="s">
        <v>17</v>
      </c>
      <c r="B19" s="36">
        <v>250</v>
      </c>
      <c r="D19">
        <f t="shared" ref="D19:D27" si="0">+B19</f>
        <v>250</v>
      </c>
      <c r="I19" s="1">
        <f>SUM(I13:I18)</f>
        <v>5240</v>
      </c>
    </row>
    <row r="20" spans="1:17" x14ac:dyDescent="0.35">
      <c r="A20" s="33" t="s">
        <v>14</v>
      </c>
      <c r="B20" s="36">
        <v>500</v>
      </c>
      <c r="D20">
        <f t="shared" si="0"/>
        <v>500</v>
      </c>
    </row>
    <row r="21" spans="1:17" x14ac:dyDescent="0.35">
      <c r="A21" s="33" t="s">
        <v>6</v>
      </c>
      <c r="B21" s="36">
        <v>1000</v>
      </c>
      <c r="D21">
        <f t="shared" si="0"/>
        <v>1000</v>
      </c>
    </row>
    <row r="22" spans="1:17" x14ac:dyDescent="0.35">
      <c r="A22" s="33" t="s">
        <v>16</v>
      </c>
      <c r="B22" s="36">
        <v>700</v>
      </c>
      <c r="M22">
        <f>17*500</f>
        <v>8500</v>
      </c>
    </row>
    <row r="23" spans="1:17" x14ac:dyDescent="0.35">
      <c r="A23" s="33" t="s">
        <v>7</v>
      </c>
      <c r="B23" s="36">
        <v>1000</v>
      </c>
      <c r="D23">
        <f t="shared" si="0"/>
        <v>1000</v>
      </c>
      <c r="O23">
        <v>15700</v>
      </c>
    </row>
    <row r="24" spans="1:17" x14ac:dyDescent="0.35">
      <c r="A24" s="33" t="s">
        <v>10</v>
      </c>
      <c r="B24" s="36">
        <v>3000</v>
      </c>
      <c r="D24">
        <f t="shared" si="0"/>
        <v>3000</v>
      </c>
      <c r="M24">
        <f>8950+200</f>
        <v>9150</v>
      </c>
      <c r="O24">
        <v>-2610</v>
      </c>
    </row>
    <row r="25" spans="1:17" x14ac:dyDescent="0.35">
      <c r="A25" s="33" t="s">
        <v>46</v>
      </c>
      <c r="B25" s="36">
        <v>2500</v>
      </c>
      <c r="D25">
        <f t="shared" si="0"/>
        <v>2500</v>
      </c>
      <c r="O25" s="1">
        <f>SUM(O23:O24)</f>
        <v>13090</v>
      </c>
    </row>
    <row r="26" spans="1:17" x14ac:dyDescent="0.35">
      <c r="A26" s="33"/>
      <c r="B26" s="36"/>
    </row>
    <row r="27" spans="1:17" x14ac:dyDescent="0.35">
      <c r="A27" s="33" t="s">
        <v>81</v>
      </c>
      <c r="B27" s="36">
        <v>25500</v>
      </c>
      <c r="D27">
        <f t="shared" si="0"/>
        <v>25500</v>
      </c>
    </row>
    <row r="28" spans="1:17" x14ac:dyDescent="0.35">
      <c r="A28" s="33"/>
      <c r="B28" s="36"/>
    </row>
    <row r="29" spans="1:17" x14ac:dyDescent="0.35">
      <c r="A29" s="33"/>
      <c r="B29" s="33"/>
    </row>
    <row r="30" spans="1:17" x14ac:dyDescent="0.35">
      <c r="A30" s="33" t="s">
        <v>30</v>
      </c>
      <c r="B30" s="34">
        <f>SUM(B1:B2)</f>
        <v>107032</v>
      </c>
    </row>
    <row r="31" spans="1:17" x14ac:dyDescent="0.35">
      <c r="A31" s="33" t="s">
        <v>31</v>
      </c>
      <c r="B31" s="34">
        <f>SUM(B4:B29)</f>
        <v>100960</v>
      </c>
    </row>
    <row r="32" spans="1:17" ht="15" thickBot="1" x14ac:dyDescent="0.4">
      <c r="A32" s="37" t="s">
        <v>29</v>
      </c>
      <c r="B32" s="37">
        <f>+B30-B31</f>
        <v>6072</v>
      </c>
    </row>
    <row r="33" ht="15" thickTop="1" x14ac:dyDescent="0.35"/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62"/>
  <sheetViews>
    <sheetView workbookViewId="0">
      <selection activeCell="C16" sqref="A1:XFD1048576"/>
    </sheetView>
  </sheetViews>
  <sheetFormatPr defaultRowHeight="14.5" x14ac:dyDescent="0.35"/>
  <cols>
    <col min="1" max="1" width="39.453125" bestFit="1" customWidth="1"/>
    <col min="2" max="2" width="7" bestFit="1" customWidth="1"/>
    <col min="10" max="10" width="25.54296875" bestFit="1" customWidth="1"/>
  </cols>
  <sheetData>
    <row r="1" spans="1:10" x14ac:dyDescent="0.35">
      <c r="A1" s="36" t="s">
        <v>34</v>
      </c>
      <c r="B1" s="36">
        <v>67700</v>
      </c>
    </row>
    <row r="2" spans="1:10" x14ac:dyDescent="0.35">
      <c r="A2" s="33" t="s">
        <v>47</v>
      </c>
      <c r="B2" s="35">
        <v>7000</v>
      </c>
      <c r="I2" s="57"/>
    </row>
    <row r="3" spans="1:10" x14ac:dyDescent="0.35">
      <c r="A3" s="33" t="s">
        <v>48</v>
      </c>
      <c r="B3" s="34">
        <v>5000</v>
      </c>
    </row>
    <row r="4" spans="1:10" x14ac:dyDescent="0.35">
      <c r="A4" s="33" t="s">
        <v>45</v>
      </c>
      <c r="B4" s="34">
        <v>6000</v>
      </c>
    </row>
    <row r="5" spans="1:10" x14ac:dyDescent="0.35">
      <c r="A5" s="33" t="s">
        <v>3</v>
      </c>
      <c r="B5" s="33">
        <v>32000</v>
      </c>
    </row>
    <row r="6" spans="1:10" x14ac:dyDescent="0.35">
      <c r="A6" s="33"/>
      <c r="B6" s="33">
        <v>1000</v>
      </c>
    </row>
    <row r="7" spans="1:10" x14ac:dyDescent="0.35">
      <c r="A7" s="33"/>
      <c r="B7" s="33"/>
      <c r="J7" s="1"/>
    </row>
    <row r="8" spans="1:10" x14ac:dyDescent="0.35">
      <c r="A8" s="33"/>
      <c r="B8" s="36">
        <f>SUM(B2:B7)</f>
        <v>51000</v>
      </c>
    </row>
    <row r="9" spans="1:10" x14ac:dyDescent="0.35">
      <c r="A9" s="33"/>
      <c r="B9" s="33">
        <f>+B1-B8</f>
        <v>16700</v>
      </c>
    </row>
    <row r="10" spans="1:10" x14ac:dyDescent="0.35">
      <c r="A10" s="33"/>
      <c r="B10" s="33"/>
    </row>
    <row r="12" spans="1:10" s="12" customFormat="1" x14ac:dyDescent="0.35">
      <c r="A12" s="34" t="s">
        <v>33</v>
      </c>
      <c r="B12" s="58">
        <v>27330</v>
      </c>
    </row>
    <row r="13" spans="1:10" s="12" customFormat="1" ht="15" thickBot="1" x14ac:dyDescent="0.4">
      <c r="A13" s="34" t="s">
        <v>82</v>
      </c>
      <c r="B13" s="34">
        <f>+B9</f>
        <v>16700</v>
      </c>
    </row>
    <row r="14" spans="1:10" ht="15" thickBot="1" x14ac:dyDescent="0.4">
      <c r="A14" s="36"/>
      <c r="B14" s="59">
        <f>+B13+B12</f>
        <v>44030</v>
      </c>
    </row>
    <row r="15" spans="1:10" ht="15" thickTop="1" x14ac:dyDescent="0.35">
      <c r="A15" s="36"/>
      <c r="B15" s="36"/>
      <c r="C15" s="51"/>
      <c r="J15">
        <v>793527</v>
      </c>
    </row>
    <row r="16" spans="1:10" s="12" customFormat="1" x14ac:dyDescent="0.35">
      <c r="A16" s="34" t="s">
        <v>15</v>
      </c>
      <c r="B16" s="62">
        <v>1100</v>
      </c>
      <c r="C16" s="60"/>
    </row>
    <row r="17" spans="1:3" s="12" customFormat="1" x14ac:dyDescent="0.35">
      <c r="A17" s="34" t="s">
        <v>11</v>
      </c>
      <c r="B17" s="54">
        <v>1000</v>
      </c>
      <c r="C17" s="60"/>
    </row>
    <row r="18" spans="1:3" s="12" customFormat="1" x14ac:dyDescent="0.35">
      <c r="A18" s="34" t="s">
        <v>23</v>
      </c>
      <c r="B18" s="54">
        <v>510</v>
      </c>
      <c r="C18" s="60"/>
    </row>
    <row r="19" spans="1:3" s="12" customFormat="1" x14ac:dyDescent="0.35">
      <c r="A19" s="34" t="s">
        <v>83</v>
      </c>
      <c r="B19" s="54">
        <v>2500</v>
      </c>
      <c r="C19" s="60"/>
    </row>
    <row r="20" spans="1:3" s="12" customFormat="1" x14ac:dyDescent="0.35">
      <c r="A20" s="34" t="s">
        <v>84</v>
      </c>
      <c r="B20" s="54">
        <v>3000</v>
      </c>
      <c r="C20" s="60"/>
    </row>
    <row r="21" spans="1:3" s="12" customFormat="1" x14ac:dyDescent="0.35">
      <c r="A21" s="34" t="s">
        <v>5</v>
      </c>
      <c r="B21" s="56">
        <v>5000</v>
      </c>
      <c r="C21" s="60"/>
    </row>
    <row r="22" spans="1:3" s="12" customFormat="1" x14ac:dyDescent="0.35">
      <c r="A22" s="34" t="s">
        <v>8</v>
      </c>
      <c r="B22" s="56">
        <f>1400+700</f>
        <v>2100</v>
      </c>
    </row>
    <row r="23" spans="1:3" s="12" customFormat="1" x14ac:dyDescent="0.35">
      <c r="A23" s="34" t="s">
        <v>12</v>
      </c>
      <c r="B23" s="56">
        <v>2100</v>
      </c>
    </row>
    <row r="24" spans="1:3" s="12" customFormat="1" x14ac:dyDescent="0.35">
      <c r="A24" s="34" t="s">
        <v>13</v>
      </c>
      <c r="B24" s="56">
        <v>1700</v>
      </c>
    </row>
    <row r="25" spans="1:3" s="12" customFormat="1" x14ac:dyDescent="0.35">
      <c r="A25" s="34" t="s">
        <v>22</v>
      </c>
      <c r="B25" s="34">
        <v>3000</v>
      </c>
    </row>
    <row r="26" spans="1:3" s="12" customFormat="1" x14ac:dyDescent="0.35">
      <c r="A26" s="34" t="s">
        <v>17</v>
      </c>
      <c r="B26" s="34">
        <v>250</v>
      </c>
    </row>
    <row r="27" spans="1:3" s="12" customFormat="1" x14ac:dyDescent="0.35">
      <c r="A27" s="34" t="s">
        <v>14</v>
      </c>
      <c r="B27" s="34">
        <v>500</v>
      </c>
    </row>
    <row r="28" spans="1:3" s="12" customFormat="1" x14ac:dyDescent="0.35">
      <c r="A28" s="34" t="s">
        <v>6</v>
      </c>
      <c r="B28" s="34">
        <v>1000</v>
      </c>
    </row>
    <row r="29" spans="1:3" s="12" customFormat="1" x14ac:dyDescent="0.35">
      <c r="A29" s="34" t="s">
        <v>16</v>
      </c>
      <c r="B29" s="34">
        <v>700</v>
      </c>
    </row>
    <row r="30" spans="1:3" s="12" customFormat="1" x14ac:dyDescent="0.35">
      <c r="A30" s="34" t="s">
        <v>7</v>
      </c>
      <c r="B30" s="34">
        <v>1000</v>
      </c>
    </row>
    <row r="31" spans="1:3" s="12" customFormat="1" x14ac:dyDescent="0.35">
      <c r="A31" s="34" t="s">
        <v>10</v>
      </c>
      <c r="B31" s="34">
        <v>3000</v>
      </c>
    </row>
    <row r="32" spans="1:3" s="12" customFormat="1" x14ac:dyDescent="0.35">
      <c r="A32" s="34" t="s">
        <v>46</v>
      </c>
      <c r="B32" s="34">
        <v>2500</v>
      </c>
    </row>
    <row r="33" spans="1:12" s="12" customFormat="1" x14ac:dyDescent="0.35">
      <c r="A33" s="34"/>
      <c r="B33" s="34"/>
    </row>
    <row r="34" spans="1:12" s="12" customFormat="1" x14ac:dyDescent="0.35">
      <c r="A34" s="34"/>
      <c r="B34" s="34"/>
    </row>
    <row r="35" spans="1:12" s="12" customFormat="1" x14ac:dyDescent="0.35">
      <c r="A35" s="34"/>
      <c r="B35" s="34"/>
    </row>
    <row r="36" spans="1:12" s="12" customFormat="1" x14ac:dyDescent="0.35">
      <c r="A36" s="34"/>
      <c r="B36" s="34"/>
    </row>
    <row r="37" spans="1:12" ht="15" thickBot="1" x14ac:dyDescent="0.4">
      <c r="A37" s="33"/>
      <c r="B37" s="63">
        <f>SUM(B16:B36)</f>
        <v>30960</v>
      </c>
    </row>
    <row r="38" spans="1:12" ht="15.5" thickTop="1" thickBot="1" x14ac:dyDescent="0.4">
      <c r="A38" s="33"/>
      <c r="B38" s="36"/>
    </row>
    <row r="39" spans="1:12" ht="15" thickBot="1" x14ac:dyDescent="0.4">
      <c r="B39" s="61">
        <f>+B14-B37</f>
        <v>13070</v>
      </c>
    </row>
    <row r="40" spans="1:12" x14ac:dyDescent="0.35">
      <c r="A40" s="33"/>
      <c r="B40" s="33"/>
    </row>
    <row r="41" spans="1:12" x14ac:dyDescent="0.35">
      <c r="A41" s="33"/>
      <c r="B41" s="36"/>
    </row>
    <row r="42" spans="1:12" x14ac:dyDescent="0.35">
      <c r="A42" s="33"/>
      <c r="B42" s="36"/>
      <c r="C42" s="33"/>
      <c r="D42" s="33"/>
      <c r="E42" s="33"/>
      <c r="F42" s="33"/>
      <c r="G42" s="33"/>
      <c r="H42" s="33"/>
      <c r="I42" s="33"/>
      <c r="J42" s="33"/>
      <c r="K42" s="33"/>
      <c r="L42" s="33"/>
    </row>
    <row r="43" spans="1:12" x14ac:dyDescent="0.35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spans="1:12" x14ac:dyDescent="0.3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</row>
    <row r="45" spans="1:12" x14ac:dyDescent="0.3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</row>
    <row r="46" spans="1:12" x14ac:dyDescent="0.3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</row>
    <row r="47" spans="1:12" x14ac:dyDescent="0.35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</row>
    <row r="48" spans="1:12" x14ac:dyDescent="0.3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</row>
    <row r="49" spans="1:7" x14ac:dyDescent="0.35">
      <c r="A49" s="33"/>
      <c r="B49" s="33"/>
      <c r="C49" s="33"/>
      <c r="D49" s="33"/>
      <c r="E49" s="33"/>
      <c r="F49" s="33"/>
      <c r="G49" s="33"/>
    </row>
    <row r="50" spans="1:7" x14ac:dyDescent="0.35">
      <c r="A50" s="33"/>
      <c r="B50" s="33"/>
      <c r="C50" s="33"/>
      <c r="D50" s="33"/>
      <c r="E50" s="33"/>
      <c r="F50" s="33"/>
      <c r="G50" s="33"/>
    </row>
    <row r="51" spans="1:7" x14ac:dyDescent="0.35">
      <c r="A51" s="33"/>
      <c r="B51" s="33"/>
      <c r="C51" s="33"/>
      <c r="D51" s="33"/>
      <c r="E51" s="33"/>
      <c r="F51" s="33"/>
      <c r="G51" s="33"/>
    </row>
    <row r="52" spans="1:7" x14ac:dyDescent="0.35">
      <c r="A52" s="33"/>
      <c r="B52" s="33"/>
      <c r="C52" s="33"/>
      <c r="D52" s="33"/>
      <c r="E52" s="33"/>
      <c r="F52" s="33"/>
      <c r="G52" s="33"/>
    </row>
    <row r="53" spans="1:7" x14ac:dyDescent="0.35">
      <c r="A53" s="33"/>
      <c r="B53" s="33"/>
      <c r="C53" s="33"/>
      <c r="D53" s="33"/>
      <c r="E53" s="33"/>
      <c r="F53" s="33"/>
      <c r="G53" s="33"/>
    </row>
    <row r="54" spans="1:7" x14ac:dyDescent="0.35">
      <c r="A54" s="33"/>
      <c r="B54" s="33"/>
      <c r="C54" s="33"/>
      <c r="D54" s="33"/>
      <c r="E54" s="33"/>
      <c r="F54" s="33"/>
      <c r="G54" s="33"/>
    </row>
    <row r="55" spans="1:7" x14ac:dyDescent="0.35">
      <c r="A55" s="33"/>
      <c r="B55" s="33"/>
      <c r="C55" s="33"/>
      <c r="D55" s="33"/>
      <c r="E55" s="33"/>
      <c r="F55" s="33"/>
      <c r="G55" s="33"/>
    </row>
    <row r="56" spans="1:7" x14ac:dyDescent="0.35">
      <c r="A56" s="33"/>
      <c r="B56" s="33"/>
      <c r="C56" s="33"/>
      <c r="D56" s="33"/>
      <c r="E56" s="33"/>
      <c r="F56" s="33"/>
      <c r="G56" s="33"/>
    </row>
    <row r="57" spans="1:7" x14ac:dyDescent="0.35">
      <c r="A57" s="33"/>
      <c r="B57" s="33"/>
      <c r="C57" s="33"/>
      <c r="D57" s="33"/>
      <c r="E57" s="33"/>
      <c r="F57" s="33"/>
      <c r="G57" s="33"/>
    </row>
    <row r="58" spans="1:7" x14ac:dyDescent="0.35">
      <c r="A58" s="33"/>
      <c r="B58" s="33"/>
      <c r="C58" s="33"/>
      <c r="D58" s="33"/>
      <c r="E58" s="33"/>
      <c r="F58" s="33"/>
      <c r="G58" s="33"/>
    </row>
    <row r="59" spans="1:7" x14ac:dyDescent="0.35">
      <c r="A59" s="33"/>
      <c r="B59" s="33"/>
      <c r="C59" s="33"/>
      <c r="D59" s="33"/>
      <c r="E59" s="33"/>
      <c r="F59" s="33"/>
      <c r="G59" s="33"/>
    </row>
    <row r="60" spans="1:7" x14ac:dyDescent="0.35">
      <c r="A60" s="33"/>
      <c r="B60" s="33"/>
      <c r="C60" s="33"/>
      <c r="D60" s="33"/>
      <c r="E60" s="33"/>
      <c r="F60" s="33"/>
      <c r="G60" s="33"/>
    </row>
    <row r="61" spans="1:7" x14ac:dyDescent="0.35">
      <c r="A61" s="33"/>
      <c r="B61" s="33"/>
      <c r="C61" s="33"/>
      <c r="D61" s="33"/>
      <c r="E61" s="33"/>
      <c r="F61" s="33"/>
      <c r="G61" s="33"/>
    </row>
    <row r="62" spans="1:7" x14ac:dyDescent="0.35">
      <c r="A62" s="33"/>
      <c r="B62" s="33"/>
      <c r="C62" s="33"/>
      <c r="D62" s="33"/>
      <c r="E62" s="33"/>
      <c r="F62" s="33"/>
      <c r="G62" s="33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62"/>
  <sheetViews>
    <sheetView workbookViewId="0">
      <selection sqref="A1:XFD1048576"/>
    </sheetView>
  </sheetViews>
  <sheetFormatPr defaultRowHeight="14.5" x14ac:dyDescent="0.35"/>
  <cols>
    <col min="1" max="1" width="39.453125" bestFit="1" customWidth="1"/>
    <col min="2" max="2" width="7" bestFit="1" customWidth="1"/>
    <col min="9" max="9" width="12.54296875" bestFit="1" customWidth="1"/>
    <col min="10" max="10" width="25.54296875" style="65" bestFit="1" customWidth="1"/>
    <col min="11" max="11" width="14.7265625" style="65" customWidth="1"/>
    <col min="12" max="12" width="9.1796875" style="65"/>
  </cols>
  <sheetData>
    <row r="1" spans="1:12" x14ac:dyDescent="0.35">
      <c r="A1" s="36" t="s">
        <v>34</v>
      </c>
      <c r="B1" s="36">
        <v>67000</v>
      </c>
      <c r="J1" s="66" t="s">
        <v>85</v>
      </c>
      <c r="K1" s="66" t="s">
        <v>86</v>
      </c>
    </row>
    <row r="2" spans="1:12" x14ac:dyDescent="0.35">
      <c r="A2" s="33" t="s">
        <v>47</v>
      </c>
      <c r="B2" s="35">
        <f>6500</f>
        <v>6500</v>
      </c>
      <c r="I2" s="57"/>
      <c r="J2" s="67">
        <v>20000</v>
      </c>
      <c r="K2" s="68">
        <v>15500</v>
      </c>
    </row>
    <row r="3" spans="1:12" x14ac:dyDescent="0.35">
      <c r="A3" s="33" t="s">
        <v>48</v>
      </c>
      <c r="B3" s="34">
        <v>5000</v>
      </c>
      <c r="J3" s="67"/>
      <c r="K3" s="67">
        <v>10592.759999999998</v>
      </c>
    </row>
    <row r="4" spans="1:12" x14ac:dyDescent="0.35">
      <c r="A4" s="33" t="s">
        <v>45</v>
      </c>
      <c r="B4" s="34">
        <v>6000</v>
      </c>
      <c r="J4" s="67"/>
      <c r="K4" s="67"/>
    </row>
    <row r="5" spans="1:12" x14ac:dyDescent="0.35">
      <c r="A5" s="33" t="s">
        <v>3</v>
      </c>
      <c r="B5" s="33">
        <v>32000</v>
      </c>
      <c r="J5" s="66">
        <f>SUM(J2:J4)</f>
        <v>20000</v>
      </c>
      <c r="K5" s="66">
        <f>SUM(K2:K4)</f>
        <v>26092.76</v>
      </c>
    </row>
    <row r="6" spans="1:12" x14ac:dyDescent="0.35">
      <c r="A6" s="33"/>
      <c r="B6" s="33">
        <v>2500</v>
      </c>
      <c r="K6" s="65">
        <v>-6200</v>
      </c>
    </row>
    <row r="7" spans="1:12" x14ac:dyDescent="0.35">
      <c r="A7" s="33"/>
      <c r="B7" s="33"/>
      <c r="J7" s="66"/>
      <c r="K7" s="65">
        <v>-4000</v>
      </c>
    </row>
    <row r="8" spans="1:12" x14ac:dyDescent="0.35">
      <c r="A8" s="33"/>
      <c r="B8" s="36">
        <f>SUM(B2:B7)</f>
        <v>52000</v>
      </c>
      <c r="K8" s="65">
        <v>-892</v>
      </c>
    </row>
    <row r="9" spans="1:12" x14ac:dyDescent="0.35">
      <c r="A9" s="33"/>
      <c r="B9" s="33">
        <f>+B1-B8</f>
        <v>15000</v>
      </c>
    </row>
    <row r="10" spans="1:12" x14ac:dyDescent="0.35">
      <c r="A10" s="33"/>
      <c r="B10" s="33"/>
      <c r="G10" t="s">
        <v>87</v>
      </c>
      <c r="H10" s="65">
        <f>8200-2000</f>
        <v>6200</v>
      </c>
    </row>
    <row r="11" spans="1:12" x14ac:dyDescent="0.35">
      <c r="G11" t="s">
        <v>88</v>
      </c>
      <c r="H11" s="65">
        <v>23000</v>
      </c>
    </row>
    <row r="12" spans="1:12" s="12" customFormat="1" x14ac:dyDescent="0.35">
      <c r="A12" s="34" t="s">
        <v>33</v>
      </c>
      <c r="B12" s="58">
        <f>32700</f>
        <v>32700</v>
      </c>
      <c r="C12" s="58"/>
      <c r="J12" s="67"/>
      <c r="K12" s="67"/>
      <c r="L12" s="67"/>
    </row>
    <row r="13" spans="1:12" s="12" customFormat="1" ht="15" thickBot="1" x14ac:dyDescent="0.4">
      <c r="A13" s="34" t="s">
        <v>82</v>
      </c>
      <c r="B13" s="34">
        <f>+B9</f>
        <v>15000</v>
      </c>
      <c r="J13" s="67"/>
      <c r="K13" s="67"/>
      <c r="L13" s="67"/>
    </row>
    <row r="14" spans="1:12" ht="15" thickBot="1" x14ac:dyDescent="0.4">
      <c r="A14" s="36"/>
      <c r="B14" s="59">
        <f>+B13+B12</f>
        <v>47700</v>
      </c>
    </row>
    <row r="15" spans="1:12" ht="15" thickTop="1" x14ac:dyDescent="0.35">
      <c r="A15" s="36"/>
      <c r="B15" s="36"/>
      <c r="C15" s="51"/>
    </row>
    <row r="16" spans="1:12" s="12" customFormat="1" x14ac:dyDescent="0.35">
      <c r="A16" s="34" t="s">
        <v>15</v>
      </c>
      <c r="B16" s="62">
        <v>1100</v>
      </c>
      <c r="C16" s="60"/>
      <c r="J16" s="66">
        <f>SUM(J5:J15)</f>
        <v>20000</v>
      </c>
      <c r="K16" s="66">
        <f>SUM(K5:K15)</f>
        <v>15000.759999999998</v>
      </c>
      <c r="L16" s="67"/>
    </row>
    <row r="17" spans="1:16" s="12" customFormat="1" x14ac:dyDescent="0.35">
      <c r="A17" s="34" t="s">
        <v>11</v>
      </c>
      <c r="B17" s="54">
        <v>1000</v>
      </c>
      <c r="C17" s="60"/>
      <c r="L17" s="67"/>
    </row>
    <row r="18" spans="1:16" s="12" customFormat="1" x14ac:dyDescent="0.35">
      <c r="A18" s="34" t="s">
        <v>23</v>
      </c>
      <c r="B18" s="54">
        <v>510</v>
      </c>
      <c r="C18" s="60"/>
      <c r="L18" s="67"/>
    </row>
    <row r="19" spans="1:16" s="12" customFormat="1" x14ac:dyDescent="0.35">
      <c r="A19" s="34" t="s">
        <v>83</v>
      </c>
      <c r="B19" s="54">
        <v>2500</v>
      </c>
      <c r="C19" s="60"/>
      <c r="L19" s="67"/>
    </row>
    <row r="20" spans="1:16" s="12" customFormat="1" x14ac:dyDescent="0.35">
      <c r="A20" s="34" t="s">
        <v>84</v>
      </c>
      <c r="B20" s="54">
        <v>3000</v>
      </c>
      <c r="C20" s="60"/>
      <c r="L20" s="67"/>
    </row>
    <row r="21" spans="1:16" s="12" customFormat="1" x14ac:dyDescent="0.35">
      <c r="A21" s="34" t="s">
        <v>5</v>
      </c>
      <c r="B21" s="56">
        <v>5000</v>
      </c>
      <c r="C21" s="60"/>
      <c r="J21" s="12">
        <v>-28100</v>
      </c>
      <c r="L21" s="67"/>
    </row>
    <row r="22" spans="1:16" s="12" customFormat="1" x14ac:dyDescent="0.35">
      <c r="A22" s="34" t="s">
        <v>8</v>
      </c>
      <c r="B22" s="56">
        <f>1400+700</f>
        <v>2100</v>
      </c>
      <c r="J22" s="67"/>
      <c r="K22" s="67"/>
      <c r="L22" s="67"/>
    </row>
    <row r="23" spans="1:16" s="12" customFormat="1" x14ac:dyDescent="0.35">
      <c r="A23" s="34" t="s">
        <v>12</v>
      </c>
      <c r="B23" s="56">
        <v>2100</v>
      </c>
      <c r="J23" s="67">
        <f>20000+15000-28100</f>
        <v>6900</v>
      </c>
      <c r="K23" s="67"/>
      <c r="L23" s="67"/>
    </row>
    <row r="24" spans="1:16" s="12" customFormat="1" x14ac:dyDescent="0.35">
      <c r="A24" s="34" t="s">
        <v>13</v>
      </c>
      <c r="B24" s="56">
        <v>1700</v>
      </c>
      <c r="J24" s="67"/>
      <c r="K24" s="67"/>
      <c r="L24" s="67"/>
    </row>
    <row r="25" spans="1:16" s="64" customFormat="1" x14ac:dyDescent="0.35">
      <c r="A25" s="34" t="s">
        <v>22</v>
      </c>
      <c r="B25" s="34">
        <v>3000</v>
      </c>
      <c r="J25" s="69"/>
      <c r="K25" s="69"/>
      <c r="L25" s="69"/>
    </row>
    <row r="26" spans="1:16" s="64" customFormat="1" x14ac:dyDescent="0.35">
      <c r="A26" s="34" t="s">
        <v>17</v>
      </c>
      <c r="B26" s="34">
        <v>250</v>
      </c>
      <c r="J26" s="69"/>
      <c r="K26" s="69"/>
      <c r="L26" s="69"/>
      <c r="P26" s="64">
        <f>28100-15000</f>
        <v>13100</v>
      </c>
    </row>
    <row r="27" spans="1:16" s="64" customFormat="1" x14ac:dyDescent="0.35">
      <c r="A27" s="34" t="s">
        <v>14</v>
      </c>
      <c r="B27" s="34">
        <v>500</v>
      </c>
      <c r="J27" s="69"/>
      <c r="K27" s="69"/>
      <c r="L27" s="69"/>
      <c r="P27" s="64">
        <f>20000-P26</f>
        <v>6900</v>
      </c>
    </row>
    <row r="28" spans="1:16" s="12" customFormat="1" x14ac:dyDescent="0.35">
      <c r="A28" s="34" t="s">
        <v>6</v>
      </c>
      <c r="B28" s="34">
        <v>1000</v>
      </c>
      <c r="J28" s="67"/>
      <c r="K28" s="67"/>
      <c r="L28" s="67"/>
    </row>
    <row r="29" spans="1:16" s="12" customFormat="1" x14ac:dyDescent="0.35">
      <c r="A29" s="34" t="s">
        <v>16</v>
      </c>
      <c r="B29" s="34">
        <v>700</v>
      </c>
      <c r="J29" s="67"/>
      <c r="K29" s="67"/>
      <c r="L29" s="67"/>
    </row>
    <row r="30" spans="1:16" s="12" customFormat="1" x14ac:dyDescent="0.35">
      <c r="A30" s="34" t="s">
        <v>7</v>
      </c>
      <c r="B30" s="34">
        <v>1000</v>
      </c>
      <c r="J30" s="67"/>
      <c r="K30" s="67"/>
      <c r="L30" s="67"/>
    </row>
    <row r="31" spans="1:16" s="12" customFormat="1" x14ac:dyDescent="0.35">
      <c r="A31" s="34" t="s">
        <v>10</v>
      </c>
      <c r="B31" s="34">
        <v>3000</v>
      </c>
      <c r="J31" s="67"/>
      <c r="K31" s="67"/>
      <c r="L31" s="67"/>
    </row>
    <row r="32" spans="1:16" s="12" customFormat="1" x14ac:dyDescent="0.35">
      <c r="A32" s="34" t="s">
        <v>46</v>
      </c>
      <c r="B32" s="34">
        <v>2500</v>
      </c>
      <c r="J32" s="67"/>
      <c r="K32" s="67"/>
      <c r="L32" s="67"/>
    </row>
    <row r="33" spans="1:12" s="12" customFormat="1" x14ac:dyDescent="0.35">
      <c r="A33" s="33" t="s">
        <v>89</v>
      </c>
      <c r="B33" s="34">
        <v>5250</v>
      </c>
      <c r="J33" s="67"/>
      <c r="K33" s="67"/>
      <c r="L33" s="67"/>
    </row>
    <row r="34" spans="1:12" s="12" customFormat="1" x14ac:dyDescent="0.35">
      <c r="A34" s="34"/>
      <c r="B34" s="34"/>
      <c r="J34" s="67"/>
      <c r="K34" s="67"/>
      <c r="L34" s="67"/>
    </row>
    <row r="35" spans="1:12" s="12" customFormat="1" x14ac:dyDescent="0.35">
      <c r="A35" s="34"/>
      <c r="B35" s="34"/>
      <c r="J35" s="67"/>
      <c r="K35" s="67"/>
      <c r="L35" s="67"/>
    </row>
    <row r="36" spans="1:12" s="12" customFormat="1" x14ac:dyDescent="0.35">
      <c r="A36" s="34"/>
      <c r="B36" s="34"/>
      <c r="J36" s="67"/>
      <c r="K36" s="67"/>
      <c r="L36" s="67"/>
    </row>
    <row r="37" spans="1:12" ht="15" thickBot="1" x14ac:dyDescent="0.4">
      <c r="A37" s="33"/>
      <c r="B37" s="63">
        <f>SUM(B16:B36)</f>
        <v>36210</v>
      </c>
    </row>
    <row r="38" spans="1:12" ht="15.5" thickTop="1" thickBot="1" x14ac:dyDescent="0.4">
      <c r="A38" s="33"/>
      <c r="B38" s="36"/>
    </row>
    <row r="39" spans="1:12" ht="15" thickBot="1" x14ac:dyDescent="0.4">
      <c r="B39" s="61">
        <f>+B14-B37</f>
        <v>11490</v>
      </c>
    </row>
    <row r="40" spans="1:12" x14ac:dyDescent="0.35">
      <c r="A40" s="33"/>
      <c r="B40" s="33"/>
    </row>
    <row r="41" spans="1:12" x14ac:dyDescent="0.35">
      <c r="A41" s="33"/>
      <c r="B41" s="36"/>
    </row>
    <row r="42" spans="1:12" x14ac:dyDescent="0.35">
      <c r="A42" s="33"/>
      <c r="B42" s="36"/>
      <c r="C42" s="33"/>
      <c r="D42" s="33"/>
      <c r="E42" s="33"/>
      <c r="F42" s="33"/>
      <c r="G42" s="33"/>
      <c r="H42" s="33"/>
      <c r="I42" s="33"/>
      <c r="J42" s="70"/>
      <c r="K42" s="70"/>
      <c r="L42" s="70"/>
    </row>
    <row r="43" spans="1:12" x14ac:dyDescent="0.35">
      <c r="A43" s="33"/>
      <c r="B43" s="33"/>
      <c r="C43" s="33"/>
      <c r="D43" s="33"/>
      <c r="E43" s="33"/>
      <c r="F43" s="33"/>
      <c r="G43" s="33"/>
      <c r="H43" s="33"/>
      <c r="I43" s="33"/>
      <c r="J43" s="70"/>
      <c r="K43" s="70"/>
      <c r="L43" s="70"/>
    </row>
    <row r="44" spans="1:12" x14ac:dyDescent="0.35">
      <c r="A44" s="33"/>
      <c r="B44" s="33"/>
      <c r="C44" s="33"/>
      <c r="D44" s="33"/>
      <c r="E44" s="33"/>
      <c r="F44" s="33"/>
      <c r="G44" s="33"/>
      <c r="H44" s="33"/>
      <c r="I44" s="33"/>
      <c r="J44" s="70"/>
      <c r="K44" s="70"/>
      <c r="L44" s="70"/>
    </row>
    <row r="45" spans="1:12" x14ac:dyDescent="0.35">
      <c r="A45" s="33"/>
      <c r="B45" s="33"/>
      <c r="C45" s="33"/>
      <c r="D45" s="33"/>
      <c r="E45" s="33"/>
      <c r="F45" s="33"/>
      <c r="G45" s="33"/>
      <c r="H45" s="33"/>
      <c r="I45" s="33"/>
      <c r="J45" s="70"/>
      <c r="K45" s="70"/>
      <c r="L45" s="70"/>
    </row>
    <row r="46" spans="1:12" x14ac:dyDescent="0.35">
      <c r="A46" s="33"/>
      <c r="B46" s="33"/>
      <c r="C46" s="33"/>
      <c r="D46" s="33"/>
      <c r="E46" s="33"/>
      <c r="F46" s="33"/>
      <c r="G46" s="33"/>
      <c r="H46" s="33"/>
      <c r="I46" s="33"/>
      <c r="J46" s="70"/>
      <c r="K46" s="70"/>
      <c r="L46" s="70"/>
    </row>
    <row r="47" spans="1:12" x14ac:dyDescent="0.35">
      <c r="A47" s="33"/>
      <c r="B47" s="33"/>
      <c r="C47" s="33"/>
      <c r="D47" s="33"/>
      <c r="E47" s="33"/>
      <c r="F47" s="33"/>
      <c r="G47" s="33"/>
      <c r="H47" s="33"/>
      <c r="I47" s="33"/>
      <c r="J47" s="70"/>
      <c r="K47" s="70"/>
      <c r="L47" s="70"/>
    </row>
    <row r="48" spans="1:12" x14ac:dyDescent="0.35">
      <c r="A48" s="33"/>
      <c r="B48" s="33"/>
      <c r="C48" s="33"/>
      <c r="D48" s="33"/>
      <c r="E48" s="33"/>
      <c r="F48" s="33"/>
      <c r="G48" s="33"/>
      <c r="H48" s="33"/>
      <c r="I48" s="33"/>
      <c r="J48" s="70"/>
      <c r="K48" s="70"/>
      <c r="L48" s="70"/>
    </row>
    <row r="49" spans="1:7" x14ac:dyDescent="0.35">
      <c r="A49" s="33"/>
      <c r="B49" s="33"/>
      <c r="C49" s="33"/>
      <c r="D49" s="33"/>
      <c r="E49" s="33"/>
      <c r="F49" s="33"/>
      <c r="G49" s="33"/>
    </row>
    <row r="50" spans="1:7" x14ac:dyDescent="0.35">
      <c r="A50" s="33"/>
      <c r="B50" s="33"/>
      <c r="C50" s="33"/>
      <c r="D50" s="33"/>
      <c r="E50" s="33"/>
      <c r="F50" s="33"/>
      <c r="G50" s="33"/>
    </row>
    <row r="51" spans="1:7" x14ac:dyDescent="0.35">
      <c r="A51" s="33"/>
      <c r="B51" s="33"/>
      <c r="C51" s="33"/>
      <c r="D51" s="33"/>
      <c r="E51" s="33"/>
      <c r="F51" s="33"/>
      <c r="G51" s="33"/>
    </row>
    <row r="52" spans="1:7" x14ac:dyDescent="0.35">
      <c r="A52" s="33"/>
      <c r="B52" s="33"/>
      <c r="C52" s="33"/>
      <c r="D52" s="33"/>
      <c r="E52" s="33"/>
      <c r="F52" s="33"/>
      <c r="G52" s="33"/>
    </row>
    <row r="53" spans="1:7" x14ac:dyDescent="0.35">
      <c r="A53" s="33"/>
      <c r="B53" s="33"/>
      <c r="C53" s="33"/>
      <c r="D53" s="33"/>
      <c r="E53" s="33"/>
      <c r="F53" s="33"/>
      <c r="G53" s="33"/>
    </row>
    <row r="54" spans="1:7" x14ac:dyDescent="0.35">
      <c r="A54" s="33"/>
      <c r="B54" s="33"/>
      <c r="C54" s="33"/>
      <c r="D54" s="33"/>
      <c r="E54" s="33"/>
      <c r="F54" s="33"/>
      <c r="G54" s="33"/>
    </row>
    <row r="55" spans="1:7" x14ac:dyDescent="0.35">
      <c r="A55" s="33"/>
      <c r="B55" s="33"/>
      <c r="C55" s="33"/>
      <c r="D55" s="33"/>
      <c r="E55" s="33"/>
      <c r="F55" s="33"/>
      <c r="G55" s="33"/>
    </row>
    <row r="56" spans="1:7" x14ac:dyDescent="0.35">
      <c r="A56" s="33"/>
      <c r="B56" s="33"/>
      <c r="C56" s="33"/>
      <c r="D56" s="33"/>
      <c r="E56" s="33"/>
      <c r="F56" s="33"/>
      <c r="G56" s="33"/>
    </row>
    <row r="57" spans="1:7" x14ac:dyDescent="0.35">
      <c r="A57" s="33"/>
      <c r="B57" s="33"/>
      <c r="C57" s="33"/>
      <c r="D57" s="33"/>
      <c r="E57" s="33"/>
      <c r="F57" s="33"/>
      <c r="G57" s="33"/>
    </row>
    <row r="58" spans="1:7" x14ac:dyDescent="0.35">
      <c r="A58" s="33"/>
      <c r="B58" s="33"/>
      <c r="C58" s="33"/>
      <c r="D58" s="33"/>
      <c r="E58" s="33"/>
      <c r="F58" s="33"/>
      <c r="G58" s="33"/>
    </row>
    <row r="59" spans="1:7" x14ac:dyDescent="0.35">
      <c r="A59" s="33"/>
      <c r="B59" s="33"/>
      <c r="C59" s="33"/>
      <c r="D59" s="33"/>
      <c r="E59" s="33"/>
      <c r="F59" s="33"/>
      <c r="G59" s="33"/>
    </row>
    <row r="60" spans="1:7" x14ac:dyDescent="0.35">
      <c r="A60" s="33"/>
      <c r="B60" s="33"/>
      <c r="C60" s="33"/>
      <c r="D60" s="33"/>
      <c r="E60" s="33"/>
      <c r="F60" s="33"/>
      <c r="G60" s="33"/>
    </row>
    <row r="61" spans="1:7" x14ac:dyDescent="0.35">
      <c r="A61" s="33"/>
      <c r="B61" s="33"/>
      <c r="C61" s="33"/>
      <c r="D61" s="33"/>
      <c r="E61" s="33"/>
      <c r="F61" s="33"/>
      <c r="G61" s="33"/>
    </row>
    <row r="62" spans="1:7" x14ac:dyDescent="0.35">
      <c r="A62" s="33"/>
      <c r="B62" s="33"/>
      <c r="C62" s="33"/>
      <c r="D62" s="33"/>
      <c r="E62" s="33"/>
      <c r="F62" s="33"/>
      <c r="G62" s="33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62"/>
  <sheetViews>
    <sheetView workbookViewId="0">
      <selection sqref="A1:XFD1048576"/>
    </sheetView>
  </sheetViews>
  <sheetFormatPr defaultRowHeight="14.5" x14ac:dyDescent="0.35"/>
  <cols>
    <col min="1" max="1" width="39.453125" bestFit="1" customWidth="1"/>
    <col min="2" max="2" width="7" bestFit="1" customWidth="1"/>
    <col min="9" max="9" width="12.54296875" bestFit="1" customWidth="1"/>
    <col min="10" max="10" width="25.54296875" style="65" bestFit="1" customWidth="1"/>
    <col min="11" max="11" width="14.7265625" style="65" customWidth="1"/>
    <col min="12" max="12" width="9.1796875" style="65"/>
  </cols>
  <sheetData>
    <row r="1" spans="1:12" x14ac:dyDescent="0.35">
      <c r="A1" s="36" t="s">
        <v>34</v>
      </c>
      <c r="B1" s="36">
        <v>68400</v>
      </c>
      <c r="J1" s="66" t="s">
        <v>85</v>
      </c>
      <c r="K1" s="66" t="s">
        <v>86</v>
      </c>
    </row>
    <row r="2" spans="1:12" x14ac:dyDescent="0.35">
      <c r="A2" s="33" t="s">
        <v>47</v>
      </c>
      <c r="B2" s="35">
        <f>6500+500</f>
        <v>7000</v>
      </c>
      <c r="I2" s="57"/>
      <c r="J2" s="67">
        <v>20000</v>
      </c>
      <c r="K2" s="68">
        <v>15500</v>
      </c>
    </row>
    <row r="3" spans="1:12" x14ac:dyDescent="0.35">
      <c r="A3" s="33" t="s">
        <v>48</v>
      </c>
      <c r="B3" s="34">
        <v>5000</v>
      </c>
      <c r="J3" s="67"/>
      <c r="K3" s="67">
        <v>10592.759999999998</v>
      </c>
    </row>
    <row r="4" spans="1:12" x14ac:dyDescent="0.35">
      <c r="A4" s="33" t="s">
        <v>45</v>
      </c>
      <c r="B4" s="34">
        <v>6000</v>
      </c>
      <c r="J4" s="67"/>
      <c r="K4" s="67"/>
    </row>
    <row r="5" spans="1:12" x14ac:dyDescent="0.35">
      <c r="A5" s="33" t="s">
        <v>3</v>
      </c>
      <c r="B5" s="33">
        <v>32000</v>
      </c>
      <c r="J5" s="66">
        <f>SUM(J2:J4)</f>
        <v>20000</v>
      </c>
      <c r="K5" s="66">
        <f>SUM(K2:K4)</f>
        <v>26092.76</v>
      </c>
    </row>
    <row r="6" spans="1:12" x14ac:dyDescent="0.35">
      <c r="A6" s="33"/>
      <c r="B6" s="33"/>
      <c r="K6" s="65">
        <v>-6200</v>
      </c>
    </row>
    <row r="7" spans="1:12" x14ac:dyDescent="0.35">
      <c r="A7" s="33"/>
      <c r="B7" s="33"/>
      <c r="J7" s="66"/>
      <c r="K7" s="65">
        <v>-4000</v>
      </c>
    </row>
    <row r="8" spans="1:12" x14ac:dyDescent="0.35">
      <c r="A8" s="33"/>
      <c r="B8" s="36">
        <f>SUM(B2:B7)</f>
        <v>50000</v>
      </c>
      <c r="K8" s="65">
        <v>-892</v>
      </c>
    </row>
    <row r="9" spans="1:12" x14ac:dyDescent="0.35">
      <c r="A9" s="33"/>
      <c r="B9" s="33">
        <f>+B1-B8</f>
        <v>18400</v>
      </c>
    </row>
    <row r="10" spans="1:12" x14ac:dyDescent="0.35">
      <c r="A10" s="33"/>
      <c r="B10" s="33"/>
      <c r="G10" t="s">
        <v>87</v>
      </c>
      <c r="H10" s="65">
        <f>8200-2000</f>
        <v>6200</v>
      </c>
    </row>
    <row r="11" spans="1:12" x14ac:dyDescent="0.35">
      <c r="G11" t="s">
        <v>88</v>
      </c>
      <c r="H11" s="65">
        <v>23000</v>
      </c>
    </row>
    <row r="12" spans="1:12" s="12" customFormat="1" x14ac:dyDescent="0.35">
      <c r="A12" s="34" t="s">
        <v>33</v>
      </c>
      <c r="B12" s="58">
        <v>33000</v>
      </c>
      <c r="C12" s="58"/>
      <c r="J12" s="67"/>
      <c r="K12" s="67"/>
      <c r="L12" s="67"/>
    </row>
    <row r="13" spans="1:12" s="12" customFormat="1" ht="15" thickBot="1" x14ac:dyDescent="0.4">
      <c r="A13" s="34" t="s">
        <v>82</v>
      </c>
      <c r="B13" s="34">
        <f>+B9</f>
        <v>18400</v>
      </c>
      <c r="J13" s="67"/>
      <c r="K13" s="67"/>
      <c r="L13" s="67"/>
    </row>
    <row r="14" spans="1:12" ht="15" thickBot="1" x14ac:dyDescent="0.4">
      <c r="A14" s="36"/>
      <c r="B14" s="59">
        <f>+B13+B12</f>
        <v>51400</v>
      </c>
    </row>
    <row r="15" spans="1:12" ht="15" thickTop="1" x14ac:dyDescent="0.35">
      <c r="A15" s="36"/>
      <c r="B15" s="36"/>
      <c r="C15" s="51"/>
    </row>
    <row r="16" spans="1:12" s="12" customFormat="1" x14ac:dyDescent="0.35">
      <c r="A16" s="34" t="s">
        <v>15</v>
      </c>
      <c r="B16" s="62">
        <v>1100</v>
      </c>
      <c r="C16" s="60"/>
      <c r="J16" s="66">
        <f>SUM(J5:J15)</f>
        <v>20000</v>
      </c>
      <c r="K16" s="66">
        <f>SUM(K5:K15)</f>
        <v>15000.759999999998</v>
      </c>
      <c r="L16" s="67"/>
    </row>
    <row r="17" spans="1:16" s="12" customFormat="1" x14ac:dyDescent="0.35">
      <c r="A17" s="34" t="s">
        <v>11</v>
      </c>
      <c r="B17" s="54">
        <v>1000</v>
      </c>
      <c r="C17" s="60"/>
      <c r="L17" s="67"/>
    </row>
    <row r="18" spans="1:16" s="12" customFormat="1" x14ac:dyDescent="0.35">
      <c r="A18" s="34" t="s">
        <v>23</v>
      </c>
      <c r="B18" s="54">
        <v>510</v>
      </c>
      <c r="C18" s="60"/>
      <c r="L18" s="67"/>
    </row>
    <row r="19" spans="1:16" s="12" customFormat="1" x14ac:dyDescent="0.35">
      <c r="A19" s="34" t="s">
        <v>83</v>
      </c>
      <c r="B19" s="54">
        <v>2500</v>
      </c>
      <c r="C19" s="60"/>
      <c r="L19" s="67"/>
    </row>
    <row r="20" spans="1:16" s="12" customFormat="1" x14ac:dyDescent="0.35">
      <c r="A20" s="34" t="s">
        <v>84</v>
      </c>
      <c r="B20" s="54">
        <v>3000</v>
      </c>
      <c r="C20" s="60"/>
      <c r="L20" s="67"/>
    </row>
    <row r="21" spans="1:16" s="12" customFormat="1" x14ac:dyDescent="0.35">
      <c r="A21" s="34" t="s">
        <v>5</v>
      </c>
      <c r="B21" s="56">
        <v>5000</v>
      </c>
      <c r="C21" s="60"/>
      <c r="J21" s="12">
        <v>-28100</v>
      </c>
      <c r="L21" s="67"/>
    </row>
    <row r="22" spans="1:16" s="12" customFormat="1" x14ac:dyDescent="0.35">
      <c r="A22" s="34" t="s">
        <v>8</v>
      </c>
      <c r="B22" s="56">
        <f>1400+700</f>
        <v>2100</v>
      </c>
      <c r="J22" s="67"/>
      <c r="K22" s="67"/>
      <c r="L22" s="67"/>
    </row>
    <row r="23" spans="1:16" s="12" customFormat="1" x14ac:dyDescent="0.35">
      <c r="A23" s="34" t="s">
        <v>12</v>
      </c>
      <c r="B23" s="56">
        <v>2100</v>
      </c>
      <c r="J23" s="67">
        <f>20000+15000-28100</f>
        <v>6900</v>
      </c>
      <c r="K23" s="67"/>
      <c r="L23" s="67"/>
    </row>
    <row r="24" spans="1:16" s="12" customFormat="1" x14ac:dyDescent="0.35">
      <c r="A24" s="34" t="s">
        <v>13</v>
      </c>
      <c r="B24" s="56">
        <v>1700</v>
      </c>
      <c r="J24" s="67"/>
      <c r="K24" s="67"/>
      <c r="L24" s="67"/>
    </row>
    <row r="25" spans="1:16" s="64" customFormat="1" x14ac:dyDescent="0.35">
      <c r="A25" s="34" t="s">
        <v>22</v>
      </c>
      <c r="B25" s="34">
        <v>3000</v>
      </c>
      <c r="J25" s="69"/>
      <c r="K25" s="69"/>
      <c r="L25" s="69"/>
    </row>
    <row r="26" spans="1:16" s="64" customFormat="1" x14ac:dyDescent="0.35">
      <c r="A26" s="34" t="s">
        <v>17</v>
      </c>
      <c r="B26" s="34">
        <v>250</v>
      </c>
      <c r="F26" s="64">
        <f>28400-10000</f>
        <v>18400</v>
      </c>
      <c r="G26" s="6"/>
      <c r="J26" s="69"/>
      <c r="K26" s="69"/>
      <c r="L26" s="69"/>
      <c r="P26" s="64">
        <f>28100-15000</f>
        <v>13100</v>
      </c>
    </row>
    <row r="27" spans="1:16" s="64" customFormat="1" x14ac:dyDescent="0.35">
      <c r="A27" s="34" t="s">
        <v>14</v>
      </c>
      <c r="B27" s="34">
        <v>500</v>
      </c>
      <c r="J27" s="69"/>
      <c r="K27" s="69"/>
      <c r="L27" s="69"/>
      <c r="P27" s="64">
        <f>20000-P26</f>
        <v>6900</v>
      </c>
    </row>
    <row r="28" spans="1:16" s="12" customFormat="1" x14ac:dyDescent="0.35">
      <c r="A28" s="34" t="s">
        <v>6</v>
      </c>
      <c r="B28" s="34">
        <v>1000</v>
      </c>
      <c r="J28" s="67"/>
      <c r="K28" s="67"/>
      <c r="L28" s="67"/>
    </row>
    <row r="29" spans="1:16" s="12" customFormat="1" x14ac:dyDescent="0.35">
      <c r="A29" s="34" t="s">
        <v>16</v>
      </c>
      <c r="B29" s="34">
        <v>700</v>
      </c>
      <c r="J29" s="67"/>
      <c r="K29" s="67"/>
      <c r="L29" s="67"/>
    </row>
    <row r="30" spans="1:16" s="12" customFormat="1" x14ac:dyDescent="0.35">
      <c r="A30" s="34" t="s">
        <v>7</v>
      </c>
      <c r="B30" s="34">
        <v>1000</v>
      </c>
      <c r="J30" s="67"/>
      <c r="K30" s="67"/>
      <c r="L30" s="67"/>
    </row>
    <row r="31" spans="1:16" s="12" customFormat="1" x14ac:dyDescent="0.35">
      <c r="A31" s="34" t="s">
        <v>10</v>
      </c>
      <c r="B31" s="34">
        <v>3000</v>
      </c>
      <c r="J31" s="67"/>
      <c r="K31" s="67"/>
      <c r="L31" s="67"/>
    </row>
    <row r="32" spans="1:16" s="12" customFormat="1" x14ac:dyDescent="0.35">
      <c r="A32" s="34" t="s">
        <v>46</v>
      </c>
      <c r="B32" s="34"/>
      <c r="J32" s="67"/>
      <c r="K32" s="67"/>
      <c r="L32" s="67"/>
    </row>
    <row r="33" spans="1:12" s="12" customFormat="1" x14ac:dyDescent="0.35">
      <c r="A33" s="33" t="s">
        <v>89</v>
      </c>
      <c r="B33" s="34"/>
      <c r="J33" s="67"/>
      <c r="K33" s="67"/>
      <c r="L33" s="67"/>
    </row>
    <row r="34" spans="1:12" s="12" customFormat="1" x14ac:dyDescent="0.35">
      <c r="A34" s="33" t="s">
        <v>90</v>
      </c>
      <c r="B34" s="34">
        <v>23000</v>
      </c>
      <c r="C34" s="12">
        <f>18400-23000</f>
        <v>-4600</v>
      </c>
      <c r="J34" s="67"/>
      <c r="K34" s="67"/>
      <c r="L34" s="67"/>
    </row>
    <row r="35" spans="1:12" s="12" customFormat="1" x14ac:dyDescent="0.35">
      <c r="A35" s="34"/>
      <c r="B35" s="34"/>
      <c r="J35" s="67"/>
      <c r="K35" s="67"/>
      <c r="L35" s="67"/>
    </row>
    <row r="36" spans="1:12" s="12" customFormat="1" x14ac:dyDescent="0.35">
      <c r="A36" s="34"/>
      <c r="B36" s="34"/>
      <c r="J36" s="67"/>
      <c r="K36" s="67"/>
      <c r="L36" s="67"/>
    </row>
    <row r="37" spans="1:12" ht="15" thickBot="1" x14ac:dyDescent="0.4">
      <c r="A37" s="33"/>
      <c r="B37" s="63">
        <f>SUM(B16:B36)</f>
        <v>51460</v>
      </c>
    </row>
    <row r="38" spans="1:12" ht="15.5" thickTop="1" thickBot="1" x14ac:dyDescent="0.4">
      <c r="A38" s="33"/>
      <c r="B38" s="36"/>
      <c r="K38" s="65">
        <f>1300000/12</f>
        <v>108333.33333333333</v>
      </c>
    </row>
    <row r="39" spans="1:12" ht="15" thickBot="1" x14ac:dyDescent="0.4">
      <c r="B39" s="61">
        <f>+B14-B37</f>
        <v>-60</v>
      </c>
      <c r="K39" s="65">
        <f>1050000/12</f>
        <v>87500</v>
      </c>
    </row>
    <row r="40" spans="1:12" x14ac:dyDescent="0.35">
      <c r="A40" s="33"/>
      <c r="B40" s="33"/>
      <c r="K40" s="65">
        <f>+K39-68000</f>
        <v>19500</v>
      </c>
    </row>
    <row r="41" spans="1:12" x14ac:dyDescent="0.35">
      <c r="A41" s="33"/>
      <c r="B41" s="36"/>
    </row>
    <row r="42" spans="1:12" x14ac:dyDescent="0.35">
      <c r="A42" s="33"/>
      <c r="B42" s="36"/>
      <c r="C42" s="33"/>
      <c r="D42" s="33"/>
      <c r="E42" s="33"/>
      <c r="F42" s="33"/>
      <c r="G42" s="33"/>
      <c r="H42" s="33"/>
      <c r="I42" s="33"/>
      <c r="J42" s="70"/>
      <c r="K42" s="70"/>
      <c r="L42" s="70"/>
    </row>
    <row r="43" spans="1:12" x14ac:dyDescent="0.35">
      <c r="A43" s="33"/>
      <c r="B43" s="33"/>
      <c r="C43" s="33"/>
      <c r="D43" s="33"/>
      <c r="E43" s="33"/>
      <c r="F43" s="33"/>
      <c r="G43" s="33"/>
      <c r="H43" s="33"/>
      <c r="I43" s="33"/>
      <c r="J43" s="70"/>
      <c r="K43" s="70"/>
      <c r="L43" s="70"/>
    </row>
    <row r="44" spans="1:12" x14ac:dyDescent="0.35">
      <c r="A44" s="33"/>
      <c r="B44" s="33"/>
      <c r="C44" s="33"/>
      <c r="D44" s="33"/>
      <c r="E44" s="33"/>
      <c r="F44" s="33"/>
      <c r="G44" s="33"/>
      <c r="H44" s="33"/>
      <c r="I44" s="33"/>
      <c r="J44" s="70"/>
      <c r="K44" s="70"/>
      <c r="L44" s="70"/>
    </row>
    <row r="45" spans="1:12" x14ac:dyDescent="0.35">
      <c r="A45" s="33"/>
      <c r="B45" s="33"/>
      <c r="C45" s="33"/>
      <c r="D45" s="33"/>
      <c r="E45" s="33"/>
      <c r="F45" s="33"/>
      <c r="G45" s="33"/>
      <c r="H45" s="33"/>
      <c r="I45" s="33"/>
      <c r="J45" s="70"/>
      <c r="K45" s="70"/>
      <c r="L45" s="70"/>
    </row>
    <row r="46" spans="1:12" x14ac:dyDescent="0.35">
      <c r="A46" s="33"/>
      <c r="B46" s="33"/>
      <c r="C46" s="33"/>
      <c r="D46" s="33"/>
      <c r="E46" s="33"/>
      <c r="F46" s="33"/>
      <c r="G46" s="33"/>
      <c r="H46" s="33"/>
      <c r="I46" s="33"/>
      <c r="J46" s="70"/>
      <c r="K46" s="70"/>
      <c r="L46" s="70"/>
    </row>
    <row r="47" spans="1:12" x14ac:dyDescent="0.35">
      <c r="A47" s="33"/>
      <c r="B47" s="33"/>
      <c r="C47" s="33"/>
      <c r="D47" s="33"/>
      <c r="E47" s="33"/>
      <c r="F47" s="33"/>
      <c r="G47" s="33"/>
      <c r="H47" s="33"/>
      <c r="I47" s="33"/>
      <c r="J47" s="70"/>
      <c r="K47" s="70"/>
      <c r="L47" s="70"/>
    </row>
    <row r="48" spans="1:12" x14ac:dyDescent="0.35">
      <c r="A48" s="33"/>
      <c r="B48" s="33"/>
      <c r="C48" s="33"/>
      <c r="D48" s="33"/>
      <c r="E48" s="33"/>
      <c r="F48" s="33"/>
      <c r="G48" s="33"/>
      <c r="H48" s="33"/>
      <c r="I48" s="33"/>
      <c r="J48" s="70"/>
      <c r="K48" s="70"/>
      <c r="L48" s="70"/>
    </row>
    <row r="49" spans="1:7" x14ac:dyDescent="0.35">
      <c r="A49" s="33"/>
      <c r="B49" s="33"/>
      <c r="C49" s="33"/>
      <c r="D49" s="33"/>
      <c r="E49" s="33"/>
      <c r="F49" s="33"/>
      <c r="G49" s="33"/>
    </row>
    <row r="50" spans="1:7" x14ac:dyDescent="0.35">
      <c r="A50" s="33"/>
      <c r="B50" s="33"/>
      <c r="C50" s="33"/>
      <c r="D50" s="33"/>
      <c r="E50" s="33"/>
      <c r="F50" s="33"/>
      <c r="G50" s="33"/>
    </row>
    <row r="51" spans="1:7" x14ac:dyDescent="0.35">
      <c r="A51" s="33"/>
      <c r="B51" s="33"/>
      <c r="C51" s="33"/>
      <c r="D51" s="33"/>
      <c r="E51" s="33"/>
      <c r="F51" s="33"/>
      <c r="G51" s="33"/>
    </row>
    <row r="52" spans="1:7" x14ac:dyDescent="0.35">
      <c r="A52" s="33"/>
      <c r="B52" s="33"/>
      <c r="C52" s="33"/>
      <c r="D52" s="33"/>
      <c r="E52" s="33"/>
      <c r="F52" s="33"/>
      <c r="G52" s="33"/>
    </row>
    <row r="53" spans="1:7" x14ac:dyDescent="0.35">
      <c r="A53" s="33"/>
      <c r="B53" s="33"/>
      <c r="C53" s="33"/>
      <c r="D53" s="33"/>
      <c r="E53" s="33"/>
      <c r="F53" s="33"/>
      <c r="G53" s="33"/>
    </row>
    <row r="54" spans="1:7" x14ac:dyDescent="0.35">
      <c r="A54" s="33"/>
      <c r="B54" s="33"/>
      <c r="C54" s="33"/>
      <c r="D54" s="33"/>
      <c r="E54" s="33"/>
      <c r="F54" s="33"/>
      <c r="G54" s="33"/>
    </row>
    <row r="55" spans="1:7" x14ac:dyDescent="0.35">
      <c r="A55" s="33"/>
      <c r="B55" s="33"/>
      <c r="C55" s="33"/>
      <c r="D55" s="33"/>
      <c r="E55" s="33"/>
      <c r="F55" s="33"/>
      <c r="G55" s="33"/>
    </row>
    <row r="56" spans="1:7" x14ac:dyDescent="0.35">
      <c r="A56" s="33"/>
      <c r="B56" s="33"/>
      <c r="C56" s="33"/>
      <c r="D56" s="33"/>
      <c r="E56" s="33"/>
      <c r="F56" s="33"/>
      <c r="G56" s="33"/>
    </row>
    <row r="57" spans="1:7" x14ac:dyDescent="0.35">
      <c r="A57" s="33"/>
      <c r="B57" s="33"/>
      <c r="C57" s="33"/>
      <c r="D57" s="33"/>
      <c r="E57" s="33"/>
      <c r="F57" s="33"/>
      <c r="G57" s="33"/>
    </row>
    <row r="58" spans="1:7" x14ac:dyDescent="0.35">
      <c r="A58" s="33"/>
      <c r="B58" s="33"/>
      <c r="C58" s="33"/>
      <c r="D58" s="33"/>
      <c r="E58" s="33"/>
      <c r="F58" s="33"/>
      <c r="G58" s="33"/>
    </row>
    <row r="59" spans="1:7" x14ac:dyDescent="0.35">
      <c r="A59" s="33"/>
      <c r="B59" s="33"/>
      <c r="C59" s="33"/>
      <c r="D59" s="33"/>
      <c r="E59" s="33"/>
      <c r="F59" s="33"/>
      <c r="G59" s="33"/>
    </row>
    <row r="60" spans="1:7" x14ac:dyDescent="0.35">
      <c r="A60" s="33"/>
      <c r="B60" s="33"/>
      <c r="C60" s="33"/>
      <c r="D60" s="33"/>
      <c r="E60" s="33"/>
      <c r="F60" s="33"/>
      <c r="G60" s="33"/>
    </row>
    <row r="61" spans="1:7" x14ac:dyDescent="0.35">
      <c r="A61" s="33"/>
      <c r="B61" s="33"/>
      <c r="C61" s="33"/>
      <c r="D61" s="33"/>
      <c r="E61" s="33"/>
      <c r="F61" s="33"/>
      <c r="G61" s="33"/>
    </row>
    <row r="62" spans="1:7" x14ac:dyDescent="0.35">
      <c r="A62" s="33"/>
      <c r="B62" s="33"/>
      <c r="C62" s="33"/>
      <c r="D62" s="33"/>
      <c r="E62" s="33"/>
      <c r="F62" s="33"/>
      <c r="G62" s="3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7"/>
  <sheetViews>
    <sheetView workbookViewId="0"/>
  </sheetViews>
  <sheetFormatPr defaultRowHeight="14.5" x14ac:dyDescent="0.35"/>
  <sheetData>
    <row r="1" spans="1:6" x14ac:dyDescent="0.35">
      <c r="A1" s="1" t="s">
        <v>85</v>
      </c>
      <c r="B1" s="1" t="s">
        <v>94</v>
      </c>
    </row>
    <row r="2" spans="1:6" x14ac:dyDescent="0.35">
      <c r="A2">
        <v>16000</v>
      </c>
      <c r="B2">
        <v>20000</v>
      </c>
    </row>
    <row r="4" spans="1:6" x14ac:dyDescent="0.35">
      <c r="A4">
        <v>12000</v>
      </c>
      <c r="B4">
        <v>2500</v>
      </c>
      <c r="C4" t="s">
        <v>95</v>
      </c>
    </row>
    <row r="5" spans="1:6" x14ac:dyDescent="0.35">
      <c r="B5">
        <v>1000</v>
      </c>
      <c r="C5" t="s">
        <v>96</v>
      </c>
      <c r="D5" t="s">
        <v>104</v>
      </c>
      <c r="F5">
        <f>9200+2600</f>
        <v>11800</v>
      </c>
    </row>
    <row r="6" spans="1:6" x14ac:dyDescent="0.35">
      <c r="B6">
        <v>1100</v>
      </c>
      <c r="C6" t="s">
        <v>97</v>
      </c>
    </row>
    <row r="7" spans="1:6" x14ac:dyDescent="0.35">
      <c r="B7">
        <v>1000</v>
      </c>
      <c r="C7" t="s">
        <v>98</v>
      </c>
    </row>
    <row r="8" spans="1:6" x14ac:dyDescent="0.35">
      <c r="B8">
        <v>510</v>
      </c>
      <c r="C8" t="s">
        <v>99</v>
      </c>
    </row>
    <row r="9" spans="1:6" x14ac:dyDescent="0.35">
      <c r="B9">
        <v>3000</v>
      </c>
      <c r="C9" t="s">
        <v>22</v>
      </c>
    </row>
    <row r="10" spans="1:6" x14ac:dyDescent="0.35">
      <c r="B10">
        <v>1000</v>
      </c>
      <c r="C10" t="s">
        <v>100</v>
      </c>
      <c r="D10" t="s">
        <v>105</v>
      </c>
    </row>
    <row r="11" spans="1:6" x14ac:dyDescent="0.35">
      <c r="B11">
        <v>1700</v>
      </c>
      <c r="C11" t="s">
        <v>101</v>
      </c>
    </row>
    <row r="12" spans="1:6" x14ac:dyDescent="0.35">
      <c r="B12">
        <v>1000</v>
      </c>
      <c r="C12" t="s">
        <v>7</v>
      </c>
    </row>
    <row r="13" spans="1:6" x14ac:dyDescent="0.35">
      <c r="B13">
        <v>700</v>
      </c>
      <c r="C13" t="s">
        <v>54</v>
      </c>
    </row>
    <row r="14" spans="1:6" x14ac:dyDescent="0.35">
      <c r="B14">
        <v>500</v>
      </c>
      <c r="C14" t="s">
        <v>102</v>
      </c>
    </row>
    <row r="15" spans="1:6" x14ac:dyDescent="0.35">
      <c r="B15">
        <v>1000</v>
      </c>
      <c r="C15" t="s">
        <v>103</v>
      </c>
    </row>
    <row r="16" spans="1:6" x14ac:dyDescent="0.35">
      <c r="B16">
        <v>3000</v>
      </c>
      <c r="C16" t="s">
        <v>1</v>
      </c>
    </row>
    <row r="26" spans="1:2" x14ac:dyDescent="0.35">
      <c r="A26">
        <f>SUM(A4:A25)</f>
        <v>12000</v>
      </c>
      <c r="B26">
        <f>SUM(B4:B25)</f>
        <v>18010</v>
      </c>
    </row>
    <row r="27" spans="1:2" x14ac:dyDescent="0.35">
      <c r="A27" s="1">
        <f>+A2-A26</f>
        <v>4000</v>
      </c>
      <c r="B27" s="1">
        <f>+B2-B26</f>
        <v>1990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7"/>
  <sheetViews>
    <sheetView workbookViewId="0">
      <selection activeCell="B13" sqref="B13"/>
    </sheetView>
  </sheetViews>
  <sheetFormatPr defaultRowHeight="14.5" x14ac:dyDescent="0.35"/>
  <cols>
    <col min="1" max="1" width="18.453125" bestFit="1" customWidth="1"/>
    <col min="3" max="3" width="36.453125" customWidth="1"/>
  </cols>
  <sheetData>
    <row r="1" spans="1:17" x14ac:dyDescent="0.35">
      <c r="B1" s="7" t="s">
        <v>0</v>
      </c>
      <c r="L1" t="s">
        <v>21</v>
      </c>
      <c r="O1">
        <v>93000</v>
      </c>
      <c r="P1">
        <v>99000</v>
      </c>
    </row>
    <row r="2" spans="1:17" x14ac:dyDescent="0.35">
      <c r="A2" t="s">
        <v>1</v>
      </c>
      <c r="B2">
        <v>43000</v>
      </c>
      <c r="L2" s="3">
        <v>12748</v>
      </c>
      <c r="O2">
        <v>12748</v>
      </c>
      <c r="P2">
        <v>2000</v>
      </c>
    </row>
    <row r="3" spans="1:17" x14ac:dyDescent="0.35">
      <c r="A3" t="s">
        <v>2</v>
      </c>
      <c r="B3">
        <v>42500</v>
      </c>
      <c r="E3">
        <v>48548</v>
      </c>
      <c r="L3" s="3">
        <v>48548</v>
      </c>
      <c r="O3">
        <v>14000</v>
      </c>
      <c r="P3">
        <f>17500+1000</f>
        <v>18500</v>
      </c>
    </row>
    <row r="4" spans="1:17" x14ac:dyDescent="0.35">
      <c r="E4">
        <v>43000</v>
      </c>
    </row>
    <row r="5" spans="1:17" x14ac:dyDescent="0.35">
      <c r="A5" t="s">
        <v>3</v>
      </c>
      <c r="B5">
        <v>-32000</v>
      </c>
      <c r="E5" s="1">
        <f>SUM(E3:E4)</f>
        <v>91548</v>
      </c>
      <c r="F5">
        <f>+E5+D6</f>
        <v>36748</v>
      </c>
      <c r="L5" s="4">
        <f>SUM(L2:L4)</f>
        <v>61296</v>
      </c>
    </row>
    <row r="6" spans="1:17" x14ac:dyDescent="0.35">
      <c r="A6" t="s">
        <v>4</v>
      </c>
      <c r="B6">
        <v>-1000</v>
      </c>
      <c r="D6">
        <f>SUM(B5:B21)</f>
        <v>-54800</v>
      </c>
      <c r="F6">
        <v>-14000</v>
      </c>
    </row>
    <row r="7" spans="1:17" x14ac:dyDescent="0.35">
      <c r="A7" t="s">
        <v>15</v>
      </c>
      <c r="B7" s="6">
        <v>-1500</v>
      </c>
      <c r="F7">
        <f>SUM(F5:F6)</f>
        <v>22748</v>
      </c>
    </row>
    <row r="8" spans="1:17" x14ac:dyDescent="0.35">
      <c r="A8" t="s">
        <v>11</v>
      </c>
      <c r="B8">
        <v>-1000</v>
      </c>
    </row>
    <row r="9" spans="1:17" x14ac:dyDescent="0.35">
      <c r="A9" t="s">
        <v>23</v>
      </c>
      <c r="B9" s="6">
        <v>-500</v>
      </c>
      <c r="O9" s="1">
        <f>SUM(O1:O8)</f>
        <v>119748</v>
      </c>
      <c r="P9" s="1">
        <f>SUM(P1:P8)</f>
        <v>119500</v>
      </c>
      <c r="Q9">
        <f>+P9-O9</f>
        <v>-248</v>
      </c>
    </row>
    <row r="10" spans="1:17" x14ac:dyDescent="0.35">
      <c r="A10" t="s">
        <v>22</v>
      </c>
      <c r="B10" s="2">
        <v>-2000</v>
      </c>
      <c r="C10" t="s">
        <v>18</v>
      </c>
    </row>
    <row r="11" spans="1:17" x14ac:dyDescent="0.35">
      <c r="A11" t="s">
        <v>5</v>
      </c>
      <c r="B11" s="2">
        <v>-4000</v>
      </c>
      <c r="C11" t="s">
        <v>18</v>
      </c>
    </row>
    <row r="12" spans="1:17" x14ac:dyDescent="0.35">
      <c r="A12" t="s">
        <v>8</v>
      </c>
      <c r="B12" s="2">
        <v>-1400</v>
      </c>
      <c r="C12" t="s">
        <v>18</v>
      </c>
    </row>
    <row r="13" spans="1:17" x14ac:dyDescent="0.35">
      <c r="A13" t="s">
        <v>9</v>
      </c>
      <c r="B13" s="2">
        <v>-2500</v>
      </c>
      <c r="C13" t="s">
        <v>18</v>
      </c>
    </row>
    <row r="14" spans="1:17" x14ac:dyDescent="0.35">
      <c r="A14" t="s">
        <v>12</v>
      </c>
      <c r="B14" s="2">
        <v>-2000</v>
      </c>
      <c r="C14" t="s">
        <v>18</v>
      </c>
    </row>
    <row r="15" spans="1:17" x14ac:dyDescent="0.35">
      <c r="A15" t="s">
        <v>13</v>
      </c>
      <c r="B15" s="2">
        <v>-1700</v>
      </c>
      <c r="C15" t="s">
        <v>18</v>
      </c>
    </row>
    <row r="16" spans="1:17" x14ac:dyDescent="0.35">
      <c r="A16" t="s">
        <v>17</v>
      </c>
      <c r="B16" s="2">
        <v>-200</v>
      </c>
      <c r="C16" t="s">
        <v>18</v>
      </c>
    </row>
    <row r="17" spans="1:8" x14ac:dyDescent="0.35">
      <c r="A17" t="s">
        <v>14</v>
      </c>
      <c r="B17" s="2">
        <v>-500</v>
      </c>
      <c r="C17" t="s">
        <v>18</v>
      </c>
    </row>
    <row r="18" spans="1:8" ht="18.5" x14ac:dyDescent="0.45">
      <c r="A18" t="s">
        <v>16</v>
      </c>
      <c r="B18" s="5">
        <v>-500</v>
      </c>
      <c r="C18" t="s">
        <v>18</v>
      </c>
      <c r="G18" s="1"/>
      <c r="H18" s="1"/>
    </row>
    <row r="19" spans="1:8" ht="18.5" x14ac:dyDescent="0.45">
      <c r="A19" t="s">
        <v>6</v>
      </c>
      <c r="B19" s="5">
        <v>-1000</v>
      </c>
      <c r="C19" t="s">
        <v>18</v>
      </c>
    </row>
    <row r="20" spans="1:8" ht="18.5" x14ac:dyDescent="0.45">
      <c r="A20" t="s">
        <v>7</v>
      </c>
      <c r="B20" s="5">
        <v>-500</v>
      </c>
      <c r="C20" t="s">
        <v>18</v>
      </c>
    </row>
    <row r="21" spans="1:8" ht="18.5" x14ac:dyDescent="0.45">
      <c r="A21" t="s">
        <v>10</v>
      </c>
      <c r="B21" s="5">
        <v>-2500</v>
      </c>
      <c r="C21" t="s">
        <v>18</v>
      </c>
    </row>
    <row r="25" spans="1:8" x14ac:dyDescent="0.35">
      <c r="B25">
        <f>SUM(B2:B21)</f>
        <v>30700</v>
      </c>
    </row>
    <row r="26" spans="1:8" x14ac:dyDescent="0.35">
      <c r="B26">
        <v>-21000</v>
      </c>
      <c r="C26" t="s">
        <v>19</v>
      </c>
    </row>
    <row r="27" spans="1:8" x14ac:dyDescent="0.35">
      <c r="A27" t="s">
        <v>20</v>
      </c>
      <c r="B27">
        <v>-4000</v>
      </c>
      <c r="C27" t="s">
        <v>18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80"/>
  <sheetViews>
    <sheetView workbookViewId="0"/>
  </sheetViews>
  <sheetFormatPr defaultRowHeight="14.5" x14ac:dyDescent="0.35"/>
  <cols>
    <col min="1" max="1" width="39.453125" bestFit="1" customWidth="1"/>
    <col min="2" max="2" width="7" bestFit="1" customWidth="1"/>
    <col min="3" max="3" width="35.54296875" customWidth="1"/>
    <col min="9" max="9" width="12.54296875" bestFit="1" customWidth="1"/>
    <col min="10" max="10" width="25.54296875" style="65" bestFit="1" customWidth="1"/>
    <col min="11" max="11" width="14.7265625" style="65" customWidth="1"/>
    <col min="12" max="12" width="9.1796875" style="65"/>
  </cols>
  <sheetData>
    <row r="1" spans="1:14" x14ac:dyDescent="0.35">
      <c r="A1" s="36" t="s">
        <v>34</v>
      </c>
      <c r="B1" s="36">
        <v>67700</v>
      </c>
      <c r="J1" s="66"/>
      <c r="K1" s="66"/>
      <c r="M1" t="s">
        <v>93</v>
      </c>
      <c r="N1">
        <v>67900</v>
      </c>
    </row>
    <row r="2" spans="1:14" x14ac:dyDescent="0.35">
      <c r="A2" s="33" t="s">
        <v>47</v>
      </c>
      <c r="B2" s="35">
        <v>6900</v>
      </c>
      <c r="I2" s="57"/>
      <c r="J2" s="67"/>
      <c r="K2" s="68"/>
      <c r="N2">
        <v>-32000</v>
      </c>
    </row>
    <row r="3" spans="1:14" x14ac:dyDescent="0.35">
      <c r="A3" s="33" t="s">
        <v>48</v>
      </c>
      <c r="B3" s="34">
        <v>5000</v>
      </c>
      <c r="J3" s="67"/>
      <c r="K3" s="67"/>
      <c r="N3">
        <v>-7000</v>
      </c>
    </row>
    <row r="4" spans="1:14" x14ac:dyDescent="0.35">
      <c r="A4" s="33" t="s">
        <v>45</v>
      </c>
      <c r="B4" s="34">
        <v>6000</v>
      </c>
      <c r="J4" s="67"/>
      <c r="K4" s="67"/>
      <c r="N4">
        <v>-6000</v>
      </c>
    </row>
    <row r="5" spans="1:14" x14ac:dyDescent="0.35">
      <c r="A5" s="33" t="s">
        <v>3</v>
      </c>
      <c r="B5" s="33">
        <v>32000</v>
      </c>
      <c r="J5" s="66"/>
      <c r="K5" s="66"/>
      <c r="N5">
        <v>-5000</v>
      </c>
    </row>
    <row r="6" spans="1:14" x14ac:dyDescent="0.35">
      <c r="A6" s="33" t="s">
        <v>106</v>
      </c>
      <c r="B6" s="33">
        <v>1100</v>
      </c>
      <c r="N6">
        <v>-13500</v>
      </c>
    </row>
    <row r="7" spans="1:14" x14ac:dyDescent="0.35">
      <c r="A7" s="33"/>
      <c r="B7" s="33"/>
      <c r="J7" s="66"/>
    </row>
    <row r="8" spans="1:14" x14ac:dyDescent="0.35">
      <c r="A8" s="33"/>
      <c r="B8" s="36">
        <f>SUM(B2:B7)</f>
        <v>51000</v>
      </c>
    </row>
    <row r="9" spans="1:14" x14ac:dyDescent="0.35">
      <c r="A9" s="33"/>
      <c r="B9" s="33">
        <f>+B1-B8</f>
        <v>16700</v>
      </c>
    </row>
    <row r="10" spans="1:14" x14ac:dyDescent="0.35">
      <c r="A10" s="33"/>
      <c r="B10" s="33"/>
      <c r="H10" s="65"/>
      <c r="N10" s="1">
        <f ca="1">SUM(N1:N12)</f>
        <v>4400</v>
      </c>
    </row>
    <row r="11" spans="1:14" x14ac:dyDescent="0.35">
      <c r="H11" s="65"/>
    </row>
    <row r="12" spans="1:14" s="12" customFormat="1" x14ac:dyDescent="0.35">
      <c r="A12" s="34" t="s">
        <v>33</v>
      </c>
      <c r="B12" s="58">
        <v>32000</v>
      </c>
      <c r="C12" s="58"/>
      <c r="J12" s="67"/>
      <c r="K12" s="67"/>
      <c r="L12" s="67"/>
    </row>
    <row r="13" spans="1:14" s="12" customFormat="1" ht="15" thickBot="1" x14ac:dyDescent="0.4">
      <c r="A13" s="34" t="s">
        <v>82</v>
      </c>
      <c r="B13" s="34">
        <f>+B9</f>
        <v>16700</v>
      </c>
      <c r="J13" s="67"/>
      <c r="K13" s="67"/>
      <c r="L13" s="67"/>
    </row>
    <row r="14" spans="1:14" ht="15" thickBot="1" x14ac:dyDescent="0.4">
      <c r="A14" s="36"/>
      <c r="B14" s="59">
        <f>+B13+B12</f>
        <v>48700</v>
      </c>
    </row>
    <row r="15" spans="1:14" ht="15" thickTop="1" x14ac:dyDescent="0.35">
      <c r="A15" s="36"/>
      <c r="B15" s="36"/>
      <c r="C15" s="51"/>
    </row>
    <row r="16" spans="1:14" s="12" customFormat="1" x14ac:dyDescent="0.35">
      <c r="A16" s="34" t="s">
        <v>15</v>
      </c>
      <c r="B16" s="62">
        <v>1100</v>
      </c>
      <c r="C16" s="60"/>
      <c r="J16" s="66"/>
      <c r="K16" s="66"/>
      <c r="L16" s="67"/>
    </row>
    <row r="17" spans="1:13" s="12" customFormat="1" x14ac:dyDescent="0.35">
      <c r="A17" s="34" t="s">
        <v>11</v>
      </c>
      <c r="B17" s="54">
        <v>1000</v>
      </c>
      <c r="C17" s="60"/>
      <c r="L17" s="67"/>
    </row>
    <row r="18" spans="1:13" s="12" customFormat="1" x14ac:dyDescent="0.35">
      <c r="A18" s="34" t="s">
        <v>23</v>
      </c>
      <c r="B18" s="54">
        <v>510</v>
      </c>
      <c r="C18" s="60"/>
      <c r="L18" s="67"/>
    </row>
    <row r="19" spans="1:13" s="12" customFormat="1" x14ac:dyDescent="0.35">
      <c r="A19" s="34" t="s">
        <v>83</v>
      </c>
      <c r="B19" s="54">
        <v>2500</v>
      </c>
      <c r="C19" s="60"/>
      <c r="L19" s="67"/>
    </row>
    <row r="20" spans="1:13" s="12" customFormat="1" x14ac:dyDescent="0.35">
      <c r="A20" s="34" t="s">
        <v>84</v>
      </c>
      <c r="B20" s="54">
        <v>6000</v>
      </c>
      <c r="C20" s="60"/>
      <c r="L20" s="67"/>
    </row>
    <row r="21" spans="1:13" s="12" customFormat="1" x14ac:dyDescent="0.35">
      <c r="A21" s="34" t="s">
        <v>5</v>
      </c>
      <c r="B21" s="56">
        <v>5000</v>
      </c>
      <c r="C21" t="s">
        <v>107</v>
      </c>
      <c r="L21" s="67"/>
    </row>
    <row r="22" spans="1:13" s="12" customFormat="1" x14ac:dyDescent="0.35">
      <c r="A22" s="34" t="s">
        <v>8</v>
      </c>
      <c r="B22" s="56">
        <f>1400+700</f>
        <v>2100</v>
      </c>
      <c r="C22" t="s">
        <v>107</v>
      </c>
      <c r="J22" s="67">
        <v>2800</v>
      </c>
      <c r="K22" s="67">
        <v>1500</v>
      </c>
      <c r="L22" s="67">
        <f>+J22-K22</f>
        <v>1300</v>
      </c>
      <c r="M22" s="12">
        <f>+K22/J22*100</f>
        <v>53.571428571428569</v>
      </c>
    </row>
    <row r="23" spans="1:13" s="12" customFormat="1" x14ac:dyDescent="0.35">
      <c r="A23" s="34" t="s">
        <v>12</v>
      </c>
      <c r="B23" s="56">
        <v>2100</v>
      </c>
      <c r="C23" t="s">
        <v>107</v>
      </c>
      <c r="J23" s="67">
        <f>57/3</f>
        <v>19</v>
      </c>
      <c r="K23" s="67"/>
      <c r="L23" s="67"/>
    </row>
    <row r="24" spans="1:13" s="12" customFormat="1" x14ac:dyDescent="0.35">
      <c r="A24" s="34" t="s">
        <v>13</v>
      </c>
      <c r="B24" s="56">
        <v>1700</v>
      </c>
      <c r="C24" t="s">
        <v>107</v>
      </c>
      <c r="J24" s="67">
        <f>+J23*30</f>
        <v>570</v>
      </c>
      <c r="K24" s="67"/>
      <c r="L24" s="67"/>
    </row>
    <row r="25" spans="1:13" s="12" customFormat="1" x14ac:dyDescent="0.35">
      <c r="A25" s="34" t="s">
        <v>91</v>
      </c>
      <c r="B25" s="34">
        <v>1000</v>
      </c>
      <c r="J25" s="67"/>
      <c r="K25" s="67"/>
      <c r="L25" s="67"/>
    </row>
    <row r="26" spans="1:13" s="12" customFormat="1" x14ac:dyDescent="0.35">
      <c r="A26" s="33" t="s">
        <v>92</v>
      </c>
      <c r="B26" s="34">
        <v>22000</v>
      </c>
      <c r="J26" s="67"/>
      <c r="K26" s="67"/>
      <c r="L26" s="67"/>
    </row>
    <row r="27" spans="1:13" s="64" customFormat="1" x14ac:dyDescent="0.35">
      <c r="A27" s="34" t="s">
        <v>22</v>
      </c>
      <c r="B27" s="34"/>
      <c r="D27" s="34">
        <v>3000</v>
      </c>
      <c r="J27" s="69"/>
      <c r="K27" s="69"/>
      <c r="L27" s="69"/>
    </row>
    <row r="28" spans="1:13" s="64" customFormat="1" x14ac:dyDescent="0.35">
      <c r="A28" s="34" t="s">
        <v>17</v>
      </c>
      <c r="B28" s="34"/>
      <c r="D28" s="34">
        <v>250</v>
      </c>
      <c r="G28" s="6"/>
      <c r="J28" s="69"/>
      <c r="K28" s="69"/>
      <c r="L28" s="69"/>
    </row>
    <row r="29" spans="1:13" s="64" customFormat="1" x14ac:dyDescent="0.35">
      <c r="A29" s="34" t="s">
        <v>14</v>
      </c>
      <c r="B29" s="34"/>
      <c r="D29" s="34">
        <v>500</v>
      </c>
      <c r="J29" s="69"/>
      <c r="K29" s="69"/>
      <c r="L29" s="69"/>
    </row>
    <row r="30" spans="1:13" s="12" customFormat="1" x14ac:dyDescent="0.35">
      <c r="A30" s="34" t="s">
        <v>6</v>
      </c>
      <c r="B30" s="34"/>
      <c r="D30" s="34">
        <v>1000</v>
      </c>
      <c r="J30" s="67"/>
      <c r="K30" s="67"/>
      <c r="L30" s="67"/>
    </row>
    <row r="31" spans="1:13" s="12" customFormat="1" x14ac:dyDescent="0.35">
      <c r="A31" s="34" t="s">
        <v>16</v>
      </c>
      <c r="B31" s="34"/>
      <c r="D31" s="34">
        <v>700</v>
      </c>
      <c r="J31" s="67"/>
      <c r="K31" s="67"/>
      <c r="L31" s="67"/>
    </row>
    <row r="32" spans="1:13" s="12" customFormat="1" x14ac:dyDescent="0.35">
      <c r="A32" s="34" t="s">
        <v>7</v>
      </c>
      <c r="B32" s="34"/>
      <c r="D32" s="34">
        <v>1000</v>
      </c>
      <c r="J32" s="67"/>
      <c r="K32" s="67"/>
      <c r="L32" s="67"/>
    </row>
    <row r="33" spans="1:12" s="12" customFormat="1" x14ac:dyDescent="0.35">
      <c r="A33" s="34" t="s">
        <v>10</v>
      </c>
      <c r="B33" s="34"/>
      <c r="D33" s="34">
        <v>3000</v>
      </c>
      <c r="J33" s="67"/>
      <c r="K33" s="67"/>
      <c r="L33" s="67"/>
    </row>
    <row r="34" spans="1:12" s="12" customFormat="1" x14ac:dyDescent="0.35">
      <c r="A34" s="34" t="s">
        <v>46</v>
      </c>
      <c r="B34" s="34"/>
      <c r="J34" s="67"/>
      <c r="K34" s="67"/>
      <c r="L34" s="67"/>
    </row>
    <row r="35" spans="1:12" s="12" customFormat="1" x14ac:dyDescent="0.35">
      <c r="A35" s="33" t="s">
        <v>89</v>
      </c>
      <c r="B35" s="34"/>
      <c r="J35" s="67"/>
      <c r="K35" s="67"/>
      <c r="L35" s="67"/>
    </row>
    <row r="36" spans="1:12" s="12" customFormat="1" x14ac:dyDescent="0.35">
      <c r="A36" s="34"/>
      <c r="B36" s="34"/>
      <c r="J36" s="67"/>
      <c r="K36" s="67"/>
      <c r="L36" s="67"/>
    </row>
    <row r="37" spans="1:12" s="12" customFormat="1" x14ac:dyDescent="0.35">
      <c r="A37" s="34"/>
      <c r="B37" s="34"/>
      <c r="J37" s="67"/>
      <c r="K37" s="67"/>
      <c r="L37" s="67"/>
    </row>
    <row r="38" spans="1:12" ht="15" thickBot="1" x14ac:dyDescent="0.4">
      <c r="A38" s="33"/>
      <c r="B38" s="63">
        <f>SUM(B16:B37)</f>
        <v>45010</v>
      </c>
    </row>
    <row r="39" spans="1:12" ht="15.5" thickTop="1" thickBot="1" x14ac:dyDescent="0.4">
      <c r="A39" s="33"/>
      <c r="B39" s="36"/>
    </row>
    <row r="40" spans="1:12" ht="15" thickBot="1" x14ac:dyDescent="0.4">
      <c r="B40" s="61">
        <f>+B14-B38</f>
        <v>3690</v>
      </c>
    </row>
    <row r="41" spans="1:12" x14ac:dyDescent="0.35">
      <c r="A41" s="33"/>
      <c r="B41" s="33"/>
    </row>
    <row r="42" spans="1:12" x14ac:dyDescent="0.35">
      <c r="A42" s="33"/>
      <c r="B42" s="36"/>
    </row>
    <row r="43" spans="1:12" x14ac:dyDescent="0.35">
      <c r="A43" s="33"/>
      <c r="B43" s="36"/>
      <c r="C43" s="33"/>
      <c r="D43" s="33"/>
      <c r="E43" s="33"/>
      <c r="F43" s="33"/>
      <c r="G43" s="33"/>
      <c r="H43" s="33"/>
      <c r="I43" s="33"/>
      <c r="J43" s="70"/>
      <c r="K43" s="70"/>
      <c r="L43" s="70"/>
    </row>
    <row r="44" spans="1:12" x14ac:dyDescent="0.35">
      <c r="A44" s="33"/>
      <c r="B44" s="33"/>
      <c r="C44" s="33"/>
      <c r="D44" s="33"/>
      <c r="E44" s="33"/>
      <c r="F44" s="33"/>
      <c r="G44" s="33"/>
      <c r="H44" s="33"/>
      <c r="I44" s="33"/>
      <c r="J44" s="70"/>
      <c r="K44" s="70"/>
      <c r="L44" s="70"/>
    </row>
    <row r="45" spans="1:12" x14ac:dyDescent="0.35">
      <c r="A45" s="33"/>
      <c r="B45" s="33"/>
      <c r="C45" s="33"/>
      <c r="D45" s="33"/>
      <c r="E45" s="33"/>
      <c r="F45" s="33"/>
      <c r="G45" s="33"/>
      <c r="H45" s="33"/>
      <c r="I45" s="33"/>
      <c r="J45" s="70"/>
      <c r="K45" s="70"/>
      <c r="L45" s="70"/>
    </row>
    <row r="46" spans="1:12" x14ac:dyDescent="0.35">
      <c r="A46" s="33"/>
      <c r="B46" s="33"/>
      <c r="C46" s="33"/>
      <c r="D46" s="33"/>
      <c r="E46" s="33"/>
      <c r="F46" s="33"/>
      <c r="G46" s="33"/>
      <c r="H46" s="33"/>
      <c r="I46" s="33"/>
      <c r="J46" s="70"/>
      <c r="K46" s="70"/>
      <c r="L46" s="70"/>
    </row>
    <row r="47" spans="1:12" x14ac:dyDescent="0.35">
      <c r="A47" s="33"/>
      <c r="B47" s="33"/>
      <c r="C47" s="33"/>
      <c r="D47" s="33"/>
      <c r="E47" s="33"/>
      <c r="F47" s="33"/>
      <c r="G47" s="33"/>
      <c r="H47" s="33"/>
      <c r="I47" s="33"/>
      <c r="J47" s="70"/>
      <c r="K47" s="70"/>
      <c r="L47" s="70"/>
    </row>
    <row r="48" spans="1:12" x14ac:dyDescent="0.35">
      <c r="A48" s="33"/>
      <c r="B48" s="33"/>
      <c r="C48" s="33"/>
      <c r="D48" s="33"/>
      <c r="E48" s="33"/>
      <c r="F48" s="33"/>
      <c r="G48" s="33"/>
      <c r="H48" s="33"/>
      <c r="I48" s="33"/>
      <c r="J48" s="70"/>
      <c r="K48" s="70"/>
      <c r="L48" s="70"/>
    </row>
    <row r="49" spans="1:12" x14ac:dyDescent="0.35">
      <c r="A49" s="33"/>
      <c r="B49" s="33"/>
      <c r="C49" s="33"/>
      <c r="D49" s="33"/>
      <c r="E49" s="33"/>
      <c r="F49" s="33"/>
      <c r="G49" s="33"/>
      <c r="H49" s="33"/>
      <c r="I49" s="33"/>
      <c r="J49" s="70"/>
      <c r="K49" s="70"/>
      <c r="L49" s="70"/>
    </row>
    <row r="50" spans="1:12" x14ac:dyDescent="0.35">
      <c r="A50" s="33"/>
      <c r="B50" s="33"/>
      <c r="C50" s="33"/>
      <c r="D50" s="33"/>
      <c r="E50" s="33"/>
      <c r="F50" s="33"/>
      <c r="G50" s="33"/>
    </row>
    <row r="51" spans="1:12" x14ac:dyDescent="0.35">
      <c r="A51" s="33"/>
      <c r="B51" s="33"/>
      <c r="C51" s="33"/>
      <c r="D51" s="33"/>
      <c r="E51" s="33"/>
      <c r="F51" s="33"/>
      <c r="G51" s="33"/>
    </row>
    <row r="52" spans="1:12" x14ac:dyDescent="0.35">
      <c r="A52" s="33"/>
      <c r="B52" s="33"/>
      <c r="C52" s="33"/>
      <c r="D52" s="33"/>
      <c r="E52" s="33"/>
      <c r="F52" s="33"/>
      <c r="G52" s="33"/>
    </row>
    <row r="53" spans="1:12" x14ac:dyDescent="0.35">
      <c r="A53" s="33"/>
      <c r="B53" s="33"/>
      <c r="C53" s="33"/>
      <c r="D53" s="33"/>
      <c r="E53" s="33"/>
      <c r="F53" s="33"/>
      <c r="G53" s="33"/>
    </row>
    <row r="54" spans="1:12" x14ac:dyDescent="0.35">
      <c r="A54" s="33"/>
      <c r="B54" s="33"/>
      <c r="C54" s="33"/>
      <c r="D54" s="33"/>
      <c r="E54" s="33"/>
      <c r="F54" s="33"/>
      <c r="G54" s="33"/>
    </row>
    <row r="55" spans="1:12" x14ac:dyDescent="0.35">
      <c r="A55" s="33"/>
      <c r="B55" s="33"/>
      <c r="C55" s="33"/>
      <c r="D55" s="33"/>
      <c r="E55" s="33"/>
      <c r="F55" s="33"/>
      <c r="G55" s="33"/>
    </row>
    <row r="56" spans="1:12" x14ac:dyDescent="0.35">
      <c r="A56" s="33"/>
      <c r="B56" s="33"/>
      <c r="C56" s="33"/>
      <c r="D56" s="33"/>
      <c r="E56" s="33"/>
      <c r="F56" s="33"/>
      <c r="G56" s="33"/>
    </row>
    <row r="57" spans="1:12" x14ac:dyDescent="0.35">
      <c r="A57" s="33"/>
      <c r="B57" s="33"/>
      <c r="C57" s="33"/>
      <c r="D57" s="33"/>
      <c r="E57" s="33"/>
      <c r="F57" s="33"/>
      <c r="G57" s="33"/>
    </row>
    <row r="58" spans="1:12" x14ac:dyDescent="0.35">
      <c r="A58" s="33"/>
      <c r="B58" s="33"/>
      <c r="C58" s="33"/>
      <c r="D58" s="33"/>
      <c r="E58" s="33"/>
      <c r="F58" s="33"/>
      <c r="G58" s="33"/>
    </row>
    <row r="59" spans="1:12" x14ac:dyDescent="0.35">
      <c r="A59" s="33"/>
      <c r="B59" s="33"/>
      <c r="C59" s="33"/>
      <c r="D59" s="33"/>
      <c r="E59" s="33"/>
      <c r="F59" s="33"/>
      <c r="G59" s="33"/>
    </row>
    <row r="60" spans="1:12" x14ac:dyDescent="0.35">
      <c r="A60" s="33"/>
      <c r="B60" s="33"/>
      <c r="C60" s="33"/>
      <c r="D60" s="33"/>
      <c r="E60" s="33"/>
      <c r="F60" s="33"/>
      <c r="G60" s="33"/>
    </row>
    <row r="61" spans="1:12" x14ac:dyDescent="0.35">
      <c r="A61" s="33"/>
      <c r="B61" s="33"/>
      <c r="C61" s="33"/>
      <c r="D61" s="33"/>
      <c r="E61" s="33"/>
      <c r="F61" s="33"/>
      <c r="G61" s="33"/>
    </row>
    <row r="62" spans="1:12" x14ac:dyDescent="0.35">
      <c r="A62" s="33"/>
      <c r="B62" s="33"/>
      <c r="C62" s="33"/>
      <c r="D62" s="33"/>
      <c r="E62" s="33"/>
      <c r="F62" s="33"/>
      <c r="G62" s="33"/>
    </row>
    <row r="63" spans="1:12" x14ac:dyDescent="0.35">
      <c r="A63" s="33"/>
      <c r="B63" s="33"/>
      <c r="C63" s="33"/>
      <c r="D63" s="33"/>
      <c r="E63" s="33"/>
      <c r="F63" s="33"/>
      <c r="G63" s="33"/>
    </row>
    <row r="80" spans="1:1" x14ac:dyDescent="0.35">
      <c r="A80" t="s">
        <v>108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63"/>
  <sheetViews>
    <sheetView workbookViewId="0"/>
  </sheetViews>
  <sheetFormatPr defaultRowHeight="14.5" x14ac:dyDescent="0.35"/>
  <cols>
    <col min="1" max="1" width="39.453125" bestFit="1" customWidth="1"/>
    <col min="2" max="2" width="7" bestFit="1" customWidth="1"/>
    <col min="3" max="3" width="35.54296875" customWidth="1"/>
    <col min="9" max="9" width="12.54296875" bestFit="1" customWidth="1"/>
    <col min="10" max="10" width="25.54296875" style="65" bestFit="1" customWidth="1"/>
    <col min="11" max="11" width="14.7265625" style="65" customWidth="1"/>
    <col min="12" max="12" width="9.1796875" style="65"/>
  </cols>
  <sheetData>
    <row r="1" spans="1:14" x14ac:dyDescent="0.35">
      <c r="A1" s="36" t="s">
        <v>34</v>
      </c>
      <c r="B1" s="36">
        <v>67700</v>
      </c>
      <c r="D1">
        <v>100</v>
      </c>
      <c r="G1">
        <v>400</v>
      </c>
      <c r="H1">
        <v>90</v>
      </c>
      <c r="J1"/>
      <c r="K1" s="66"/>
      <c r="M1" t="s">
        <v>93</v>
      </c>
      <c r="N1">
        <v>67900</v>
      </c>
    </row>
    <row r="2" spans="1:14" x14ac:dyDescent="0.35">
      <c r="A2" s="33" t="s">
        <v>47</v>
      </c>
      <c r="B2" s="35">
        <v>6900</v>
      </c>
      <c r="D2">
        <v>1700</v>
      </c>
      <c r="G2">
        <v>4</v>
      </c>
      <c r="H2">
        <v>21</v>
      </c>
      <c r="J2"/>
      <c r="K2" s="68"/>
      <c r="N2">
        <v>-32000</v>
      </c>
    </row>
    <row r="3" spans="1:14" x14ac:dyDescent="0.35">
      <c r="A3" s="33" t="s">
        <v>48</v>
      </c>
      <c r="B3" s="34">
        <v>5000</v>
      </c>
      <c r="D3">
        <v>6000</v>
      </c>
      <c r="G3">
        <f>+G2*G1</f>
        <v>1600</v>
      </c>
      <c r="H3">
        <f t="shared" ref="H3:J3" si="0">+H2*H1</f>
        <v>1890</v>
      </c>
      <c r="I3">
        <f t="shared" si="0"/>
        <v>0</v>
      </c>
      <c r="J3">
        <f t="shared" si="0"/>
        <v>0</v>
      </c>
      <c r="K3" s="67"/>
      <c r="N3">
        <v>-7000</v>
      </c>
    </row>
    <row r="4" spans="1:14" x14ac:dyDescent="0.35">
      <c r="A4" s="33" t="s">
        <v>45</v>
      </c>
      <c r="B4" s="34">
        <v>6000</v>
      </c>
      <c r="D4">
        <v>9200</v>
      </c>
      <c r="J4" s="67"/>
      <c r="K4" s="67"/>
      <c r="N4">
        <v>-6000</v>
      </c>
    </row>
    <row r="5" spans="1:14" x14ac:dyDescent="0.35">
      <c r="A5" s="33" t="s">
        <v>3</v>
      </c>
      <c r="B5" s="33">
        <v>32000</v>
      </c>
      <c r="D5">
        <v>6611</v>
      </c>
      <c r="J5" s="66"/>
      <c r="K5" s="66"/>
      <c r="N5">
        <v>-5000</v>
      </c>
    </row>
    <row r="6" spans="1:14" x14ac:dyDescent="0.35">
      <c r="A6" s="33" t="s">
        <v>106</v>
      </c>
      <c r="B6" s="33">
        <v>1100</v>
      </c>
      <c r="D6">
        <v>1200</v>
      </c>
      <c r="N6">
        <v>-13500</v>
      </c>
    </row>
    <row r="7" spans="1:14" x14ac:dyDescent="0.35">
      <c r="A7" s="33"/>
      <c r="B7" s="33"/>
      <c r="D7">
        <v>1200</v>
      </c>
      <c r="J7" s="66"/>
    </row>
    <row r="8" spans="1:14" x14ac:dyDescent="0.35">
      <c r="A8" s="33"/>
      <c r="B8" s="36">
        <f>SUM(B2:B7)</f>
        <v>51000</v>
      </c>
      <c r="D8">
        <v>2000</v>
      </c>
    </row>
    <row r="9" spans="1:14" x14ac:dyDescent="0.35">
      <c r="A9" s="33"/>
      <c r="B9" s="33">
        <f>+B1-B8</f>
        <v>16700</v>
      </c>
      <c r="D9">
        <v>3000</v>
      </c>
    </row>
    <row r="10" spans="1:14" x14ac:dyDescent="0.35">
      <c r="A10" s="33"/>
      <c r="B10" s="33"/>
      <c r="D10">
        <v>2500</v>
      </c>
      <c r="H10" s="65"/>
      <c r="N10" s="1">
        <f ca="1">SUM(N1:N12)</f>
        <v>4400</v>
      </c>
    </row>
    <row r="11" spans="1:14" x14ac:dyDescent="0.35">
      <c r="D11">
        <v>1700</v>
      </c>
      <c r="H11" s="65"/>
    </row>
    <row r="12" spans="1:14" s="12" customFormat="1" x14ac:dyDescent="0.35">
      <c r="A12" s="34" t="s">
        <v>33</v>
      </c>
      <c r="B12" s="58">
        <v>32000</v>
      </c>
      <c r="C12" s="58"/>
      <c r="D12" s="12">
        <v>4000</v>
      </c>
      <c r="J12" s="67"/>
      <c r="K12" s="67"/>
      <c r="L12" s="67"/>
    </row>
    <row r="13" spans="1:14" s="12" customFormat="1" ht="15" thickBot="1" x14ac:dyDescent="0.4">
      <c r="A13" s="34" t="s">
        <v>82</v>
      </c>
      <c r="B13" s="34">
        <f>+B9</f>
        <v>16700</v>
      </c>
      <c r="D13" s="12">
        <v>4000</v>
      </c>
      <c r="J13" s="67"/>
      <c r="K13" s="67"/>
      <c r="L13" s="67"/>
    </row>
    <row r="14" spans="1:14" ht="15" thickBot="1" x14ac:dyDescent="0.4">
      <c r="A14" s="36"/>
      <c r="B14" s="59">
        <f>+B13+B12</f>
        <v>48700</v>
      </c>
    </row>
    <row r="15" spans="1:14" ht="15" thickTop="1" x14ac:dyDescent="0.35">
      <c r="A15" s="36"/>
      <c r="B15" s="36"/>
      <c r="C15" s="51"/>
    </row>
    <row r="16" spans="1:14" s="12" customFormat="1" x14ac:dyDescent="0.35">
      <c r="A16" s="34" t="s">
        <v>15</v>
      </c>
      <c r="B16" s="62">
        <v>1100</v>
      </c>
      <c r="C16" s="60"/>
      <c r="J16" s="66"/>
      <c r="K16" s="66"/>
      <c r="L16" s="67"/>
    </row>
    <row r="17" spans="1:13" s="12" customFormat="1" x14ac:dyDescent="0.35">
      <c r="A17" s="34" t="s">
        <v>11</v>
      </c>
      <c r="B17" s="54">
        <v>1000</v>
      </c>
      <c r="C17" s="60"/>
      <c r="L17" s="67"/>
    </row>
    <row r="18" spans="1:13" s="12" customFormat="1" x14ac:dyDescent="0.35">
      <c r="A18" s="34" t="s">
        <v>23</v>
      </c>
      <c r="B18" s="54">
        <v>510</v>
      </c>
      <c r="C18" s="60"/>
      <c r="L18" s="67"/>
    </row>
    <row r="19" spans="1:13" s="12" customFormat="1" x14ac:dyDescent="0.35">
      <c r="A19" s="34" t="s">
        <v>83</v>
      </c>
      <c r="B19" s="54">
        <v>2500</v>
      </c>
      <c r="C19" s="60"/>
      <c r="D19" s="1">
        <f>SUM(D1:D18)</f>
        <v>43211</v>
      </c>
      <c r="L19" s="67"/>
    </row>
    <row r="20" spans="1:13" s="12" customFormat="1" x14ac:dyDescent="0.35">
      <c r="A20" s="34" t="s">
        <v>84</v>
      </c>
      <c r="B20" s="54">
        <v>6000</v>
      </c>
      <c r="C20" s="60"/>
      <c r="D20">
        <v>50000</v>
      </c>
      <c r="L20" s="67"/>
    </row>
    <row r="21" spans="1:13" s="12" customFormat="1" x14ac:dyDescent="0.35">
      <c r="A21" s="34" t="s">
        <v>5</v>
      </c>
      <c r="B21" s="56">
        <v>5000</v>
      </c>
      <c r="C21" t="s">
        <v>107</v>
      </c>
      <c r="D21">
        <f>+D20-D19</f>
        <v>6789</v>
      </c>
      <c r="L21" s="67"/>
    </row>
    <row r="22" spans="1:13" s="12" customFormat="1" x14ac:dyDescent="0.35">
      <c r="A22" s="34" t="s">
        <v>8</v>
      </c>
      <c r="B22" s="56">
        <f>1400+700</f>
        <v>2100</v>
      </c>
      <c r="C22" t="s">
        <v>107</v>
      </c>
      <c r="J22" s="67">
        <v>2800</v>
      </c>
      <c r="K22" s="67">
        <v>1500</v>
      </c>
      <c r="L22" s="67">
        <f>+J22-K22</f>
        <v>1300</v>
      </c>
      <c r="M22" s="12">
        <f>+K22/J22*100</f>
        <v>53.571428571428569</v>
      </c>
    </row>
    <row r="23" spans="1:13" s="12" customFormat="1" x14ac:dyDescent="0.35">
      <c r="A23" s="34" t="s">
        <v>12</v>
      </c>
      <c r="B23" s="56">
        <v>2100</v>
      </c>
      <c r="C23" t="s">
        <v>107</v>
      </c>
      <c r="J23" s="67">
        <f>57/3</f>
        <v>19</v>
      </c>
      <c r="K23" s="67"/>
      <c r="L23" s="67"/>
    </row>
    <row r="24" spans="1:13" s="12" customFormat="1" x14ac:dyDescent="0.35">
      <c r="A24" s="34" t="s">
        <v>13</v>
      </c>
      <c r="B24" s="56">
        <v>1700</v>
      </c>
      <c r="C24" t="s">
        <v>107</v>
      </c>
      <c r="J24" s="67">
        <f>+J23*30</f>
        <v>570</v>
      </c>
      <c r="K24" s="67"/>
      <c r="L24" s="67"/>
    </row>
    <row r="25" spans="1:13" s="12" customFormat="1" x14ac:dyDescent="0.35">
      <c r="A25" s="34" t="s">
        <v>91</v>
      </c>
      <c r="B25" s="34">
        <v>1000</v>
      </c>
      <c r="J25" s="67"/>
      <c r="K25" s="67"/>
      <c r="L25" s="67"/>
    </row>
    <row r="26" spans="1:13" s="12" customFormat="1" x14ac:dyDescent="0.35">
      <c r="A26" s="33" t="s">
        <v>92</v>
      </c>
      <c r="B26" s="34">
        <v>22000</v>
      </c>
      <c r="J26" s="67"/>
      <c r="K26" s="67"/>
      <c r="L26" s="67"/>
    </row>
    <row r="27" spans="1:13" s="64" customFormat="1" x14ac:dyDescent="0.35">
      <c r="A27" s="34" t="s">
        <v>22</v>
      </c>
      <c r="B27" s="34"/>
      <c r="D27" s="34">
        <v>3000</v>
      </c>
      <c r="J27" s="69"/>
      <c r="K27" s="69"/>
      <c r="L27" s="69"/>
    </row>
    <row r="28" spans="1:13" s="64" customFormat="1" x14ac:dyDescent="0.35">
      <c r="A28" s="34" t="s">
        <v>17</v>
      </c>
      <c r="B28" s="34"/>
      <c r="D28" s="34">
        <v>250</v>
      </c>
      <c r="G28" s="6"/>
      <c r="J28" s="69"/>
      <c r="K28" s="69"/>
      <c r="L28" s="69"/>
    </row>
    <row r="29" spans="1:13" s="64" customFormat="1" x14ac:dyDescent="0.35">
      <c r="A29" s="34" t="s">
        <v>14</v>
      </c>
      <c r="B29" s="34"/>
      <c r="D29" s="34">
        <v>500</v>
      </c>
      <c r="J29" s="69"/>
      <c r="K29" s="69"/>
      <c r="L29" s="69"/>
    </row>
    <row r="30" spans="1:13" s="12" customFormat="1" x14ac:dyDescent="0.35">
      <c r="A30" s="34" t="s">
        <v>6</v>
      </c>
      <c r="B30" s="34"/>
      <c r="D30" s="34">
        <v>1000</v>
      </c>
      <c r="J30" s="67"/>
      <c r="K30" s="67"/>
      <c r="L30" s="67"/>
    </row>
    <row r="31" spans="1:13" s="12" customFormat="1" x14ac:dyDescent="0.35">
      <c r="A31" s="34" t="s">
        <v>16</v>
      </c>
      <c r="B31" s="34"/>
      <c r="D31" s="34">
        <v>700</v>
      </c>
      <c r="J31" s="67"/>
      <c r="K31" s="67"/>
      <c r="L31" s="67"/>
    </row>
    <row r="32" spans="1:13" s="12" customFormat="1" x14ac:dyDescent="0.35">
      <c r="A32" s="34" t="s">
        <v>7</v>
      </c>
      <c r="B32" s="34"/>
      <c r="D32" s="34">
        <v>1000</v>
      </c>
      <c r="J32" s="67"/>
      <c r="K32" s="67"/>
      <c r="L32" s="67"/>
    </row>
    <row r="33" spans="1:12" s="12" customFormat="1" x14ac:dyDescent="0.35">
      <c r="A33" s="34" t="s">
        <v>10</v>
      </c>
      <c r="B33" s="34"/>
      <c r="D33" s="34">
        <v>3000</v>
      </c>
      <c r="J33" s="67"/>
      <c r="K33" s="67"/>
      <c r="L33" s="67"/>
    </row>
    <row r="34" spans="1:12" s="12" customFormat="1" x14ac:dyDescent="0.35">
      <c r="A34" s="34" t="s">
        <v>46</v>
      </c>
      <c r="B34" s="34"/>
      <c r="J34" s="67"/>
      <c r="K34" s="67"/>
      <c r="L34" s="67"/>
    </row>
    <row r="35" spans="1:12" s="12" customFormat="1" x14ac:dyDescent="0.35">
      <c r="A35" s="33" t="s">
        <v>89</v>
      </c>
      <c r="B35" s="34"/>
      <c r="J35" s="67"/>
      <c r="K35" s="67"/>
      <c r="L35" s="67"/>
    </row>
    <row r="36" spans="1:12" s="12" customFormat="1" x14ac:dyDescent="0.35">
      <c r="A36" s="34"/>
      <c r="B36" s="34"/>
      <c r="J36" s="67"/>
      <c r="K36" s="67"/>
      <c r="L36" s="67"/>
    </row>
    <row r="37" spans="1:12" s="12" customFormat="1" x14ac:dyDescent="0.35">
      <c r="A37" s="34"/>
      <c r="B37" s="34"/>
      <c r="J37" s="67"/>
      <c r="K37" s="67"/>
      <c r="L37" s="67"/>
    </row>
    <row r="38" spans="1:12" ht="15" thickBot="1" x14ac:dyDescent="0.4">
      <c r="A38" s="33"/>
      <c r="B38" s="63">
        <f>SUM(B16:B37)</f>
        <v>45010</v>
      </c>
    </row>
    <row r="39" spans="1:12" ht="15.5" thickTop="1" thickBot="1" x14ac:dyDescent="0.4">
      <c r="A39" s="33"/>
      <c r="B39" s="36"/>
    </row>
    <row r="40" spans="1:12" ht="15" thickBot="1" x14ac:dyDescent="0.4">
      <c r="B40" s="61">
        <f>+B14-B38</f>
        <v>3690</v>
      </c>
    </row>
    <row r="41" spans="1:12" x14ac:dyDescent="0.35">
      <c r="A41" s="33"/>
      <c r="B41" s="33"/>
    </row>
    <row r="42" spans="1:12" x14ac:dyDescent="0.35">
      <c r="A42" s="33"/>
      <c r="B42" s="36"/>
    </row>
    <row r="43" spans="1:12" x14ac:dyDescent="0.35">
      <c r="A43" s="33"/>
      <c r="B43" s="36"/>
      <c r="C43" s="33"/>
      <c r="D43" s="33"/>
      <c r="E43" s="33"/>
      <c r="F43" s="33"/>
      <c r="G43" s="33"/>
      <c r="H43" s="33"/>
      <c r="I43" s="33"/>
      <c r="J43" s="70"/>
      <c r="K43" s="70"/>
      <c r="L43" s="70"/>
    </row>
    <row r="44" spans="1:12" x14ac:dyDescent="0.35">
      <c r="A44" s="33"/>
      <c r="B44" s="33"/>
      <c r="C44" s="33"/>
      <c r="D44" s="33"/>
      <c r="E44" s="33"/>
      <c r="F44" s="33"/>
      <c r="G44" s="33"/>
      <c r="H44" s="33"/>
      <c r="I44" s="33"/>
      <c r="J44" s="70"/>
      <c r="K44" s="70"/>
      <c r="L44" s="70"/>
    </row>
    <row r="45" spans="1:12" x14ac:dyDescent="0.35">
      <c r="A45" s="33"/>
      <c r="B45" s="33"/>
      <c r="C45" s="33"/>
      <c r="D45" s="33"/>
      <c r="E45" s="33"/>
      <c r="F45" s="33"/>
      <c r="G45" s="33"/>
      <c r="H45" s="33"/>
      <c r="I45" s="33"/>
      <c r="J45" s="70"/>
      <c r="K45" s="70"/>
      <c r="L45" s="70"/>
    </row>
    <row r="46" spans="1:12" x14ac:dyDescent="0.35">
      <c r="A46" s="33"/>
      <c r="B46" s="33"/>
      <c r="C46" s="33"/>
      <c r="D46" s="33"/>
      <c r="E46" s="33"/>
      <c r="F46" s="33"/>
      <c r="G46" s="33"/>
      <c r="H46" s="33"/>
      <c r="I46" s="33"/>
      <c r="J46" s="70"/>
      <c r="K46" s="70"/>
      <c r="L46" s="70"/>
    </row>
    <row r="47" spans="1:12" x14ac:dyDescent="0.35">
      <c r="A47" s="33"/>
      <c r="B47" s="33"/>
      <c r="C47" s="33"/>
      <c r="D47" s="33"/>
      <c r="E47" s="33"/>
      <c r="F47" s="33"/>
      <c r="G47" s="33"/>
      <c r="H47" s="33"/>
      <c r="I47" s="33"/>
      <c r="J47" s="70"/>
      <c r="K47" s="70"/>
      <c r="L47" s="70"/>
    </row>
    <row r="48" spans="1:12" x14ac:dyDescent="0.35">
      <c r="A48" s="33"/>
      <c r="B48" s="33"/>
      <c r="C48" s="33"/>
      <c r="D48" s="33"/>
      <c r="E48" s="33"/>
      <c r="F48" s="33"/>
      <c r="G48" s="33"/>
      <c r="H48" s="33"/>
      <c r="I48" s="33"/>
      <c r="J48" s="70"/>
      <c r="K48" s="70"/>
      <c r="L48" s="70"/>
    </row>
    <row r="49" spans="1:12" x14ac:dyDescent="0.35">
      <c r="A49" s="33"/>
      <c r="B49" s="33"/>
      <c r="C49" s="33"/>
      <c r="D49" s="33"/>
      <c r="E49" s="33"/>
      <c r="F49" s="33"/>
      <c r="G49" s="33"/>
      <c r="H49" s="33"/>
      <c r="I49" s="33"/>
      <c r="J49" s="70"/>
      <c r="K49" s="70"/>
      <c r="L49" s="70"/>
    </row>
    <row r="50" spans="1:12" x14ac:dyDescent="0.35">
      <c r="A50" s="33"/>
      <c r="B50" s="33"/>
      <c r="C50" s="33"/>
      <c r="D50" s="33"/>
      <c r="E50" s="33"/>
      <c r="F50" s="33"/>
      <c r="G50" s="33"/>
    </row>
    <row r="51" spans="1:12" x14ac:dyDescent="0.35">
      <c r="A51" s="33"/>
      <c r="B51" s="33"/>
      <c r="C51" s="33"/>
      <c r="D51" s="33"/>
      <c r="E51" s="33"/>
      <c r="F51" s="33"/>
      <c r="G51" s="33"/>
    </row>
    <row r="52" spans="1:12" x14ac:dyDescent="0.35">
      <c r="A52" s="33"/>
      <c r="B52" s="33"/>
      <c r="C52" s="33"/>
      <c r="D52" s="33"/>
      <c r="E52" s="33"/>
      <c r="F52" s="33"/>
      <c r="G52" s="33"/>
    </row>
    <row r="53" spans="1:12" x14ac:dyDescent="0.35">
      <c r="A53" s="33"/>
      <c r="B53" s="33"/>
      <c r="C53" s="33"/>
      <c r="D53" s="33"/>
      <c r="E53" s="33"/>
      <c r="F53" s="33"/>
      <c r="G53" s="33"/>
    </row>
    <row r="54" spans="1:12" x14ac:dyDescent="0.35">
      <c r="A54" s="33"/>
      <c r="B54" s="33"/>
      <c r="C54" s="33"/>
      <c r="D54" s="33"/>
      <c r="E54" s="33"/>
      <c r="F54" s="33"/>
      <c r="G54" s="33"/>
    </row>
    <row r="55" spans="1:12" x14ac:dyDescent="0.35">
      <c r="A55" s="33"/>
      <c r="B55" s="33"/>
      <c r="C55" s="33"/>
      <c r="D55" s="33"/>
      <c r="E55" s="33"/>
      <c r="F55" s="33"/>
      <c r="G55" s="33"/>
    </row>
    <row r="56" spans="1:12" x14ac:dyDescent="0.35">
      <c r="A56" s="33"/>
      <c r="B56" s="33"/>
      <c r="C56" s="33"/>
      <c r="D56" s="33"/>
      <c r="E56" s="33"/>
      <c r="F56" s="33"/>
      <c r="G56" s="33"/>
    </row>
    <row r="57" spans="1:12" x14ac:dyDescent="0.35">
      <c r="A57" s="33"/>
      <c r="B57" s="33"/>
      <c r="C57" s="33"/>
      <c r="D57" s="33"/>
      <c r="E57" s="33"/>
      <c r="F57" s="33"/>
      <c r="G57" s="33"/>
    </row>
    <row r="58" spans="1:12" x14ac:dyDescent="0.35">
      <c r="A58" s="33"/>
      <c r="B58" s="33"/>
      <c r="C58" s="33"/>
      <c r="D58" s="33"/>
      <c r="E58" s="33"/>
      <c r="F58" s="33"/>
      <c r="G58" s="33"/>
    </row>
    <row r="59" spans="1:12" x14ac:dyDescent="0.35">
      <c r="A59" s="33"/>
      <c r="B59" s="33"/>
      <c r="C59" s="33"/>
      <c r="D59" s="33"/>
      <c r="E59" s="33"/>
      <c r="F59" s="33"/>
      <c r="G59" s="33"/>
    </row>
    <row r="60" spans="1:12" x14ac:dyDescent="0.35">
      <c r="A60" s="33"/>
      <c r="B60" s="33"/>
      <c r="C60" s="33"/>
      <c r="D60" s="33"/>
      <c r="E60" s="33"/>
      <c r="F60" s="33"/>
      <c r="G60" s="33"/>
    </row>
    <row r="61" spans="1:12" x14ac:dyDescent="0.35">
      <c r="A61" s="33"/>
      <c r="B61" s="33"/>
      <c r="C61" s="33"/>
      <c r="D61" s="33"/>
      <c r="E61" s="33"/>
      <c r="F61" s="33"/>
      <c r="G61" s="33"/>
    </row>
    <row r="62" spans="1:12" x14ac:dyDescent="0.35">
      <c r="A62" s="33"/>
      <c r="B62" s="33"/>
      <c r="C62" s="33"/>
      <c r="D62" s="33"/>
      <c r="E62" s="33"/>
      <c r="F62" s="33"/>
      <c r="G62" s="33"/>
    </row>
    <row r="63" spans="1:12" x14ac:dyDescent="0.35">
      <c r="A63" s="33"/>
      <c r="B63" s="33"/>
      <c r="C63" s="33"/>
      <c r="D63" s="33"/>
      <c r="E63" s="33"/>
      <c r="F63" s="33"/>
      <c r="G63" s="33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64"/>
  <sheetViews>
    <sheetView workbookViewId="0"/>
  </sheetViews>
  <sheetFormatPr defaultRowHeight="14.5" x14ac:dyDescent="0.35"/>
  <cols>
    <col min="1" max="1" width="39.453125" bestFit="1" customWidth="1"/>
    <col min="2" max="2" width="7" bestFit="1" customWidth="1"/>
    <col min="3" max="3" width="35.54296875" customWidth="1"/>
    <col min="9" max="9" width="12.54296875" bestFit="1" customWidth="1"/>
    <col min="10" max="10" width="25.54296875" style="65" bestFit="1" customWidth="1"/>
    <col min="11" max="11" width="14.7265625" style="65" customWidth="1"/>
    <col min="12" max="12" width="9.1796875" style="65"/>
  </cols>
  <sheetData>
    <row r="1" spans="1:14" x14ac:dyDescent="0.35">
      <c r="A1" s="36" t="s">
        <v>34</v>
      </c>
      <c r="B1" s="36">
        <v>67700</v>
      </c>
      <c r="D1">
        <v>100</v>
      </c>
      <c r="G1">
        <v>400</v>
      </c>
      <c r="H1">
        <v>90</v>
      </c>
      <c r="J1"/>
      <c r="K1" s="66"/>
      <c r="M1" t="s">
        <v>93</v>
      </c>
      <c r="N1">
        <v>67900</v>
      </c>
    </row>
    <row r="2" spans="1:14" x14ac:dyDescent="0.35">
      <c r="A2" s="33" t="s">
        <v>47</v>
      </c>
      <c r="B2" s="35">
        <v>6900</v>
      </c>
      <c r="D2">
        <v>1700</v>
      </c>
      <c r="G2">
        <v>4</v>
      </c>
      <c r="H2">
        <v>21</v>
      </c>
      <c r="J2"/>
      <c r="K2" s="68"/>
      <c r="N2">
        <v>-32000</v>
      </c>
    </row>
    <row r="3" spans="1:14" x14ac:dyDescent="0.35">
      <c r="A3" s="33" t="s">
        <v>48</v>
      </c>
      <c r="B3" s="34">
        <v>5000</v>
      </c>
      <c r="D3">
        <v>6000</v>
      </c>
      <c r="G3">
        <f>+G2*G1</f>
        <v>1600</v>
      </c>
      <c r="H3">
        <f t="shared" ref="H3:J3" si="0">+H2*H1</f>
        <v>1890</v>
      </c>
      <c r="I3">
        <f t="shared" si="0"/>
        <v>0</v>
      </c>
      <c r="J3">
        <f t="shared" si="0"/>
        <v>0</v>
      </c>
      <c r="K3" s="67"/>
      <c r="N3">
        <v>-7000</v>
      </c>
    </row>
    <row r="4" spans="1:14" x14ac:dyDescent="0.35">
      <c r="A4" s="33" t="s">
        <v>45</v>
      </c>
      <c r="B4" s="34">
        <v>6000</v>
      </c>
      <c r="D4">
        <v>9200</v>
      </c>
      <c r="J4" s="67"/>
      <c r="K4" s="67"/>
      <c r="N4">
        <v>-6000</v>
      </c>
    </row>
    <row r="5" spans="1:14" x14ac:dyDescent="0.35">
      <c r="A5" s="33" t="s">
        <v>3</v>
      </c>
      <c r="B5" s="33">
        <v>32000</v>
      </c>
      <c r="D5">
        <v>6611</v>
      </c>
      <c r="J5" s="66"/>
      <c r="K5" s="66"/>
      <c r="N5">
        <v>-5000</v>
      </c>
    </row>
    <row r="6" spans="1:14" x14ac:dyDescent="0.35">
      <c r="A6" s="33" t="s">
        <v>106</v>
      </c>
      <c r="B6" s="33">
        <v>1100</v>
      </c>
      <c r="D6">
        <v>1200</v>
      </c>
      <c r="N6">
        <v>-13500</v>
      </c>
    </row>
    <row r="7" spans="1:14" x14ac:dyDescent="0.35">
      <c r="A7" s="33"/>
      <c r="B7" s="33"/>
      <c r="D7">
        <v>1200</v>
      </c>
      <c r="J7" s="66"/>
    </row>
    <row r="8" spans="1:14" x14ac:dyDescent="0.35">
      <c r="A8" s="33"/>
      <c r="B8" s="36">
        <f>SUM(B2:B7)</f>
        <v>51000</v>
      </c>
      <c r="D8">
        <v>2000</v>
      </c>
    </row>
    <row r="9" spans="1:14" x14ac:dyDescent="0.35">
      <c r="A9" s="33"/>
      <c r="B9" s="33">
        <f>+B1-B8</f>
        <v>16700</v>
      </c>
      <c r="D9">
        <v>3000</v>
      </c>
    </row>
    <row r="10" spans="1:14" x14ac:dyDescent="0.35">
      <c r="A10" s="33"/>
      <c r="B10" s="33"/>
      <c r="D10">
        <v>2500</v>
      </c>
      <c r="H10" s="65"/>
      <c r="N10" s="1">
        <f ca="1">SUM(N1:N12)</f>
        <v>4400</v>
      </c>
    </row>
    <row r="11" spans="1:14" x14ac:dyDescent="0.35">
      <c r="D11">
        <v>1700</v>
      </c>
      <c r="H11" s="65"/>
    </row>
    <row r="12" spans="1:14" s="12" customFormat="1" x14ac:dyDescent="0.35">
      <c r="A12" s="34" t="s">
        <v>33</v>
      </c>
      <c r="B12" s="58">
        <v>41000</v>
      </c>
      <c r="C12" s="58"/>
      <c r="D12" s="12">
        <v>4000</v>
      </c>
      <c r="J12" s="67"/>
      <c r="K12" s="67"/>
      <c r="L12" s="67"/>
    </row>
    <row r="13" spans="1:14" s="12" customFormat="1" ht="15" thickBot="1" x14ac:dyDescent="0.4">
      <c r="A13" s="34" t="s">
        <v>82</v>
      </c>
      <c r="B13" s="34">
        <v>18000</v>
      </c>
      <c r="D13" s="12">
        <v>4000</v>
      </c>
      <c r="J13" s="67"/>
      <c r="K13" s="67"/>
      <c r="L13" s="67"/>
    </row>
    <row r="14" spans="1:14" ht="15" thickBot="1" x14ac:dyDescent="0.4">
      <c r="A14" s="36"/>
      <c r="B14" s="59">
        <f>+B13+B12</f>
        <v>59000</v>
      </c>
    </row>
    <row r="15" spans="1:14" ht="15" thickTop="1" x14ac:dyDescent="0.35">
      <c r="A15" s="36"/>
      <c r="B15" s="36"/>
      <c r="C15" s="51"/>
    </row>
    <row r="16" spans="1:14" s="12" customFormat="1" x14ac:dyDescent="0.35">
      <c r="A16" s="34" t="s">
        <v>5</v>
      </c>
      <c r="B16" s="56">
        <v>5000</v>
      </c>
      <c r="C16" t="s">
        <v>107</v>
      </c>
      <c r="D16">
        <f ca="1">+D24-D23</f>
        <v>6789</v>
      </c>
      <c r="L16" s="67"/>
    </row>
    <row r="17" spans="1:13" s="12" customFormat="1" x14ac:dyDescent="0.35">
      <c r="A17" s="34" t="s">
        <v>8</v>
      </c>
      <c r="B17" s="56">
        <f>1400+700</f>
        <v>2100</v>
      </c>
      <c r="C17" t="s">
        <v>107</v>
      </c>
      <c r="J17" s="67">
        <v>2800</v>
      </c>
      <c r="K17" s="67">
        <v>1500</v>
      </c>
      <c r="L17" s="67">
        <f>+J17-K17</f>
        <v>1300</v>
      </c>
      <c r="M17" s="12">
        <f>+K17/J17*100</f>
        <v>53.571428571428569</v>
      </c>
    </row>
    <row r="18" spans="1:13" s="12" customFormat="1" x14ac:dyDescent="0.35">
      <c r="A18" s="34" t="s">
        <v>12</v>
      </c>
      <c r="B18" s="56">
        <v>2100</v>
      </c>
      <c r="C18" t="s">
        <v>107</v>
      </c>
      <c r="J18" s="67">
        <f>57/3</f>
        <v>19</v>
      </c>
      <c r="K18" s="67"/>
      <c r="L18" s="67"/>
    </row>
    <row r="19" spans="1:13" s="12" customFormat="1" x14ac:dyDescent="0.35">
      <c r="A19" s="34" t="s">
        <v>13</v>
      </c>
      <c r="B19" s="56">
        <v>1700</v>
      </c>
      <c r="C19" t="s">
        <v>107</v>
      </c>
      <c r="J19" s="67">
        <f>+J18*30</f>
        <v>570</v>
      </c>
      <c r="K19" s="67"/>
      <c r="L19" s="67"/>
    </row>
    <row r="20" spans="1:13" s="12" customFormat="1" x14ac:dyDescent="0.35">
      <c r="A20" s="34" t="s">
        <v>15</v>
      </c>
      <c r="B20" s="62">
        <v>1100</v>
      </c>
      <c r="C20" s="60"/>
      <c r="J20" s="66"/>
      <c r="K20" s="66"/>
      <c r="L20" s="67"/>
    </row>
    <row r="21" spans="1:13" s="12" customFormat="1" x14ac:dyDescent="0.35">
      <c r="A21" s="34" t="s">
        <v>11</v>
      </c>
      <c r="B21" s="54">
        <v>1500</v>
      </c>
      <c r="C21" s="60"/>
      <c r="L21" s="67"/>
    </row>
    <row r="22" spans="1:13" s="12" customFormat="1" x14ac:dyDescent="0.35">
      <c r="A22" s="34" t="s">
        <v>23</v>
      </c>
      <c r="B22" s="54">
        <v>100</v>
      </c>
      <c r="C22" s="60"/>
      <c r="L22" s="67"/>
    </row>
    <row r="23" spans="1:13" s="12" customFormat="1" x14ac:dyDescent="0.35">
      <c r="A23" s="34" t="s">
        <v>83</v>
      </c>
      <c r="B23" s="54">
        <v>2500</v>
      </c>
      <c r="C23" s="60"/>
      <c r="D23" s="1">
        <f ca="1">SUM(D1:D22)</f>
        <v>43211</v>
      </c>
      <c r="L23" s="67"/>
    </row>
    <row r="24" spans="1:13" s="12" customFormat="1" x14ac:dyDescent="0.35">
      <c r="A24" s="34" t="s">
        <v>84</v>
      </c>
      <c r="B24" s="54">
        <v>6000</v>
      </c>
      <c r="C24" s="60"/>
      <c r="D24">
        <v>50000</v>
      </c>
      <c r="L24" s="67"/>
    </row>
    <row r="25" spans="1:13" s="12" customFormat="1" x14ac:dyDescent="0.35">
      <c r="A25" s="34" t="s">
        <v>111</v>
      </c>
      <c r="B25" s="54">
        <v>5000</v>
      </c>
      <c r="C25" s="60"/>
      <c r="D25"/>
      <c r="L25" s="67"/>
    </row>
    <row r="26" spans="1:13" s="12" customFormat="1" x14ac:dyDescent="0.35">
      <c r="A26" s="34" t="s">
        <v>91</v>
      </c>
      <c r="B26" s="34"/>
      <c r="J26" s="67"/>
      <c r="K26" s="67"/>
      <c r="L26" s="67"/>
    </row>
    <row r="27" spans="1:13" s="12" customFormat="1" x14ac:dyDescent="0.35">
      <c r="A27" s="33" t="s">
        <v>92</v>
      </c>
      <c r="B27" s="71">
        <v>10000</v>
      </c>
      <c r="J27" s="67"/>
      <c r="K27" s="67"/>
      <c r="L27" s="67"/>
    </row>
    <row r="28" spans="1:13" s="64" customFormat="1" x14ac:dyDescent="0.35">
      <c r="A28" s="34" t="s">
        <v>22</v>
      </c>
      <c r="B28" s="34"/>
      <c r="D28" s="34">
        <v>3000</v>
      </c>
      <c r="J28" s="69"/>
      <c r="K28" s="69"/>
      <c r="L28" s="69"/>
    </row>
    <row r="29" spans="1:13" s="64" customFormat="1" x14ac:dyDescent="0.35">
      <c r="A29" s="34" t="s">
        <v>17</v>
      </c>
      <c r="B29" s="36">
        <v>275</v>
      </c>
      <c r="D29" s="34">
        <v>250</v>
      </c>
      <c r="G29" s="6"/>
      <c r="J29" s="69"/>
      <c r="K29" s="69"/>
      <c r="L29" s="69"/>
    </row>
    <row r="30" spans="1:13" s="64" customFormat="1" x14ac:dyDescent="0.35">
      <c r="A30" s="34" t="s">
        <v>14</v>
      </c>
      <c r="B30" s="34"/>
      <c r="D30" s="34">
        <v>500</v>
      </c>
      <c r="J30" s="69"/>
      <c r="K30" s="69"/>
      <c r="L30" s="69"/>
    </row>
    <row r="31" spans="1:13" s="12" customFormat="1" x14ac:dyDescent="0.35">
      <c r="A31" s="34" t="s">
        <v>6</v>
      </c>
      <c r="B31" s="34"/>
      <c r="D31" s="34">
        <v>1000</v>
      </c>
      <c r="J31" s="67"/>
      <c r="K31" s="67"/>
      <c r="L31" s="67"/>
    </row>
    <row r="32" spans="1:13" s="12" customFormat="1" x14ac:dyDescent="0.35">
      <c r="A32" s="34" t="s">
        <v>16</v>
      </c>
      <c r="B32" s="36">
        <v>700</v>
      </c>
      <c r="D32" s="34">
        <v>700</v>
      </c>
      <c r="J32" s="67"/>
      <c r="K32" s="67"/>
      <c r="L32" s="67"/>
    </row>
    <row r="33" spans="1:12" s="12" customFormat="1" x14ac:dyDescent="0.35">
      <c r="A33" s="34" t="s">
        <v>7</v>
      </c>
      <c r="B33" s="34"/>
      <c r="D33" s="34">
        <v>1000</v>
      </c>
      <c r="J33" s="67"/>
      <c r="K33" s="67"/>
      <c r="L33" s="67"/>
    </row>
    <row r="34" spans="1:12" s="12" customFormat="1" x14ac:dyDescent="0.35">
      <c r="A34" s="34" t="s">
        <v>10</v>
      </c>
      <c r="B34" s="34"/>
      <c r="D34" s="34">
        <v>3000</v>
      </c>
      <c r="J34" s="67"/>
      <c r="K34" s="67"/>
      <c r="L34" s="67"/>
    </row>
    <row r="35" spans="1:12" s="12" customFormat="1" x14ac:dyDescent="0.35">
      <c r="A35" s="34" t="s">
        <v>46</v>
      </c>
      <c r="B35" s="36">
        <v>3500</v>
      </c>
      <c r="C35" t="s">
        <v>110</v>
      </c>
      <c r="J35" s="67"/>
      <c r="K35" s="67"/>
      <c r="L35" s="67"/>
    </row>
    <row r="36" spans="1:12" s="12" customFormat="1" x14ac:dyDescent="0.35">
      <c r="A36" s="33" t="s">
        <v>89</v>
      </c>
      <c r="B36" s="34"/>
      <c r="J36" s="67"/>
      <c r="K36" s="67"/>
      <c r="L36" s="67"/>
    </row>
    <row r="37" spans="1:12" s="12" customFormat="1" x14ac:dyDescent="0.35">
      <c r="A37" s="34"/>
      <c r="B37" s="34">
        <f>14442-11200+2176</f>
        <v>5418</v>
      </c>
      <c r="J37" s="67"/>
      <c r="K37" s="67"/>
      <c r="L37" s="67"/>
    </row>
    <row r="38" spans="1:12" s="12" customFormat="1" x14ac:dyDescent="0.35">
      <c r="A38" s="34" t="s">
        <v>109</v>
      </c>
      <c r="B38" s="34">
        <v>288</v>
      </c>
      <c r="D38" s="12">
        <v>14670</v>
      </c>
      <c r="J38" s="67"/>
      <c r="K38" s="67"/>
      <c r="L38" s="67"/>
    </row>
    <row r="39" spans="1:12" ht="15" thickBot="1" x14ac:dyDescent="0.4">
      <c r="A39" s="33"/>
      <c r="B39" s="63">
        <f>SUM(B16:B38)</f>
        <v>47281</v>
      </c>
      <c r="D39">
        <v>17854</v>
      </c>
    </row>
    <row r="40" spans="1:12" ht="15.5" thickTop="1" thickBot="1" x14ac:dyDescent="0.4">
      <c r="A40" s="33"/>
      <c r="B40" s="36"/>
      <c r="D40">
        <f>SUM(D38:D39)</f>
        <v>32524</v>
      </c>
    </row>
    <row r="41" spans="1:12" ht="15" thickBot="1" x14ac:dyDescent="0.4">
      <c r="B41" s="61">
        <f>+B14-B39</f>
        <v>11719</v>
      </c>
    </row>
    <row r="42" spans="1:12" x14ac:dyDescent="0.35">
      <c r="A42" s="33"/>
      <c r="B42" s="33"/>
    </row>
    <row r="43" spans="1:12" x14ac:dyDescent="0.35">
      <c r="A43" s="33"/>
      <c r="B43" s="36"/>
    </row>
    <row r="44" spans="1:12" x14ac:dyDescent="0.35">
      <c r="A44" s="33"/>
      <c r="B44" s="36"/>
      <c r="C44" s="33"/>
      <c r="D44" s="33"/>
      <c r="E44" s="33"/>
      <c r="F44" s="33"/>
      <c r="G44" s="33"/>
      <c r="H44" s="33"/>
      <c r="I44" s="33"/>
      <c r="J44" s="70"/>
      <c r="K44" s="70"/>
      <c r="L44" s="70"/>
    </row>
    <row r="45" spans="1:12" x14ac:dyDescent="0.35">
      <c r="A45" s="33"/>
      <c r="B45" s="33"/>
      <c r="C45" s="33"/>
      <c r="D45" s="33"/>
      <c r="E45" s="33"/>
      <c r="F45" s="33"/>
      <c r="G45" s="33"/>
      <c r="H45" s="33"/>
      <c r="I45" s="33"/>
      <c r="J45" s="70"/>
      <c r="K45" s="70"/>
      <c r="L45" s="70"/>
    </row>
    <row r="46" spans="1:12" x14ac:dyDescent="0.35">
      <c r="A46" s="33"/>
      <c r="B46" s="33"/>
      <c r="C46" s="33"/>
      <c r="D46" s="33"/>
      <c r="E46" s="33"/>
      <c r="F46" s="33"/>
      <c r="G46" s="33"/>
      <c r="H46" s="33"/>
      <c r="I46" s="33"/>
      <c r="J46" s="70"/>
      <c r="K46" s="70"/>
      <c r="L46" s="70"/>
    </row>
    <row r="47" spans="1:12" x14ac:dyDescent="0.35">
      <c r="A47" s="33"/>
      <c r="B47" s="33"/>
      <c r="C47" s="33"/>
      <c r="D47" s="33"/>
      <c r="E47" s="33"/>
      <c r="F47" s="33"/>
      <c r="G47" s="33"/>
      <c r="H47" s="33"/>
      <c r="I47" s="33"/>
      <c r="J47" s="70"/>
      <c r="K47" s="70"/>
      <c r="L47" s="70"/>
    </row>
    <row r="48" spans="1:12" x14ac:dyDescent="0.35">
      <c r="A48" s="33"/>
      <c r="B48" s="33"/>
      <c r="C48" s="33"/>
      <c r="D48" s="33"/>
      <c r="E48" s="33"/>
      <c r="F48" s="33"/>
      <c r="G48" s="33"/>
      <c r="H48" s="33"/>
      <c r="I48" s="33"/>
      <c r="J48" s="70"/>
      <c r="K48" s="70"/>
      <c r="L48" s="70"/>
    </row>
    <row r="49" spans="1:12" x14ac:dyDescent="0.35">
      <c r="A49" s="33"/>
      <c r="B49" s="33"/>
      <c r="C49" s="33"/>
      <c r="D49" s="33"/>
      <c r="E49" s="33"/>
      <c r="F49" s="33"/>
      <c r="G49" s="33"/>
      <c r="H49" s="33"/>
      <c r="I49" s="33"/>
      <c r="J49" s="70"/>
      <c r="K49" s="70"/>
      <c r="L49" s="70"/>
    </row>
    <row r="50" spans="1:12" x14ac:dyDescent="0.35">
      <c r="A50" s="33"/>
      <c r="B50" s="33"/>
      <c r="C50" s="33"/>
      <c r="D50" s="33"/>
      <c r="E50" s="33"/>
      <c r="F50" s="33"/>
      <c r="G50" s="33"/>
      <c r="H50" s="33"/>
      <c r="I50" s="33"/>
      <c r="J50" s="70"/>
      <c r="K50" s="70"/>
      <c r="L50" s="70"/>
    </row>
    <row r="51" spans="1:12" x14ac:dyDescent="0.35">
      <c r="A51" s="33"/>
      <c r="B51" s="33"/>
      <c r="C51" s="33"/>
      <c r="D51" s="33"/>
      <c r="E51" s="33"/>
      <c r="F51" s="33"/>
      <c r="G51" s="33"/>
    </row>
    <row r="52" spans="1:12" x14ac:dyDescent="0.35">
      <c r="A52" s="33"/>
      <c r="B52" s="33"/>
      <c r="C52" s="33"/>
      <c r="D52" s="33"/>
      <c r="E52" s="33"/>
      <c r="F52" s="33"/>
      <c r="G52" s="33"/>
    </row>
    <row r="53" spans="1:12" x14ac:dyDescent="0.35">
      <c r="A53" s="33"/>
      <c r="B53" s="33"/>
      <c r="C53" s="33"/>
      <c r="D53" s="33"/>
      <c r="E53" s="33"/>
      <c r="F53" s="33"/>
      <c r="G53" s="33"/>
    </row>
    <row r="54" spans="1:12" x14ac:dyDescent="0.35">
      <c r="A54" s="33"/>
      <c r="B54" s="33"/>
      <c r="C54" s="33"/>
      <c r="D54" s="33"/>
      <c r="E54" s="33"/>
      <c r="F54" s="33"/>
      <c r="G54" s="33"/>
    </row>
    <row r="55" spans="1:12" x14ac:dyDescent="0.35">
      <c r="A55" s="33"/>
      <c r="B55" s="33"/>
      <c r="C55" s="33"/>
      <c r="D55" s="33"/>
      <c r="E55" s="33"/>
      <c r="F55" s="33"/>
      <c r="G55" s="33"/>
    </row>
    <row r="56" spans="1:12" x14ac:dyDescent="0.35">
      <c r="A56" s="33"/>
      <c r="B56" s="33"/>
      <c r="C56" s="33"/>
      <c r="D56" s="33"/>
      <c r="E56" s="33"/>
      <c r="F56" s="33"/>
      <c r="G56" s="33"/>
    </row>
    <row r="57" spans="1:12" x14ac:dyDescent="0.35">
      <c r="A57" s="33"/>
      <c r="B57" s="33"/>
      <c r="C57" s="33"/>
      <c r="D57" s="33"/>
      <c r="E57" s="33"/>
      <c r="F57" s="33"/>
      <c r="G57" s="33"/>
    </row>
    <row r="58" spans="1:12" x14ac:dyDescent="0.35">
      <c r="A58" s="33"/>
      <c r="B58" s="33"/>
      <c r="C58" s="33"/>
      <c r="D58" s="33"/>
      <c r="E58" s="33"/>
      <c r="F58" s="33"/>
      <c r="G58" s="33"/>
    </row>
    <row r="59" spans="1:12" x14ac:dyDescent="0.35">
      <c r="A59" s="33"/>
      <c r="B59" s="33"/>
      <c r="C59" s="33"/>
      <c r="D59" s="33"/>
      <c r="E59" s="33"/>
      <c r="F59" s="33"/>
      <c r="G59" s="33"/>
    </row>
    <row r="60" spans="1:12" x14ac:dyDescent="0.35">
      <c r="A60" s="33"/>
      <c r="B60" s="33"/>
      <c r="C60" s="33"/>
      <c r="D60" s="33"/>
      <c r="E60" s="33"/>
      <c r="F60" s="33"/>
      <c r="G60" s="33"/>
    </row>
    <row r="61" spans="1:12" x14ac:dyDescent="0.35">
      <c r="A61" s="33"/>
      <c r="B61" s="33"/>
      <c r="C61" s="33"/>
      <c r="D61" s="33"/>
      <c r="E61" s="33"/>
      <c r="F61" s="33"/>
      <c r="G61" s="33"/>
    </row>
    <row r="62" spans="1:12" x14ac:dyDescent="0.35">
      <c r="A62" s="33"/>
      <c r="B62" s="33"/>
      <c r="C62" s="33"/>
      <c r="D62" s="33"/>
      <c r="E62" s="33"/>
      <c r="F62" s="33"/>
      <c r="G62" s="33"/>
    </row>
    <row r="63" spans="1:12" x14ac:dyDescent="0.35">
      <c r="A63" s="33"/>
      <c r="B63" s="33"/>
      <c r="C63" s="33"/>
      <c r="D63" s="33"/>
      <c r="E63" s="33"/>
      <c r="F63" s="33"/>
      <c r="G63" s="33"/>
    </row>
    <row r="64" spans="1:12" x14ac:dyDescent="0.35">
      <c r="A64" s="33"/>
      <c r="B64" s="33"/>
      <c r="C64" s="33"/>
      <c r="D64" s="33"/>
      <c r="E64" s="33"/>
      <c r="F64" s="33"/>
      <c r="G64" s="33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64"/>
  <sheetViews>
    <sheetView topLeftCell="A13" workbookViewId="0">
      <selection activeCell="J34" sqref="J34"/>
    </sheetView>
  </sheetViews>
  <sheetFormatPr defaultRowHeight="14.5" x14ac:dyDescent="0.35"/>
  <cols>
    <col min="1" max="1" width="39.453125" bestFit="1" customWidth="1"/>
    <col min="2" max="2" width="7" bestFit="1" customWidth="1"/>
    <col min="3" max="3" width="35.54296875" customWidth="1"/>
    <col min="9" max="9" width="12.54296875" bestFit="1" customWidth="1"/>
    <col min="10" max="10" width="25.54296875" style="65" bestFit="1" customWidth="1"/>
    <col min="11" max="11" width="14.7265625" style="65" customWidth="1"/>
    <col min="12" max="12" width="9.1796875" style="65"/>
  </cols>
  <sheetData>
    <row r="1" spans="1:14" x14ac:dyDescent="0.35">
      <c r="A1" s="36" t="s">
        <v>34</v>
      </c>
      <c r="B1" s="36">
        <v>67700</v>
      </c>
      <c r="D1">
        <v>100</v>
      </c>
      <c r="J1" s="65">
        <v>68000</v>
      </c>
      <c r="K1" s="66"/>
    </row>
    <row r="2" spans="1:14" x14ac:dyDescent="0.35">
      <c r="A2" s="33" t="s">
        <v>47</v>
      </c>
      <c r="B2" s="35">
        <v>6900</v>
      </c>
      <c r="D2">
        <v>1700</v>
      </c>
      <c r="J2" s="65">
        <v>34000</v>
      </c>
      <c r="K2" s="68"/>
    </row>
    <row r="3" spans="1:14" x14ac:dyDescent="0.35">
      <c r="A3" s="33" t="s">
        <v>48</v>
      </c>
      <c r="B3" s="34">
        <v>5000</v>
      </c>
      <c r="D3">
        <v>6000</v>
      </c>
      <c r="J3" s="65">
        <v>6000</v>
      </c>
      <c r="K3" s="67"/>
    </row>
    <row r="4" spans="1:14" x14ac:dyDescent="0.35">
      <c r="A4" s="33" t="s">
        <v>45</v>
      </c>
      <c r="B4" s="34">
        <v>6000</v>
      </c>
      <c r="D4">
        <v>9200</v>
      </c>
      <c r="J4" s="67">
        <v>5000</v>
      </c>
      <c r="K4" s="67"/>
    </row>
    <row r="5" spans="1:14" x14ac:dyDescent="0.35">
      <c r="A5" s="33" t="s">
        <v>3</v>
      </c>
      <c r="B5" s="33">
        <v>32000</v>
      </c>
      <c r="D5">
        <v>6611</v>
      </c>
      <c r="J5" s="66">
        <v>2500</v>
      </c>
      <c r="K5" s="66"/>
    </row>
    <row r="6" spans="1:14" x14ac:dyDescent="0.35">
      <c r="A6" s="33" t="s">
        <v>106</v>
      </c>
      <c r="B6" s="33">
        <v>1100</v>
      </c>
      <c r="D6">
        <v>1200</v>
      </c>
      <c r="J6" s="65">
        <v>1700</v>
      </c>
    </row>
    <row r="7" spans="1:14" x14ac:dyDescent="0.35">
      <c r="A7" s="33"/>
      <c r="B7" s="33"/>
      <c r="D7">
        <v>1200</v>
      </c>
      <c r="J7" s="66">
        <v>10900</v>
      </c>
    </row>
    <row r="8" spans="1:14" x14ac:dyDescent="0.35">
      <c r="A8" s="33"/>
      <c r="B8" s="36">
        <f>SUM(B2:B7)</f>
        <v>51000</v>
      </c>
      <c r="D8">
        <v>2000</v>
      </c>
      <c r="J8" s="65">
        <v>4000</v>
      </c>
    </row>
    <row r="9" spans="1:14" x14ac:dyDescent="0.35">
      <c r="A9" s="33"/>
      <c r="B9" s="33">
        <f>+B1-B8</f>
        <v>16700</v>
      </c>
      <c r="D9">
        <v>3000</v>
      </c>
      <c r="J9" s="65">
        <v>2800</v>
      </c>
    </row>
    <row r="10" spans="1:14" x14ac:dyDescent="0.35">
      <c r="A10" s="33"/>
      <c r="B10" s="33"/>
      <c r="D10">
        <v>2500</v>
      </c>
      <c r="H10" s="65"/>
      <c r="J10" s="65">
        <v>1100</v>
      </c>
      <c r="N10" s="1"/>
    </row>
    <row r="11" spans="1:14" x14ac:dyDescent="0.35">
      <c r="D11">
        <v>1700</v>
      </c>
      <c r="H11" s="65"/>
      <c r="J11" s="65">
        <v>1100</v>
      </c>
    </row>
    <row r="12" spans="1:14" s="12" customFormat="1" x14ac:dyDescent="0.35">
      <c r="A12" s="34" t="s">
        <v>33</v>
      </c>
      <c r="B12" s="58">
        <v>41000</v>
      </c>
      <c r="C12" s="58"/>
      <c r="D12" s="12">
        <v>4000</v>
      </c>
      <c r="J12" s="67">
        <v>750</v>
      </c>
      <c r="K12" s="67"/>
      <c r="L12" s="67"/>
    </row>
    <row r="13" spans="1:14" s="12" customFormat="1" ht="15" thickBot="1" x14ac:dyDescent="0.4">
      <c r="A13" s="34" t="s">
        <v>82</v>
      </c>
      <c r="B13" s="34">
        <v>18000</v>
      </c>
      <c r="D13" s="12">
        <v>4000</v>
      </c>
      <c r="J13" s="67">
        <v>3000</v>
      </c>
      <c r="K13" s="67"/>
      <c r="L13" s="67"/>
    </row>
    <row r="14" spans="1:14" ht="15" thickBot="1" x14ac:dyDescent="0.4">
      <c r="A14" s="36"/>
      <c r="B14" s="59">
        <f>+B13+B12</f>
        <v>59000</v>
      </c>
    </row>
    <row r="15" spans="1:14" ht="15" thickTop="1" x14ac:dyDescent="0.35">
      <c r="A15" s="36"/>
      <c r="B15" s="36"/>
      <c r="C15" s="51"/>
    </row>
    <row r="16" spans="1:14" s="12" customFormat="1" x14ac:dyDescent="0.35">
      <c r="A16" s="34" t="s">
        <v>5</v>
      </c>
      <c r="B16" s="56">
        <v>5000</v>
      </c>
      <c r="C16" t="s">
        <v>107</v>
      </c>
      <c r="D16">
        <f ca="1">+D24-D23</f>
        <v>6789</v>
      </c>
      <c r="L16" s="67"/>
    </row>
    <row r="17" spans="1:12" s="12" customFormat="1" x14ac:dyDescent="0.35">
      <c r="A17" s="34" t="s">
        <v>8</v>
      </c>
      <c r="B17" s="56">
        <f>1400+700</f>
        <v>2100</v>
      </c>
      <c r="C17" t="s">
        <v>107</v>
      </c>
      <c r="J17" s="66">
        <f>SUM(J1)-SUM(J2:J16)</f>
        <v>-4850</v>
      </c>
      <c r="K17" s="67"/>
      <c r="L17" s="67"/>
    </row>
    <row r="18" spans="1:12" s="12" customFormat="1" x14ac:dyDescent="0.35">
      <c r="A18" s="34" t="s">
        <v>12</v>
      </c>
      <c r="B18" s="56">
        <v>2100</v>
      </c>
      <c r="C18" t="s">
        <v>107</v>
      </c>
      <c r="J18" s="67"/>
      <c r="K18" s="67"/>
      <c r="L18" s="67"/>
    </row>
    <row r="19" spans="1:12" s="12" customFormat="1" x14ac:dyDescent="0.35">
      <c r="A19" s="34" t="s">
        <v>13</v>
      </c>
      <c r="B19" s="56">
        <v>1700</v>
      </c>
      <c r="C19" t="s">
        <v>107</v>
      </c>
      <c r="J19" s="67"/>
      <c r="K19" s="67"/>
      <c r="L19" s="67"/>
    </row>
    <row r="20" spans="1:12" s="12" customFormat="1" x14ac:dyDescent="0.35">
      <c r="A20" s="34" t="s">
        <v>15</v>
      </c>
      <c r="B20" s="62">
        <v>1100</v>
      </c>
      <c r="C20" s="60"/>
      <c r="J20" s="66">
        <f>+J17+20000</f>
        <v>15150</v>
      </c>
      <c r="K20" s="66"/>
      <c r="L20" s="67"/>
    </row>
    <row r="21" spans="1:12" s="12" customFormat="1" x14ac:dyDescent="0.35">
      <c r="A21" s="34" t="s">
        <v>11</v>
      </c>
      <c r="B21" s="54">
        <v>1500</v>
      </c>
      <c r="C21" s="60"/>
      <c r="L21" s="67"/>
    </row>
    <row r="22" spans="1:12" s="12" customFormat="1" x14ac:dyDescent="0.35">
      <c r="A22" s="34" t="s">
        <v>23</v>
      </c>
      <c r="B22" s="54">
        <v>100</v>
      </c>
      <c r="C22" s="60"/>
      <c r="L22" s="67"/>
    </row>
    <row r="23" spans="1:12" s="12" customFormat="1" x14ac:dyDescent="0.35">
      <c r="A23" s="34" t="s">
        <v>83</v>
      </c>
      <c r="B23" s="54">
        <v>2500</v>
      </c>
      <c r="C23" s="60"/>
      <c r="D23" s="1">
        <f ca="1">SUM(D1:D22)</f>
        <v>43211</v>
      </c>
      <c r="L23" s="67"/>
    </row>
    <row r="24" spans="1:12" s="12" customFormat="1" x14ac:dyDescent="0.35">
      <c r="A24" s="34" t="s">
        <v>84</v>
      </c>
      <c r="B24" s="54">
        <v>6000</v>
      </c>
      <c r="C24" s="60"/>
      <c r="D24">
        <v>50000</v>
      </c>
      <c r="L24" s="67"/>
    </row>
    <row r="25" spans="1:12" s="12" customFormat="1" x14ac:dyDescent="0.35">
      <c r="A25" s="34" t="s">
        <v>111</v>
      </c>
      <c r="B25" s="54">
        <v>5000</v>
      </c>
      <c r="C25" s="60"/>
      <c r="D25"/>
      <c r="I25" t="s">
        <v>112</v>
      </c>
      <c r="L25" s="67"/>
    </row>
    <row r="26" spans="1:12" s="12" customFormat="1" x14ac:dyDescent="0.35">
      <c r="A26" s="34" t="s">
        <v>91</v>
      </c>
      <c r="B26" s="34"/>
      <c r="I26" s="12">
        <v>1079</v>
      </c>
      <c r="J26" s="65" t="s">
        <v>113</v>
      </c>
      <c r="K26" s="67"/>
      <c r="L26" s="67"/>
    </row>
    <row r="27" spans="1:12" s="12" customFormat="1" x14ac:dyDescent="0.35">
      <c r="A27" s="33" t="s">
        <v>92</v>
      </c>
      <c r="B27" s="71"/>
      <c r="I27" s="12">
        <v>500</v>
      </c>
      <c r="J27" s="65" t="s">
        <v>114</v>
      </c>
      <c r="K27" s="67"/>
      <c r="L27" s="67"/>
    </row>
    <row r="28" spans="1:12" s="64" customFormat="1" x14ac:dyDescent="0.35">
      <c r="A28" s="34" t="s">
        <v>22</v>
      </c>
      <c r="B28" s="34"/>
      <c r="D28" s="34">
        <v>3000</v>
      </c>
      <c r="I28" s="64">
        <v>6000</v>
      </c>
      <c r="J28" s="72" t="s">
        <v>115</v>
      </c>
      <c r="K28" s="69"/>
      <c r="L28" s="69"/>
    </row>
    <row r="29" spans="1:12" s="64" customFormat="1" x14ac:dyDescent="0.35">
      <c r="A29" s="34" t="s">
        <v>17</v>
      </c>
      <c r="B29" s="36">
        <v>940</v>
      </c>
      <c r="D29" s="34">
        <v>250</v>
      </c>
      <c r="G29" s="6"/>
      <c r="I29" s="64">
        <v>1021</v>
      </c>
      <c r="J29" s="72" t="s">
        <v>116</v>
      </c>
      <c r="K29" s="69"/>
      <c r="L29" s="69"/>
    </row>
    <row r="30" spans="1:12" s="64" customFormat="1" x14ac:dyDescent="0.35">
      <c r="A30" s="34" t="s">
        <v>14</v>
      </c>
      <c r="B30" s="34"/>
      <c r="D30" s="34">
        <v>500</v>
      </c>
      <c r="I30" s="64">
        <v>740</v>
      </c>
      <c r="J30" s="72" t="s">
        <v>117</v>
      </c>
      <c r="K30" s="69"/>
      <c r="L30" s="69"/>
    </row>
    <row r="31" spans="1:12" s="12" customFormat="1" x14ac:dyDescent="0.35">
      <c r="A31" s="34" t="s">
        <v>6</v>
      </c>
      <c r="B31" s="34"/>
      <c r="D31" s="34">
        <v>1000</v>
      </c>
      <c r="I31" s="64">
        <v>33900</v>
      </c>
      <c r="J31" s="72" t="s">
        <v>122</v>
      </c>
      <c r="K31" s="67"/>
      <c r="L31" s="67"/>
    </row>
    <row r="32" spans="1:12" s="12" customFormat="1" x14ac:dyDescent="0.35">
      <c r="A32" s="34" t="s">
        <v>16</v>
      </c>
      <c r="B32" s="36">
        <v>700</v>
      </c>
      <c r="D32" s="34">
        <v>700</v>
      </c>
      <c r="I32" s="64">
        <v>8121</v>
      </c>
      <c r="J32" s="72" t="s">
        <v>121</v>
      </c>
      <c r="K32" s="67"/>
      <c r="L32" s="67"/>
    </row>
    <row r="33" spans="1:12" s="12" customFormat="1" x14ac:dyDescent="0.35">
      <c r="A33" s="34" t="s">
        <v>7</v>
      </c>
      <c r="B33" s="34"/>
      <c r="D33" s="34">
        <v>1000</v>
      </c>
      <c r="K33" s="67"/>
      <c r="L33" s="67"/>
    </row>
    <row r="34" spans="1:12" s="12" customFormat="1" x14ac:dyDescent="0.35">
      <c r="A34" s="34" t="s">
        <v>10</v>
      </c>
      <c r="B34" s="34"/>
      <c r="D34" s="34">
        <v>3000</v>
      </c>
      <c r="I34" s="12">
        <v>1500</v>
      </c>
      <c r="J34" s="65" t="s">
        <v>118</v>
      </c>
      <c r="K34" s="67"/>
      <c r="L34" s="67"/>
    </row>
    <row r="35" spans="1:12" s="12" customFormat="1" x14ac:dyDescent="0.35">
      <c r="A35" s="34" t="s">
        <v>46</v>
      </c>
      <c r="B35" s="36">
        <v>3500</v>
      </c>
      <c r="C35" t="s">
        <v>110</v>
      </c>
      <c r="I35" s="12">
        <v>5000</v>
      </c>
      <c r="J35" s="65" t="s">
        <v>119</v>
      </c>
      <c r="K35" s="67"/>
      <c r="L35" s="67"/>
    </row>
    <row r="36" spans="1:12" s="12" customFormat="1" x14ac:dyDescent="0.35">
      <c r="A36" s="33" t="s">
        <v>89</v>
      </c>
      <c r="B36" s="34"/>
      <c r="I36" s="12">
        <v>2500</v>
      </c>
      <c r="J36" s="65" t="s">
        <v>83</v>
      </c>
      <c r="K36" s="67"/>
      <c r="L36" s="67"/>
    </row>
    <row r="37" spans="1:12" s="12" customFormat="1" x14ac:dyDescent="0.35">
      <c r="A37" s="34"/>
      <c r="B37" s="34"/>
      <c r="I37" s="12">
        <v>3000</v>
      </c>
      <c r="J37" s="65" t="s">
        <v>120</v>
      </c>
      <c r="K37" s="67"/>
      <c r="L37" s="67"/>
    </row>
    <row r="38" spans="1:12" s="12" customFormat="1" x14ac:dyDescent="0.35">
      <c r="A38" s="34" t="s">
        <v>109</v>
      </c>
      <c r="B38" s="34"/>
      <c r="D38" s="12">
        <v>14670</v>
      </c>
      <c r="J38" s="67"/>
      <c r="K38" s="67"/>
      <c r="L38" s="67"/>
    </row>
    <row r="39" spans="1:12" ht="15" thickBot="1" x14ac:dyDescent="0.4">
      <c r="A39" s="33"/>
      <c r="B39" s="63">
        <f>SUM(B16:B38)</f>
        <v>32240</v>
      </c>
      <c r="D39">
        <v>17854</v>
      </c>
    </row>
    <row r="40" spans="1:12" ht="15.5" thickTop="1" thickBot="1" x14ac:dyDescent="0.4">
      <c r="A40" s="33"/>
      <c r="B40" s="36"/>
      <c r="D40">
        <f>SUM(D38:D39)</f>
        <v>32524</v>
      </c>
    </row>
    <row r="41" spans="1:12" ht="15" thickBot="1" x14ac:dyDescent="0.4">
      <c r="B41" s="61">
        <f>+B14-B39</f>
        <v>26760</v>
      </c>
      <c r="I41" s="1">
        <f>SUM(I26:I40)</f>
        <v>63361</v>
      </c>
      <c r="J41" s="65">
        <v>63000</v>
      </c>
    </row>
    <row r="42" spans="1:12" x14ac:dyDescent="0.35">
      <c r="A42" s="33"/>
      <c r="B42" s="33"/>
      <c r="J42" s="65">
        <f>+J41-I41</f>
        <v>-361</v>
      </c>
    </row>
    <row r="43" spans="1:12" x14ac:dyDescent="0.35">
      <c r="A43" s="33"/>
      <c r="B43" s="36"/>
    </row>
    <row r="44" spans="1:12" x14ac:dyDescent="0.35">
      <c r="A44" s="33"/>
      <c r="B44" s="36"/>
      <c r="C44" s="33"/>
      <c r="D44" s="33"/>
      <c r="E44" s="33"/>
      <c r="F44" s="33"/>
      <c r="G44" s="33"/>
      <c r="H44" s="33"/>
      <c r="I44" s="33"/>
      <c r="J44" s="70"/>
      <c r="K44" s="70"/>
      <c r="L44" s="70"/>
    </row>
    <row r="45" spans="1:12" x14ac:dyDescent="0.35">
      <c r="A45" s="33"/>
      <c r="B45" s="33"/>
      <c r="C45" s="33"/>
      <c r="D45" s="33"/>
      <c r="E45" s="33"/>
      <c r="F45" s="33"/>
      <c r="G45" s="33"/>
      <c r="H45" s="33"/>
      <c r="I45" s="33"/>
      <c r="J45" s="70"/>
      <c r="K45" s="70"/>
      <c r="L45" s="70"/>
    </row>
    <row r="46" spans="1:12" x14ac:dyDescent="0.35">
      <c r="A46" s="33"/>
      <c r="B46" s="33"/>
      <c r="C46" s="33"/>
      <c r="D46" s="33"/>
      <c r="E46" s="33"/>
      <c r="F46" s="33"/>
      <c r="G46" s="33"/>
      <c r="H46" s="33"/>
      <c r="I46" s="33"/>
      <c r="J46" s="70"/>
      <c r="K46" s="70"/>
      <c r="L46" s="70"/>
    </row>
    <row r="47" spans="1:12" x14ac:dyDescent="0.35">
      <c r="A47" s="33"/>
      <c r="B47" s="33"/>
      <c r="C47" s="33"/>
      <c r="D47" s="33"/>
      <c r="E47" s="33"/>
      <c r="F47" s="33"/>
      <c r="G47" s="33"/>
      <c r="H47" s="33"/>
      <c r="I47" s="33"/>
      <c r="J47" s="70"/>
      <c r="K47" s="70"/>
      <c r="L47" s="70"/>
    </row>
    <row r="48" spans="1:12" x14ac:dyDescent="0.35">
      <c r="A48" s="33"/>
      <c r="B48" s="33"/>
      <c r="C48" s="33"/>
      <c r="D48" s="33"/>
      <c r="E48" s="33"/>
      <c r="F48" s="33"/>
      <c r="G48" s="33"/>
      <c r="H48" s="33"/>
      <c r="I48" s="33"/>
      <c r="J48" s="70"/>
      <c r="K48" s="70"/>
      <c r="L48" s="70"/>
    </row>
    <row r="49" spans="1:12" x14ac:dyDescent="0.35">
      <c r="A49" s="33"/>
      <c r="B49" s="33"/>
      <c r="C49" s="33"/>
      <c r="D49" s="33"/>
      <c r="E49" s="33"/>
      <c r="F49" s="33"/>
      <c r="G49" s="33"/>
      <c r="H49" s="33"/>
      <c r="I49" s="33"/>
      <c r="J49" s="70"/>
      <c r="K49" s="70"/>
      <c r="L49" s="70"/>
    </row>
    <row r="50" spans="1:12" x14ac:dyDescent="0.35">
      <c r="A50" s="33"/>
      <c r="B50" s="33"/>
      <c r="C50" s="33"/>
      <c r="D50" s="33"/>
      <c r="E50" s="33"/>
      <c r="F50" s="33"/>
      <c r="G50" s="33"/>
      <c r="H50" s="33"/>
      <c r="I50" s="33"/>
      <c r="J50" s="70"/>
      <c r="K50" s="70"/>
      <c r="L50" s="70"/>
    </row>
    <row r="51" spans="1:12" x14ac:dyDescent="0.35">
      <c r="A51" s="33"/>
      <c r="B51" s="33"/>
      <c r="C51" s="33"/>
      <c r="D51" s="33"/>
      <c r="E51" s="33"/>
      <c r="F51" s="33"/>
      <c r="G51" s="33"/>
    </row>
    <row r="52" spans="1:12" x14ac:dyDescent="0.35">
      <c r="A52" s="33"/>
      <c r="B52" s="33"/>
      <c r="C52" s="33"/>
      <c r="D52" s="33"/>
      <c r="E52" s="33"/>
      <c r="F52" s="33"/>
      <c r="G52" s="33"/>
    </row>
    <row r="53" spans="1:12" x14ac:dyDescent="0.35">
      <c r="A53" s="33"/>
      <c r="B53" s="33"/>
      <c r="C53" s="33"/>
      <c r="D53" s="33"/>
      <c r="E53" s="33"/>
      <c r="F53" s="33"/>
      <c r="G53" s="33"/>
    </row>
    <row r="54" spans="1:12" x14ac:dyDescent="0.35">
      <c r="A54" s="33"/>
      <c r="B54" s="33"/>
      <c r="C54" s="33"/>
      <c r="D54" s="33"/>
      <c r="E54" s="33"/>
      <c r="F54" s="33"/>
      <c r="G54" s="33"/>
    </row>
    <row r="55" spans="1:12" x14ac:dyDescent="0.35">
      <c r="A55" s="33"/>
      <c r="B55" s="33"/>
      <c r="C55" s="33"/>
      <c r="D55" s="33"/>
      <c r="E55" s="33"/>
      <c r="F55" s="33"/>
      <c r="G55" s="33"/>
    </row>
    <row r="56" spans="1:12" x14ac:dyDescent="0.35">
      <c r="A56" s="33"/>
      <c r="B56" s="33"/>
      <c r="C56" s="33"/>
      <c r="D56" s="33"/>
      <c r="E56" s="33"/>
      <c r="F56" s="33"/>
      <c r="G56" s="33"/>
    </row>
    <row r="57" spans="1:12" x14ac:dyDescent="0.35">
      <c r="A57" s="33"/>
      <c r="B57" s="33"/>
      <c r="C57" s="33"/>
      <c r="D57" s="33"/>
      <c r="E57" s="33"/>
      <c r="F57" s="33"/>
      <c r="G57" s="33"/>
    </row>
    <row r="58" spans="1:12" x14ac:dyDescent="0.35">
      <c r="A58" s="33"/>
      <c r="B58" s="33"/>
      <c r="C58" s="33"/>
      <c r="D58" s="33"/>
      <c r="E58" s="33"/>
      <c r="F58" s="33"/>
      <c r="G58" s="33"/>
    </row>
    <row r="59" spans="1:12" x14ac:dyDescent="0.35">
      <c r="A59" s="33"/>
      <c r="B59" s="33"/>
      <c r="C59" s="33"/>
      <c r="D59" s="33"/>
      <c r="E59" s="33"/>
      <c r="F59" s="33"/>
      <c r="G59" s="33"/>
    </row>
    <row r="60" spans="1:12" x14ac:dyDescent="0.35">
      <c r="A60" s="33"/>
      <c r="B60" s="33"/>
      <c r="C60" s="33"/>
      <c r="D60" s="33"/>
      <c r="E60" s="33"/>
      <c r="F60" s="33"/>
      <c r="G60" s="33"/>
    </row>
    <row r="61" spans="1:12" x14ac:dyDescent="0.35">
      <c r="A61" s="33"/>
      <c r="B61" s="33"/>
      <c r="C61" s="33"/>
      <c r="D61" s="33"/>
      <c r="E61" s="33"/>
      <c r="F61" s="33"/>
      <c r="G61" s="33"/>
    </row>
    <row r="62" spans="1:12" x14ac:dyDescent="0.35">
      <c r="A62" s="33"/>
      <c r="B62" s="33"/>
      <c r="C62" s="33"/>
      <c r="D62" s="33"/>
      <c r="E62" s="33"/>
      <c r="F62" s="33"/>
      <c r="G62" s="33"/>
    </row>
    <row r="63" spans="1:12" x14ac:dyDescent="0.35">
      <c r="A63" s="33"/>
      <c r="B63" s="33"/>
      <c r="C63" s="33"/>
      <c r="D63" s="33"/>
      <c r="E63" s="33"/>
      <c r="F63" s="33"/>
      <c r="G63" s="33"/>
    </row>
    <row r="64" spans="1:12" x14ac:dyDescent="0.35">
      <c r="A64" s="33"/>
      <c r="B64" s="33"/>
      <c r="C64" s="33"/>
      <c r="D64" s="33"/>
      <c r="E64" s="33"/>
      <c r="F64" s="33"/>
      <c r="G64" s="33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64"/>
  <sheetViews>
    <sheetView workbookViewId="0">
      <selection activeCell="G32" sqref="G32"/>
    </sheetView>
  </sheetViews>
  <sheetFormatPr defaultRowHeight="14.5" x14ac:dyDescent="0.35"/>
  <cols>
    <col min="1" max="1" width="39.453125" bestFit="1" customWidth="1"/>
    <col min="2" max="2" width="7" bestFit="1" customWidth="1"/>
    <col min="3" max="3" width="35.54296875" customWidth="1"/>
    <col min="9" max="9" width="12.54296875" bestFit="1" customWidth="1"/>
    <col min="10" max="10" width="25.54296875" style="65" bestFit="1" customWidth="1"/>
    <col min="11" max="11" width="14.7265625" style="65" customWidth="1"/>
    <col min="12" max="12" width="9.1796875" style="65"/>
  </cols>
  <sheetData>
    <row r="1" spans="1:14" x14ac:dyDescent="0.35">
      <c r="A1" s="36" t="s">
        <v>34</v>
      </c>
      <c r="B1" s="36">
        <v>67700</v>
      </c>
      <c r="D1">
        <v>100</v>
      </c>
      <c r="J1" s="65">
        <v>68000</v>
      </c>
      <c r="K1" s="66"/>
    </row>
    <row r="2" spans="1:14" x14ac:dyDescent="0.35">
      <c r="A2" s="33" t="s">
        <v>47</v>
      </c>
      <c r="B2" s="35">
        <v>6900</v>
      </c>
      <c r="D2">
        <v>1700</v>
      </c>
      <c r="J2" s="65">
        <v>34000</v>
      </c>
      <c r="K2" s="68"/>
    </row>
    <row r="3" spans="1:14" x14ac:dyDescent="0.35">
      <c r="A3" s="33" t="s">
        <v>48</v>
      </c>
      <c r="B3" s="34">
        <v>5000</v>
      </c>
      <c r="D3">
        <v>6000</v>
      </c>
      <c r="J3" s="65">
        <v>6000</v>
      </c>
      <c r="K3" s="67"/>
    </row>
    <row r="4" spans="1:14" x14ac:dyDescent="0.35">
      <c r="A4" s="33" t="s">
        <v>45</v>
      </c>
      <c r="B4" s="34">
        <v>6000</v>
      </c>
      <c r="D4">
        <v>9200</v>
      </c>
      <c r="J4" s="67">
        <v>5000</v>
      </c>
      <c r="K4" s="67"/>
    </row>
    <row r="5" spans="1:14" x14ac:dyDescent="0.35">
      <c r="A5" s="33" t="s">
        <v>3</v>
      </c>
      <c r="B5" s="33">
        <v>32000</v>
      </c>
      <c r="D5">
        <v>6611</v>
      </c>
      <c r="J5" s="66">
        <v>2500</v>
      </c>
      <c r="K5" s="66"/>
    </row>
    <row r="6" spans="1:14" x14ac:dyDescent="0.35">
      <c r="A6" s="33" t="s">
        <v>106</v>
      </c>
      <c r="B6" s="33">
        <v>1100</v>
      </c>
      <c r="D6">
        <v>1200</v>
      </c>
      <c r="J6" s="65">
        <v>1700</v>
      </c>
    </row>
    <row r="7" spans="1:14" x14ac:dyDescent="0.35">
      <c r="A7" s="33"/>
      <c r="B7" s="33"/>
      <c r="D7">
        <v>1200</v>
      </c>
      <c r="J7" s="66">
        <v>10900</v>
      </c>
    </row>
    <row r="8" spans="1:14" x14ac:dyDescent="0.35">
      <c r="A8" s="33"/>
      <c r="B8" s="36">
        <f>SUM(B2:B7)</f>
        <v>51000</v>
      </c>
      <c r="D8">
        <v>2000</v>
      </c>
      <c r="J8" s="65">
        <v>4000</v>
      </c>
    </row>
    <row r="9" spans="1:14" x14ac:dyDescent="0.35">
      <c r="A9" s="33"/>
      <c r="B9" s="33">
        <f>+B1-B8</f>
        <v>16700</v>
      </c>
      <c r="D9">
        <v>3000</v>
      </c>
      <c r="J9" s="65">
        <v>2800</v>
      </c>
    </row>
    <row r="10" spans="1:14" x14ac:dyDescent="0.35">
      <c r="A10" s="33"/>
      <c r="B10" s="33"/>
      <c r="D10">
        <v>2500</v>
      </c>
      <c r="H10" s="65"/>
      <c r="J10" s="65">
        <v>1100</v>
      </c>
      <c r="N10" s="1"/>
    </row>
    <row r="11" spans="1:14" x14ac:dyDescent="0.35">
      <c r="D11">
        <v>1700</v>
      </c>
      <c r="H11" s="65"/>
      <c r="J11" s="65">
        <v>1100</v>
      </c>
    </row>
    <row r="12" spans="1:14" s="12" customFormat="1" x14ac:dyDescent="0.35">
      <c r="A12" s="34" t="s">
        <v>33</v>
      </c>
      <c r="B12" s="58">
        <v>41000</v>
      </c>
      <c r="C12" s="58"/>
      <c r="D12" s="12">
        <v>4000</v>
      </c>
      <c r="J12" s="67">
        <v>750</v>
      </c>
      <c r="K12" s="67"/>
      <c r="L12" s="67"/>
    </row>
    <row r="13" spans="1:14" s="12" customFormat="1" ht="15" thickBot="1" x14ac:dyDescent="0.4">
      <c r="A13" s="34" t="s">
        <v>82</v>
      </c>
      <c r="B13" s="34">
        <v>18000</v>
      </c>
      <c r="D13" s="12">
        <v>4000</v>
      </c>
      <c r="J13" s="67">
        <v>3000</v>
      </c>
      <c r="K13" s="67"/>
      <c r="L13" s="67"/>
    </row>
    <row r="14" spans="1:14" ht="15" thickBot="1" x14ac:dyDescent="0.4">
      <c r="A14" s="36"/>
      <c r="B14" s="59">
        <f>+B13+B12</f>
        <v>59000</v>
      </c>
    </row>
    <row r="15" spans="1:14" ht="15" thickTop="1" x14ac:dyDescent="0.35">
      <c r="A15" s="36"/>
      <c r="B15" s="36"/>
      <c r="C15" s="51"/>
    </row>
    <row r="16" spans="1:14" s="12" customFormat="1" x14ac:dyDescent="0.35">
      <c r="A16" s="34" t="s">
        <v>5</v>
      </c>
      <c r="B16" s="56">
        <v>5000</v>
      </c>
      <c r="C16" t="s">
        <v>107</v>
      </c>
      <c r="D16">
        <f ca="1">+D24-D23</f>
        <v>6789</v>
      </c>
      <c r="L16" s="67"/>
    </row>
    <row r="17" spans="1:12" s="12" customFormat="1" x14ac:dyDescent="0.35">
      <c r="A17" s="34" t="s">
        <v>8</v>
      </c>
      <c r="B17" s="56">
        <f>1400+700</f>
        <v>2100</v>
      </c>
      <c r="C17" t="s">
        <v>107</v>
      </c>
      <c r="J17" s="66">
        <f>SUM(J1)-SUM(J2:J16)</f>
        <v>-4850</v>
      </c>
      <c r="K17" s="67"/>
      <c r="L17" s="67"/>
    </row>
    <row r="18" spans="1:12" s="12" customFormat="1" x14ac:dyDescent="0.35">
      <c r="A18" s="33" t="s">
        <v>12</v>
      </c>
      <c r="B18" s="56">
        <v>2100</v>
      </c>
      <c r="C18" t="s">
        <v>107</v>
      </c>
      <c r="J18" s="67"/>
      <c r="K18" s="67"/>
      <c r="L18" s="67"/>
    </row>
    <row r="19" spans="1:12" s="12" customFormat="1" x14ac:dyDescent="0.35">
      <c r="A19" s="33" t="s">
        <v>13</v>
      </c>
      <c r="B19" s="56">
        <v>1700</v>
      </c>
      <c r="C19" t="s">
        <v>107</v>
      </c>
      <c r="J19" s="67"/>
      <c r="K19" s="67"/>
      <c r="L19" s="67"/>
    </row>
    <row r="20" spans="1:12" s="12" customFormat="1" x14ac:dyDescent="0.35">
      <c r="A20" s="34" t="s">
        <v>15</v>
      </c>
      <c r="B20" s="62">
        <v>1100</v>
      </c>
      <c r="C20" s="60"/>
      <c r="J20" s="66">
        <f>+J17+20000</f>
        <v>15150</v>
      </c>
      <c r="K20" s="66"/>
      <c r="L20" s="67"/>
    </row>
    <row r="21" spans="1:12" s="12" customFormat="1" x14ac:dyDescent="0.35">
      <c r="A21" s="34" t="s">
        <v>11</v>
      </c>
      <c r="B21" s="54">
        <v>1500</v>
      </c>
      <c r="C21" s="60"/>
      <c r="L21" s="67"/>
    </row>
    <row r="22" spans="1:12" s="12" customFormat="1" x14ac:dyDescent="0.35">
      <c r="A22" s="34" t="s">
        <v>23</v>
      </c>
      <c r="B22" s="54">
        <v>100</v>
      </c>
      <c r="C22" s="60"/>
      <c r="L22" s="67"/>
    </row>
    <row r="23" spans="1:12" s="12" customFormat="1" x14ac:dyDescent="0.35">
      <c r="A23" s="34" t="s">
        <v>83</v>
      </c>
      <c r="B23" s="54">
        <v>2500</v>
      </c>
      <c r="C23" s="60"/>
      <c r="D23" s="1">
        <f ca="1">SUM(D1:D22)</f>
        <v>43211</v>
      </c>
      <c r="L23" s="67"/>
    </row>
    <row r="24" spans="1:12" s="12" customFormat="1" x14ac:dyDescent="0.35">
      <c r="A24" s="34" t="s">
        <v>84</v>
      </c>
      <c r="B24" s="54">
        <v>6000</v>
      </c>
      <c r="C24" s="60"/>
      <c r="D24">
        <v>50000</v>
      </c>
      <c r="L24" s="67"/>
    </row>
    <row r="25" spans="1:12" s="12" customFormat="1" x14ac:dyDescent="0.35">
      <c r="A25" s="34" t="s">
        <v>111</v>
      </c>
      <c r="B25" s="54">
        <v>5000</v>
      </c>
      <c r="C25" s="60"/>
      <c r="D25"/>
      <c r="I25" t="s">
        <v>112</v>
      </c>
      <c r="L25" s="67"/>
    </row>
    <row r="26" spans="1:12" s="12" customFormat="1" x14ac:dyDescent="0.35">
      <c r="A26" s="34" t="s">
        <v>91</v>
      </c>
      <c r="B26" s="34"/>
      <c r="I26" s="12">
        <v>1079</v>
      </c>
      <c r="J26" s="65" t="s">
        <v>113</v>
      </c>
      <c r="K26" s="67"/>
      <c r="L26" s="67"/>
    </row>
    <row r="27" spans="1:12" s="12" customFormat="1" x14ac:dyDescent="0.35">
      <c r="A27" s="33" t="s">
        <v>92</v>
      </c>
      <c r="B27" s="71"/>
      <c r="I27" s="12">
        <v>500</v>
      </c>
      <c r="J27" s="65" t="s">
        <v>114</v>
      </c>
      <c r="K27" s="67"/>
      <c r="L27" s="67"/>
    </row>
    <row r="28" spans="1:12" s="64" customFormat="1" x14ac:dyDescent="0.35">
      <c r="A28" s="34" t="s">
        <v>22</v>
      </c>
      <c r="B28" s="34"/>
      <c r="D28" s="34">
        <v>3000</v>
      </c>
      <c r="I28" s="64">
        <v>6000</v>
      </c>
      <c r="J28" s="72" t="s">
        <v>123</v>
      </c>
      <c r="K28" s="69"/>
      <c r="L28" s="69"/>
    </row>
    <row r="29" spans="1:12" s="64" customFormat="1" x14ac:dyDescent="0.35">
      <c r="A29" s="34" t="s">
        <v>17</v>
      </c>
      <c r="B29" s="36">
        <v>940</v>
      </c>
      <c r="D29" s="34">
        <v>250</v>
      </c>
      <c r="G29" s="6"/>
      <c r="I29" s="64">
        <v>1021</v>
      </c>
      <c r="J29" s="72" t="s">
        <v>124</v>
      </c>
      <c r="K29" s="69"/>
      <c r="L29" s="69"/>
    </row>
    <row r="30" spans="1:12" s="64" customFormat="1" x14ac:dyDescent="0.35">
      <c r="A30" s="34" t="s">
        <v>14</v>
      </c>
      <c r="B30" s="34"/>
      <c r="D30" s="34">
        <v>500</v>
      </c>
      <c r="I30" s="64">
        <v>740</v>
      </c>
      <c r="J30" s="72" t="s">
        <v>125</v>
      </c>
      <c r="K30" s="69"/>
      <c r="L30" s="69"/>
    </row>
    <row r="31" spans="1:12" s="12" customFormat="1" x14ac:dyDescent="0.35">
      <c r="A31" s="34" t="s">
        <v>6</v>
      </c>
      <c r="B31" s="34"/>
      <c r="D31" s="34">
        <v>1000</v>
      </c>
      <c r="I31" s="64">
        <v>33900</v>
      </c>
      <c r="J31" s="72" t="s">
        <v>122</v>
      </c>
      <c r="K31" s="67"/>
      <c r="L31" s="67"/>
    </row>
    <row r="32" spans="1:12" s="12" customFormat="1" x14ac:dyDescent="0.35">
      <c r="A32" s="34" t="s">
        <v>16</v>
      </c>
      <c r="B32" s="36">
        <v>700</v>
      </c>
      <c r="D32" s="34">
        <v>700</v>
      </c>
      <c r="I32" s="64">
        <v>8121</v>
      </c>
      <c r="J32" s="72" t="s">
        <v>126</v>
      </c>
      <c r="K32" s="67"/>
      <c r="L32" s="67"/>
    </row>
    <row r="33" spans="1:12" s="12" customFormat="1" x14ac:dyDescent="0.35">
      <c r="A33" s="34" t="s">
        <v>7</v>
      </c>
      <c r="B33" s="34"/>
      <c r="D33" s="34">
        <v>1000</v>
      </c>
      <c r="K33" s="67"/>
      <c r="L33" s="67"/>
    </row>
    <row r="34" spans="1:12" s="12" customFormat="1" x14ac:dyDescent="0.35">
      <c r="A34" s="34" t="s">
        <v>10</v>
      </c>
      <c r="B34" s="34"/>
      <c r="D34" s="34">
        <v>3000</v>
      </c>
      <c r="I34" s="12">
        <f>1500-415</f>
        <v>1085</v>
      </c>
      <c r="J34" s="65" t="s">
        <v>118</v>
      </c>
      <c r="K34" s="67"/>
      <c r="L34" s="67"/>
    </row>
    <row r="35" spans="1:12" s="12" customFormat="1" x14ac:dyDescent="0.35">
      <c r="A35" s="34" t="s">
        <v>46</v>
      </c>
      <c r="B35" s="36">
        <v>3500</v>
      </c>
      <c r="C35" t="s">
        <v>110</v>
      </c>
      <c r="I35" s="12">
        <v>5000</v>
      </c>
      <c r="J35" s="65" t="s">
        <v>119</v>
      </c>
      <c r="K35" s="67"/>
      <c r="L35" s="67"/>
    </row>
    <row r="36" spans="1:12" s="12" customFormat="1" x14ac:dyDescent="0.35">
      <c r="A36" s="33" t="s">
        <v>89</v>
      </c>
      <c r="B36" s="34"/>
      <c r="I36" s="12">
        <v>2500</v>
      </c>
      <c r="J36" s="65" t="s">
        <v>83</v>
      </c>
      <c r="K36" s="67"/>
      <c r="L36" s="67"/>
    </row>
    <row r="37" spans="1:12" s="12" customFormat="1" x14ac:dyDescent="0.35">
      <c r="A37" s="34"/>
      <c r="B37" s="34"/>
      <c r="I37" s="12">
        <v>3000</v>
      </c>
      <c r="J37" s="65" t="s">
        <v>120</v>
      </c>
      <c r="K37" s="67"/>
      <c r="L37" s="67"/>
    </row>
    <row r="38" spans="1:12" s="12" customFormat="1" x14ac:dyDescent="0.35">
      <c r="A38" s="34" t="s">
        <v>109</v>
      </c>
      <c r="B38" s="34"/>
      <c r="D38" s="12">
        <v>14670</v>
      </c>
      <c r="J38" s="67"/>
      <c r="K38" s="67"/>
      <c r="L38" s="67"/>
    </row>
    <row r="39" spans="1:12" ht="15" thickBot="1" x14ac:dyDescent="0.4">
      <c r="A39" s="33"/>
      <c r="B39" s="63">
        <f>SUM(B16:B38)</f>
        <v>32240</v>
      </c>
      <c r="D39">
        <v>17854</v>
      </c>
    </row>
    <row r="40" spans="1:12" ht="15.5" thickTop="1" thickBot="1" x14ac:dyDescent="0.4">
      <c r="A40" s="33"/>
      <c r="B40" s="36"/>
      <c r="D40">
        <f>SUM(D38:D39)</f>
        <v>32524</v>
      </c>
    </row>
    <row r="41" spans="1:12" ht="15" thickBot="1" x14ac:dyDescent="0.4">
      <c r="B41" s="61">
        <f>+B14-B39</f>
        <v>26760</v>
      </c>
      <c r="I41" s="1">
        <f>SUM(I26:I40)</f>
        <v>62946</v>
      </c>
      <c r="J41" s="65">
        <v>63000</v>
      </c>
    </row>
    <row r="42" spans="1:12" x14ac:dyDescent="0.35">
      <c r="A42" s="33"/>
      <c r="B42" s="33"/>
      <c r="J42" s="65">
        <f>+J41-I41</f>
        <v>54</v>
      </c>
    </row>
    <row r="43" spans="1:12" x14ac:dyDescent="0.35">
      <c r="A43" s="33"/>
      <c r="B43" s="36"/>
    </row>
    <row r="44" spans="1:12" x14ac:dyDescent="0.35">
      <c r="A44" s="33"/>
      <c r="B44" s="36"/>
      <c r="C44" s="33"/>
      <c r="D44" s="33"/>
      <c r="E44" s="33"/>
      <c r="F44" s="33"/>
      <c r="G44" s="33"/>
      <c r="H44" s="33"/>
      <c r="I44" s="33"/>
      <c r="J44" s="70"/>
      <c r="K44" s="70"/>
      <c r="L44" s="70"/>
    </row>
    <row r="45" spans="1:12" x14ac:dyDescent="0.35">
      <c r="A45" s="33"/>
      <c r="B45" s="33"/>
      <c r="C45" s="33"/>
      <c r="D45" s="33"/>
      <c r="E45" s="33"/>
      <c r="F45" s="33"/>
      <c r="G45" s="33"/>
      <c r="H45" s="33"/>
      <c r="I45" s="33"/>
      <c r="J45" s="70"/>
      <c r="K45" s="70"/>
      <c r="L45" s="70"/>
    </row>
    <row r="46" spans="1:12" x14ac:dyDescent="0.35">
      <c r="A46" s="33"/>
      <c r="B46" s="33"/>
      <c r="C46" s="33"/>
      <c r="D46" s="33"/>
      <c r="E46" s="33"/>
      <c r="F46" s="33"/>
      <c r="G46" s="33"/>
      <c r="H46" s="33"/>
      <c r="I46" s="73"/>
      <c r="J46" s="70"/>
      <c r="K46" s="70"/>
      <c r="L46" s="70"/>
    </row>
    <row r="47" spans="1:12" x14ac:dyDescent="0.35">
      <c r="A47" s="33"/>
      <c r="B47" s="33"/>
      <c r="C47" s="33"/>
      <c r="D47" s="33"/>
      <c r="E47" s="33"/>
      <c r="F47" s="33"/>
      <c r="G47" s="33"/>
      <c r="H47" s="33"/>
      <c r="I47" s="73"/>
      <c r="J47" s="70"/>
      <c r="K47" s="70"/>
      <c r="L47" s="70"/>
    </row>
    <row r="48" spans="1:12" x14ac:dyDescent="0.35">
      <c r="A48" s="33"/>
      <c r="B48" s="33"/>
      <c r="C48" s="33"/>
      <c r="D48" s="33"/>
      <c r="E48" s="33"/>
      <c r="F48" s="33"/>
      <c r="G48" s="33"/>
      <c r="H48" s="33"/>
      <c r="I48" s="73"/>
      <c r="J48" s="70"/>
      <c r="K48" s="70"/>
      <c r="L48" s="70"/>
    </row>
    <row r="49" spans="1:12" x14ac:dyDescent="0.35">
      <c r="A49" s="33"/>
      <c r="B49" s="33"/>
      <c r="C49" s="33"/>
      <c r="D49" s="33"/>
      <c r="E49" s="33"/>
      <c r="F49" s="33"/>
      <c r="G49" s="33"/>
      <c r="H49" s="33"/>
      <c r="I49" s="36"/>
      <c r="J49" s="70"/>
      <c r="K49" s="70"/>
      <c r="L49" s="70"/>
    </row>
    <row r="50" spans="1:12" x14ac:dyDescent="0.35">
      <c r="A50" s="33"/>
      <c r="B50" s="33"/>
      <c r="C50" s="33"/>
      <c r="D50" s="33"/>
      <c r="E50" s="33"/>
      <c r="F50" s="33"/>
      <c r="G50" s="33"/>
      <c r="H50" s="33"/>
      <c r="I50" s="33"/>
      <c r="J50" s="70"/>
      <c r="K50" s="70"/>
      <c r="L50" s="70"/>
    </row>
    <row r="51" spans="1:12" x14ac:dyDescent="0.35">
      <c r="A51" s="33"/>
      <c r="B51" s="33"/>
      <c r="C51" s="33"/>
      <c r="D51" s="33"/>
      <c r="E51" s="33"/>
      <c r="F51" s="33"/>
      <c r="G51" s="33"/>
    </row>
    <row r="52" spans="1:12" x14ac:dyDescent="0.35">
      <c r="A52" s="33"/>
      <c r="B52" s="33"/>
      <c r="C52" s="33"/>
      <c r="D52" s="33"/>
      <c r="E52" s="33"/>
      <c r="F52" s="33"/>
      <c r="G52" s="33"/>
    </row>
    <row r="53" spans="1:12" x14ac:dyDescent="0.35">
      <c r="A53" s="33"/>
      <c r="B53" s="33"/>
      <c r="C53" s="33"/>
      <c r="D53" s="33"/>
      <c r="E53" s="33"/>
      <c r="F53" s="33"/>
      <c r="G53" s="33"/>
    </row>
    <row r="54" spans="1:12" x14ac:dyDescent="0.35">
      <c r="A54" s="33"/>
      <c r="B54" s="33"/>
      <c r="C54" s="33"/>
      <c r="D54" s="33"/>
      <c r="E54" s="33"/>
      <c r="F54" s="33"/>
      <c r="G54" s="33"/>
    </row>
    <row r="55" spans="1:12" x14ac:dyDescent="0.35">
      <c r="A55" s="33"/>
      <c r="B55" s="33"/>
      <c r="C55" s="33"/>
      <c r="D55" s="33"/>
      <c r="E55" s="33"/>
      <c r="F55" s="33"/>
      <c r="G55" s="33"/>
    </row>
    <row r="56" spans="1:12" x14ac:dyDescent="0.35">
      <c r="A56" s="33"/>
      <c r="B56" s="33"/>
      <c r="C56" s="33"/>
      <c r="D56" s="33"/>
      <c r="E56" s="33"/>
      <c r="F56" s="33"/>
      <c r="G56" s="33"/>
    </row>
    <row r="57" spans="1:12" x14ac:dyDescent="0.35">
      <c r="A57" s="33"/>
      <c r="B57" s="33"/>
      <c r="C57" s="33"/>
      <c r="D57" s="33"/>
      <c r="E57" s="33"/>
      <c r="F57" s="33"/>
      <c r="G57" s="33"/>
    </row>
    <row r="58" spans="1:12" x14ac:dyDescent="0.35">
      <c r="A58" s="33"/>
      <c r="B58" s="33"/>
      <c r="C58" s="33"/>
      <c r="D58" s="33"/>
      <c r="E58" s="33"/>
      <c r="F58" s="33"/>
      <c r="G58" s="33"/>
    </row>
    <row r="59" spans="1:12" x14ac:dyDescent="0.35">
      <c r="A59" s="33"/>
      <c r="B59" s="33"/>
      <c r="C59" s="33"/>
      <c r="D59" s="33"/>
      <c r="E59" s="33"/>
      <c r="F59" s="33"/>
      <c r="G59" s="33"/>
    </row>
    <row r="60" spans="1:12" x14ac:dyDescent="0.35">
      <c r="A60" s="33"/>
      <c r="B60" s="33"/>
      <c r="C60" s="33"/>
      <c r="D60" s="33"/>
      <c r="E60" s="33"/>
      <c r="F60" s="33"/>
      <c r="G60" s="33"/>
    </row>
    <row r="61" spans="1:12" x14ac:dyDescent="0.35">
      <c r="A61" s="33"/>
      <c r="B61" s="33"/>
      <c r="C61" s="33"/>
      <c r="D61" s="33"/>
      <c r="E61" s="33"/>
      <c r="F61" s="33"/>
      <c r="G61" s="33"/>
    </row>
    <row r="62" spans="1:12" x14ac:dyDescent="0.35">
      <c r="A62" s="33"/>
      <c r="B62" s="33"/>
      <c r="C62" s="33"/>
      <c r="D62" s="33"/>
      <c r="E62" s="33"/>
      <c r="F62" s="33"/>
      <c r="G62" s="33"/>
    </row>
    <row r="63" spans="1:12" x14ac:dyDescent="0.35">
      <c r="A63" s="33"/>
      <c r="B63" s="33"/>
      <c r="C63" s="33"/>
      <c r="D63" s="33"/>
      <c r="E63" s="33"/>
      <c r="F63" s="33"/>
      <c r="G63" s="33"/>
    </row>
    <row r="64" spans="1:12" x14ac:dyDescent="0.35">
      <c r="A64" s="33"/>
      <c r="B64" s="33"/>
      <c r="C64" s="33"/>
      <c r="D64" s="33"/>
      <c r="E64" s="33"/>
      <c r="F64" s="33"/>
      <c r="G64" s="33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64"/>
  <sheetViews>
    <sheetView topLeftCell="A22" workbookViewId="0">
      <selection activeCell="A16" sqref="A16:B39"/>
    </sheetView>
  </sheetViews>
  <sheetFormatPr defaultRowHeight="14.5" x14ac:dyDescent="0.35"/>
  <cols>
    <col min="1" max="1" width="39.453125" bestFit="1" customWidth="1"/>
    <col min="2" max="2" width="7" bestFit="1" customWidth="1"/>
    <col min="3" max="3" width="35.54296875" customWidth="1"/>
    <col min="9" max="9" width="12.54296875" bestFit="1" customWidth="1"/>
    <col min="10" max="10" width="25.54296875" style="65" bestFit="1" customWidth="1"/>
    <col min="11" max="11" width="14.7265625" style="65" customWidth="1"/>
    <col min="12" max="12" width="9.1796875" style="65"/>
  </cols>
  <sheetData>
    <row r="1" spans="1:14" x14ac:dyDescent="0.35">
      <c r="A1" s="36" t="s">
        <v>34</v>
      </c>
      <c r="B1" s="36">
        <v>67700</v>
      </c>
      <c r="D1">
        <v>100</v>
      </c>
      <c r="G1" s="65">
        <v>68000</v>
      </c>
      <c r="K1" s="68">
        <v>50000</v>
      </c>
    </row>
    <row r="2" spans="1:14" x14ac:dyDescent="0.35">
      <c r="A2" s="33" t="s">
        <v>47</v>
      </c>
      <c r="B2" s="35">
        <v>6900</v>
      </c>
      <c r="D2">
        <v>1700</v>
      </c>
      <c r="G2" s="65">
        <v>34000</v>
      </c>
      <c r="K2" s="67">
        <v>18000</v>
      </c>
    </row>
    <row r="3" spans="1:14" x14ac:dyDescent="0.35">
      <c r="A3" s="33" t="s">
        <v>48</v>
      </c>
      <c r="B3" s="34">
        <v>5000</v>
      </c>
      <c r="D3">
        <v>6000</v>
      </c>
      <c r="G3" s="65">
        <v>6000</v>
      </c>
      <c r="K3" s="74">
        <f>SUM(K1:K2)</f>
        <v>68000</v>
      </c>
    </row>
    <row r="4" spans="1:14" x14ac:dyDescent="0.35">
      <c r="A4" s="33" t="s">
        <v>45</v>
      </c>
      <c r="B4" s="34">
        <v>6000</v>
      </c>
      <c r="D4">
        <v>9200</v>
      </c>
      <c r="G4" s="67">
        <v>5000</v>
      </c>
      <c r="K4" s="67"/>
    </row>
    <row r="5" spans="1:14" x14ac:dyDescent="0.35">
      <c r="A5" s="33" t="s">
        <v>3</v>
      </c>
      <c r="B5" s="33">
        <v>32000</v>
      </c>
      <c r="D5">
        <v>6611</v>
      </c>
      <c r="G5" s="66">
        <v>2500</v>
      </c>
      <c r="J5" s="65" t="s">
        <v>115</v>
      </c>
      <c r="K5" s="67">
        <v>6000</v>
      </c>
    </row>
    <row r="6" spans="1:14" x14ac:dyDescent="0.35">
      <c r="A6" s="33"/>
      <c r="B6" s="33"/>
      <c r="D6">
        <v>1200</v>
      </c>
      <c r="G6" s="65">
        <v>1700</v>
      </c>
      <c r="J6" s="65" t="s">
        <v>129</v>
      </c>
      <c r="K6" s="67">
        <v>2500</v>
      </c>
    </row>
    <row r="7" spans="1:14" x14ac:dyDescent="0.35">
      <c r="A7" s="33"/>
      <c r="B7" s="33"/>
      <c r="D7">
        <v>1200</v>
      </c>
      <c r="G7" s="66">
        <v>10900</v>
      </c>
      <c r="J7" s="65" t="s">
        <v>130</v>
      </c>
      <c r="K7" s="67">
        <v>5000</v>
      </c>
    </row>
    <row r="8" spans="1:14" x14ac:dyDescent="0.35">
      <c r="A8" s="33"/>
      <c r="B8" s="36">
        <f>SUM(B2:B7)</f>
        <v>49900</v>
      </c>
      <c r="D8">
        <v>2000</v>
      </c>
      <c r="G8" s="65">
        <v>4000</v>
      </c>
      <c r="J8" s="65" t="s">
        <v>117</v>
      </c>
      <c r="K8" s="67">
        <v>1400</v>
      </c>
    </row>
    <row r="9" spans="1:14" x14ac:dyDescent="0.35">
      <c r="A9" s="33"/>
      <c r="B9" s="33">
        <f>+B1-B8</f>
        <v>17800</v>
      </c>
      <c r="D9">
        <v>3000</v>
      </c>
      <c r="G9" s="65">
        <v>2800</v>
      </c>
      <c r="J9" s="65" t="s">
        <v>16</v>
      </c>
      <c r="K9" s="67">
        <v>700</v>
      </c>
    </row>
    <row r="10" spans="1:14" x14ac:dyDescent="0.35">
      <c r="A10" s="33"/>
      <c r="B10" s="33"/>
      <c r="D10">
        <v>2500</v>
      </c>
      <c r="G10" s="65">
        <v>1100</v>
      </c>
      <c r="H10" s="65"/>
      <c r="J10" s="65" t="s">
        <v>131</v>
      </c>
      <c r="K10" s="67">
        <v>300</v>
      </c>
      <c r="N10" s="1"/>
    </row>
    <row r="11" spans="1:14" x14ac:dyDescent="0.35">
      <c r="D11">
        <v>1700</v>
      </c>
      <c r="G11" s="65">
        <v>1100</v>
      </c>
      <c r="H11" s="65"/>
      <c r="J11" s="65" t="s">
        <v>132</v>
      </c>
      <c r="K11" s="67">
        <v>1700</v>
      </c>
    </row>
    <row r="12" spans="1:14" s="12" customFormat="1" x14ac:dyDescent="0.35">
      <c r="A12" s="34" t="s">
        <v>33</v>
      </c>
      <c r="B12" s="58">
        <v>50000</v>
      </c>
      <c r="C12" s="58"/>
      <c r="D12" s="12">
        <v>4000</v>
      </c>
      <c r="G12" s="67">
        <v>750</v>
      </c>
      <c r="J12" s="65" t="s">
        <v>133</v>
      </c>
      <c r="K12" s="67">
        <f>10900-1700</f>
        <v>9200</v>
      </c>
      <c r="L12" s="67"/>
    </row>
    <row r="13" spans="1:14" s="12" customFormat="1" ht="15" thickBot="1" x14ac:dyDescent="0.4">
      <c r="A13" s="34" t="s">
        <v>82</v>
      </c>
      <c r="B13" s="34">
        <f>+B9</f>
        <v>17800</v>
      </c>
      <c r="D13" s="12">
        <v>4000</v>
      </c>
      <c r="G13" s="67">
        <v>3000</v>
      </c>
      <c r="J13" s="65" t="s">
        <v>134</v>
      </c>
      <c r="K13" s="67">
        <v>4000</v>
      </c>
      <c r="L13" s="67"/>
    </row>
    <row r="14" spans="1:14" ht="15" thickBot="1" x14ac:dyDescent="0.4">
      <c r="A14" s="36"/>
      <c r="B14" s="59">
        <f>+B13+B12</f>
        <v>67800</v>
      </c>
      <c r="J14" s="65" t="s">
        <v>134</v>
      </c>
      <c r="K14" s="67">
        <v>3300</v>
      </c>
    </row>
    <row r="15" spans="1:14" ht="15" thickTop="1" x14ac:dyDescent="0.35">
      <c r="A15" s="36"/>
      <c r="B15" s="36"/>
      <c r="C15" s="51"/>
      <c r="J15" s="65" t="s">
        <v>11</v>
      </c>
      <c r="K15" s="67">
        <v>1500</v>
      </c>
    </row>
    <row r="16" spans="1:14" s="12" customFormat="1" x14ac:dyDescent="0.35">
      <c r="A16" s="34" t="s">
        <v>5</v>
      </c>
      <c r="B16" s="56">
        <v>5000</v>
      </c>
      <c r="C16"/>
      <c r="D16">
        <f ca="1">+D24-D23</f>
        <v>6789</v>
      </c>
      <c r="J16" s="65" t="s">
        <v>135</v>
      </c>
      <c r="K16" s="67">
        <v>100</v>
      </c>
      <c r="L16" s="67"/>
    </row>
    <row r="17" spans="1:12" s="12" customFormat="1" x14ac:dyDescent="0.35">
      <c r="A17" s="34" t="s">
        <v>8</v>
      </c>
      <c r="B17" s="56">
        <f>1400+700</f>
        <v>2100</v>
      </c>
      <c r="C17"/>
      <c r="I17" s="66">
        <f>SUM(G1)-SUM(J2:J16)</f>
        <v>68000</v>
      </c>
      <c r="J17" s="65" t="s">
        <v>14</v>
      </c>
      <c r="K17" s="67">
        <v>500</v>
      </c>
      <c r="L17" s="67"/>
    </row>
    <row r="18" spans="1:12" s="12" customFormat="1" x14ac:dyDescent="0.35">
      <c r="A18" s="33" t="s">
        <v>12</v>
      </c>
      <c r="B18" s="56">
        <v>2100</v>
      </c>
      <c r="C18"/>
      <c r="I18" s="67"/>
      <c r="J18" s="65" t="s">
        <v>7</v>
      </c>
      <c r="K18" s="67">
        <v>500</v>
      </c>
      <c r="L18" s="67"/>
    </row>
    <row r="19" spans="1:12" s="12" customFormat="1" x14ac:dyDescent="0.35">
      <c r="A19" s="33" t="s">
        <v>13</v>
      </c>
      <c r="B19" s="54">
        <v>1700</v>
      </c>
      <c r="C19"/>
      <c r="I19" s="67"/>
      <c r="J19" s="65" t="s">
        <v>136</v>
      </c>
      <c r="K19" s="67">
        <v>5000</v>
      </c>
      <c r="L19" s="67"/>
    </row>
    <row r="20" spans="1:12" s="12" customFormat="1" x14ac:dyDescent="0.35">
      <c r="A20" s="34" t="s">
        <v>15</v>
      </c>
      <c r="B20" s="54">
        <v>1100</v>
      </c>
      <c r="C20" s="60"/>
      <c r="I20" s="66">
        <f>+I17+20000</f>
        <v>88000</v>
      </c>
      <c r="K20" s="67"/>
      <c r="L20" s="67"/>
    </row>
    <row r="21" spans="1:12" s="12" customFormat="1" x14ac:dyDescent="0.35">
      <c r="A21" s="34" t="s">
        <v>11</v>
      </c>
      <c r="B21" s="54">
        <v>1500</v>
      </c>
      <c r="C21" s="60"/>
      <c r="L21" s="67"/>
    </row>
    <row r="22" spans="1:12" s="12" customFormat="1" x14ac:dyDescent="0.35">
      <c r="A22" s="34" t="s">
        <v>23</v>
      </c>
      <c r="B22" s="54">
        <v>100</v>
      </c>
      <c r="C22" s="60"/>
      <c r="L22" s="67"/>
    </row>
    <row r="23" spans="1:12" s="12" customFormat="1" x14ac:dyDescent="0.35">
      <c r="A23" s="34" t="s">
        <v>83</v>
      </c>
      <c r="B23" s="54">
        <v>2500</v>
      </c>
      <c r="C23" s="60"/>
      <c r="D23" s="1">
        <f ca="1">SUM(D1:D22)</f>
        <v>43211</v>
      </c>
      <c r="L23" s="67"/>
    </row>
    <row r="24" spans="1:12" s="12" customFormat="1" x14ac:dyDescent="0.35">
      <c r="A24" s="34" t="s">
        <v>84</v>
      </c>
      <c r="B24" s="54">
        <v>6000</v>
      </c>
      <c r="C24" s="60"/>
      <c r="D24">
        <v>50000</v>
      </c>
      <c r="L24" s="67"/>
    </row>
    <row r="25" spans="1:12" s="12" customFormat="1" x14ac:dyDescent="0.35">
      <c r="A25" s="34" t="s">
        <v>111</v>
      </c>
      <c r="B25" s="54">
        <v>5000</v>
      </c>
      <c r="C25" s="60"/>
      <c r="D25"/>
      <c r="H25" t="s">
        <v>112</v>
      </c>
      <c r="L25" s="67"/>
    </row>
    <row r="26" spans="1:12" s="12" customFormat="1" x14ac:dyDescent="0.35">
      <c r="A26" s="34" t="s">
        <v>91</v>
      </c>
      <c r="B26" s="34"/>
      <c r="H26" s="12">
        <v>1079</v>
      </c>
      <c r="I26" s="65" t="s">
        <v>113</v>
      </c>
      <c r="K26" s="67"/>
      <c r="L26" s="67"/>
    </row>
    <row r="27" spans="1:12" s="12" customFormat="1" x14ac:dyDescent="0.35">
      <c r="A27" s="33" t="s">
        <v>92</v>
      </c>
      <c r="B27" s="71">
        <v>25000</v>
      </c>
      <c r="H27" s="12">
        <v>500</v>
      </c>
      <c r="I27" s="65" t="s">
        <v>114</v>
      </c>
      <c r="K27" s="67"/>
      <c r="L27" s="67"/>
    </row>
    <row r="28" spans="1:12" s="64" customFormat="1" x14ac:dyDescent="0.35">
      <c r="A28" s="34" t="s">
        <v>22</v>
      </c>
      <c r="B28" s="34"/>
      <c r="D28" s="34">
        <v>3000</v>
      </c>
      <c r="H28" s="64">
        <v>6000</v>
      </c>
      <c r="I28" s="72" t="s">
        <v>123</v>
      </c>
      <c r="K28" s="69"/>
      <c r="L28" s="69"/>
    </row>
    <row r="29" spans="1:12" s="64" customFormat="1" x14ac:dyDescent="0.35">
      <c r="A29" s="34" t="s">
        <v>17</v>
      </c>
      <c r="B29" s="36">
        <v>300</v>
      </c>
      <c r="D29" s="34">
        <v>250</v>
      </c>
      <c r="G29" s="6"/>
      <c r="H29" s="64">
        <v>1021</v>
      </c>
      <c r="I29" s="72" t="s">
        <v>124</v>
      </c>
      <c r="K29" s="69"/>
      <c r="L29" s="69"/>
    </row>
    <row r="30" spans="1:12" s="64" customFormat="1" x14ac:dyDescent="0.35">
      <c r="A30" s="34" t="s">
        <v>14</v>
      </c>
      <c r="B30" s="34">
        <v>500</v>
      </c>
      <c r="D30" s="34">
        <v>500</v>
      </c>
      <c r="H30" s="64">
        <v>740</v>
      </c>
      <c r="I30" s="72" t="s">
        <v>125</v>
      </c>
      <c r="K30" s="69"/>
      <c r="L30" s="69"/>
    </row>
    <row r="31" spans="1:12" s="12" customFormat="1" x14ac:dyDescent="0.35">
      <c r="A31" s="34" t="s">
        <v>6</v>
      </c>
      <c r="B31" s="34"/>
      <c r="D31" s="34">
        <v>1000</v>
      </c>
      <c r="H31" s="64">
        <v>33900</v>
      </c>
      <c r="I31" s="72" t="s">
        <v>122</v>
      </c>
      <c r="K31" s="67"/>
      <c r="L31" s="67"/>
    </row>
    <row r="32" spans="1:12" s="12" customFormat="1" x14ac:dyDescent="0.35">
      <c r="A32" s="34" t="s">
        <v>16</v>
      </c>
      <c r="B32" s="36"/>
      <c r="D32" s="34">
        <v>700</v>
      </c>
      <c r="H32" s="64">
        <v>8121</v>
      </c>
      <c r="I32" s="72" t="s">
        <v>126</v>
      </c>
      <c r="K32" s="75">
        <f>SUM(K3)-SUM(K4:K31)</f>
        <v>26300</v>
      </c>
      <c r="L32" s="67"/>
    </row>
    <row r="33" spans="1:12" s="12" customFormat="1" x14ac:dyDescent="0.35">
      <c r="A33" s="34" t="s">
        <v>7</v>
      </c>
      <c r="B33" s="34">
        <v>500</v>
      </c>
      <c r="D33" s="34">
        <v>1000</v>
      </c>
      <c r="K33" s="67"/>
      <c r="L33" s="67"/>
    </row>
    <row r="34" spans="1:12" s="12" customFormat="1" x14ac:dyDescent="0.35">
      <c r="A34" s="34" t="s">
        <v>10</v>
      </c>
      <c r="B34" s="34"/>
      <c r="D34" s="34">
        <v>3000</v>
      </c>
      <c r="H34" s="12">
        <f>1500-415</f>
        <v>1085</v>
      </c>
      <c r="I34" s="65" t="s">
        <v>118</v>
      </c>
      <c r="K34" s="67"/>
      <c r="L34" s="67"/>
    </row>
    <row r="35" spans="1:12" s="12" customFormat="1" x14ac:dyDescent="0.35">
      <c r="A35" s="34" t="s">
        <v>46</v>
      </c>
      <c r="B35" s="36">
        <f>700+700</f>
        <v>1400</v>
      </c>
      <c r="C35"/>
      <c r="H35" s="12">
        <v>5000</v>
      </c>
      <c r="I35" s="65" t="s">
        <v>119</v>
      </c>
      <c r="K35" s="67"/>
      <c r="L35" s="67"/>
    </row>
    <row r="36" spans="1:12" s="12" customFormat="1" x14ac:dyDescent="0.35">
      <c r="A36" s="34" t="s">
        <v>127</v>
      </c>
      <c r="B36" s="34">
        <v>4000</v>
      </c>
      <c r="H36" s="12">
        <v>2500</v>
      </c>
      <c r="I36" s="65" t="s">
        <v>83</v>
      </c>
      <c r="K36" s="67"/>
      <c r="L36" s="67"/>
    </row>
    <row r="37" spans="1:12" s="12" customFormat="1" x14ac:dyDescent="0.35">
      <c r="A37" s="34" t="s">
        <v>128</v>
      </c>
      <c r="B37" s="34">
        <v>1500</v>
      </c>
      <c r="H37" s="12">
        <v>3000</v>
      </c>
      <c r="I37" s="65" t="s">
        <v>120</v>
      </c>
      <c r="K37" s="67"/>
      <c r="L37" s="67"/>
    </row>
    <row r="38" spans="1:12" s="12" customFormat="1" x14ac:dyDescent="0.35">
      <c r="A38" s="34" t="s">
        <v>109</v>
      </c>
      <c r="B38" s="34"/>
      <c r="D38" s="12">
        <v>14670</v>
      </c>
      <c r="I38" s="67"/>
      <c r="K38" s="67"/>
      <c r="L38" s="67"/>
    </row>
    <row r="39" spans="1:12" ht="15" thickBot="1" x14ac:dyDescent="0.4">
      <c r="A39" s="33"/>
      <c r="B39" s="63">
        <f>SUM(B16:B38)</f>
        <v>60300</v>
      </c>
      <c r="D39">
        <v>17854</v>
      </c>
      <c r="I39" s="65"/>
    </row>
    <row r="40" spans="1:12" ht="15.5" thickTop="1" thickBot="1" x14ac:dyDescent="0.4">
      <c r="A40" s="33"/>
      <c r="B40" s="36"/>
      <c r="D40">
        <f>SUM(D38:D39)</f>
        <v>32524</v>
      </c>
      <c r="I40" s="65"/>
    </row>
    <row r="41" spans="1:12" ht="15" thickBot="1" x14ac:dyDescent="0.4">
      <c r="B41" s="61">
        <f>+B14-B39</f>
        <v>7500</v>
      </c>
      <c r="I41" s="1">
        <f>SUM(H26:H40)</f>
        <v>62946</v>
      </c>
      <c r="J41" s="65">
        <v>63000</v>
      </c>
    </row>
    <row r="42" spans="1:12" x14ac:dyDescent="0.35">
      <c r="A42" s="33"/>
      <c r="B42" s="33"/>
      <c r="J42" s="65">
        <f>+J41-I41</f>
        <v>54</v>
      </c>
    </row>
    <row r="43" spans="1:12" x14ac:dyDescent="0.35">
      <c r="A43" s="33"/>
      <c r="B43" s="36"/>
    </row>
    <row r="44" spans="1:12" x14ac:dyDescent="0.35">
      <c r="A44" s="33"/>
      <c r="B44" s="36"/>
      <c r="C44" s="33"/>
      <c r="D44" s="33"/>
      <c r="E44" s="33"/>
      <c r="F44" s="33"/>
      <c r="G44" s="33"/>
      <c r="H44" s="33"/>
      <c r="I44" s="33"/>
      <c r="J44" s="70"/>
      <c r="K44" s="70"/>
      <c r="L44" s="70"/>
    </row>
    <row r="45" spans="1:12" x14ac:dyDescent="0.35">
      <c r="A45" s="33"/>
      <c r="B45" s="33"/>
      <c r="C45" s="33"/>
      <c r="D45" s="33"/>
      <c r="E45" s="33"/>
      <c r="F45" s="33"/>
      <c r="G45" s="33"/>
      <c r="H45" s="33"/>
      <c r="I45" s="33"/>
      <c r="J45" s="70"/>
      <c r="K45" s="70"/>
      <c r="L45" s="70"/>
    </row>
    <row r="46" spans="1:12" x14ac:dyDescent="0.35">
      <c r="A46" s="33"/>
      <c r="B46" s="33"/>
      <c r="C46" s="33"/>
      <c r="D46" s="33"/>
      <c r="E46" s="33"/>
      <c r="F46" s="33"/>
      <c r="G46" s="33"/>
      <c r="H46" s="33"/>
      <c r="I46" s="73"/>
      <c r="J46" s="70"/>
      <c r="K46" s="70"/>
      <c r="L46" s="70"/>
    </row>
    <row r="47" spans="1:12" x14ac:dyDescent="0.35">
      <c r="A47" s="33"/>
      <c r="B47" s="33"/>
      <c r="C47" s="33"/>
      <c r="D47" s="33"/>
      <c r="E47" s="33"/>
      <c r="F47" s="33"/>
      <c r="G47" s="33"/>
      <c r="H47" s="33"/>
      <c r="I47" s="73"/>
      <c r="J47" s="70"/>
      <c r="K47" s="70"/>
      <c r="L47" s="70"/>
    </row>
    <row r="48" spans="1:12" x14ac:dyDescent="0.35">
      <c r="A48" s="33"/>
      <c r="B48" s="33"/>
      <c r="C48" s="33"/>
      <c r="D48" s="33"/>
      <c r="E48" s="33"/>
      <c r="F48" s="33"/>
      <c r="G48" s="33"/>
      <c r="H48" s="33"/>
      <c r="I48" s="73"/>
      <c r="J48" s="70"/>
      <c r="K48" s="70"/>
      <c r="L48" s="70"/>
    </row>
    <row r="49" spans="1:12" x14ac:dyDescent="0.35">
      <c r="A49" s="33"/>
      <c r="B49" s="33"/>
      <c r="C49" s="33"/>
      <c r="D49" s="33"/>
      <c r="E49" s="33"/>
      <c r="F49" s="33"/>
      <c r="G49" s="33"/>
      <c r="H49" s="33"/>
      <c r="I49" s="36"/>
      <c r="J49" s="70"/>
      <c r="K49" s="70"/>
      <c r="L49" s="70"/>
    </row>
    <row r="50" spans="1:12" x14ac:dyDescent="0.35">
      <c r="A50" s="33"/>
      <c r="B50" s="33"/>
      <c r="C50" s="33"/>
      <c r="D50" s="33"/>
      <c r="E50" s="33"/>
      <c r="F50" s="33"/>
      <c r="G50" s="33"/>
      <c r="H50" s="33"/>
      <c r="I50" s="33"/>
      <c r="J50" s="70"/>
      <c r="K50" s="70"/>
      <c r="L50" s="70"/>
    </row>
    <row r="51" spans="1:12" x14ac:dyDescent="0.35">
      <c r="A51" s="33"/>
      <c r="B51" s="33"/>
      <c r="C51" s="33"/>
      <c r="D51" s="33"/>
      <c r="E51" s="33"/>
      <c r="F51" s="33"/>
      <c r="G51" s="33"/>
    </row>
    <row r="52" spans="1:12" x14ac:dyDescent="0.35">
      <c r="A52" s="33"/>
      <c r="B52" s="33"/>
      <c r="C52" s="33"/>
      <c r="D52" s="33"/>
      <c r="E52" s="33"/>
      <c r="F52" s="33"/>
      <c r="G52" s="33"/>
    </row>
    <row r="53" spans="1:12" x14ac:dyDescent="0.35">
      <c r="A53" s="33"/>
      <c r="B53" s="33"/>
      <c r="C53" s="33"/>
      <c r="D53" s="33"/>
      <c r="E53" s="33"/>
      <c r="F53" s="33"/>
      <c r="G53" s="33"/>
    </row>
    <row r="54" spans="1:12" x14ac:dyDescent="0.35">
      <c r="A54" s="33"/>
      <c r="B54" s="33"/>
      <c r="C54" s="33"/>
      <c r="D54" s="33"/>
      <c r="E54" s="33"/>
      <c r="F54" s="33"/>
      <c r="G54" s="33"/>
    </row>
    <row r="55" spans="1:12" x14ac:dyDescent="0.35">
      <c r="A55" s="33"/>
      <c r="B55" s="33"/>
      <c r="C55" s="33"/>
      <c r="D55" s="33"/>
      <c r="E55" s="33"/>
      <c r="F55" s="33"/>
      <c r="G55" s="33"/>
    </row>
    <row r="56" spans="1:12" x14ac:dyDescent="0.35">
      <c r="A56" s="33"/>
      <c r="B56" s="33"/>
      <c r="C56" s="33"/>
      <c r="D56" s="33"/>
      <c r="E56" s="33"/>
      <c r="F56" s="33"/>
      <c r="G56" s="33"/>
    </row>
    <row r="57" spans="1:12" x14ac:dyDescent="0.35">
      <c r="A57" s="33"/>
      <c r="B57" s="33"/>
      <c r="C57" s="33"/>
      <c r="D57" s="33"/>
      <c r="E57" s="33"/>
      <c r="F57" s="33"/>
      <c r="G57" s="33"/>
    </row>
    <row r="58" spans="1:12" x14ac:dyDescent="0.35">
      <c r="A58" s="33"/>
      <c r="B58" s="33"/>
      <c r="C58" s="33"/>
      <c r="D58" s="33"/>
      <c r="E58" s="33"/>
      <c r="F58" s="33"/>
      <c r="G58" s="33"/>
    </row>
    <row r="59" spans="1:12" x14ac:dyDescent="0.35">
      <c r="A59" s="33"/>
      <c r="B59" s="33"/>
      <c r="C59" s="33"/>
      <c r="D59" s="33"/>
      <c r="E59" s="33"/>
      <c r="F59" s="33"/>
      <c r="G59" s="33"/>
    </row>
    <row r="60" spans="1:12" x14ac:dyDescent="0.35">
      <c r="A60" s="33"/>
      <c r="B60" s="33"/>
      <c r="C60" s="33"/>
      <c r="D60" s="33"/>
      <c r="E60" s="33"/>
      <c r="F60" s="33"/>
      <c r="G60" s="33"/>
    </row>
    <row r="61" spans="1:12" x14ac:dyDescent="0.35">
      <c r="A61" s="33"/>
      <c r="B61" s="33"/>
      <c r="C61" s="33"/>
      <c r="D61" s="33"/>
      <c r="E61" s="33"/>
      <c r="F61" s="33"/>
      <c r="G61" s="33"/>
    </row>
    <row r="62" spans="1:12" x14ac:dyDescent="0.35">
      <c r="A62" s="33"/>
      <c r="B62" s="33"/>
      <c r="C62" s="33"/>
      <c r="D62" s="33"/>
      <c r="E62" s="33"/>
      <c r="F62" s="33"/>
      <c r="G62" s="33"/>
    </row>
    <row r="63" spans="1:12" x14ac:dyDescent="0.35">
      <c r="A63" s="33"/>
      <c r="B63" s="33"/>
      <c r="C63" s="33"/>
      <c r="D63" s="33"/>
      <c r="E63" s="33"/>
      <c r="F63" s="33"/>
      <c r="G63" s="33"/>
    </row>
    <row r="64" spans="1:12" x14ac:dyDescent="0.35">
      <c r="A64" s="33"/>
      <c r="B64" s="33"/>
      <c r="C64" s="33"/>
      <c r="D64" s="33"/>
      <c r="E64" s="33"/>
      <c r="F64" s="33"/>
      <c r="G64" s="33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64"/>
  <sheetViews>
    <sheetView topLeftCell="A8" workbookViewId="0">
      <selection activeCell="A34" sqref="A34"/>
    </sheetView>
  </sheetViews>
  <sheetFormatPr defaultRowHeight="14.5" x14ac:dyDescent="0.35"/>
  <cols>
    <col min="1" max="1" width="39.453125" bestFit="1" customWidth="1"/>
    <col min="2" max="2" width="7" bestFit="1" customWidth="1"/>
    <col min="3" max="3" width="35.54296875" customWidth="1"/>
    <col min="9" max="9" width="12.54296875" bestFit="1" customWidth="1"/>
    <col min="10" max="10" width="25.54296875" style="65" bestFit="1" customWidth="1"/>
    <col min="11" max="11" width="14.7265625" style="65" customWidth="1"/>
    <col min="12" max="12" width="9.1796875" style="65"/>
  </cols>
  <sheetData>
    <row r="1" spans="1:14" x14ac:dyDescent="0.35">
      <c r="A1" s="36" t="s">
        <v>34</v>
      </c>
      <c r="B1" s="36">
        <v>72000</v>
      </c>
      <c r="D1">
        <v>100</v>
      </c>
      <c r="G1" s="65">
        <v>68000</v>
      </c>
      <c r="K1" s="68">
        <v>50000</v>
      </c>
    </row>
    <row r="2" spans="1:14" x14ac:dyDescent="0.35">
      <c r="A2" s="33" t="s">
        <v>47</v>
      </c>
      <c r="B2" s="35"/>
      <c r="C2" s="35">
        <v>6900</v>
      </c>
      <c r="D2">
        <v>1700</v>
      </c>
      <c r="G2" s="65">
        <v>34000</v>
      </c>
      <c r="K2" s="67">
        <v>18000</v>
      </c>
    </row>
    <row r="3" spans="1:14" x14ac:dyDescent="0.35">
      <c r="A3" s="33" t="s">
        <v>48</v>
      </c>
      <c r="B3" s="34"/>
      <c r="C3" s="34">
        <v>5000</v>
      </c>
      <c r="D3">
        <v>6000</v>
      </c>
      <c r="G3" s="65">
        <v>6000</v>
      </c>
      <c r="K3" s="74">
        <f>SUM(K1:K2)</f>
        <v>68000</v>
      </c>
    </row>
    <row r="4" spans="1:14" x14ac:dyDescent="0.35">
      <c r="A4" s="33" t="s">
        <v>45</v>
      </c>
      <c r="B4" s="34">
        <v>3000</v>
      </c>
      <c r="C4" s="34">
        <v>3000</v>
      </c>
      <c r="D4">
        <v>9200</v>
      </c>
      <c r="G4" s="67">
        <v>5000</v>
      </c>
      <c r="K4" s="67"/>
    </row>
    <row r="5" spans="1:14" x14ac:dyDescent="0.35">
      <c r="A5" s="33" t="s">
        <v>3</v>
      </c>
      <c r="B5" s="33">
        <v>32000</v>
      </c>
      <c r="D5">
        <v>6611</v>
      </c>
      <c r="G5" s="66">
        <v>2500</v>
      </c>
      <c r="J5" s="65" t="s">
        <v>115</v>
      </c>
      <c r="K5" s="67">
        <v>6000</v>
      </c>
    </row>
    <row r="6" spans="1:14" x14ac:dyDescent="0.35">
      <c r="A6" s="33"/>
      <c r="B6" s="33"/>
      <c r="D6">
        <v>1200</v>
      </c>
      <c r="G6" s="65">
        <v>1700</v>
      </c>
      <c r="J6" s="65" t="s">
        <v>129</v>
      </c>
      <c r="K6" s="67">
        <v>2500</v>
      </c>
    </row>
    <row r="7" spans="1:14" x14ac:dyDescent="0.35">
      <c r="A7" s="33"/>
      <c r="B7" s="33"/>
      <c r="D7">
        <v>1200</v>
      </c>
      <c r="G7" s="66">
        <v>10900</v>
      </c>
      <c r="J7" s="65" t="s">
        <v>130</v>
      </c>
      <c r="K7" s="67">
        <v>5000</v>
      </c>
    </row>
    <row r="8" spans="1:14" x14ac:dyDescent="0.35">
      <c r="A8" s="33"/>
      <c r="B8" s="36">
        <f>SUM(B2:B7)</f>
        <v>35000</v>
      </c>
      <c r="D8">
        <v>2000</v>
      </c>
      <c r="G8" s="65">
        <v>4000</v>
      </c>
      <c r="J8" s="65" t="s">
        <v>117</v>
      </c>
      <c r="K8" s="67">
        <v>1400</v>
      </c>
    </row>
    <row r="9" spans="1:14" x14ac:dyDescent="0.35">
      <c r="A9" s="33"/>
      <c r="B9" s="33">
        <f>+B1-B8</f>
        <v>37000</v>
      </c>
      <c r="D9">
        <v>3000</v>
      </c>
      <c r="G9" s="65">
        <v>2800</v>
      </c>
      <c r="J9" s="65" t="s">
        <v>16</v>
      </c>
      <c r="K9" s="67">
        <v>700</v>
      </c>
    </row>
    <row r="10" spans="1:14" x14ac:dyDescent="0.35">
      <c r="A10" s="33"/>
      <c r="B10" s="33"/>
      <c r="D10">
        <v>2500</v>
      </c>
      <c r="G10" s="65">
        <v>1100</v>
      </c>
      <c r="H10" s="65"/>
      <c r="J10" s="65" t="s">
        <v>131</v>
      </c>
      <c r="K10" s="67">
        <v>300</v>
      </c>
      <c r="N10" s="1"/>
    </row>
    <row r="11" spans="1:14" x14ac:dyDescent="0.35">
      <c r="D11">
        <v>1700</v>
      </c>
      <c r="G11" s="65">
        <v>1100</v>
      </c>
      <c r="H11" s="65"/>
      <c r="J11" s="65" t="s">
        <v>132</v>
      </c>
      <c r="K11" s="67">
        <v>1700</v>
      </c>
    </row>
    <row r="12" spans="1:14" s="12" customFormat="1" x14ac:dyDescent="0.35">
      <c r="A12" s="34" t="s">
        <v>33</v>
      </c>
      <c r="B12" s="58">
        <v>50000</v>
      </c>
      <c r="C12" s="58"/>
      <c r="D12" s="12">
        <v>4000</v>
      </c>
      <c r="G12" s="67">
        <v>750</v>
      </c>
      <c r="J12" s="65" t="s">
        <v>133</v>
      </c>
      <c r="K12" s="67">
        <f>10900-1700</f>
        <v>9200</v>
      </c>
      <c r="L12" s="67"/>
    </row>
    <row r="13" spans="1:14" s="12" customFormat="1" ht="15" thickBot="1" x14ac:dyDescent="0.4">
      <c r="A13" s="34" t="s">
        <v>82</v>
      </c>
      <c r="B13" s="34">
        <f>+B9</f>
        <v>37000</v>
      </c>
      <c r="D13" s="12">
        <v>4000</v>
      </c>
      <c r="G13" s="67">
        <v>3000</v>
      </c>
      <c r="J13" s="65" t="s">
        <v>134</v>
      </c>
      <c r="K13" s="67">
        <v>4000</v>
      </c>
      <c r="L13" s="67"/>
    </row>
    <row r="14" spans="1:14" ht="15" thickBot="1" x14ac:dyDescent="0.4">
      <c r="A14" s="36"/>
      <c r="B14" s="59">
        <f>+B13+B12</f>
        <v>87000</v>
      </c>
      <c r="J14" s="65" t="s">
        <v>134</v>
      </c>
      <c r="K14" s="67">
        <v>3300</v>
      </c>
    </row>
    <row r="15" spans="1:14" ht="15" thickTop="1" x14ac:dyDescent="0.35">
      <c r="A15" s="36"/>
      <c r="B15" s="36"/>
      <c r="C15" s="51"/>
      <c r="J15" s="65" t="s">
        <v>11</v>
      </c>
      <c r="K15" s="67">
        <v>1500</v>
      </c>
    </row>
    <row r="16" spans="1:14" s="12" customFormat="1" x14ac:dyDescent="0.35">
      <c r="A16" s="34" t="s">
        <v>5</v>
      </c>
      <c r="B16" s="56">
        <v>5000</v>
      </c>
      <c r="C16"/>
      <c r="D16">
        <f ca="1">+D24-D23</f>
        <v>6789</v>
      </c>
      <c r="J16" s="65" t="s">
        <v>135</v>
      </c>
      <c r="K16" s="67">
        <v>100</v>
      </c>
      <c r="L16" s="67"/>
    </row>
    <row r="17" spans="1:12" s="12" customFormat="1" x14ac:dyDescent="0.35">
      <c r="A17" s="34" t="s">
        <v>8</v>
      </c>
      <c r="B17" s="56">
        <f>1400+700</f>
        <v>2100</v>
      </c>
      <c r="C17"/>
      <c r="I17" s="66">
        <f>SUM(G1)-SUM(J2:J16)</f>
        <v>68000</v>
      </c>
      <c r="J17" s="65" t="s">
        <v>14</v>
      </c>
      <c r="K17" s="67">
        <v>500</v>
      </c>
      <c r="L17" s="67"/>
    </row>
    <row r="18" spans="1:12" s="12" customFormat="1" x14ac:dyDescent="0.35">
      <c r="A18" s="33" t="s">
        <v>12</v>
      </c>
      <c r="B18" s="56">
        <v>2100</v>
      </c>
      <c r="C18"/>
      <c r="I18" s="67"/>
      <c r="J18" s="65" t="s">
        <v>7</v>
      </c>
      <c r="K18" s="67">
        <v>500</v>
      </c>
      <c r="L18" s="67"/>
    </row>
    <row r="19" spans="1:12" s="12" customFormat="1" x14ac:dyDescent="0.35">
      <c r="A19" s="33" t="s">
        <v>13</v>
      </c>
      <c r="B19" s="54"/>
      <c r="C19">
        <v>1700</v>
      </c>
      <c r="I19" s="67"/>
      <c r="J19" s="65" t="s">
        <v>136</v>
      </c>
      <c r="K19" s="67">
        <v>5000</v>
      </c>
      <c r="L19" s="67"/>
    </row>
    <row r="20" spans="1:12" s="12" customFormat="1" x14ac:dyDescent="0.35">
      <c r="A20" s="34" t="s">
        <v>15</v>
      </c>
      <c r="B20" s="54">
        <v>1000</v>
      </c>
      <c r="C20" s="60">
        <v>100</v>
      </c>
      <c r="I20" s="66">
        <f>+I17+20000</f>
        <v>88000</v>
      </c>
      <c r="K20" s="67"/>
      <c r="L20" s="67"/>
    </row>
    <row r="21" spans="1:12" s="12" customFormat="1" x14ac:dyDescent="0.35">
      <c r="A21" s="34" t="s">
        <v>11</v>
      </c>
      <c r="B21" s="54">
        <f>1500/2</f>
        <v>750</v>
      </c>
      <c r="C21" s="60">
        <v>750</v>
      </c>
      <c r="L21" s="67"/>
    </row>
    <row r="22" spans="1:12" s="12" customFormat="1" x14ac:dyDescent="0.35">
      <c r="A22" s="34" t="s">
        <v>23</v>
      </c>
      <c r="B22" s="54">
        <v>100</v>
      </c>
      <c r="C22" s="60"/>
      <c r="L22" s="67"/>
    </row>
    <row r="23" spans="1:12" s="12" customFormat="1" x14ac:dyDescent="0.35">
      <c r="A23" s="34" t="s">
        <v>83</v>
      </c>
      <c r="B23" s="54"/>
      <c r="C23" s="60">
        <v>2500</v>
      </c>
      <c r="D23" s="1">
        <f ca="1">SUM(D1:D22)</f>
        <v>43211</v>
      </c>
      <c r="L23" s="67"/>
    </row>
    <row r="24" spans="1:12" s="12" customFormat="1" x14ac:dyDescent="0.35">
      <c r="A24" s="34" t="s">
        <v>84</v>
      </c>
      <c r="B24" s="54">
        <v>6000</v>
      </c>
      <c r="C24" s="60">
        <v>6000</v>
      </c>
      <c r="D24">
        <v>50000</v>
      </c>
      <c r="L24" s="67"/>
    </row>
    <row r="25" spans="1:12" s="12" customFormat="1" x14ac:dyDescent="0.35">
      <c r="A25" s="34" t="s">
        <v>111</v>
      </c>
      <c r="B25" s="54">
        <v>5000</v>
      </c>
      <c r="C25" s="60"/>
      <c r="D25"/>
      <c r="H25" t="s">
        <v>112</v>
      </c>
      <c r="L25" s="67"/>
    </row>
    <row r="26" spans="1:12" s="12" customFormat="1" x14ac:dyDescent="0.35">
      <c r="A26" s="34" t="s">
        <v>91</v>
      </c>
      <c r="B26" s="34"/>
      <c r="H26" s="12">
        <v>1079</v>
      </c>
      <c r="I26" s="65" t="s">
        <v>113</v>
      </c>
      <c r="K26" s="67"/>
      <c r="L26" s="67"/>
    </row>
    <row r="27" spans="1:12" s="12" customFormat="1" x14ac:dyDescent="0.35">
      <c r="A27" s="33" t="s">
        <v>92</v>
      </c>
      <c r="B27" s="71"/>
      <c r="C27" s="12">
        <v>25000</v>
      </c>
      <c r="H27" s="12">
        <v>500</v>
      </c>
      <c r="I27" s="65" t="s">
        <v>114</v>
      </c>
      <c r="K27" s="67"/>
      <c r="L27" s="67"/>
    </row>
    <row r="28" spans="1:12" s="64" customFormat="1" x14ac:dyDescent="0.35">
      <c r="A28" s="34" t="s">
        <v>22</v>
      </c>
      <c r="B28" s="34">
        <v>3000</v>
      </c>
      <c r="D28" s="34">
        <v>3000</v>
      </c>
      <c r="H28" s="64">
        <v>6000</v>
      </c>
      <c r="I28" s="72" t="s">
        <v>123</v>
      </c>
      <c r="K28" s="69"/>
      <c r="L28" s="69"/>
    </row>
    <row r="29" spans="1:12" s="64" customFormat="1" x14ac:dyDescent="0.35">
      <c r="A29" s="34" t="s">
        <v>17</v>
      </c>
      <c r="B29" s="36">
        <v>300</v>
      </c>
      <c r="D29" s="34">
        <v>250</v>
      </c>
      <c r="G29" s="6"/>
      <c r="H29" s="64">
        <v>1021</v>
      </c>
      <c r="I29" s="72" t="s">
        <v>124</v>
      </c>
      <c r="K29" s="69"/>
      <c r="L29" s="69"/>
    </row>
    <row r="30" spans="1:12" s="64" customFormat="1" x14ac:dyDescent="0.35">
      <c r="A30" s="34" t="s">
        <v>14</v>
      </c>
      <c r="B30" s="34">
        <v>500</v>
      </c>
      <c r="D30" s="34">
        <v>500</v>
      </c>
      <c r="H30" s="64">
        <v>740</v>
      </c>
      <c r="I30" s="72" t="s">
        <v>125</v>
      </c>
      <c r="K30" s="69"/>
      <c r="L30" s="69"/>
    </row>
    <row r="31" spans="1:12" s="12" customFormat="1" x14ac:dyDescent="0.35">
      <c r="A31" s="34" t="s">
        <v>6</v>
      </c>
      <c r="B31" s="34"/>
      <c r="D31" s="34">
        <v>1000</v>
      </c>
      <c r="H31" s="64">
        <v>33900</v>
      </c>
      <c r="I31" s="72" t="s">
        <v>122</v>
      </c>
      <c r="K31" s="67"/>
      <c r="L31" s="67"/>
    </row>
    <row r="32" spans="1:12" s="12" customFormat="1" x14ac:dyDescent="0.35">
      <c r="A32" s="34" t="s">
        <v>16</v>
      </c>
      <c r="B32" s="36"/>
      <c r="D32" s="34">
        <v>700</v>
      </c>
      <c r="H32" s="64">
        <v>8121</v>
      </c>
      <c r="I32" s="72" t="s">
        <v>126</v>
      </c>
      <c r="K32" s="75">
        <f>SUM(K3)-SUM(K4:K31)</f>
        <v>26300</v>
      </c>
      <c r="L32" s="67"/>
    </row>
    <row r="33" spans="1:12" s="12" customFormat="1" x14ac:dyDescent="0.35">
      <c r="A33" s="34" t="s">
        <v>7</v>
      </c>
      <c r="B33" s="34">
        <v>500</v>
      </c>
      <c r="D33" s="34">
        <v>1000</v>
      </c>
      <c r="K33" s="67"/>
      <c r="L33" s="67"/>
    </row>
    <row r="34" spans="1:12" s="12" customFormat="1" x14ac:dyDescent="0.35">
      <c r="A34" s="34" t="s">
        <v>10</v>
      </c>
      <c r="B34" s="34">
        <v>3000</v>
      </c>
      <c r="D34" s="34">
        <v>3000</v>
      </c>
      <c r="H34" s="12">
        <f>1500-415</f>
        <v>1085</v>
      </c>
      <c r="I34" s="65" t="s">
        <v>118</v>
      </c>
      <c r="K34" s="67"/>
      <c r="L34" s="67"/>
    </row>
    <row r="35" spans="1:12" s="12" customFormat="1" x14ac:dyDescent="0.35">
      <c r="A35" s="34" t="s">
        <v>46</v>
      </c>
      <c r="B35" s="36">
        <f>700+700</f>
        <v>1400</v>
      </c>
      <c r="C35"/>
      <c r="H35" s="12">
        <v>5000</v>
      </c>
      <c r="I35" s="65" t="s">
        <v>119</v>
      </c>
      <c r="K35" s="67"/>
      <c r="L35" s="67"/>
    </row>
    <row r="36" spans="1:12" s="12" customFormat="1" x14ac:dyDescent="0.35">
      <c r="A36" s="34" t="s">
        <v>127</v>
      </c>
      <c r="B36" s="34">
        <v>4000</v>
      </c>
      <c r="H36" s="12">
        <v>2500</v>
      </c>
      <c r="I36" s="65" t="s">
        <v>83</v>
      </c>
      <c r="K36" s="67"/>
      <c r="L36" s="67"/>
    </row>
    <row r="37" spans="1:12" s="12" customFormat="1" x14ac:dyDescent="0.35">
      <c r="A37" s="34" t="s">
        <v>128</v>
      </c>
      <c r="B37" s="34"/>
      <c r="H37" s="12">
        <v>3000</v>
      </c>
      <c r="I37" s="65" t="s">
        <v>120</v>
      </c>
      <c r="K37" s="67"/>
      <c r="L37" s="67"/>
    </row>
    <row r="38" spans="1:12" s="12" customFormat="1" x14ac:dyDescent="0.35">
      <c r="A38" s="34" t="s">
        <v>109</v>
      </c>
      <c r="B38" s="34"/>
      <c r="D38" s="12">
        <v>14670</v>
      </c>
      <c r="I38" s="67"/>
      <c r="K38" s="67"/>
      <c r="L38" s="67"/>
    </row>
    <row r="39" spans="1:12" ht="15" thickBot="1" x14ac:dyDescent="0.4">
      <c r="A39" s="33"/>
      <c r="B39" s="63">
        <f>SUM(B16:B38)</f>
        <v>34750</v>
      </c>
      <c r="D39">
        <v>17854</v>
      </c>
      <c r="I39" s="65"/>
    </row>
    <row r="40" spans="1:12" ht="15.5" thickTop="1" thickBot="1" x14ac:dyDescent="0.4">
      <c r="A40" s="33"/>
      <c r="B40" s="36"/>
      <c r="D40">
        <f>SUM(D38:D39)</f>
        <v>32524</v>
      </c>
      <c r="I40" s="65"/>
    </row>
    <row r="41" spans="1:12" ht="15" thickBot="1" x14ac:dyDescent="0.4">
      <c r="B41" s="61">
        <f>+B14-B39</f>
        <v>52250</v>
      </c>
      <c r="I41" s="1">
        <f>SUM(H26:H40)</f>
        <v>62946</v>
      </c>
      <c r="J41" s="65">
        <v>63000</v>
      </c>
    </row>
    <row r="42" spans="1:12" x14ac:dyDescent="0.35">
      <c r="A42" s="33"/>
      <c r="B42" s="33"/>
      <c r="J42" s="65">
        <f>+J41-I41</f>
        <v>54</v>
      </c>
    </row>
    <row r="43" spans="1:12" x14ac:dyDescent="0.35">
      <c r="A43" s="33"/>
      <c r="B43" s="36"/>
    </row>
    <row r="44" spans="1:12" x14ac:dyDescent="0.35">
      <c r="A44" s="33" t="s">
        <v>137</v>
      </c>
      <c r="B44" s="36">
        <v>60000</v>
      </c>
      <c r="C44" s="33"/>
      <c r="D44" s="33"/>
      <c r="E44" s="33"/>
      <c r="F44" s="33"/>
      <c r="G44" s="33"/>
      <c r="H44" s="33"/>
      <c r="I44" s="33"/>
      <c r="J44" s="70"/>
      <c r="K44" s="70"/>
      <c r="L44" s="70"/>
    </row>
    <row r="45" spans="1:12" x14ac:dyDescent="0.35">
      <c r="A45" s="33"/>
      <c r="B45" s="33"/>
      <c r="C45" s="33"/>
      <c r="D45" s="33"/>
      <c r="E45" s="33"/>
      <c r="F45" s="33"/>
      <c r="G45" s="33"/>
      <c r="H45" s="33"/>
      <c r="I45" s="33"/>
      <c r="J45" s="70"/>
      <c r="K45" s="70"/>
      <c r="L45" s="70"/>
    </row>
    <row r="46" spans="1:12" x14ac:dyDescent="0.35">
      <c r="A46" s="33"/>
      <c r="B46" s="33"/>
      <c r="C46" s="33"/>
      <c r="D46" s="33"/>
      <c r="E46" s="33"/>
      <c r="F46" s="33"/>
      <c r="G46" s="33"/>
      <c r="H46" s="33">
        <f>52000</f>
        <v>52000</v>
      </c>
      <c r="I46" s="73"/>
      <c r="J46" s="70"/>
      <c r="K46" s="70"/>
      <c r="L46" s="70"/>
    </row>
    <row r="47" spans="1:12" x14ac:dyDescent="0.35">
      <c r="A47" s="33"/>
      <c r="B47" s="33">
        <f>+B41-B44</f>
        <v>-7750</v>
      </c>
      <c r="C47" s="33"/>
      <c r="D47" s="33"/>
      <c r="E47" s="33"/>
      <c r="F47" s="33"/>
      <c r="G47" s="33"/>
      <c r="H47" s="33">
        <v>-25000</v>
      </c>
      <c r="I47" s="73"/>
      <c r="J47" s="70"/>
      <c r="K47" s="70"/>
      <c r="L47" s="70"/>
    </row>
    <row r="48" spans="1:12" x14ac:dyDescent="0.35">
      <c r="A48" s="33"/>
      <c r="B48" s="33"/>
      <c r="C48" s="33"/>
      <c r="D48" s="33"/>
      <c r="E48" s="33"/>
      <c r="F48" s="33"/>
      <c r="G48" s="33"/>
      <c r="H48" s="33"/>
      <c r="I48" s="73"/>
      <c r="J48" s="70"/>
      <c r="K48" s="70"/>
      <c r="L48" s="70"/>
    </row>
    <row r="49" spans="1:12" x14ac:dyDescent="0.35">
      <c r="A49" s="33"/>
      <c r="B49" s="33"/>
      <c r="C49" s="33"/>
      <c r="D49" s="33"/>
      <c r="E49" s="33"/>
      <c r="F49" s="33"/>
      <c r="G49" s="33"/>
      <c r="H49" s="33"/>
      <c r="I49" s="36"/>
      <c r="J49" s="70"/>
      <c r="K49" s="70"/>
      <c r="L49" s="70"/>
    </row>
    <row r="50" spans="1:12" x14ac:dyDescent="0.35">
      <c r="A50" s="33"/>
      <c r="B50" s="33"/>
      <c r="C50" s="33"/>
      <c r="D50" s="33"/>
      <c r="E50" s="33"/>
      <c r="F50" s="33"/>
      <c r="G50" s="33"/>
      <c r="H50" s="33"/>
      <c r="I50" s="33"/>
      <c r="J50" s="70"/>
      <c r="K50" s="70"/>
      <c r="L50" s="70"/>
    </row>
    <row r="51" spans="1:12" x14ac:dyDescent="0.35">
      <c r="A51" s="33"/>
      <c r="B51" s="33"/>
      <c r="C51" s="33"/>
      <c r="D51" s="33"/>
      <c r="E51" s="33"/>
      <c r="F51" s="33"/>
      <c r="G51" s="33"/>
    </row>
    <row r="52" spans="1:12" x14ac:dyDescent="0.35">
      <c r="A52" s="33"/>
      <c r="B52" s="33"/>
      <c r="C52" s="33"/>
      <c r="D52" s="33"/>
      <c r="E52" s="33"/>
      <c r="F52" s="33"/>
      <c r="G52" s="33"/>
    </row>
    <row r="53" spans="1:12" x14ac:dyDescent="0.35">
      <c r="A53" s="33"/>
      <c r="B53" s="33"/>
      <c r="C53" s="33"/>
      <c r="D53" s="33"/>
      <c r="E53" s="33"/>
      <c r="F53" s="33"/>
      <c r="G53" s="33"/>
    </row>
    <row r="54" spans="1:12" x14ac:dyDescent="0.35">
      <c r="A54" s="33"/>
      <c r="B54" s="33"/>
      <c r="C54" s="33"/>
      <c r="D54" s="33"/>
      <c r="E54" s="33"/>
      <c r="F54" s="33"/>
      <c r="G54" s="33"/>
    </row>
    <row r="55" spans="1:12" x14ac:dyDescent="0.35">
      <c r="A55" s="33"/>
      <c r="B55" s="33"/>
      <c r="C55" s="33"/>
      <c r="D55" s="33"/>
      <c r="E55" s="33"/>
      <c r="F55" s="33"/>
      <c r="G55" s="33"/>
    </row>
    <row r="56" spans="1:12" x14ac:dyDescent="0.35">
      <c r="A56" s="33"/>
      <c r="B56" s="33"/>
      <c r="C56" s="33"/>
      <c r="D56" s="33"/>
      <c r="E56" s="33"/>
      <c r="F56" s="33"/>
      <c r="G56" s="33"/>
    </row>
    <row r="57" spans="1:12" x14ac:dyDescent="0.35">
      <c r="A57" s="33"/>
      <c r="B57" s="33"/>
      <c r="C57" s="33"/>
      <c r="D57" s="33"/>
      <c r="E57" s="33"/>
      <c r="F57" s="33"/>
      <c r="G57" s="33"/>
    </row>
    <row r="58" spans="1:12" x14ac:dyDescent="0.35">
      <c r="A58" s="33"/>
      <c r="B58" s="33"/>
      <c r="C58" s="33"/>
      <c r="D58" s="33"/>
      <c r="E58" s="33"/>
      <c r="F58" s="33"/>
      <c r="G58" s="33"/>
    </row>
    <row r="59" spans="1:12" x14ac:dyDescent="0.35">
      <c r="A59" s="33"/>
      <c r="B59" s="33"/>
      <c r="C59" s="33"/>
      <c r="D59" s="33"/>
      <c r="E59" s="33"/>
      <c r="F59" s="33"/>
      <c r="G59" s="33"/>
    </row>
    <row r="60" spans="1:12" x14ac:dyDescent="0.35">
      <c r="A60" s="33"/>
      <c r="B60" s="33"/>
      <c r="C60" s="33"/>
      <c r="D60" s="33"/>
      <c r="E60" s="33"/>
      <c r="F60" s="33"/>
      <c r="G60" s="33"/>
    </row>
    <row r="61" spans="1:12" x14ac:dyDescent="0.35">
      <c r="A61" s="33"/>
      <c r="B61" s="33"/>
      <c r="C61" s="33"/>
      <c r="D61" s="33"/>
      <c r="E61" s="33"/>
      <c r="F61" s="33"/>
      <c r="G61" s="33"/>
    </row>
    <row r="62" spans="1:12" x14ac:dyDescent="0.35">
      <c r="A62" s="33"/>
      <c r="B62" s="33"/>
      <c r="C62" s="33"/>
      <c r="D62" s="33"/>
      <c r="E62" s="33"/>
      <c r="F62" s="33"/>
      <c r="G62" s="33"/>
    </row>
    <row r="63" spans="1:12" x14ac:dyDescent="0.35">
      <c r="A63" s="33"/>
      <c r="B63" s="33"/>
      <c r="C63" s="33"/>
      <c r="D63" s="33"/>
      <c r="E63" s="33"/>
      <c r="F63" s="33"/>
      <c r="G63" s="33"/>
    </row>
    <row r="64" spans="1:12" x14ac:dyDescent="0.35">
      <c r="A64" s="33"/>
      <c r="B64" s="33"/>
      <c r="C64" s="33"/>
      <c r="D64" s="33"/>
      <c r="E64" s="33"/>
      <c r="F64" s="33"/>
      <c r="G64" s="33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48"/>
  <sheetViews>
    <sheetView topLeftCell="A16" workbookViewId="0">
      <selection activeCell="A27" sqref="A27:C27"/>
    </sheetView>
  </sheetViews>
  <sheetFormatPr defaultRowHeight="14.5" x14ac:dyDescent="0.35"/>
  <cols>
    <col min="1" max="1" width="69.7265625" customWidth="1"/>
  </cols>
  <sheetData>
    <row r="1" spans="1:8" x14ac:dyDescent="0.35">
      <c r="A1" t="s">
        <v>141</v>
      </c>
      <c r="B1" s="1">
        <v>50000</v>
      </c>
      <c r="H1">
        <v>41000</v>
      </c>
    </row>
    <row r="3" spans="1:8" x14ac:dyDescent="0.35">
      <c r="A3" t="s">
        <v>139</v>
      </c>
      <c r="B3">
        <f>1700*3</f>
        <v>5100</v>
      </c>
      <c r="H3">
        <v>5100</v>
      </c>
    </row>
    <row r="4" spans="1:8" x14ac:dyDescent="0.35">
      <c r="A4" s="76" t="s">
        <v>138</v>
      </c>
      <c r="B4">
        <v>9200</v>
      </c>
      <c r="H4">
        <v>5000</v>
      </c>
    </row>
    <row r="5" spans="1:8" x14ac:dyDescent="0.35">
      <c r="A5" t="s">
        <v>140</v>
      </c>
      <c r="B5">
        <v>9000</v>
      </c>
      <c r="H5">
        <v>1500</v>
      </c>
    </row>
    <row r="6" spans="1:8" x14ac:dyDescent="0.35">
      <c r="H6">
        <v>3000</v>
      </c>
    </row>
    <row r="7" spans="1:8" x14ac:dyDescent="0.35">
      <c r="H7">
        <v>8900</v>
      </c>
    </row>
    <row r="8" spans="1:8" x14ac:dyDescent="0.35">
      <c r="H8">
        <v>1003</v>
      </c>
    </row>
    <row r="9" spans="1:8" x14ac:dyDescent="0.35">
      <c r="H9">
        <v>1500</v>
      </c>
    </row>
    <row r="10" spans="1:8" x14ac:dyDescent="0.35">
      <c r="H10">
        <v>100</v>
      </c>
    </row>
    <row r="11" spans="1:8" x14ac:dyDescent="0.35">
      <c r="H11">
        <v>300</v>
      </c>
    </row>
    <row r="12" spans="1:8" x14ac:dyDescent="0.35">
      <c r="H12">
        <v>500</v>
      </c>
    </row>
    <row r="13" spans="1:8" x14ac:dyDescent="0.35">
      <c r="H13">
        <v>-1750</v>
      </c>
    </row>
    <row r="14" spans="1:8" x14ac:dyDescent="0.35">
      <c r="H14">
        <v>-1750</v>
      </c>
    </row>
    <row r="16" spans="1:8" x14ac:dyDescent="0.35">
      <c r="B16" s="1">
        <f>+B1-SUM(B3:B13)</f>
        <v>26700</v>
      </c>
    </row>
    <row r="20" spans="1:8" x14ac:dyDescent="0.35">
      <c r="A20" s="34" t="s">
        <v>5</v>
      </c>
      <c r="B20" s="56">
        <v>5000</v>
      </c>
      <c r="C20" t="s">
        <v>142</v>
      </c>
    </row>
    <row r="21" spans="1:8" x14ac:dyDescent="0.35">
      <c r="A21" s="34" t="s">
        <v>8</v>
      </c>
      <c r="B21" s="56">
        <f>1400+700</f>
        <v>2100</v>
      </c>
      <c r="C21" t="s">
        <v>142</v>
      </c>
    </row>
    <row r="22" spans="1:8" x14ac:dyDescent="0.35">
      <c r="A22" s="33" t="s">
        <v>12</v>
      </c>
      <c r="B22" s="56">
        <v>2100</v>
      </c>
      <c r="C22" t="s">
        <v>142</v>
      </c>
    </row>
    <row r="23" spans="1:8" x14ac:dyDescent="0.35">
      <c r="A23" s="33" t="s">
        <v>13</v>
      </c>
      <c r="B23" s="54">
        <v>1700</v>
      </c>
      <c r="C23" t="s">
        <v>142</v>
      </c>
    </row>
    <row r="24" spans="1:8" x14ac:dyDescent="0.35">
      <c r="A24" s="34" t="s">
        <v>15</v>
      </c>
      <c r="B24" s="54">
        <v>1100</v>
      </c>
      <c r="C24" t="s">
        <v>142</v>
      </c>
    </row>
    <row r="25" spans="1:8" x14ac:dyDescent="0.35">
      <c r="A25" s="34" t="s">
        <v>11</v>
      </c>
      <c r="B25" s="54">
        <v>1500</v>
      </c>
      <c r="D25" s="54">
        <v>1500</v>
      </c>
      <c r="H25" s="1">
        <f>+H1-SUM(H2:H24)</f>
        <v>17597</v>
      </c>
    </row>
    <row r="26" spans="1:8" x14ac:dyDescent="0.35">
      <c r="A26" s="34" t="s">
        <v>23</v>
      </c>
      <c r="B26" s="54">
        <v>100</v>
      </c>
      <c r="D26" s="54">
        <v>100</v>
      </c>
    </row>
    <row r="27" spans="1:8" x14ac:dyDescent="0.35">
      <c r="A27" s="34" t="s">
        <v>83</v>
      </c>
      <c r="B27" s="54">
        <v>2500</v>
      </c>
      <c r="D27" s="54">
        <v>2500</v>
      </c>
    </row>
    <row r="28" spans="1:8" x14ac:dyDescent="0.35">
      <c r="A28" s="34" t="s">
        <v>84</v>
      </c>
      <c r="B28" s="54">
        <v>6000</v>
      </c>
      <c r="C28" t="s">
        <v>142</v>
      </c>
    </row>
    <row r="29" spans="1:8" x14ac:dyDescent="0.35">
      <c r="A29" s="34" t="s">
        <v>111</v>
      </c>
      <c r="B29" s="54">
        <v>5000</v>
      </c>
      <c r="D29" s="54">
        <v>5000</v>
      </c>
    </row>
    <row r="30" spans="1:8" x14ac:dyDescent="0.35">
      <c r="A30" s="34" t="s">
        <v>91</v>
      </c>
      <c r="B30" s="34"/>
    </row>
    <row r="31" spans="1:8" x14ac:dyDescent="0.35">
      <c r="A31" s="33" t="s">
        <v>92</v>
      </c>
      <c r="B31" s="71"/>
    </row>
    <row r="32" spans="1:8" x14ac:dyDescent="0.35">
      <c r="A32" s="34" t="s">
        <v>22</v>
      </c>
      <c r="B32" s="34"/>
    </row>
    <row r="33" spans="1:9" x14ac:dyDescent="0.35">
      <c r="A33" s="34" t="s">
        <v>17</v>
      </c>
      <c r="B33" s="36">
        <v>300</v>
      </c>
      <c r="D33" s="36">
        <v>300</v>
      </c>
    </row>
    <row r="34" spans="1:9" x14ac:dyDescent="0.35">
      <c r="A34" s="34" t="s">
        <v>14</v>
      </c>
      <c r="B34" s="34">
        <v>500</v>
      </c>
      <c r="D34" s="34">
        <v>500</v>
      </c>
    </row>
    <row r="35" spans="1:9" x14ac:dyDescent="0.35">
      <c r="A35" s="34" t="s">
        <v>6</v>
      </c>
      <c r="B35" s="34"/>
      <c r="D35" s="34"/>
    </row>
    <row r="36" spans="1:9" x14ac:dyDescent="0.35">
      <c r="A36" s="34" t="s">
        <v>16</v>
      </c>
      <c r="B36" s="36"/>
      <c r="D36" s="36"/>
    </row>
    <row r="37" spans="1:9" x14ac:dyDescent="0.35">
      <c r="A37" s="34" t="s">
        <v>7</v>
      </c>
      <c r="B37" s="34">
        <v>500</v>
      </c>
      <c r="D37" s="34">
        <v>500</v>
      </c>
    </row>
    <row r="38" spans="1:9" x14ac:dyDescent="0.35">
      <c r="A38" s="34" t="s">
        <v>10</v>
      </c>
      <c r="B38" s="34"/>
      <c r="D38" s="34"/>
    </row>
    <row r="39" spans="1:9" x14ac:dyDescent="0.35">
      <c r="A39" s="34" t="s">
        <v>46</v>
      </c>
      <c r="B39" s="36">
        <f>700+700</f>
        <v>1400</v>
      </c>
      <c r="C39" t="s">
        <v>104</v>
      </c>
      <c r="D39">
        <v>700</v>
      </c>
    </row>
    <row r="40" spans="1:9" x14ac:dyDescent="0.35">
      <c r="A40" s="34" t="s">
        <v>127</v>
      </c>
      <c r="B40" s="34">
        <v>4000</v>
      </c>
      <c r="C40" t="s">
        <v>142</v>
      </c>
    </row>
    <row r="41" spans="1:9" x14ac:dyDescent="0.35">
      <c r="A41" s="34" t="s">
        <v>128</v>
      </c>
      <c r="B41" s="34">
        <v>1900</v>
      </c>
      <c r="C41" t="s">
        <v>104</v>
      </c>
    </row>
    <row r="42" spans="1:9" x14ac:dyDescent="0.35">
      <c r="A42" s="34" t="s">
        <v>109</v>
      </c>
      <c r="B42" s="34">
        <v>8758</v>
      </c>
      <c r="D42">
        <v>8758</v>
      </c>
    </row>
    <row r="43" spans="1:9" x14ac:dyDescent="0.35">
      <c r="A43" s="34"/>
      <c r="B43" s="34"/>
    </row>
    <row r="44" spans="1:9" x14ac:dyDescent="0.35">
      <c r="A44" s="34"/>
      <c r="B44" s="34"/>
      <c r="I44">
        <v>37500</v>
      </c>
    </row>
    <row r="45" spans="1:9" x14ac:dyDescent="0.35">
      <c r="A45" s="33"/>
      <c r="B45" s="34"/>
      <c r="D45" s="1">
        <f>SUM(D25:D44)</f>
        <v>19858</v>
      </c>
      <c r="I45">
        <v>19858</v>
      </c>
    </row>
    <row r="46" spans="1:9" x14ac:dyDescent="0.35">
      <c r="I46">
        <f>+I44-I45</f>
        <v>17642</v>
      </c>
    </row>
    <row r="48" spans="1:9" x14ac:dyDescent="0.35">
      <c r="D48">
        <f>+B16-D45</f>
        <v>6842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33"/>
  <sheetViews>
    <sheetView workbookViewId="0">
      <selection activeCell="E26" sqref="E26"/>
    </sheetView>
  </sheetViews>
  <sheetFormatPr defaultRowHeight="14.5" x14ac:dyDescent="0.35"/>
  <cols>
    <col min="1" max="1" width="69.7265625" customWidth="1"/>
    <col min="2" max="2" width="9.1796875" style="12"/>
  </cols>
  <sheetData>
    <row r="1" spans="1:11" x14ac:dyDescent="0.35">
      <c r="A1" t="s">
        <v>141</v>
      </c>
      <c r="B1" s="12">
        <v>51000</v>
      </c>
      <c r="J1">
        <v>27600</v>
      </c>
    </row>
    <row r="2" spans="1:11" x14ac:dyDescent="0.35">
      <c r="A2" t="s">
        <v>2</v>
      </c>
      <c r="B2" s="12">
        <v>73000</v>
      </c>
    </row>
    <row r="3" spans="1:11" x14ac:dyDescent="0.35">
      <c r="J3">
        <v>9200</v>
      </c>
      <c r="K3" t="s">
        <v>133</v>
      </c>
    </row>
    <row r="4" spans="1:11" x14ac:dyDescent="0.35">
      <c r="A4" s="76" t="s">
        <v>143</v>
      </c>
      <c r="B4" s="78">
        <f>SUM(B1:B3)</f>
        <v>124000</v>
      </c>
      <c r="J4">
        <v>4000</v>
      </c>
      <c r="K4" t="s">
        <v>133</v>
      </c>
    </row>
    <row r="5" spans="1:11" x14ac:dyDescent="0.35">
      <c r="A5" s="76"/>
      <c r="J5">
        <v>2000</v>
      </c>
      <c r="K5" t="s">
        <v>147</v>
      </c>
    </row>
    <row r="6" spans="1:11" x14ac:dyDescent="0.35">
      <c r="A6" t="s">
        <v>74</v>
      </c>
      <c r="B6" s="12">
        <v>32000</v>
      </c>
      <c r="J6">
        <v>1100</v>
      </c>
      <c r="K6" t="s">
        <v>15</v>
      </c>
    </row>
    <row r="7" spans="1:11" x14ac:dyDescent="0.35">
      <c r="A7" s="34" t="s">
        <v>5</v>
      </c>
      <c r="B7" s="56">
        <v>5000</v>
      </c>
      <c r="J7">
        <v>1500</v>
      </c>
      <c r="K7" t="s">
        <v>11</v>
      </c>
    </row>
    <row r="8" spans="1:11" x14ac:dyDescent="0.35">
      <c r="A8" s="34" t="s">
        <v>8</v>
      </c>
      <c r="B8" s="56">
        <f>1400+700</f>
        <v>2100</v>
      </c>
      <c r="J8">
        <v>1400</v>
      </c>
      <c r="K8" t="s">
        <v>117</v>
      </c>
    </row>
    <row r="9" spans="1:11" x14ac:dyDescent="0.35">
      <c r="A9" s="33" t="s">
        <v>12</v>
      </c>
      <c r="B9" s="56">
        <v>2100</v>
      </c>
      <c r="J9">
        <v>500</v>
      </c>
      <c r="K9" t="s">
        <v>14</v>
      </c>
    </row>
    <row r="10" spans="1:11" x14ac:dyDescent="0.35">
      <c r="A10" s="33" t="s">
        <v>13</v>
      </c>
      <c r="B10" s="54">
        <v>1700</v>
      </c>
      <c r="J10">
        <v>300</v>
      </c>
      <c r="K10" t="s">
        <v>148</v>
      </c>
    </row>
    <row r="11" spans="1:11" x14ac:dyDescent="0.35">
      <c r="A11" s="34" t="s">
        <v>15</v>
      </c>
      <c r="B11" s="54">
        <v>1100</v>
      </c>
      <c r="J11">
        <v>1700</v>
      </c>
      <c r="K11" t="s">
        <v>149</v>
      </c>
    </row>
    <row r="12" spans="1:11" x14ac:dyDescent="0.35">
      <c r="A12" s="34" t="s">
        <v>11</v>
      </c>
      <c r="B12" s="54">
        <v>1500</v>
      </c>
      <c r="J12">
        <v>3000</v>
      </c>
      <c r="K12" t="s">
        <v>10</v>
      </c>
    </row>
    <row r="13" spans="1:11" x14ac:dyDescent="0.35">
      <c r="A13" s="34" t="s">
        <v>23</v>
      </c>
      <c r="B13" s="54">
        <v>100</v>
      </c>
      <c r="J13">
        <v>5000</v>
      </c>
      <c r="K13" t="s">
        <v>130</v>
      </c>
    </row>
    <row r="14" spans="1:11" x14ac:dyDescent="0.35">
      <c r="A14" s="34" t="s">
        <v>84</v>
      </c>
      <c r="B14" s="54">
        <v>6000</v>
      </c>
      <c r="J14">
        <v>6000</v>
      </c>
      <c r="K14" t="s">
        <v>115</v>
      </c>
    </row>
    <row r="15" spans="1:11" x14ac:dyDescent="0.35">
      <c r="A15" s="34" t="s">
        <v>111</v>
      </c>
      <c r="B15" s="54">
        <v>5000</v>
      </c>
      <c r="J15">
        <v>10000</v>
      </c>
    </row>
    <row r="16" spans="1:11" x14ac:dyDescent="0.35">
      <c r="A16" s="34" t="s">
        <v>91</v>
      </c>
      <c r="B16" s="54"/>
    </row>
    <row r="17" spans="1:14" x14ac:dyDescent="0.35">
      <c r="A17" s="33" t="s">
        <v>92</v>
      </c>
      <c r="B17" s="56">
        <v>40000</v>
      </c>
    </row>
    <row r="18" spans="1:14" x14ac:dyDescent="0.35">
      <c r="A18" s="34" t="s">
        <v>22</v>
      </c>
      <c r="B18" s="54">
        <v>3000</v>
      </c>
    </row>
    <row r="19" spans="1:14" x14ac:dyDescent="0.35">
      <c r="A19" s="34" t="s">
        <v>17</v>
      </c>
      <c r="B19" s="34">
        <v>300</v>
      </c>
    </row>
    <row r="20" spans="1:14" x14ac:dyDescent="0.35">
      <c r="A20" s="34" t="s">
        <v>14</v>
      </c>
      <c r="B20" s="34">
        <v>500</v>
      </c>
    </row>
    <row r="21" spans="1:14" x14ac:dyDescent="0.35">
      <c r="A21" s="34" t="s">
        <v>6</v>
      </c>
      <c r="B21" s="34">
        <v>1000</v>
      </c>
    </row>
    <row r="22" spans="1:14" x14ac:dyDescent="0.35">
      <c r="A22" s="34" t="s">
        <v>16</v>
      </c>
      <c r="B22" s="34">
        <v>500</v>
      </c>
    </row>
    <row r="23" spans="1:14" x14ac:dyDescent="0.35">
      <c r="A23" s="34" t="s">
        <v>7</v>
      </c>
      <c r="B23" s="34">
        <v>500</v>
      </c>
      <c r="J23" s="1">
        <f>+J1-SUM(J2:J22)</f>
        <v>-18100</v>
      </c>
      <c r="L23">
        <v>32000</v>
      </c>
    </row>
    <row r="24" spans="1:14" x14ac:dyDescent="0.35">
      <c r="A24" s="34" t="s">
        <v>10</v>
      </c>
      <c r="B24" s="34">
        <v>3000</v>
      </c>
      <c r="L24">
        <f>+L23+J23</f>
        <v>13900</v>
      </c>
      <c r="M24">
        <v>18000</v>
      </c>
      <c r="N24">
        <f>+L24+M24</f>
        <v>31900</v>
      </c>
    </row>
    <row r="25" spans="1:14" x14ac:dyDescent="0.35">
      <c r="A25" s="34" t="s">
        <v>46</v>
      </c>
      <c r="B25" s="34">
        <f>700+700</f>
        <v>1400</v>
      </c>
    </row>
    <row r="26" spans="1:14" x14ac:dyDescent="0.35">
      <c r="A26" s="34" t="s">
        <v>127</v>
      </c>
      <c r="B26" s="34">
        <v>4000</v>
      </c>
    </row>
    <row r="27" spans="1:14" x14ac:dyDescent="0.35">
      <c r="A27" s="34" t="s">
        <v>128</v>
      </c>
      <c r="B27" s="34">
        <v>1900</v>
      </c>
    </row>
    <row r="28" spans="1:14" x14ac:dyDescent="0.35">
      <c r="A28" s="34" t="s">
        <v>109</v>
      </c>
      <c r="B28" s="34"/>
    </row>
    <row r="29" spans="1:14" x14ac:dyDescent="0.35">
      <c r="A29" s="34" t="s">
        <v>144</v>
      </c>
      <c r="B29" s="34">
        <v>5000</v>
      </c>
    </row>
    <row r="30" spans="1:14" x14ac:dyDescent="0.35">
      <c r="A30" s="34" t="s">
        <v>146</v>
      </c>
      <c r="B30" s="79">
        <f>SUM(B6:B29)</f>
        <v>117700</v>
      </c>
    </row>
    <row r="31" spans="1:14" x14ac:dyDescent="0.35">
      <c r="B31" s="34"/>
    </row>
    <row r="33" spans="1:2" x14ac:dyDescent="0.35">
      <c r="A33" s="34" t="s">
        <v>145</v>
      </c>
      <c r="B33" s="77">
        <f>+B4-B30</f>
        <v>6300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"/>
  <sheetViews>
    <sheetView workbookViewId="0">
      <selection activeCell="A48" sqref="A4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6"/>
  <sheetViews>
    <sheetView workbookViewId="0">
      <selection activeCell="J25" sqref="A1:XFD1048576"/>
    </sheetView>
  </sheetViews>
  <sheetFormatPr defaultRowHeight="14.5" x14ac:dyDescent="0.35"/>
  <cols>
    <col min="1" max="1" width="18.453125" bestFit="1" customWidth="1"/>
    <col min="3" max="3" width="36.453125" customWidth="1"/>
  </cols>
  <sheetData>
    <row r="1" spans="1:17" x14ac:dyDescent="0.35">
      <c r="B1" s="7" t="s">
        <v>24</v>
      </c>
      <c r="D1">
        <v>43000</v>
      </c>
      <c r="L1" t="s">
        <v>21</v>
      </c>
      <c r="O1">
        <v>93000</v>
      </c>
      <c r="P1">
        <v>99000</v>
      </c>
    </row>
    <row r="2" spans="1:17" x14ac:dyDescent="0.35">
      <c r="A2" t="s">
        <v>1</v>
      </c>
      <c r="B2">
        <v>43000</v>
      </c>
      <c r="D2">
        <v>43000</v>
      </c>
      <c r="L2" s="3">
        <v>12748</v>
      </c>
      <c r="O2">
        <v>12748</v>
      </c>
      <c r="P2">
        <v>2000</v>
      </c>
    </row>
    <row r="3" spans="1:17" x14ac:dyDescent="0.35">
      <c r="A3" t="s">
        <v>2</v>
      </c>
      <c r="B3">
        <v>43000</v>
      </c>
      <c r="D3" s="8">
        <f>SUM(D1:D2)</f>
        <v>86000</v>
      </c>
      <c r="L3" s="3">
        <v>48548</v>
      </c>
      <c r="O3">
        <v>14000</v>
      </c>
      <c r="P3">
        <f>17500+1000</f>
        <v>18500</v>
      </c>
    </row>
    <row r="5" spans="1:17" x14ac:dyDescent="0.35">
      <c r="A5" t="s">
        <v>3</v>
      </c>
      <c r="B5">
        <v>-32000</v>
      </c>
      <c r="L5" s="4">
        <f>SUM(L2:L4)</f>
        <v>61296</v>
      </c>
    </row>
    <row r="6" spans="1:17" x14ac:dyDescent="0.35">
      <c r="A6" t="s">
        <v>4</v>
      </c>
      <c r="B6">
        <v>-1000</v>
      </c>
    </row>
    <row r="7" spans="1:17" x14ac:dyDescent="0.35">
      <c r="A7" t="s">
        <v>15</v>
      </c>
      <c r="B7" s="6">
        <v>-1500</v>
      </c>
    </row>
    <row r="8" spans="1:17" x14ac:dyDescent="0.35">
      <c r="A8" t="s">
        <v>11</v>
      </c>
      <c r="B8">
        <v>-1000</v>
      </c>
    </row>
    <row r="9" spans="1:17" x14ac:dyDescent="0.35">
      <c r="A9" t="s">
        <v>23</v>
      </c>
      <c r="B9" s="6">
        <v>-500</v>
      </c>
      <c r="D9">
        <v>-32000</v>
      </c>
      <c r="O9" s="1">
        <f>SUM(O1:O8)</f>
        <v>119748</v>
      </c>
      <c r="P9" s="1">
        <f>SUM(P1:P8)</f>
        <v>119500</v>
      </c>
      <c r="Q9">
        <f>+P9-O9</f>
        <v>-248</v>
      </c>
    </row>
    <row r="10" spans="1:17" x14ac:dyDescent="0.35">
      <c r="A10" t="s">
        <v>22</v>
      </c>
      <c r="B10" s="10">
        <v>-2000</v>
      </c>
      <c r="C10" t="s">
        <v>18</v>
      </c>
      <c r="D10" s="9">
        <f>SUM(B10:B21)</f>
        <v>-20000</v>
      </c>
      <c r="E10">
        <f>+D10+D11</f>
        <v>-22500</v>
      </c>
    </row>
    <row r="11" spans="1:17" x14ac:dyDescent="0.35">
      <c r="A11" t="s">
        <v>5</v>
      </c>
      <c r="B11" s="10">
        <v>-4000</v>
      </c>
      <c r="C11" t="s">
        <v>18</v>
      </c>
      <c r="D11" s="9">
        <f>-1000-1500</f>
        <v>-2500</v>
      </c>
      <c r="E11">
        <v>11000</v>
      </c>
      <c r="F11" t="s">
        <v>26</v>
      </c>
    </row>
    <row r="12" spans="1:17" x14ac:dyDescent="0.35">
      <c r="A12" t="s">
        <v>8</v>
      </c>
      <c r="B12" s="10">
        <v>-1400</v>
      </c>
      <c r="C12" t="s">
        <v>18</v>
      </c>
      <c r="D12">
        <v>-4000</v>
      </c>
      <c r="E12">
        <f>SUM(E10:E11)</f>
        <v>-11500</v>
      </c>
      <c r="F12" t="s">
        <v>27</v>
      </c>
      <c r="L12">
        <v>1400</v>
      </c>
    </row>
    <row r="13" spans="1:17" x14ac:dyDescent="0.35">
      <c r="A13" t="s">
        <v>9</v>
      </c>
      <c r="B13" s="10">
        <v>-3000</v>
      </c>
      <c r="C13" t="s">
        <v>18</v>
      </c>
      <c r="L13">
        <v>2000</v>
      </c>
    </row>
    <row r="14" spans="1:17" x14ac:dyDescent="0.35">
      <c r="A14" t="s">
        <v>12</v>
      </c>
      <c r="B14" s="10">
        <v>-2000</v>
      </c>
      <c r="C14" t="s">
        <v>18</v>
      </c>
      <c r="L14">
        <v>4000</v>
      </c>
    </row>
    <row r="15" spans="1:17" x14ac:dyDescent="0.35">
      <c r="A15" t="s">
        <v>13</v>
      </c>
      <c r="B15" s="10">
        <v>-1700</v>
      </c>
      <c r="C15" t="s">
        <v>18</v>
      </c>
      <c r="L15">
        <v>3000</v>
      </c>
    </row>
    <row r="16" spans="1:17" x14ac:dyDescent="0.35">
      <c r="A16" t="s">
        <v>17</v>
      </c>
      <c r="B16" s="10">
        <v>-200</v>
      </c>
      <c r="C16" t="s">
        <v>18</v>
      </c>
      <c r="L16">
        <v>1700</v>
      </c>
    </row>
    <row r="17" spans="1:14" x14ac:dyDescent="0.35">
      <c r="A17" t="s">
        <v>14</v>
      </c>
      <c r="B17" s="10">
        <v>-500</v>
      </c>
      <c r="C17" t="s">
        <v>18</v>
      </c>
      <c r="L17">
        <v>500</v>
      </c>
    </row>
    <row r="18" spans="1:14" ht="18.5" x14ac:dyDescent="0.45">
      <c r="A18" t="s">
        <v>16</v>
      </c>
      <c r="B18" s="11">
        <v>-700</v>
      </c>
      <c r="C18" t="s">
        <v>18</v>
      </c>
      <c r="E18">
        <f>1500-500-150-100</f>
        <v>750</v>
      </c>
      <c r="G18" s="1"/>
      <c r="H18" s="1"/>
      <c r="L18">
        <v>1800</v>
      </c>
    </row>
    <row r="19" spans="1:14" ht="18.5" x14ac:dyDescent="0.45">
      <c r="A19" t="s">
        <v>6</v>
      </c>
      <c r="B19" s="11">
        <v>-1000</v>
      </c>
      <c r="C19" t="s">
        <v>18</v>
      </c>
      <c r="L19">
        <v>2100</v>
      </c>
    </row>
    <row r="20" spans="1:14" ht="18.5" x14ac:dyDescent="0.45">
      <c r="A20" t="s">
        <v>7</v>
      </c>
      <c r="B20" s="11">
        <v>-500</v>
      </c>
      <c r="C20" t="s">
        <v>18</v>
      </c>
    </row>
    <row r="21" spans="1:14" ht="18.5" x14ac:dyDescent="0.45">
      <c r="A21" t="s">
        <v>10</v>
      </c>
      <c r="B21" s="11">
        <v>-3000</v>
      </c>
      <c r="C21" t="s">
        <v>18</v>
      </c>
    </row>
    <row r="22" spans="1:14" ht="18.5" x14ac:dyDescent="0.45">
      <c r="A22" t="s">
        <v>28</v>
      </c>
      <c r="B22" s="11">
        <v>-500</v>
      </c>
    </row>
    <row r="23" spans="1:14" x14ac:dyDescent="0.35">
      <c r="N23">
        <f>5400-1800</f>
        <v>3600</v>
      </c>
    </row>
    <row r="24" spans="1:14" x14ac:dyDescent="0.35">
      <c r="A24" t="s">
        <v>25</v>
      </c>
      <c r="B24">
        <v>-9500</v>
      </c>
      <c r="D24">
        <v>-9500</v>
      </c>
    </row>
    <row r="26" spans="1:14" x14ac:dyDescent="0.35">
      <c r="B26" s="1">
        <f>SUM(B5:B24)</f>
        <v>-66000</v>
      </c>
      <c r="D26" s="1">
        <f>SUM(D3:D25)</f>
        <v>18000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33"/>
  <sheetViews>
    <sheetView workbookViewId="0">
      <selection activeCell="D5" sqref="D5"/>
    </sheetView>
  </sheetViews>
  <sheetFormatPr defaultRowHeight="14.5" x14ac:dyDescent="0.35"/>
  <cols>
    <col min="1" max="1" width="69.7265625" customWidth="1"/>
    <col min="2" max="2" width="9.1796875" style="12"/>
  </cols>
  <sheetData>
    <row r="1" spans="1:11" x14ac:dyDescent="0.35">
      <c r="A1" t="s">
        <v>141</v>
      </c>
      <c r="B1" s="12">
        <v>51000</v>
      </c>
      <c r="E1" t="s">
        <v>150</v>
      </c>
      <c r="F1" s="80">
        <v>20770</v>
      </c>
      <c r="G1">
        <f>34800-4127-1700</f>
        <v>28973</v>
      </c>
      <c r="J1">
        <v>27600</v>
      </c>
    </row>
    <row r="2" spans="1:11" x14ac:dyDescent="0.35">
      <c r="A2" t="s">
        <v>2</v>
      </c>
      <c r="B2" s="12">
        <v>73000</v>
      </c>
      <c r="F2">
        <v>5000</v>
      </c>
    </row>
    <row r="3" spans="1:11" x14ac:dyDescent="0.35">
      <c r="J3">
        <v>9200</v>
      </c>
      <c r="K3" t="s">
        <v>133</v>
      </c>
    </row>
    <row r="4" spans="1:11" x14ac:dyDescent="0.35">
      <c r="A4" s="76" t="s">
        <v>143</v>
      </c>
      <c r="B4" s="78">
        <f>SUM(B1:B3)</f>
        <v>124000</v>
      </c>
      <c r="J4">
        <v>4000</v>
      </c>
      <c r="K4" t="s">
        <v>133</v>
      </c>
    </row>
    <row r="5" spans="1:11" x14ac:dyDescent="0.35">
      <c r="A5" s="76"/>
      <c r="J5">
        <v>2000</v>
      </c>
      <c r="K5" t="s">
        <v>147</v>
      </c>
    </row>
    <row r="6" spans="1:11" x14ac:dyDescent="0.35">
      <c r="A6" t="s">
        <v>74</v>
      </c>
      <c r="B6" s="12">
        <v>32000</v>
      </c>
      <c r="J6">
        <v>1100</v>
      </c>
      <c r="K6" t="s">
        <v>15</v>
      </c>
    </row>
    <row r="7" spans="1:11" x14ac:dyDescent="0.35">
      <c r="A7" s="34" t="s">
        <v>5</v>
      </c>
      <c r="B7" s="56">
        <v>5000</v>
      </c>
      <c r="J7">
        <v>1500</v>
      </c>
      <c r="K7" t="s">
        <v>11</v>
      </c>
    </row>
    <row r="8" spans="1:11" x14ac:dyDescent="0.35">
      <c r="A8" s="34" t="s">
        <v>8</v>
      </c>
      <c r="B8" s="56">
        <f>1400+700</f>
        <v>2100</v>
      </c>
      <c r="J8">
        <v>1400</v>
      </c>
      <c r="K8" t="s">
        <v>117</v>
      </c>
    </row>
    <row r="9" spans="1:11" x14ac:dyDescent="0.35">
      <c r="A9" s="33" t="s">
        <v>12</v>
      </c>
      <c r="B9" s="56">
        <v>2100</v>
      </c>
      <c r="J9">
        <v>500</v>
      </c>
      <c r="K9" t="s">
        <v>14</v>
      </c>
    </row>
    <row r="10" spans="1:11" x14ac:dyDescent="0.35">
      <c r="A10" s="33" t="s">
        <v>13</v>
      </c>
      <c r="B10" s="54">
        <v>1700</v>
      </c>
      <c r="J10">
        <v>300</v>
      </c>
      <c r="K10" t="s">
        <v>148</v>
      </c>
    </row>
    <row r="11" spans="1:11" x14ac:dyDescent="0.35">
      <c r="A11" s="34" t="s">
        <v>15</v>
      </c>
      <c r="B11" s="53">
        <v>1100</v>
      </c>
      <c r="C11">
        <f>+B11</f>
        <v>1100</v>
      </c>
      <c r="E11" s="81" t="s">
        <v>142</v>
      </c>
      <c r="J11">
        <v>1700</v>
      </c>
      <c r="K11" t="s">
        <v>149</v>
      </c>
    </row>
    <row r="12" spans="1:11" x14ac:dyDescent="0.35">
      <c r="A12" s="34" t="s">
        <v>11</v>
      </c>
      <c r="B12" s="53">
        <v>1500</v>
      </c>
      <c r="C12">
        <f t="shared" ref="C12:C14" si="0">+B12</f>
        <v>1500</v>
      </c>
      <c r="D12">
        <v>1200</v>
      </c>
      <c r="E12" s="81" t="s">
        <v>142</v>
      </c>
      <c r="J12">
        <v>3000</v>
      </c>
      <c r="K12" t="s">
        <v>10</v>
      </c>
    </row>
    <row r="13" spans="1:11" x14ac:dyDescent="0.35">
      <c r="A13" s="34" t="s">
        <v>23</v>
      </c>
      <c r="B13" s="54">
        <v>100</v>
      </c>
      <c r="C13">
        <f t="shared" si="0"/>
        <v>100</v>
      </c>
      <c r="J13">
        <v>5000</v>
      </c>
      <c r="K13" t="s">
        <v>130</v>
      </c>
    </row>
    <row r="14" spans="1:11" x14ac:dyDescent="0.35">
      <c r="A14" s="33" t="s">
        <v>151</v>
      </c>
      <c r="B14" s="53">
        <v>12000</v>
      </c>
      <c r="C14">
        <f t="shared" si="0"/>
        <v>12000</v>
      </c>
      <c r="E14" s="81" t="s">
        <v>142</v>
      </c>
      <c r="F14" s="80">
        <f>SUM(F1:F13)</f>
        <v>25770</v>
      </c>
      <c r="G14">
        <f>+G1</f>
        <v>28973</v>
      </c>
      <c r="J14">
        <v>6000</v>
      </c>
      <c r="K14" t="s">
        <v>115</v>
      </c>
    </row>
    <row r="15" spans="1:11" x14ac:dyDescent="0.35">
      <c r="A15" s="34" t="s">
        <v>111</v>
      </c>
      <c r="B15" s="54">
        <v>5000</v>
      </c>
      <c r="C15">
        <f>+B15</f>
        <v>5000</v>
      </c>
      <c r="F15" s="80"/>
      <c r="G15" s="1">
        <f>+G14-F14</f>
        <v>3203</v>
      </c>
      <c r="J15">
        <v>10000</v>
      </c>
    </row>
    <row r="16" spans="1:11" x14ac:dyDescent="0.35">
      <c r="A16" s="34" t="s">
        <v>91</v>
      </c>
      <c r="B16" s="54"/>
    </row>
    <row r="17" spans="1:14" x14ac:dyDescent="0.35">
      <c r="A17" s="33" t="s">
        <v>92</v>
      </c>
      <c r="B17" s="56">
        <v>40000</v>
      </c>
    </row>
    <row r="18" spans="1:14" x14ac:dyDescent="0.35">
      <c r="A18" s="34" t="s">
        <v>22</v>
      </c>
      <c r="B18" s="53">
        <v>3000</v>
      </c>
      <c r="C18">
        <f t="shared" ref="C18:C25" si="1">+B18</f>
        <v>3000</v>
      </c>
      <c r="D18">
        <v>1500</v>
      </c>
    </row>
    <row r="19" spans="1:14" x14ac:dyDescent="0.35">
      <c r="A19" s="34" t="s">
        <v>17</v>
      </c>
      <c r="B19" s="34">
        <v>300</v>
      </c>
      <c r="C19">
        <f t="shared" si="1"/>
        <v>300</v>
      </c>
    </row>
    <row r="20" spans="1:14" x14ac:dyDescent="0.35">
      <c r="A20" s="34" t="s">
        <v>14</v>
      </c>
      <c r="B20" s="34">
        <v>500</v>
      </c>
      <c r="C20">
        <f t="shared" si="1"/>
        <v>500</v>
      </c>
    </row>
    <row r="21" spans="1:14" x14ac:dyDescent="0.35">
      <c r="A21" s="34" t="s">
        <v>6</v>
      </c>
      <c r="B21" s="34">
        <v>1000</v>
      </c>
      <c r="C21">
        <f t="shared" si="1"/>
        <v>1000</v>
      </c>
    </row>
    <row r="22" spans="1:14" x14ac:dyDescent="0.35">
      <c r="A22" s="34" t="s">
        <v>16</v>
      </c>
      <c r="B22" s="34">
        <v>500</v>
      </c>
      <c r="C22">
        <f t="shared" si="1"/>
        <v>500</v>
      </c>
    </row>
    <row r="23" spans="1:14" x14ac:dyDescent="0.35">
      <c r="A23" s="34" t="s">
        <v>7</v>
      </c>
      <c r="B23" s="34">
        <v>500</v>
      </c>
      <c r="C23">
        <f t="shared" si="1"/>
        <v>500</v>
      </c>
      <c r="E23" s="82" t="s">
        <v>152</v>
      </c>
      <c r="J23" s="1">
        <f>+J1-SUM(J2:J22)</f>
        <v>-18100</v>
      </c>
      <c r="L23">
        <v>32000</v>
      </c>
    </row>
    <row r="24" spans="1:14" x14ac:dyDescent="0.35">
      <c r="A24" s="34" t="s">
        <v>10</v>
      </c>
      <c r="B24" s="36">
        <v>3000</v>
      </c>
      <c r="C24">
        <f t="shared" si="1"/>
        <v>3000</v>
      </c>
      <c r="D24">
        <v>1500</v>
      </c>
      <c r="E24" s="82" t="s">
        <v>152</v>
      </c>
      <c r="L24">
        <f>+L23+J23</f>
        <v>13900</v>
      </c>
      <c r="M24">
        <v>18000</v>
      </c>
      <c r="N24">
        <f>+L24+M24</f>
        <v>31900</v>
      </c>
    </row>
    <row r="25" spans="1:14" x14ac:dyDescent="0.35">
      <c r="A25" s="34" t="s">
        <v>46</v>
      </c>
      <c r="B25" s="34">
        <f>700+700</f>
        <v>1400</v>
      </c>
      <c r="C25">
        <f t="shared" si="1"/>
        <v>1400</v>
      </c>
      <c r="D25">
        <v>700</v>
      </c>
      <c r="E25" s="81" t="s">
        <v>153</v>
      </c>
    </row>
    <row r="26" spans="1:14" x14ac:dyDescent="0.35">
      <c r="A26" s="34" t="s">
        <v>127</v>
      </c>
      <c r="B26" s="34">
        <v>4000</v>
      </c>
    </row>
    <row r="27" spans="1:14" x14ac:dyDescent="0.35">
      <c r="A27" s="34" t="s">
        <v>128</v>
      </c>
      <c r="B27" s="34">
        <v>1900</v>
      </c>
    </row>
    <row r="28" spans="1:14" x14ac:dyDescent="0.35">
      <c r="A28" s="34" t="s">
        <v>109</v>
      </c>
      <c r="B28" s="34"/>
    </row>
    <row r="29" spans="1:14" x14ac:dyDescent="0.35">
      <c r="A29" s="34" t="s">
        <v>144</v>
      </c>
      <c r="B29" s="34">
        <v>5000</v>
      </c>
    </row>
    <row r="30" spans="1:14" x14ac:dyDescent="0.35">
      <c r="A30" s="34" t="s">
        <v>146</v>
      </c>
      <c r="B30" s="79">
        <f>SUM(B6:B29)</f>
        <v>123700</v>
      </c>
    </row>
    <row r="31" spans="1:14" x14ac:dyDescent="0.35">
      <c r="B31" s="34"/>
    </row>
    <row r="33" spans="1:2" x14ac:dyDescent="0.35">
      <c r="A33" s="34" t="s">
        <v>145</v>
      </c>
      <c r="B33" s="77">
        <f>+B4-B30</f>
        <v>300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33"/>
  <sheetViews>
    <sheetView workbookViewId="0">
      <selection activeCell="I14" sqref="I14"/>
    </sheetView>
  </sheetViews>
  <sheetFormatPr defaultRowHeight="14.5" x14ac:dyDescent="0.35"/>
  <cols>
    <col min="1" max="1" width="69.7265625" customWidth="1"/>
    <col min="2" max="2" width="9.1796875" style="12"/>
    <col min="4" max="4" width="18.54296875" bestFit="1" customWidth="1"/>
    <col min="5" max="5" width="15.1796875" customWidth="1"/>
  </cols>
  <sheetData>
    <row r="1" spans="1:12" x14ac:dyDescent="0.35">
      <c r="A1" t="s">
        <v>141</v>
      </c>
      <c r="B1" s="12">
        <v>50000</v>
      </c>
      <c r="D1" t="s">
        <v>154</v>
      </c>
      <c r="E1">
        <v>42000</v>
      </c>
      <c r="H1" t="s">
        <v>158</v>
      </c>
      <c r="I1">
        <v>10000</v>
      </c>
      <c r="K1">
        <f>39000-3000</f>
        <v>36000</v>
      </c>
      <c r="L1">
        <f>7000*12</f>
        <v>84000</v>
      </c>
    </row>
    <row r="2" spans="1:12" x14ac:dyDescent="0.35">
      <c r="A2" t="s">
        <v>2</v>
      </c>
      <c r="B2" s="12">
        <v>72000</v>
      </c>
      <c r="D2" t="s">
        <v>155</v>
      </c>
      <c r="E2">
        <v>24000</v>
      </c>
      <c r="H2" t="s">
        <v>116</v>
      </c>
      <c r="I2">
        <v>1003</v>
      </c>
      <c r="K2">
        <v>46000</v>
      </c>
      <c r="L2">
        <f>5000*12</f>
        <v>60000</v>
      </c>
    </row>
    <row r="3" spans="1:12" x14ac:dyDescent="0.35">
      <c r="D3" t="s">
        <v>133</v>
      </c>
      <c r="E3">
        <f>10900-1700</f>
        <v>9200</v>
      </c>
      <c r="H3" t="s">
        <v>159</v>
      </c>
      <c r="I3">
        <v>1100</v>
      </c>
      <c r="K3">
        <v>-17103</v>
      </c>
    </row>
    <row r="4" spans="1:12" x14ac:dyDescent="0.35">
      <c r="A4" s="76" t="s">
        <v>143</v>
      </c>
      <c r="B4" s="78">
        <f>SUM(B1:B3)</f>
        <v>122000</v>
      </c>
      <c r="D4" t="s">
        <v>157</v>
      </c>
      <c r="E4">
        <v>4000</v>
      </c>
      <c r="H4" t="s">
        <v>160</v>
      </c>
      <c r="I4">
        <v>5000</v>
      </c>
      <c r="K4">
        <v>-1700</v>
      </c>
    </row>
    <row r="5" spans="1:12" x14ac:dyDescent="0.35">
      <c r="A5" s="76"/>
      <c r="D5" t="s">
        <v>149</v>
      </c>
      <c r="E5">
        <v>1700</v>
      </c>
      <c r="K5">
        <v>-10900</v>
      </c>
    </row>
    <row r="6" spans="1:12" x14ac:dyDescent="0.35">
      <c r="A6" t="s">
        <v>74</v>
      </c>
      <c r="B6" s="12">
        <v>32000</v>
      </c>
      <c r="D6" t="s">
        <v>156</v>
      </c>
      <c r="E6">
        <v>4000</v>
      </c>
      <c r="K6">
        <v>-4000</v>
      </c>
    </row>
    <row r="7" spans="1:12" x14ac:dyDescent="0.35">
      <c r="A7" s="34" t="s">
        <v>5</v>
      </c>
      <c r="B7" s="56">
        <v>5000</v>
      </c>
      <c r="D7" t="s">
        <v>130</v>
      </c>
      <c r="E7">
        <v>5000</v>
      </c>
      <c r="K7">
        <v>-5000</v>
      </c>
    </row>
    <row r="8" spans="1:12" x14ac:dyDescent="0.35">
      <c r="A8" s="34" t="s">
        <v>8</v>
      </c>
      <c r="B8" s="56">
        <f>1400+700</f>
        <v>2100</v>
      </c>
      <c r="K8">
        <f>-700-700</f>
        <v>-1400</v>
      </c>
    </row>
    <row r="9" spans="1:12" x14ac:dyDescent="0.35">
      <c r="A9" s="33" t="s">
        <v>12</v>
      </c>
      <c r="B9" s="56">
        <v>2100</v>
      </c>
      <c r="K9">
        <v>-2000</v>
      </c>
    </row>
    <row r="10" spans="1:12" x14ac:dyDescent="0.35">
      <c r="A10" s="33" t="s">
        <v>13</v>
      </c>
      <c r="B10" s="54">
        <v>1700</v>
      </c>
      <c r="K10">
        <v>-2000</v>
      </c>
    </row>
    <row r="11" spans="1:12" x14ac:dyDescent="0.35">
      <c r="A11" s="34" t="s">
        <v>15</v>
      </c>
      <c r="B11" s="53">
        <v>1100</v>
      </c>
      <c r="I11" s="8">
        <f>SUM(I1:I10)</f>
        <v>17103</v>
      </c>
      <c r="K11">
        <v>-5000</v>
      </c>
    </row>
    <row r="12" spans="1:12" x14ac:dyDescent="0.35">
      <c r="A12" s="34" t="s">
        <v>11</v>
      </c>
      <c r="B12" s="53">
        <v>1500</v>
      </c>
      <c r="K12">
        <v>-2000</v>
      </c>
    </row>
    <row r="13" spans="1:12" x14ac:dyDescent="0.35">
      <c r="A13" s="34" t="s">
        <v>23</v>
      </c>
      <c r="B13" s="54">
        <v>100</v>
      </c>
    </row>
    <row r="14" spans="1:12" x14ac:dyDescent="0.35">
      <c r="A14" s="33" t="s">
        <v>151</v>
      </c>
      <c r="B14" s="53">
        <v>12000</v>
      </c>
    </row>
    <row r="15" spans="1:12" x14ac:dyDescent="0.35">
      <c r="A15" s="34" t="s">
        <v>111</v>
      </c>
      <c r="B15" s="54">
        <v>5000</v>
      </c>
    </row>
    <row r="16" spans="1:12" x14ac:dyDescent="0.35">
      <c r="A16" s="34" t="s">
        <v>91</v>
      </c>
      <c r="B16" s="54"/>
    </row>
    <row r="17" spans="1:13" x14ac:dyDescent="0.35">
      <c r="A17" s="33" t="s">
        <v>92</v>
      </c>
      <c r="B17" s="56">
        <v>40000</v>
      </c>
      <c r="E17" s="1">
        <f>SUM(E1:E16)</f>
        <v>89900</v>
      </c>
      <c r="K17" s="8">
        <f>SUM(K1:K16)</f>
        <v>30897</v>
      </c>
    </row>
    <row r="18" spans="1:13" x14ac:dyDescent="0.35">
      <c r="A18" s="34" t="s">
        <v>22</v>
      </c>
      <c r="B18" s="53">
        <v>3000</v>
      </c>
    </row>
    <row r="19" spans="1:13" x14ac:dyDescent="0.35">
      <c r="A19" s="34" t="s">
        <v>17</v>
      </c>
      <c r="B19" s="34">
        <v>300</v>
      </c>
      <c r="E19">
        <v>39000</v>
      </c>
    </row>
    <row r="20" spans="1:13" x14ac:dyDescent="0.35">
      <c r="A20" s="34" t="s">
        <v>14</v>
      </c>
      <c r="B20" s="34">
        <v>500</v>
      </c>
      <c r="E20">
        <v>50000</v>
      </c>
    </row>
    <row r="21" spans="1:13" x14ac:dyDescent="0.35">
      <c r="A21" s="34" t="s">
        <v>6</v>
      </c>
      <c r="B21" s="34">
        <v>1000</v>
      </c>
    </row>
    <row r="22" spans="1:13" x14ac:dyDescent="0.35">
      <c r="A22" s="34" t="s">
        <v>16</v>
      </c>
      <c r="B22" s="34">
        <v>500</v>
      </c>
    </row>
    <row r="23" spans="1:13" x14ac:dyDescent="0.35">
      <c r="A23" s="34" t="s">
        <v>7</v>
      </c>
      <c r="B23" s="34">
        <v>500</v>
      </c>
    </row>
    <row r="24" spans="1:13" x14ac:dyDescent="0.35">
      <c r="A24" s="34" t="s">
        <v>10</v>
      </c>
      <c r="B24" s="36">
        <v>3000</v>
      </c>
      <c r="M24" s="1"/>
    </row>
    <row r="25" spans="1:13" x14ac:dyDescent="0.35">
      <c r="A25" s="34" t="s">
        <v>46</v>
      </c>
      <c r="B25" s="34">
        <f>700+700</f>
        <v>1400</v>
      </c>
    </row>
    <row r="26" spans="1:13" x14ac:dyDescent="0.35">
      <c r="A26" s="34" t="s">
        <v>127</v>
      </c>
      <c r="B26" s="34">
        <v>4000</v>
      </c>
      <c r="E26" s="1">
        <f>SUM(E19:E20)-E17</f>
        <v>-900</v>
      </c>
    </row>
    <row r="27" spans="1:13" x14ac:dyDescent="0.35">
      <c r="A27" s="34" t="s">
        <v>128</v>
      </c>
      <c r="B27" s="34">
        <v>1900</v>
      </c>
    </row>
    <row r="28" spans="1:13" x14ac:dyDescent="0.35">
      <c r="A28" s="34" t="s">
        <v>109</v>
      </c>
      <c r="B28" s="34"/>
    </row>
    <row r="29" spans="1:13" x14ac:dyDescent="0.35">
      <c r="A29" s="34" t="s">
        <v>144</v>
      </c>
      <c r="B29" s="34">
        <v>5000</v>
      </c>
    </row>
    <row r="30" spans="1:13" x14ac:dyDescent="0.35">
      <c r="A30" s="34" t="s">
        <v>146</v>
      </c>
      <c r="B30" s="79">
        <f>SUM(B6:B29)</f>
        <v>123700</v>
      </c>
    </row>
    <row r="31" spans="1:13" x14ac:dyDescent="0.35">
      <c r="B31" s="34"/>
    </row>
    <row r="33" spans="1:2" x14ac:dyDescent="0.35">
      <c r="A33" s="34" t="s">
        <v>145</v>
      </c>
      <c r="B33" s="77">
        <f>+B4-B30</f>
        <v>-1700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M33"/>
  <sheetViews>
    <sheetView workbookViewId="0">
      <selection activeCell="I14" sqref="I14"/>
    </sheetView>
  </sheetViews>
  <sheetFormatPr defaultRowHeight="14.5" x14ac:dyDescent="0.35"/>
  <cols>
    <col min="1" max="1" width="69.7265625" customWidth="1"/>
    <col min="2" max="2" width="9.1796875" style="12"/>
    <col min="4" max="4" width="18.54296875" bestFit="1" customWidth="1"/>
    <col min="5" max="5" width="15.1796875" customWidth="1"/>
  </cols>
  <sheetData>
    <row r="1" spans="1:12" x14ac:dyDescent="0.35">
      <c r="A1" t="s">
        <v>141</v>
      </c>
      <c r="B1" s="12">
        <v>50000</v>
      </c>
      <c r="D1" t="s">
        <v>154</v>
      </c>
      <c r="E1">
        <v>42000</v>
      </c>
      <c r="H1" t="s">
        <v>158</v>
      </c>
      <c r="I1">
        <v>10000</v>
      </c>
      <c r="K1">
        <f>39000-3000</f>
        <v>36000</v>
      </c>
      <c r="L1">
        <f>7000*12</f>
        <v>84000</v>
      </c>
    </row>
    <row r="2" spans="1:12" x14ac:dyDescent="0.35">
      <c r="A2" t="s">
        <v>2</v>
      </c>
      <c r="B2" s="12">
        <v>72000</v>
      </c>
      <c r="D2" t="s">
        <v>155</v>
      </c>
      <c r="E2">
        <v>24000</v>
      </c>
      <c r="H2" t="s">
        <v>116</v>
      </c>
      <c r="I2">
        <v>1003</v>
      </c>
      <c r="K2">
        <v>46000</v>
      </c>
      <c r="L2">
        <f>5000*12</f>
        <v>60000</v>
      </c>
    </row>
    <row r="3" spans="1:12" x14ac:dyDescent="0.35">
      <c r="D3" t="s">
        <v>133</v>
      </c>
      <c r="E3">
        <f>10900-1700</f>
        <v>9200</v>
      </c>
      <c r="H3" t="s">
        <v>159</v>
      </c>
      <c r="I3">
        <v>1100</v>
      </c>
      <c r="K3">
        <v>-17103</v>
      </c>
    </row>
    <row r="4" spans="1:12" x14ac:dyDescent="0.35">
      <c r="A4" s="76" t="s">
        <v>143</v>
      </c>
      <c r="B4" s="78">
        <f>SUM(B1:B3)</f>
        <v>122000</v>
      </c>
      <c r="D4" t="s">
        <v>157</v>
      </c>
      <c r="E4">
        <v>4000</v>
      </c>
      <c r="H4" t="s">
        <v>160</v>
      </c>
      <c r="I4">
        <v>5000</v>
      </c>
      <c r="K4">
        <v>-1700</v>
      </c>
    </row>
    <row r="5" spans="1:12" x14ac:dyDescent="0.35">
      <c r="A5" s="76"/>
      <c r="D5" t="s">
        <v>149</v>
      </c>
      <c r="E5">
        <v>1700</v>
      </c>
      <c r="K5">
        <v>-10900</v>
      </c>
    </row>
    <row r="6" spans="1:12" x14ac:dyDescent="0.35">
      <c r="A6" t="s">
        <v>74</v>
      </c>
      <c r="B6" s="12">
        <v>32000</v>
      </c>
      <c r="D6" t="s">
        <v>156</v>
      </c>
      <c r="E6">
        <v>4000</v>
      </c>
      <c r="K6">
        <v>-4000</v>
      </c>
    </row>
    <row r="7" spans="1:12" x14ac:dyDescent="0.35">
      <c r="A7" s="34" t="s">
        <v>5</v>
      </c>
      <c r="B7" s="56">
        <v>5000</v>
      </c>
      <c r="D7" t="s">
        <v>130</v>
      </c>
      <c r="E7">
        <v>5000</v>
      </c>
      <c r="K7">
        <v>-5000</v>
      </c>
    </row>
    <row r="8" spans="1:12" x14ac:dyDescent="0.35">
      <c r="A8" s="34" t="s">
        <v>8</v>
      </c>
      <c r="B8" s="56">
        <f>1400+700</f>
        <v>2100</v>
      </c>
      <c r="K8">
        <f>-700-700</f>
        <v>-1400</v>
      </c>
    </row>
    <row r="9" spans="1:12" x14ac:dyDescent="0.35">
      <c r="A9" s="33" t="s">
        <v>12</v>
      </c>
      <c r="B9" s="56">
        <v>2100</v>
      </c>
      <c r="K9">
        <v>-2000</v>
      </c>
    </row>
    <row r="10" spans="1:12" x14ac:dyDescent="0.35">
      <c r="A10" s="33" t="s">
        <v>13</v>
      </c>
      <c r="B10" s="54">
        <v>1700</v>
      </c>
      <c r="K10">
        <v>-2000</v>
      </c>
    </row>
    <row r="11" spans="1:12" x14ac:dyDescent="0.35">
      <c r="A11" s="34" t="s">
        <v>15</v>
      </c>
      <c r="B11" s="53">
        <v>1100</v>
      </c>
      <c r="I11" s="8">
        <f>SUM(I1:I10)</f>
        <v>17103</v>
      </c>
      <c r="K11">
        <v>-5000</v>
      </c>
    </row>
    <row r="12" spans="1:12" x14ac:dyDescent="0.35">
      <c r="A12" s="34" t="s">
        <v>11</v>
      </c>
      <c r="B12" s="53">
        <v>1500</v>
      </c>
      <c r="K12">
        <v>-2000</v>
      </c>
    </row>
    <row r="13" spans="1:12" x14ac:dyDescent="0.35">
      <c r="A13" s="34" t="s">
        <v>23</v>
      </c>
      <c r="B13" s="54">
        <v>100</v>
      </c>
    </row>
    <row r="14" spans="1:12" x14ac:dyDescent="0.35">
      <c r="A14" s="33" t="s">
        <v>151</v>
      </c>
      <c r="B14" s="53">
        <v>12000</v>
      </c>
    </row>
    <row r="15" spans="1:12" x14ac:dyDescent="0.35">
      <c r="A15" s="34" t="s">
        <v>111</v>
      </c>
      <c r="B15" s="54">
        <v>5000</v>
      </c>
    </row>
    <row r="16" spans="1:12" x14ac:dyDescent="0.35">
      <c r="A16" s="34" t="s">
        <v>91</v>
      </c>
      <c r="B16" s="54"/>
    </row>
    <row r="17" spans="1:13" x14ac:dyDescent="0.35">
      <c r="A17" s="33" t="s">
        <v>92</v>
      </c>
      <c r="B17" s="56">
        <v>40000</v>
      </c>
      <c r="E17" s="1">
        <f>SUM(E1:E16)</f>
        <v>89900</v>
      </c>
      <c r="K17" s="8">
        <f>SUM(K1:K16)</f>
        <v>30897</v>
      </c>
    </row>
    <row r="18" spans="1:13" x14ac:dyDescent="0.35">
      <c r="A18" s="34" t="s">
        <v>22</v>
      </c>
      <c r="B18" s="53">
        <v>3000</v>
      </c>
    </row>
    <row r="19" spans="1:13" x14ac:dyDescent="0.35">
      <c r="A19" s="34" t="s">
        <v>17</v>
      </c>
      <c r="B19" s="34">
        <v>300</v>
      </c>
      <c r="E19">
        <v>39000</v>
      </c>
    </row>
    <row r="20" spans="1:13" x14ac:dyDescent="0.35">
      <c r="A20" s="34" t="s">
        <v>14</v>
      </c>
      <c r="B20" s="34">
        <v>500</v>
      </c>
      <c r="E20">
        <v>50000</v>
      </c>
    </row>
    <row r="21" spans="1:13" x14ac:dyDescent="0.35">
      <c r="A21" s="34" t="s">
        <v>6</v>
      </c>
      <c r="B21" s="34">
        <v>1000</v>
      </c>
    </row>
    <row r="22" spans="1:13" x14ac:dyDescent="0.35">
      <c r="A22" s="34" t="s">
        <v>16</v>
      </c>
      <c r="B22" s="34">
        <v>500</v>
      </c>
    </row>
    <row r="23" spans="1:13" x14ac:dyDescent="0.35">
      <c r="A23" s="34" t="s">
        <v>7</v>
      </c>
      <c r="B23" s="34">
        <v>500</v>
      </c>
    </row>
    <row r="24" spans="1:13" x14ac:dyDescent="0.35">
      <c r="A24" s="34" t="s">
        <v>10</v>
      </c>
      <c r="B24" s="36">
        <v>3000</v>
      </c>
      <c r="M24" s="1"/>
    </row>
    <row r="25" spans="1:13" x14ac:dyDescent="0.35">
      <c r="A25" s="34" t="s">
        <v>46</v>
      </c>
      <c r="B25" s="34">
        <f>700+700</f>
        <v>1400</v>
      </c>
    </row>
    <row r="26" spans="1:13" x14ac:dyDescent="0.35">
      <c r="A26" s="34" t="s">
        <v>127</v>
      </c>
      <c r="B26" s="34">
        <v>4000</v>
      </c>
      <c r="E26" s="1">
        <f>SUM(E19:E20)-E17</f>
        <v>-900</v>
      </c>
    </row>
    <row r="27" spans="1:13" x14ac:dyDescent="0.35">
      <c r="A27" s="34" t="s">
        <v>128</v>
      </c>
      <c r="B27" s="34">
        <v>1900</v>
      </c>
    </row>
    <row r="28" spans="1:13" x14ac:dyDescent="0.35">
      <c r="A28" s="34" t="s">
        <v>109</v>
      </c>
      <c r="B28" s="34"/>
    </row>
    <row r="29" spans="1:13" x14ac:dyDescent="0.35">
      <c r="A29" s="34" t="s">
        <v>144</v>
      </c>
      <c r="B29" s="34">
        <v>5000</v>
      </c>
    </row>
    <row r="30" spans="1:13" x14ac:dyDescent="0.35">
      <c r="A30" s="34" t="s">
        <v>146</v>
      </c>
      <c r="B30" s="79">
        <f>SUM(B6:B29)</f>
        <v>123700</v>
      </c>
    </row>
    <row r="31" spans="1:13" x14ac:dyDescent="0.35">
      <c r="B31" s="34"/>
    </row>
    <row r="33" spans="1:2" x14ac:dyDescent="0.35">
      <c r="A33" s="34" t="s">
        <v>145</v>
      </c>
      <c r="B33" s="77">
        <f>+B4-B30</f>
        <v>-1700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46"/>
  <sheetViews>
    <sheetView topLeftCell="A19" workbookViewId="0">
      <selection sqref="A1:C36"/>
    </sheetView>
  </sheetViews>
  <sheetFormatPr defaultRowHeight="14.5" x14ac:dyDescent="0.35"/>
  <cols>
    <col min="1" max="1" width="69.7265625" customWidth="1"/>
    <col min="2" max="2" width="9.1796875" style="12"/>
    <col min="4" max="4" width="18.54296875" bestFit="1" customWidth="1"/>
    <col min="5" max="5" width="15.1796875" customWidth="1"/>
  </cols>
  <sheetData>
    <row r="1" spans="1:5" x14ac:dyDescent="0.35">
      <c r="A1" t="s">
        <v>141</v>
      </c>
      <c r="B1" s="12">
        <v>53000</v>
      </c>
      <c r="E1">
        <v>85000</v>
      </c>
    </row>
    <row r="2" spans="1:5" x14ac:dyDescent="0.35">
      <c r="A2" t="s">
        <v>2</v>
      </c>
      <c r="B2" s="12">
        <v>69000</v>
      </c>
      <c r="E2">
        <v>9200</v>
      </c>
    </row>
    <row r="3" spans="1:5" x14ac:dyDescent="0.35">
      <c r="A3" t="s">
        <v>164</v>
      </c>
      <c r="B3" s="12">
        <v>25000</v>
      </c>
      <c r="E3">
        <v>1700</v>
      </c>
    </row>
    <row r="4" spans="1:5" x14ac:dyDescent="0.35">
      <c r="A4" s="76" t="s">
        <v>143</v>
      </c>
      <c r="B4" s="78">
        <f>SUM(B1:B3)</f>
        <v>147000</v>
      </c>
      <c r="E4">
        <v>4000</v>
      </c>
    </row>
    <row r="5" spans="1:5" x14ac:dyDescent="0.35">
      <c r="A5" s="76"/>
      <c r="E5">
        <v>2000</v>
      </c>
    </row>
    <row r="6" spans="1:5" x14ac:dyDescent="0.35">
      <c r="A6" t="s">
        <v>74</v>
      </c>
      <c r="B6" s="12">
        <v>32000</v>
      </c>
      <c r="E6">
        <v>5000</v>
      </c>
    </row>
    <row r="7" spans="1:5" x14ac:dyDescent="0.35">
      <c r="A7" s="33" t="s">
        <v>162</v>
      </c>
      <c r="B7" s="56">
        <v>5000</v>
      </c>
      <c r="E7">
        <v>300</v>
      </c>
    </row>
    <row r="8" spans="1:5" x14ac:dyDescent="0.35">
      <c r="A8" s="34" t="s">
        <v>8</v>
      </c>
      <c r="B8" s="56">
        <f>1400+700</f>
        <v>2100</v>
      </c>
      <c r="E8">
        <v>500</v>
      </c>
    </row>
    <row r="9" spans="1:5" x14ac:dyDescent="0.35">
      <c r="A9" s="33" t="s">
        <v>165</v>
      </c>
      <c r="B9" s="56">
        <v>2100</v>
      </c>
      <c r="E9">
        <v>1000</v>
      </c>
    </row>
    <row r="10" spans="1:5" x14ac:dyDescent="0.35">
      <c r="A10" s="33" t="s">
        <v>13</v>
      </c>
      <c r="B10" s="54">
        <v>1700</v>
      </c>
      <c r="E10">
        <v>1000</v>
      </c>
    </row>
    <row r="11" spans="1:5" x14ac:dyDescent="0.35">
      <c r="A11" s="34" t="s">
        <v>15</v>
      </c>
      <c r="B11" s="53">
        <v>1100</v>
      </c>
      <c r="C11" t="s">
        <v>150</v>
      </c>
      <c r="E11">
        <v>33000</v>
      </c>
    </row>
    <row r="12" spans="1:5" x14ac:dyDescent="0.35">
      <c r="A12" s="34" t="s">
        <v>11</v>
      </c>
      <c r="B12" s="53">
        <v>1500</v>
      </c>
      <c r="C12" t="s">
        <v>150</v>
      </c>
      <c r="E12">
        <v>3000</v>
      </c>
    </row>
    <row r="13" spans="1:5" x14ac:dyDescent="0.35">
      <c r="A13" s="33" t="s">
        <v>166</v>
      </c>
      <c r="B13" s="54">
        <v>0</v>
      </c>
    </row>
    <row r="14" spans="1:5" x14ac:dyDescent="0.35">
      <c r="A14" s="33" t="s">
        <v>151</v>
      </c>
      <c r="B14" s="53">
        <v>15000</v>
      </c>
      <c r="C14" t="s">
        <v>150</v>
      </c>
    </row>
    <row r="15" spans="1:5" x14ac:dyDescent="0.35">
      <c r="A15" s="34" t="s">
        <v>111</v>
      </c>
      <c r="B15" s="54">
        <v>5000</v>
      </c>
    </row>
    <row r="16" spans="1:5" x14ac:dyDescent="0.35">
      <c r="A16" s="34" t="s">
        <v>91</v>
      </c>
      <c r="B16" s="54"/>
    </row>
    <row r="17" spans="1:5" x14ac:dyDescent="0.35">
      <c r="A17" s="33" t="s">
        <v>92</v>
      </c>
      <c r="B17" s="56"/>
    </row>
    <row r="18" spans="1:5" x14ac:dyDescent="0.35">
      <c r="A18" s="34" t="s">
        <v>22</v>
      </c>
      <c r="B18" s="53">
        <v>3000</v>
      </c>
      <c r="C18" t="s">
        <v>150</v>
      </c>
    </row>
    <row r="19" spans="1:5" x14ac:dyDescent="0.35">
      <c r="A19" s="34" t="s">
        <v>17</v>
      </c>
      <c r="B19" s="34">
        <v>300</v>
      </c>
    </row>
    <row r="20" spans="1:5" x14ac:dyDescent="0.35">
      <c r="A20" s="34" t="s">
        <v>14</v>
      </c>
      <c r="B20" s="34">
        <v>500</v>
      </c>
    </row>
    <row r="21" spans="1:5" x14ac:dyDescent="0.35">
      <c r="A21" s="34" t="s">
        <v>6</v>
      </c>
      <c r="B21" s="34">
        <v>1000</v>
      </c>
    </row>
    <row r="22" spans="1:5" x14ac:dyDescent="0.35">
      <c r="A22" s="34" t="s">
        <v>16</v>
      </c>
      <c r="B22" s="34">
        <v>500</v>
      </c>
    </row>
    <row r="23" spans="1:5" x14ac:dyDescent="0.35">
      <c r="A23" s="34" t="s">
        <v>7</v>
      </c>
      <c r="B23" s="34">
        <v>1000</v>
      </c>
    </row>
    <row r="24" spans="1:5" x14ac:dyDescent="0.35">
      <c r="A24" s="34" t="s">
        <v>10</v>
      </c>
      <c r="B24" s="36">
        <v>3000</v>
      </c>
    </row>
    <row r="25" spans="1:5" x14ac:dyDescent="0.35">
      <c r="A25" s="34" t="s">
        <v>46</v>
      </c>
      <c r="B25" s="34">
        <f>700+700</f>
        <v>1400</v>
      </c>
      <c r="C25" t="s">
        <v>150</v>
      </c>
      <c r="E25" s="1">
        <f>SUM(E1)-SUM(E2:E24)</f>
        <v>24300</v>
      </c>
    </row>
    <row r="26" spans="1:5" x14ac:dyDescent="0.35">
      <c r="A26" s="33" t="s">
        <v>163</v>
      </c>
      <c r="B26" s="34">
        <v>4000</v>
      </c>
    </row>
    <row r="27" spans="1:5" x14ac:dyDescent="0.35">
      <c r="A27" s="34" t="s">
        <v>128</v>
      </c>
      <c r="B27" s="34">
        <v>2000</v>
      </c>
    </row>
    <row r="28" spans="1:5" x14ac:dyDescent="0.35">
      <c r="A28" s="34" t="s">
        <v>109</v>
      </c>
      <c r="B28" s="34">
        <v>58000</v>
      </c>
    </row>
    <row r="29" spans="1:5" x14ac:dyDescent="0.35">
      <c r="A29" s="34" t="s">
        <v>144</v>
      </c>
      <c r="B29" s="34">
        <v>5000</v>
      </c>
    </row>
    <row r="30" spans="1:5" x14ac:dyDescent="0.35">
      <c r="A30" s="34" t="s">
        <v>146</v>
      </c>
      <c r="B30" s="79">
        <f>SUM(B6:B29)</f>
        <v>145200</v>
      </c>
    </row>
    <row r="31" spans="1:5" x14ac:dyDescent="0.35">
      <c r="B31" s="34"/>
    </row>
    <row r="33" spans="1:3" x14ac:dyDescent="0.35">
      <c r="A33" s="34" t="s">
        <v>145</v>
      </c>
      <c r="B33" s="77">
        <f>+B4-B30</f>
        <v>1800</v>
      </c>
      <c r="C33">
        <v>12000</v>
      </c>
    </row>
    <row r="34" spans="1:3" x14ac:dyDescent="0.35">
      <c r="C34">
        <v>1100</v>
      </c>
    </row>
    <row r="35" spans="1:3" x14ac:dyDescent="0.35">
      <c r="C35">
        <v>1500</v>
      </c>
    </row>
    <row r="36" spans="1:3" x14ac:dyDescent="0.35">
      <c r="C36">
        <v>1400</v>
      </c>
    </row>
    <row r="45" spans="1:3" x14ac:dyDescent="0.35">
      <c r="C45" s="1">
        <f>SUM(C33:C44)</f>
        <v>16000</v>
      </c>
    </row>
    <row r="46" spans="1:3" x14ac:dyDescent="0.35">
      <c r="B46" s="12">
        <f>+C45+B33</f>
        <v>17800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W73"/>
  <sheetViews>
    <sheetView topLeftCell="A10" workbookViewId="0">
      <selection activeCell="F19" sqref="F19"/>
    </sheetView>
  </sheetViews>
  <sheetFormatPr defaultRowHeight="14.5" x14ac:dyDescent="0.35"/>
  <cols>
    <col min="1" max="1" width="30.54296875" bestFit="1" customWidth="1"/>
    <col min="2" max="2" width="6" bestFit="1" customWidth="1"/>
    <col min="3" max="3" width="8" bestFit="1" customWidth="1"/>
    <col min="4" max="4" width="6" bestFit="1" customWidth="1"/>
    <col min="6" max="6" width="30.54296875" bestFit="1" customWidth="1"/>
    <col min="7" max="7" width="7" bestFit="1" customWidth="1"/>
    <col min="11" max="11" width="17.7265625" bestFit="1" customWidth="1"/>
    <col min="12" max="13" width="14.26953125" style="88" bestFit="1" customWidth="1"/>
    <col min="14" max="16" width="14.26953125" style="88" customWidth="1"/>
    <col min="17" max="17" width="14.26953125" style="88" bestFit="1" customWidth="1"/>
    <col min="18" max="19" width="14.26953125" style="88" customWidth="1"/>
    <col min="20" max="20" width="9.1796875" style="88"/>
    <col min="21" max="21" width="14.26953125" style="88" bestFit="1" customWidth="1"/>
    <col min="22" max="22" width="12.54296875" style="88" bestFit="1" customWidth="1"/>
    <col min="23" max="23" width="9.1796875" style="88"/>
  </cols>
  <sheetData>
    <row r="1" spans="1:22" x14ac:dyDescent="0.35">
      <c r="A1" s="17" t="s">
        <v>167</v>
      </c>
      <c r="B1" s="17">
        <v>75000</v>
      </c>
      <c r="C1" s="6"/>
      <c r="D1" s="6"/>
      <c r="F1" s="17" t="s">
        <v>167</v>
      </c>
      <c r="G1" s="17">
        <v>74000</v>
      </c>
    </row>
    <row r="2" spans="1:22" x14ac:dyDescent="0.35">
      <c r="A2" s="6"/>
      <c r="B2" s="6"/>
      <c r="C2" s="6"/>
      <c r="D2" s="6"/>
      <c r="F2" s="6"/>
      <c r="G2" s="6"/>
    </row>
    <row r="3" spans="1:22" x14ac:dyDescent="0.35">
      <c r="A3" s="64" t="s">
        <v>74</v>
      </c>
      <c r="B3" s="64">
        <v>32000</v>
      </c>
      <c r="C3" s="6"/>
      <c r="D3" s="6"/>
      <c r="F3" s="64" t="s">
        <v>74</v>
      </c>
      <c r="G3" s="64">
        <v>32000</v>
      </c>
    </row>
    <row r="4" spans="1:22" x14ac:dyDescent="0.35">
      <c r="A4" s="34" t="s">
        <v>171</v>
      </c>
      <c r="B4" s="34">
        <v>5000</v>
      </c>
      <c r="C4" s="6"/>
      <c r="D4" s="6"/>
      <c r="F4" s="34" t="s">
        <v>171</v>
      </c>
      <c r="G4" s="34">
        <v>5000</v>
      </c>
    </row>
    <row r="5" spans="1:22" x14ac:dyDescent="0.35">
      <c r="A5" s="34" t="s">
        <v>162</v>
      </c>
      <c r="B5" s="34">
        <v>5000</v>
      </c>
      <c r="C5" s="6"/>
      <c r="D5" s="6"/>
      <c r="F5" s="34" t="s">
        <v>162</v>
      </c>
      <c r="G5" s="34">
        <v>5000</v>
      </c>
    </row>
    <row r="6" spans="1:22" x14ac:dyDescent="0.35">
      <c r="A6" s="34" t="s">
        <v>172</v>
      </c>
      <c r="B6" s="34">
        <f>1400+700</f>
        <v>2100</v>
      </c>
      <c r="C6" s="6"/>
      <c r="D6" s="6"/>
      <c r="F6" s="34" t="s">
        <v>172</v>
      </c>
      <c r="G6" s="34">
        <f>1400+700</f>
        <v>2100</v>
      </c>
    </row>
    <row r="7" spans="1:22" x14ac:dyDescent="0.35">
      <c r="A7" s="34" t="s">
        <v>165</v>
      </c>
      <c r="B7" s="34">
        <v>2100</v>
      </c>
      <c r="C7" s="6"/>
      <c r="D7" s="6"/>
      <c r="F7" s="34" t="s">
        <v>165</v>
      </c>
      <c r="G7" s="34">
        <v>2100</v>
      </c>
    </row>
    <row r="8" spans="1:22" x14ac:dyDescent="0.35">
      <c r="A8" s="34" t="s">
        <v>13</v>
      </c>
      <c r="B8" s="34">
        <v>1700</v>
      </c>
      <c r="C8" s="6"/>
      <c r="D8" s="6"/>
      <c r="F8" s="34" t="s">
        <v>174</v>
      </c>
      <c r="G8" s="36">
        <v>2000</v>
      </c>
    </row>
    <row r="9" spans="1:22" x14ac:dyDescent="0.35">
      <c r="A9" s="34" t="s">
        <v>174</v>
      </c>
      <c r="B9" s="34">
        <v>2000</v>
      </c>
      <c r="C9" s="6"/>
      <c r="D9" s="6"/>
      <c r="F9" s="34" t="s">
        <v>17</v>
      </c>
      <c r="G9" s="34">
        <v>300</v>
      </c>
    </row>
    <row r="10" spans="1:22" x14ac:dyDescent="0.35">
      <c r="A10" s="34" t="s">
        <v>17</v>
      </c>
      <c r="B10" s="34">
        <v>300</v>
      </c>
      <c r="C10" s="6"/>
      <c r="D10" s="6"/>
      <c r="F10" s="34" t="s">
        <v>14</v>
      </c>
      <c r="G10" s="34">
        <v>500</v>
      </c>
    </row>
    <row r="11" spans="1:22" x14ac:dyDescent="0.35">
      <c r="A11" s="34" t="s">
        <v>14</v>
      </c>
      <c r="B11" s="34">
        <v>500</v>
      </c>
      <c r="C11" s="6"/>
      <c r="D11" s="6"/>
      <c r="F11" s="34" t="s">
        <v>175</v>
      </c>
      <c r="G11" s="34">
        <v>1000</v>
      </c>
      <c r="L11" s="89"/>
    </row>
    <row r="12" spans="1:22" x14ac:dyDescent="0.35">
      <c r="A12" s="34" t="s">
        <v>175</v>
      </c>
      <c r="B12" s="34">
        <v>1000</v>
      </c>
      <c r="C12" s="6"/>
      <c r="D12" s="6"/>
      <c r="F12" s="34" t="s">
        <v>16</v>
      </c>
      <c r="G12" s="34">
        <v>500</v>
      </c>
    </row>
    <row r="13" spans="1:22" x14ac:dyDescent="0.35">
      <c r="A13" s="34" t="s">
        <v>16</v>
      </c>
      <c r="B13" s="34">
        <v>500</v>
      </c>
      <c r="C13" s="6"/>
      <c r="D13" s="6"/>
      <c r="F13" s="34" t="s">
        <v>7</v>
      </c>
      <c r="G13" s="34">
        <v>2000</v>
      </c>
      <c r="J13" s="1"/>
      <c r="K13" s="1" t="s">
        <v>185</v>
      </c>
      <c r="U13" s="88">
        <v>3200000</v>
      </c>
    </row>
    <row r="14" spans="1:22" x14ac:dyDescent="0.35">
      <c r="A14" s="34" t="s">
        <v>7</v>
      </c>
      <c r="B14" s="34">
        <v>2000</v>
      </c>
      <c r="C14" s="6"/>
      <c r="D14" s="6"/>
      <c r="F14" s="34" t="s">
        <v>176</v>
      </c>
      <c r="G14" s="36">
        <v>3000</v>
      </c>
      <c r="I14">
        <f>10900-1700</f>
        <v>9200</v>
      </c>
      <c r="L14" s="89" t="s">
        <v>187</v>
      </c>
      <c r="M14" s="89" t="s">
        <v>188</v>
      </c>
      <c r="N14" s="89"/>
      <c r="O14" s="89"/>
      <c r="P14" s="89"/>
    </row>
    <row r="15" spans="1:22" x14ac:dyDescent="0.35">
      <c r="A15" s="34" t="s">
        <v>176</v>
      </c>
      <c r="B15" s="34">
        <v>3000</v>
      </c>
      <c r="C15" s="6">
        <f>100*21</f>
        <v>2100</v>
      </c>
      <c r="D15" s="6"/>
      <c r="F15" s="34" t="s">
        <v>46</v>
      </c>
      <c r="G15" s="36">
        <v>700</v>
      </c>
      <c r="I15">
        <v>5000</v>
      </c>
      <c r="K15" t="s">
        <v>186</v>
      </c>
      <c r="L15" s="88">
        <v>120216</v>
      </c>
      <c r="M15" s="88">
        <v>263172</v>
      </c>
      <c r="N15" s="88">
        <f t="shared" ref="N15:N19" si="0">+N16-L15</f>
        <v>2737360</v>
      </c>
      <c r="O15" s="88">
        <v>1600000</v>
      </c>
      <c r="Q15" s="88">
        <f>+M15+L15</f>
        <v>383388</v>
      </c>
      <c r="R15" s="88">
        <v>3200000</v>
      </c>
      <c r="S15" s="88">
        <v>3.75</v>
      </c>
      <c r="T15" s="88">
        <v>8.25</v>
      </c>
      <c r="U15" s="88">
        <f>+R15*S15/100</f>
        <v>120000</v>
      </c>
      <c r="V15" s="88">
        <f>+R15*T15/100</f>
        <v>264000</v>
      </c>
    </row>
    <row r="16" spans="1:22" x14ac:dyDescent="0.35">
      <c r="A16" s="34" t="s">
        <v>46</v>
      </c>
      <c r="B16" s="34">
        <v>700</v>
      </c>
      <c r="C16" s="6"/>
      <c r="D16" s="6"/>
      <c r="F16" s="33" t="s">
        <v>232</v>
      </c>
      <c r="G16" s="34">
        <f>1050+1800</f>
        <v>2850</v>
      </c>
      <c r="I16">
        <v>4000</v>
      </c>
      <c r="K16" t="s">
        <v>189</v>
      </c>
      <c r="L16" s="88">
        <v>103437</v>
      </c>
      <c r="M16" s="88">
        <v>279951</v>
      </c>
      <c r="N16" s="88">
        <f t="shared" si="0"/>
        <v>2857576</v>
      </c>
      <c r="O16" s="88">
        <f>+N15-O15</f>
        <v>1137360</v>
      </c>
      <c r="Q16" s="88">
        <f t="shared" ref="Q16:Q21" si="1">+M16+L16</f>
        <v>383388</v>
      </c>
      <c r="R16" s="88">
        <v>3200000</v>
      </c>
      <c r="S16" s="88">
        <v>3.75</v>
      </c>
      <c r="T16" s="88">
        <v>8.25</v>
      </c>
      <c r="U16" s="88">
        <f t="shared" ref="U16:U21" si="2">+R16*S16/100</f>
        <v>120000</v>
      </c>
      <c r="V16" s="88">
        <f t="shared" ref="V16:V21" si="3">+R16*T16/100</f>
        <v>264000</v>
      </c>
    </row>
    <row r="17" spans="1:22" x14ac:dyDescent="0.35">
      <c r="A17" s="34" t="s">
        <v>163</v>
      </c>
      <c r="B17" s="34">
        <f>1050+1800</f>
        <v>2850</v>
      </c>
      <c r="C17" s="6"/>
      <c r="D17" s="6"/>
      <c r="F17" s="34" t="s">
        <v>128</v>
      </c>
      <c r="G17" s="34">
        <v>4000</v>
      </c>
      <c r="I17">
        <f>SUM(I14:I16)</f>
        <v>18200</v>
      </c>
      <c r="K17" t="s">
        <v>190</v>
      </c>
      <c r="L17" s="88">
        <v>85251</v>
      </c>
      <c r="M17" s="88">
        <v>298137</v>
      </c>
      <c r="N17" s="88">
        <f>+N19-L17</f>
        <v>2961013</v>
      </c>
      <c r="Q17" s="88">
        <f t="shared" si="1"/>
        <v>383388</v>
      </c>
      <c r="R17" s="88">
        <v>3200000</v>
      </c>
      <c r="S17" s="88">
        <v>3.75</v>
      </c>
      <c r="T17" s="88">
        <v>8.25</v>
      </c>
      <c r="U17" s="88">
        <f t="shared" si="2"/>
        <v>120000</v>
      </c>
      <c r="V17" s="88">
        <f t="shared" si="3"/>
        <v>264000</v>
      </c>
    </row>
    <row r="18" spans="1:22" x14ac:dyDescent="0.35">
      <c r="A18" s="34"/>
      <c r="B18" s="34"/>
      <c r="C18" s="6"/>
      <c r="D18" s="6"/>
      <c r="F18" s="34" t="s">
        <v>156</v>
      </c>
      <c r="G18" s="34">
        <v>3850</v>
      </c>
    </row>
    <row r="19" spans="1:22" x14ac:dyDescent="0.35">
      <c r="A19" s="34" t="s">
        <v>128</v>
      </c>
      <c r="B19" s="34">
        <v>4000</v>
      </c>
      <c r="C19" s="6"/>
      <c r="D19" s="6"/>
      <c r="F19" s="34" t="s">
        <v>111</v>
      </c>
      <c r="G19" s="34">
        <v>5000</v>
      </c>
      <c r="I19">
        <v>16000</v>
      </c>
      <c r="K19" t="s">
        <v>191</v>
      </c>
      <c r="L19" s="88">
        <v>60787</v>
      </c>
      <c r="M19" s="88">
        <v>322601</v>
      </c>
      <c r="N19" s="88">
        <f t="shared" si="0"/>
        <v>3046264</v>
      </c>
      <c r="Q19" s="88">
        <f t="shared" si="1"/>
        <v>383388</v>
      </c>
      <c r="R19" s="88">
        <v>3200000</v>
      </c>
      <c r="S19" s="88">
        <v>3.75</v>
      </c>
      <c r="T19" s="88">
        <v>8.25</v>
      </c>
      <c r="U19" s="88">
        <f t="shared" si="2"/>
        <v>120000</v>
      </c>
      <c r="V19" s="88">
        <f t="shared" si="3"/>
        <v>264000</v>
      </c>
    </row>
    <row r="20" spans="1:22" x14ac:dyDescent="0.35">
      <c r="A20" s="34" t="s">
        <v>111</v>
      </c>
      <c r="B20" s="34">
        <v>5000</v>
      </c>
      <c r="C20" s="6"/>
      <c r="D20" s="6"/>
      <c r="F20" s="34" t="s">
        <v>170</v>
      </c>
      <c r="G20" s="34">
        <v>1700</v>
      </c>
      <c r="I20">
        <f>+I17-I19</f>
        <v>2200</v>
      </c>
      <c r="K20" t="s">
        <v>192</v>
      </c>
      <c r="L20" s="88">
        <v>47138</v>
      </c>
      <c r="M20" s="88">
        <v>336250</v>
      </c>
      <c r="N20" s="88">
        <f>+N21-L20</f>
        <v>3107051</v>
      </c>
      <c r="Q20" s="88">
        <f t="shared" si="1"/>
        <v>383388</v>
      </c>
      <c r="R20" s="88">
        <v>3200000</v>
      </c>
      <c r="S20" s="88">
        <v>3.75</v>
      </c>
      <c r="T20" s="88">
        <v>8.25</v>
      </c>
      <c r="U20" s="88">
        <f t="shared" si="2"/>
        <v>120000</v>
      </c>
      <c r="V20" s="88">
        <f t="shared" si="3"/>
        <v>264000</v>
      </c>
    </row>
    <row r="21" spans="1:22" x14ac:dyDescent="0.35">
      <c r="A21" s="34" t="s">
        <v>170</v>
      </c>
      <c r="B21" s="34">
        <v>1700</v>
      </c>
      <c r="C21" s="6"/>
      <c r="D21" s="6">
        <v>17000</v>
      </c>
      <c r="F21" s="36"/>
      <c r="G21" s="34"/>
      <c r="K21" t="s">
        <v>193</v>
      </c>
      <c r="L21" s="88">
        <v>45811</v>
      </c>
      <c r="M21" s="88">
        <v>337577</v>
      </c>
      <c r="N21" s="88">
        <f>3200000-L21</f>
        <v>3154189</v>
      </c>
      <c r="Q21" s="88">
        <f t="shared" si="1"/>
        <v>383388</v>
      </c>
      <c r="R21" s="88">
        <v>3200000</v>
      </c>
      <c r="S21" s="88">
        <v>3.75</v>
      </c>
      <c r="T21" s="88">
        <v>8.25</v>
      </c>
      <c r="U21" s="88">
        <f t="shared" si="2"/>
        <v>120000</v>
      </c>
      <c r="V21" s="88">
        <f t="shared" si="3"/>
        <v>264000</v>
      </c>
    </row>
    <row r="22" spans="1:22" x14ac:dyDescent="0.35">
      <c r="A22" s="36"/>
      <c r="B22" s="34"/>
      <c r="C22" s="6"/>
      <c r="D22" s="6"/>
      <c r="F22" s="17" t="s">
        <v>179</v>
      </c>
      <c r="G22" s="17">
        <f>+G1-SUM(G3:G20)</f>
        <v>400</v>
      </c>
    </row>
    <row r="23" spans="1:22" x14ac:dyDescent="0.35">
      <c r="A23" s="17" t="s">
        <v>179</v>
      </c>
      <c r="B23" s="17">
        <f>+B1-SUM(B3:B21)</f>
        <v>3550</v>
      </c>
      <c r="C23" s="6"/>
      <c r="D23" s="6"/>
      <c r="F23" s="6"/>
      <c r="G23" s="6"/>
    </row>
    <row r="24" spans="1:22" x14ac:dyDescent="0.35">
      <c r="A24" s="6"/>
      <c r="B24" s="6"/>
      <c r="C24" s="6"/>
      <c r="D24" s="6"/>
      <c r="F24" s="17" t="s">
        <v>180</v>
      </c>
      <c r="G24" s="17">
        <v>51000</v>
      </c>
    </row>
    <row r="25" spans="1:22" x14ac:dyDescent="0.35">
      <c r="A25" s="17" t="s">
        <v>180</v>
      </c>
      <c r="B25" s="17">
        <v>53000</v>
      </c>
      <c r="C25" s="6"/>
      <c r="D25" s="6"/>
      <c r="F25" s="17" t="s">
        <v>181</v>
      </c>
      <c r="G25" s="17">
        <f>+G22+G24</f>
        <v>51400</v>
      </c>
    </row>
    <row r="26" spans="1:22" x14ac:dyDescent="0.35">
      <c r="A26" s="17" t="s">
        <v>181</v>
      </c>
      <c r="B26" s="17">
        <f>+B23+B25</f>
        <v>56550</v>
      </c>
      <c r="C26" s="6"/>
      <c r="D26" s="6"/>
      <c r="F26" s="17"/>
      <c r="G26" s="17"/>
      <c r="O26" s="88">
        <f>40000*12</f>
        <v>480000</v>
      </c>
    </row>
    <row r="27" spans="1:22" ht="58" x14ac:dyDescent="0.35">
      <c r="A27" s="17"/>
      <c r="B27" s="17"/>
      <c r="C27" s="6"/>
      <c r="D27" s="6"/>
      <c r="F27" s="87" t="s">
        <v>184</v>
      </c>
      <c r="G27" s="6">
        <v>10000</v>
      </c>
      <c r="M27" s="88">
        <f>80*20000</f>
        <v>1600000</v>
      </c>
      <c r="O27" s="88">
        <f>1100000-500000</f>
        <v>600000</v>
      </c>
    </row>
    <row r="28" spans="1:22" ht="58" x14ac:dyDescent="0.35">
      <c r="A28" s="87" t="s">
        <v>184</v>
      </c>
      <c r="B28" s="6">
        <v>7000</v>
      </c>
      <c r="C28" s="6"/>
      <c r="D28" s="6"/>
      <c r="F28" s="34" t="s">
        <v>183</v>
      </c>
      <c r="G28" s="34">
        <v>40000</v>
      </c>
      <c r="L28" s="89">
        <f>SUM(L15:L27)</f>
        <v>462640</v>
      </c>
      <c r="M28" s="89">
        <f>SUM(M15:M27)</f>
        <v>3437688</v>
      </c>
      <c r="N28" s="89"/>
      <c r="O28" s="89">
        <f>32000+40000</f>
        <v>72000</v>
      </c>
      <c r="P28" s="89"/>
      <c r="Q28" s="89">
        <f>SUM(Q15:Q27)</f>
        <v>2300328</v>
      </c>
      <c r="R28" s="89"/>
      <c r="S28" s="89">
        <f>32000-13000</f>
        <v>19000</v>
      </c>
    </row>
    <row r="29" spans="1:22" x14ac:dyDescent="0.35">
      <c r="A29" s="34" t="s">
        <v>183</v>
      </c>
      <c r="B29" s="34">
        <v>40000</v>
      </c>
      <c r="C29" s="6"/>
      <c r="D29" s="6"/>
      <c r="F29" s="34"/>
      <c r="G29" s="34"/>
      <c r="O29" s="88">
        <f>+O28/25000</f>
        <v>2.88</v>
      </c>
    </row>
    <row r="30" spans="1:22" x14ac:dyDescent="0.35">
      <c r="A30" s="34"/>
      <c r="B30" s="34"/>
      <c r="C30" s="6"/>
      <c r="D30" s="6"/>
      <c r="F30" s="36" t="s">
        <v>29</v>
      </c>
      <c r="G30" s="36">
        <f>SUM(G25)-SUM(G27:G28)</f>
        <v>1400</v>
      </c>
      <c r="L30" s="89">
        <f>3200000-L28</f>
        <v>2737360</v>
      </c>
    </row>
    <row r="31" spans="1:22" x14ac:dyDescent="0.35">
      <c r="A31" s="36" t="s">
        <v>29</v>
      </c>
      <c r="B31" s="36">
        <f>SUM(B26)-SUM(B28:B29)</f>
        <v>9550</v>
      </c>
      <c r="C31" s="6"/>
      <c r="D31" s="6"/>
      <c r="F31" s="6"/>
      <c r="G31" s="6"/>
    </row>
    <row r="32" spans="1:22" x14ac:dyDescent="0.35">
      <c r="A32" s="6"/>
      <c r="B32" s="6"/>
      <c r="C32" s="6"/>
      <c r="D32" s="6"/>
      <c r="M32" s="88">
        <f>80*20000</f>
        <v>1600000</v>
      </c>
    </row>
    <row r="34" spans="1:13" x14ac:dyDescent="0.35">
      <c r="M34" s="91"/>
    </row>
    <row r="35" spans="1:13" x14ac:dyDescent="0.35">
      <c r="M35" s="91"/>
    </row>
    <row r="36" spans="1:13" x14ac:dyDescent="0.35">
      <c r="L36" s="91"/>
      <c r="M36" s="91"/>
    </row>
    <row r="37" spans="1:13" x14ac:dyDescent="0.35">
      <c r="H37" t="s">
        <v>195</v>
      </c>
      <c r="I37" t="s">
        <v>194</v>
      </c>
      <c r="J37">
        <v>3</v>
      </c>
      <c r="L37" s="91"/>
      <c r="M37" s="91"/>
    </row>
    <row r="38" spans="1:13" x14ac:dyDescent="0.35">
      <c r="H38" t="s">
        <v>195</v>
      </c>
      <c r="I38" t="s">
        <v>198</v>
      </c>
      <c r="J38">
        <v>2</v>
      </c>
      <c r="K38">
        <v>2</v>
      </c>
      <c r="L38" s="91"/>
      <c r="M38" s="91"/>
    </row>
    <row r="39" spans="1:13" x14ac:dyDescent="0.35">
      <c r="B39" t="s">
        <v>203</v>
      </c>
      <c r="H39" t="s">
        <v>195</v>
      </c>
      <c r="I39" t="s">
        <v>200</v>
      </c>
      <c r="J39">
        <v>11</v>
      </c>
      <c r="L39" s="91"/>
      <c r="M39" s="91"/>
    </row>
    <row r="40" spans="1:13" x14ac:dyDescent="0.35">
      <c r="A40" t="s">
        <v>202</v>
      </c>
      <c r="B40">
        <v>41</v>
      </c>
      <c r="H40" t="s">
        <v>195</v>
      </c>
      <c r="I40" t="s">
        <v>201</v>
      </c>
      <c r="J40">
        <v>0</v>
      </c>
      <c r="K40">
        <v>7</v>
      </c>
      <c r="L40" s="91"/>
      <c r="M40" s="91"/>
    </row>
    <row r="41" spans="1:13" x14ac:dyDescent="0.35">
      <c r="B41">
        <v>63.7</v>
      </c>
      <c r="J41" s="8">
        <f>SUM(J37:J40)</f>
        <v>16</v>
      </c>
      <c r="K41" s="8">
        <f>SUM(K37:K40)</f>
        <v>9</v>
      </c>
      <c r="L41" s="93">
        <v>0.03</v>
      </c>
      <c r="M41" s="91"/>
    </row>
    <row r="42" spans="1:13" x14ac:dyDescent="0.35">
      <c r="B42">
        <v>69.900000000000006</v>
      </c>
      <c r="G42">
        <f>+J42+K42</f>
        <v>137</v>
      </c>
      <c r="J42" s="90">
        <f>+J41*8</f>
        <v>128</v>
      </c>
      <c r="K42" s="90">
        <f>+K41</f>
        <v>9</v>
      </c>
      <c r="L42" s="91">
        <f>+J42+K42</f>
        <v>137</v>
      </c>
      <c r="M42" s="91">
        <v>2950</v>
      </c>
    </row>
    <row r="43" spans="1:13" x14ac:dyDescent="0.35">
      <c r="B43">
        <v>64.2</v>
      </c>
      <c r="J43" s="90"/>
      <c r="K43" s="90"/>
      <c r="L43" s="91">
        <f>+L42*M42</f>
        <v>404150</v>
      </c>
      <c r="M43" s="91"/>
    </row>
    <row r="44" spans="1:13" x14ac:dyDescent="0.35">
      <c r="B44">
        <v>60.1</v>
      </c>
      <c r="J44" s="90"/>
      <c r="K44" s="90"/>
      <c r="L44" s="91">
        <f>+L43*L41</f>
        <v>12124.5</v>
      </c>
      <c r="M44" s="91"/>
    </row>
    <row r="45" spans="1:13" x14ac:dyDescent="0.35">
      <c r="B45">
        <v>73.2</v>
      </c>
      <c r="L45" s="92">
        <f>+L43-L44</f>
        <v>392025.5</v>
      </c>
      <c r="M45" s="91"/>
    </row>
    <row r="46" spans="1:13" x14ac:dyDescent="0.35">
      <c r="B46" s="1">
        <f>SUM(B40:B45)</f>
        <v>372.1</v>
      </c>
      <c r="C46">
        <f>+B46/8</f>
        <v>46.512500000000003</v>
      </c>
      <c r="D46">
        <v>26</v>
      </c>
      <c r="H46" t="s">
        <v>115</v>
      </c>
      <c r="I46" t="s">
        <v>196</v>
      </c>
      <c r="J46">
        <v>3</v>
      </c>
      <c r="L46" s="91"/>
      <c r="M46" s="91"/>
    </row>
    <row r="47" spans="1:13" x14ac:dyDescent="0.35">
      <c r="D47">
        <f>+C46+D46</f>
        <v>72.512500000000003</v>
      </c>
      <c r="H47" t="s">
        <v>115</v>
      </c>
      <c r="I47" t="s">
        <v>196</v>
      </c>
      <c r="J47">
        <v>1</v>
      </c>
      <c r="K47">
        <v>4</v>
      </c>
      <c r="L47" s="91"/>
      <c r="M47" s="91"/>
    </row>
    <row r="48" spans="1:13" x14ac:dyDescent="0.35">
      <c r="D48">
        <v>2</v>
      </c>
      <c r="H48" t="s">
        <v>115</v>
      </c>
      <c r="I48" t="s">
        <v>197</v>
      </c>
      <c r="J48">
        <v>1</v>
      </c>
      <c r="K48">
        <v>4</v>
      </c>
      <c r="L48" s="91"/>
      <c r="M48" s="91"/>
    </row>
    <row r="49" spans="3:13" x14ac:dyDescent="0.35">
      <c r="D49">
        <v>3</v>
      </c>
      <c r="H49" t="s">
        <v>115</v>
      </c>
      <c r="I49" t="s">
        <v>201</v>
      </c>
      <c r="J49">
        <v>0</v>
      </c>
      <c r="K49">
        <v>1</v>
      </c>
      <c r="L49" s="91"/>
      <c r="M49" s="91"/>
    </row>
    <row r="50" spans="3:13" x14ac:dyDescent="0.35">
      <c r="D50">
        <f>+D47+5</f>
        <v>77.512500000000003</v>
      </c>
      <c r="J50" s="8">
        <f>SUM(J46:J49)</f>
        <v>5</v>
      </c>
      <c r="K50" s="8">
        <f>SUM(K46:K49)</f>
        <v>9</v>
      </c>
      <c r="L50" s="93">
        <v>0.03</v>
      </c>
      <c r="M50" s="91"/>
    </row>
    <row r="51" spans="3:13" x14ac:dyDescent="0.35">
      <c r="G51">
        <f>+J51+K51</f>
        <v>49</v>
      </c>
      <c r="J51" s="90">
        <f>+J50*8</f>
        <v>40</v>
      </c>
      <c r="K51" s="90">
        <f>+K50</f>
        <v>9</v>
      </c>
      <c r="L51" s="91">
        <f>+J51+K51</f>
        <v>49</v>
      </c>
      <c r="M51" s="91">
        <v>2950</v>
      </c>
    </row>
    <row r="52" spans="3:13" x14ac:dyDescent="0.35">
      <c r="J52" s="90"/>
      <c r="K52" s="90"/>
      <c r="L52" s="91">
        <f>+L51*M51</f>
        <v>144550</v>
      </c>
      <c r="M52" s="91"/>
    </row>
    <row r="53" spans="3:13" x14ac:dyDescent="0.35">
      <c r="C53">
        <f>77*8</f>
        <v>616</v>
      </c>
      <c r="J53" s="90"/>
      <c r="K53" s="90"/>
      <c r="L53" s="91">
        <f>+L52*L50</f>
        <v>4336.5</v>
      </c>
      <c r="M53" s="91"/>
    </row>
    <row r="54" spans="3:13" x14ac:dyDescent="0.35">
      <c r="C54">
        <v>2950</v>
      </c>
      <c r="J54" s="90"/>
      <c r="K54" s="90"/>
      <c r="L54" s="92">
        <f>+L52-L53</f>
        <v>140213.5</v>
      </c>
      <c r="M54" s="91"/>
    </row>
    <row r="55" spans="3:13" x14ac:dyDescent="0.35">
      <c r="C55">
        <f>+C53*C54</f>
        <v>1817200</v>
      </c>
      <c r="J55" s="90"/>
      <c r="K55" s="90"/>
      <c r="L55" s="91"/>
      <c r="M55" s="91"/>
    </row>
    <row r="56" spans="3:13" x14ac:dyDescent="0.35">
      <c r="C56">
        <f>+C55*3.2/100</f>
        <v>58150.400000000001</v>
      </c>
      <c r="L56" s="91"/>
      <c r="M56" s="91"/>
    </row>
    <row r="57" spans="3:13" x14ac:dyDescent="0.35">
      <c r="C57">
        <f>+C55-C56</f>
        <v>1759049.6</v>
      </c>
      <c r="H57" t="s">
        <v>199</v>
      </c>
      <c r="I57" t="s">
        <v>198</v>
      </c>
      <c r="J57">
        <v>3</v>
      </c>
      <c r="L57" s="91"/>
      <c r="M57" s="91"/>
    </row>
    <row r="58" spans="3:13" x14ac:dyDescent="0.35">
      <c r="J58" s="8">
        <f>SUM(J57)</f>
        <v>3</v>
      </c>
      <c r="L58" s="93">
        <v>0.04</v>
      </c>
      <c r="M58" s="91"/>
    </row>
    <row r="59" spans="3:13" x14ac:dyDescent="0.35">
      <c r="G59">
        <f>+J59+K59</f>
        <v>24</v>
      </c>
      <c r="J59">
        <f>+J58*8</f>
        <v>24</v>
      </c>
      <c r="L59" s="91">
        <f>+J59+K59</f>
        <v>24</v>
      </c>
      <c r="M59" s="91">
        <v>2950</v>
      </c>
    </row>
    <row r="60" spans="3:13" x14ac:dyDescent="0.35">
      <c r="L60" s="91">
        <f>+L59*M59</f>
        <v>70800</v>
      </c>
      <c r="M60" s="91"/>
    </row>
    <row r="61" spans="3:13" x14ac:dyDescent="0.35">
      <c r="L61" s="91">
        <f>+L60*L58</f>
        <v>2832</v>
      </c>
      <c r="M61" s="91"/>
    </row>
    <row r="62" spans="3:13" x14ac:dyDescent="0.35">
      <c r="G62" s="1">
        <f>SUM(G42:G61)</f>
        <v>210</v>
      </c>
      <c r="L62" s="92">
        <f>+L60-L61</f>
        <v>67968</v>
      </c>
      <c r="M62" s="91"/>
    </row>
    <row r="63" spans="3:13" x14ac:dyDescent="0.35">
      <c r="G63">
        <v>2950</v>
      </c>
      <c r="L63" s="91"/>
      <c r="M63" s="91"/>
    </row>
    <row r="64" spans="3:13" x14ac:dyDescent="0.35">
      <c r="G64">
        <f>+G63*G62</f>
        <v>619500</v>
      </c>
      <c r="L64" s="91"/>
      <c r="M64" s="91"/>
    </row>
    <row r="65" spans="7:13" x14ac:dyDescent="0.35">
      <c r="G65">
        <f>+G64*3.5/100</f>
        <v>21682.5</v>
      </c>
      <c r="L65" s="91"/>
      <c r="M65" s="91">
        <f>+L45+L54+L62</f>
        <v>600207</v>
      </c>
    </row>
    <row r="66" spans="7:13" x14ac:dyDescent="0.35">
      <c r="G66">
        <f>+G64-G65</f>
        <v>597817.5</v>
      </c>
      <c r="L66" s="91"/>
      <c r="M66" s="91"/>
    </row>
    <row r="67" spans="7:13" x14ac:dyDescent="0.35">
      <c r="L67" s="92"/>
      <c r="M67" s="91"/>
    </row>
    <row r="68" spans="7:13" x14ac:dyDescent="0.35">
      <c r="L68" s="91"/>
      <c r="M68" s="91"/>
    </row>
    <row r="69" spans="7:13" x14ac:dyDescent="0.35">
      <c r="L69" s="91"/>
      <c r="M69" s="91"/>
    </row>
    <row r="70" spans="7:13" x14ac:dyDescent="0.35">
      <c r="L70" s="91"/>
      <c r="M70" s="91"/>
    </row>
    <row r="71" spans="7:13" x14ac:dyDescent="0.35">
      <c r="L71" s="91"/>
      <c r="M71" s="91"/>
    </row>
    <row r="72" spans="7:13" x14ac:dyDescent="0.35">
      <c r="L72" s="91"/>
      <c r="M72" s="91"/>
    </row>
    <row r="73" spans="7:13" x14ac:dyDescent="0.35">
      <c r="L73" s="91"/>
      <c r="M73" s="91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W73"/>
  <sheetViews>
    <sheetView workbookViewId="0">
      <selection activeCell="F15" sqref="F15"/>
    </sheetView>
  </sheetViews>
  <sheetFormatPr defaultRowHeight="14.5" x14ac:dyDescent="0.35"/>
  <cols>
    <col min="1" max="1" width="30.54296875" bestFit="1" customWidth="1"/>
    <col min="2" max="2" width="6" bestFit="1" customWidth="1"/>
    <col min="3" max="3" width="8" bestFit="1" customWidth="1"/>
    <col min="4" max="4" width="6" bestFit="1" customWidth="1"/>
    <col min="6" max="6" width="30.54296875" bestFit="1" customWidth="1"/>
    <col min="7" max="7" width="10.54296875" customWidth="1"/>
    <col min="11" max="11" width="17.7265625" bestFit="1" customWidth="1"/>
    <col min="12" max="13" width="14.26953125" style="88" bestFit="1" customWidth="1"/>
    <col min="14" max="16" width="14.26953125" style="88" customWidth="1"/>
    <col min="17" max="17" width="14.26953125" style="88" bestFit="1" customWidth="1"/>
    <col min="18" max="19" width="14.26953125" style="88" customWidth="1"/>
    <col min="20" max="20" width="9.1796875" style="88"/>
    <col min="21" max="21" width="14.26953125" style="88" bestFit="1" customWidth="1"/>
    <col min="22" max="22" width="12.54296875" style="88" bestFit="1" customWidth="1"/>
    <col min="23" max="23" width="9.1796875" style="88"/>
  </cols>
  <sheetData>
    <row r="1" spans="1:16" x14ac:dyDescent="0.35">
      <c r="A1" s="17" t="s">
        <v>167</v>
      </c>
      <c r="B1" s="17">
        <v>75000</v>
      </c>
      <c r="C1" s="6"/>
      <c r="D1" s="6"/>
      <c r="F1" s="17" t="s">
        <v>217</v>
      </c>
      <c r="G1" s="64">
        <v>64000</v>
      </c>
      <c r="L1" s="88">
        <v>110</v>
      </c>
    </row>
    <row r="2" spans="1:16" x14ac:dyDescent="0.35">
      <c r="A2" s="6"/>
      <c r="B2" s="6"/>
      <c r="C2" s="6"/>
      <c r="D2" s="6"/>
      <c r="F2" s="6"/>
      <c r="G2" s="6"/>
      <c r="L2" s="88">
        <v>135</v>
      </c>
    </row>
    <row r="3" spans="1:16" x14ac:dyDescent="0.35">
      <c r="A3" s="64" t="s">
        <v>74</v>
      </c>
      <c r="B3" s="64">
        <v>32000</v>
      </c>
      <c r="C3" s="6"/>
      <c r="D3" s="6"/>
      <c r="F3" s="33" t="s">
        <v>248</v>
      </c>
      <c r="H3" s="34">
        <v>20090</v>
      </c>
      <c r="I3" s="12"/>
      <c r="J3" s="12"/>
      <c r="L3" s="88">
        <v>309</v>
      </c>
    </row>
    <row r="4" spans="1:16" x14ac:dyDescent="0.35">
      <c r="A4" s="34" t="s">
        <v>171</v>
      </c>
      <c r="B4" s="34">
        <v>5000</v>
      </c>
      <c r="C4" s="6"/>
      <c r="D4" s="6"/>
      <c r="F4" s="33" t="s">
        <v>249</v>
      </c>
      <c r="H4" s="34">
        <v>1500</v>
      </c>
      <c r="I4" s="12"/>
      <c r="J4" s="12"/>
      <c r="L4" s="88">
        <v>593</v>
      </c>
    </row>
    <row r="5" spans="1:16" x14ac:dyDescent="0.35">
      <c r="A5" s="36" t="s">
        <v>162</v>
      </c>
      <c r="B5" s="36">
        <v>5000</v>
      </c>
      <c r="C5" s="6"/>
      <c r="D5" s="6"/>
      <c r="F5" s="33" t="s">
        <v>250</v>
      </c>
      <c r="G5" s="34">
        <v>32000</v>
      </c>
      <c r="H5" s="12"/>
      <c r="I5" s="12"/>
      <c r="J5" s="12"/>
      <c r="L5" s="88">
        <v>70</v>
      </c>
    </row>
    <row r="6" spans="1:16" x14ac:dyDescent="0.35">
      <c r="A6" s="36" t="s">
        <v>172</v>
      </c>
      <c r="B6" s="36">
        <f>1400+700</f>
        <v>2100</v>
      </c>
      <c r="C6" s="6"/>
      <c r="D6" s="6"/>
      <c r="F6" s="34" t="s">
        <v>13</v>
      </c>
      <c r="G6" s="34">
        <v>1700</v>
      </c>
      <c r="H6" s="12"/>
      <c r="I6" s="12"/>
      <c r="J6" s="12"/>
      <c r="L6" s="88">
        <v>35</v>
      </c>
    </row>
    <row r="7" spans="1:16" x14ac:dyDescent="0.35">
      <c r="A7" s="36" t="s">
        <v>165</v>
      </c>
      <c r="B7" s="36">
        <v>2100</v>
      </c>
      <c r="C7" s="6"/>
      <c r="D7" s="6"/>
      <c r="F7" s="34" t="s">
        <v>174</v>
      </c>
      <c r="G7" s="34">
        <v>2000</v>
      </c>
      <c r="H7" s="12"/>
      <c r="I7" s="12"/>
      <c r="J7" s="12"/>
      <c r="L7" s="88">
        <v>100</v>
      </c>
    </row>
    <row r="8" spans="1:16" x14ac:dyDescent="0.35">
      <c r="A8" s="36" t="s">
        <v>13</v>
      </c>
      <c r="B8" s="36">
        <v>1700</v>
      </c>
      <c r="C8" s="6"/>
      <c r="D8" s="6"/>
      <c r="F8" s="34" t="s">
        <v>17</v>
      </c>
      <c r="G8" s="34">
        <v>300</v>
      </c>
      <c r="H8" s="12"/>
      <c r="I8" s="12"/>
      <c r="J8" s="12"/>
      <c r="L8" s="88">
        <v>720</v>
      </c>
    </row>
    <row r="9" spans="1:16" x14ac:dyDescent="0.35">
      <c r="A9" s="34" t="s">
        <v>174</v>
      </c>
      <c r="B9" s="34">
        <v>2000</v>
      </c>
      <c r="C9" s="6"/>
      <c r="D9" s="6"/>
      <c r="F9" s="34" t="s">
        <v>14</v>
      </c>
      <c r="G9" s="34">
        <v>500</v>
      </c>
      <c r="H9" s="12"/>
      <c r="I9" s="12"/>
      <c r="J9" s="12"/>
      <c r="L9" s="88">
        <v>54</v>
      </c>
    </row>
    <row r="10" spans="1:16" x14ac:dyDescent="0.35">
      <c r="A10" s="34" t="s">
        <v>17</v>
      </c>
      <c r="B10" s="34">
        <v>300</v>
      </c>
      <c r="C10" s="6"/>
      <c r="D10" s="6"/>
      <c r="F10" s="34" t="s">
        <v>16</v>
      </c>
      <c r="G10" s="34">
        <v>500</v>
      </c>
      <c r="H10" s="12"/>
      <c r="I10" s="12"/>
      <c r="J10" s="12"/>
      <c r="L10" s="88">
        <v>1386</v>
      </c>
    </row>
    <row r="11" spans="1:16" x14ac:dyDescent="0.35">
      <c r="A11" s="34" t="s">
        <v>14</v>
      </c>
      <c r="B11" s="34">
        <v>500</v>
      </c>
      <c r="C11" s="6"/>
      <c r="D11" s="6"/>
      <c r="F11" s="34" t="s">
        <v>7</v>
      </c>
      <c r="G11" s="34">
        <v>2000</v>
      </c>
      <c r="H11" s="12"/>
      <c r="I11" s="12"/>
      <c r="J11" s="12"/>
      <c r="L11" s="103">
        <v>250</v>
      </c>
    </row>
    <row r="12" spans="1:16" x14ac:dyDescent="0.35">
      <c r="A12" s="34" t="s">
        <v>175</v>
      </c>
      <c r="B12" s="34">
        <v>1000</v>
      </c>
      <c r="C12" s="6"/>
      <c r="D12" s="6"/>
      <c r="F12" s="34" t="s">
        <v>176</v>
      </c>
      <c r="G12" s="34">
        <v>3000</v>
      </c>
      <c r="H12" s="12"/>
      <c r="I12" s="12"/>
      <c r="J12" s="12"/>
      <c r="L12" s="88">
        <v>473</v>
      </c>
    </row>
    <row r="13" spans="1:16" x14ac:dyDescent="0.35">
      <c r="A13" s="34" t="s">
        <v>16</v>
      </c>
      <c r="B13" s="34">
        <v>500</v>
      </c>
      <c r="C13" s="6"/>
      <c r="D13" s="6"/>
      <c r="F13" s="34"/>
      <c r="G13" s="34"/>
      <c r="H13" s="12"/>
      <c r="I13" s="12"/>
      <c r="J13" s="12"/>
      <c r="K13" s="1"/>
      <c r="L13" s="88">
        <v>115</v>
      </c>
    </row>
    <row r="14" spans="1:16" x14ac:dyDescent="0.35">
      <c r="A14" s="34" t="s">
        <v>7</v>
      </c>
      <c r="B14" s="34">
        <v>2000</v>
      </c>
      <c r="C14" s="6"/>
      <c r="D14" s="6"/>
      <c r="F14" s="34"/>
      <c r="G14" s="34"/>
      <c r="H14" s="12"/>
      <c r="I14" s="12"/>
      <c r="J14" s="12"/>
      <c r="L14" s="103">
        <v>85</v>
      </c>
      <c r="M14" s="89"/>
      <c r="N14" s="89"/>
      <c r="O14" s="89"/>
      <c r="P14" s="89"/>
    </row>
    <row r="15" spans="1:16" x14ac:dyDescent="0.35">
      <c r="A15" s="34" t="s">
        <v>176</v>
      </c>
      <c r="B15" s="34">
        <v>3000</v>
      </c>
      <c r="C15" s="6">
        <f>100*21</f>
        <v>2100</v>
      </c>
      <c r="D15" s="6"/>
      <c r="F15" s="34"/>
      <c r="G15" s="34"/>
      <c r="H15" s="12"/>
      <c r="I15" s="12"/>
      <c r="J15" s="12"/>
      <c r="L15" s="88">
        <v>160</v>
      </c>
    </row>
    <row r="16" spans="1:16" x14ac:dyDescent="0.35">
      <c r="A16" s="34" t="s">
        <v>46</v>
      </c>
      <c r="B16" s="34">
        <v>700</v>
      </c>
      <c r="C16" s="6"/>
      <c r="D16" s="6"/>
      <c r="F16" s="34"/>
      <c r="G16" s="34"/>
      <c r="H16" s="12"/>
      <c r="I16" s="12"/>
      <c r="J16" s="12"/>
      <c r="L16" s="88">
        <v>60</v>
      </c>
    </row>
    <row r="17" spans="1:19" x14ac:dyDescent="0.35">
      <c r="A17" s="36" t="s">
        <v>163</v>
      </c>
      <c r="B17" s="36">
        <v>4000</v>
      </c>
      <c r="C17" s="6"/>
      <c r="D17" s="6"/>
      <c r="F17" s="34"/>
      <c r="G17" s="34"/>
      <c r="H17" s="12"/>
      <c r="I17" s="12"/>
      <c r="J17" s="12"/>
      <c r="L17" s="88">
        <v>89</v>
      </c>
    </row>
    <row r="18" spans="1:19" x14ac:dyDescent="0.35">
      <c r="A18" s="34"/>
      <c r="B18" s="34"/>
      <c r="C18" s="6"/>
      <c r="D18" s="6"/>
      <c r="F18" s="34"/>
      <c r="G18" s="34"/>
      <c r="H18" s="12"/>
      <c r="I18" s="12"/>
      <c r="J18" s="12"/>
      <c r="L18" s="88">
        <v>35</v>
      </c>
    </row>
    <row r="19" spans="1:19" x14ac:dyDescent="0.35">
      <c r="A19" s="36" t="s">
        <v>128</v>
      </c>
      <c r="B19" s="36">
        <v>4000</v>
      </c>
      <c r="C19" s="6"/>
      <c r="D19" s="6"/>
      <c r="F19" s="34"/>
      <c r="G19" s="34"/>
      <c r="H19" s="12"/>
      <c r="I19" s="12"/>
      <c r="J19" s="12"/>
      <c r="L19" s="88">
        <v>145</v>
      </c>
    </row>
    <row r="20" spans="1:19" x14ac:dyDescent="0.35">
      <c r="A20" s="36" t="s">
        <v>111</v>
      </c>
      <c r="B20" s="36">
        <v>5000</v>
      </c>
      <c r="C20" s="6"/>
      <c r="D20" s="6"/>
      <c r="F20" s="34"/>
      <c r="G20" s="34"/>
      <c r="H20" s="12"/>
      <c r="I20" s="12"/>
      <c r="J20" s="12"/>
      <c r="L20" s="88">
        <v>48</v>
      </c>
    </row>
    <row r="21" spans="1:19" x14ac:dyDescent="0.35">
      <c r="A21" s="36" t="s">
        <v>170</v>
      </c>
      <c r="B21" s="36">
        <v>1700</v>
      </c>
      <c r="C21" s="6"/>
      <c r="D21" s="6">
        <v>17000</v>
      </c>
      <c r="F21" s="34"/>
      <c r="G21" s="34"/>
      <c r="H21" s="12"/>
      <c r="I21" s="12"/>
      <c r="J21" s="12"/>
      <c r="L21" s="88">
        <v>215</v>
      </c>
    </row>
    <row r="22" spans="1:19" x14ac:dyDescent="0.35">
      <c r="A22" s="36"/>
      <c r="B22" s="34"/>
      <c r="C22" s="6"/>
      <c r="D22" s="6"/>
      <c r="F22" s="64"/>
      <c r="G22" s="64"/>
      <c r="H22" s="12"/>
      <c r="I22" s="12"/>
      <c r="J22" s="12"/>
      <c r="L22" s="88">
        <v>953</v>
      </c>
    </row>
    <row r="23" spans="1:19" x14ac:dyDescent="0.35">
      <c r="A23" s="17" t="s">
        <v>179</v>
      </c>
      <c r="B23" s="17">
        <f>+B1-SUM(B3:B21)</f>
        <v>2400</v>
      </c>
      <c r="C23" s="6"/>
      <c r="D23" s="6"/>
      <c r="F23" s="64"/>
      <c r="G23" s="64"/>
      <c r="H23" s="12"/>
      <c r="I23" s="12"/>
      <c r="J23" s="12"/>
      <c r="L23" s="88">
        <v>249</v>
      </c>
    </row>
    <row r="24" spans="1:19" x14ac:dyDescent="0.35">
      <c r="A24" s="6"/>
      <c r="B24" s="6"/>
      <c r="C24" s="6"/>
      <c r="D24" s="6"/>
      <c r="F24" s="64"/>
      <c r="G24" s="64"/>
      <c r="H24" s="12"/>
      <c r="I24" s="12"/>
      <c r="J24" s="12"/>
      <c r="L24" s="88">
        <v>35</v>
      </c>
    </row>
    <row r="25" spans="1:19" x14ac:dyDescent="0.35">
      <c r="A25" s="17" t="s">
        <v>180</v>
      </c>
      <c r="B25" s="17">
        <v>53000</v>
      </c>
      <c r="C25" s="6"/>
      <c r="D25" s="6"/>
      <c r="F25" s="64"/>
      <c r="G25" s="64"/>
      <c r="H25" s="12"/>
      <c r="I25" s="12"/>
      <c r="J25" s="12"/>
      <c r="L25" s="88">
        <v>150</v>
      </c>
    </row>
    <row r="26" spans="1:19" x14ac:dyDescent="0.35">
      <c r="A26" s="17" t="s">
        <v>181</v>
      </c>
      <c r="B26" s="17">
        <f>+B23+B25</f>
        <v>55400</v>
      </c>
      <c r="C26" s="6"/>
      <c r="D26" s="6"/>
      <c r="F26" s="64"/>
      <c r="G26" s="64"/>
      <c r="H26" s="12"/>
      <c r="I26" s="12"/>
      <c r="J26" s="12"/>
      <c r="L26" s="88">
        <v>20</v>
      </c>
    </row>
    <row r="27" spans="1:19" x14ac:dyDescent="0.35">
      <c r="A27" s="17"/>
      <c r="B27" s="17"/>
      <c r="C27" s="6"/>
      <c r="D27" s="6"/>
      <c r="F27" s="104"/>
      <c r="G27" s="64"/>
      <c r="H27" s="12"/>
      <c r="I27" s="12"/>
      <c r="J27" s="12"/>
      <c r="L27" s="88">
        <v>35</v>
      </c>
    </row>
    <row r="28" spans="1:19" ht="58" x14ac:dyDescent="0.35">
      <c r="A28" s="87" t="s">
        <v>184</v>
      </c>
      <c r="B28" s="6">
        <v>7000</v>
      </c>
      <c r="C28" s="6"/>
      <c r="D28" s="6"/>
      <c r="F28" s="34"/>
      <c r="G28" s="36">
        <f>+G1-SUM(G2:G27)</f>
        <v>22000</v>
      </c>
      <c r="H28" s="12"/>
      <c r="I28" s="12"/>
      <c r="J28" s="12"/>
      <c r="L28" s="103">
        <v>70</v>
      </c>
      <c r="M28" s="89"/>
      <c r="N28" s="89"/>
      <c r="O28" s="89"/>
      <c r="P28" s="89"/>
      <c r="Q28" s="89"/>
      <c r="R28" s="89"/>
      <c r="S28" s="89"/>
    </row>
    <row r="29" spans="1:19" x14ac:dyDescent="0.35">
      <c r="A29" s="34" t="s">
        <v>183</v>
      </c>
      <c r="B29" s="34">
        <v>40000</v>
      </c>
      <c r="C29" s="6"/>
      <c r="D29" s="6"/>
      <c r="F29" s="34"/>
      <c r="G29" s="34"/>
      <c r="L29" s="88">
        <v>322</v>
      </c>
    </row>
    <row r="30" spans="1:19" x14ac:dyDescent="0.35">
      <c r="A30" s="34"/>
      <c r="B30" s="34"/>
      <c r="C30" s="6"/>
      <c r="D30" s="6"/>
      <c r="F30" s="36"/>
      <c r="G30" s="36"/>
      <c r="L30" s="89"/>
    </row>
    <row r="31" spans="1:19" x14ac:dyDescent="0.35">
      <c r="A31" s="36" t="s">
        <v>29</v>
      </c>
      <c r="B31" s="36">
        <f>SUM(B26)-SUM(B28:B29)</f>
        <v>8400</v>
      </c>
      <c r="C31" s="6"/>
      <c r="D31" s="6"/>
      <c r="F31" s="6"/>
      <c r="G31" s="6"/>
      <c r="L31" s="89">
        <f>SUM(L1:L30)</f>
        <v>7021</v>
      </c>
    </row>
    <row r="32" spans="1:19" x14ac:dyDescent="0.35">
      <c r="A32" s="6"/>
      <c r="B32" s="6"/>
      <c r="C32" s="6"/>
      <c r="D32" s="6"/>
    </row>
    <row r="34" spans="1:13" x14ac:dyDescent="0.35">
      <c r="M34" s="91"/>
    </row>
    <row r="35" spans="1:13" x14ac:dyDescent="0.35">
      <c r="M35" s="91"/>
    </row>
    <row r="36" spans="1:13" x14ac:dyDescent="0.35">
      <c r="L36" s="91"/>
      <c r="M36" s="91"/>
    </row>
    <row r="37" spans="1:13" x14ac:dyDescent="0.35">
      <c r="L37" s="91"/>
      <c r="M37" s="91"/>
    </row>
    <row r="38" spans="1:13" x14ac:dyDescent="0.35">
      <c r="L38" s="91"/>
      <c r="M38" s="91"/>
    </row>
    <row r="39" spans="1:13" x14ac:dyDescent="0.35">
      <c r="B39" t="s">
        <v>203</v>
      </c>
      <c r="L39" s="91"/>
      <c r="M39" s="91"/>
    </row>
    <row r="40" spans="1:13" x14ac:dyDescent="0.35">
      <c r="A40" t="s">
        <v>202</v>
      </c>
      <c r="B40">
        <v>41</v>
      </c>
      <c r="L40" s="91"/>
      <c r="M40" s="91"/>
    </row>
    <row r="41" spans="1:13" x14ac:dyDescent="0.35">
      <c r="B41">
        <v>63.7</v>
      </c>
      <c r="L41" s="91"/>
      <c r="M41" s="91"/>
    </row>
    <row r="42" spans="1:13" x14ac:dyDescent="0.35">
      <c r="B42">
        <v>69.900000000000006</v>
      </c>
      <c r="L42" s="91"/>
      <c r="M42" s="91"/>
    </row>
    <row r="43" spans="1:13" x14ac:dyDescent="0.35">
      <c r="B43">
        <v>64.2</v>
      </c>
      <c r="L43" s="91"/>
      <c r="M43" s="91"/>
    </row>
    <row r="44" spans="1:13" x14ac:dyDescent="0.35">
      <c r="B44">
        <v>60.1</v>
      </c>
      <c r="J44" s="90"/>
      <c r="K44" s="90"/>
      <c r="L44" s="91"/>
      <c r="M44" s="91"/>
    </row>
    <row r="45" spans="1:13" x14ac:dyDescent="0.35">
      <c r="B45">
        <v>73.2</v>
      </c>
      <c r="L45" s="92"/>
      <c r="M45" s="91"/>
    </row>
    <row r="46" spans="1:13" x14ac:dyDescent="0.35">
      <c r="B46" s="1">
        <f>SUM(B40:B45)</f>
        <v>372.1</v>
      </c>
      <c r="C46">
        <f>+B46/8</f>
        <v>46.512500000000003</v>
      </c>
      <c r="D46">
        <v>26</v>
      </c>
      <c r="L46" s="91"/>
      <c r="M46" s="91"/>
    </row>
    <row r="47" spans="1:13" x14ac:dyDescent="0.35">
      <c r="D47">
        <f>+C46+D46</f>
        <v>72.512500000000003</v>
      </c>
      <c r="L47" s="91"/>
      <c r="M47" s="91"/>
    </row>
    <row r="48" spans="1:13" x14ac:dyDescent="0.35">
      <c r="D48">
        <v>2</v>
      </c>
      <c r="L48" s="91"/>
      <c r="M48" s="91"/>
    </row>
    <row r="49" spans="3:13" x14ac:dyDescent="0.35">
      <c r="D49">
        <v>3</v>
      </c>
      <c r="L49" s="91"/>
      <c r="M49" s="91"/>
    </row>
    <row r="50" spans="3:13" x14ac:dyDescent="0.35">
      <c r="D50">
        <f>+D47+5</f>
        <v>77.512500000000003</v>
      </c>
      <c r="J50" s="8"/>
      <c r="K50" s="8"/>
      <c r="L50" s="93"/>
      <c r="M50" s="91"/>
    </row>
    <row r="51" spans="3:13" x14ac:dyDescent="0.35">
      <c r="J51" s="90"/>
      <c r="K51" s="90"/>
      <c r="L51" s="91"/>
      <c r="M51" s="91"/>
    </row>
    <row r="52" spans="3:13" x14ac:dyDescent="0.35">
      <c r="J52" s="90"/>
      <c r="K52" s="90"/>
      <c r="L52" s="91"/>
      <c r="M52" s="91"/>
    </row>
    <row r="53" spans="3:13" x14ac:dyDescent="0.35">
      <c r="C53">
        <f>77*8</f>
        <v>616</v>
      </c>
      <c r="J53" s="90"/>
      <c r="K53" s="90"/>
      <c r="L53" s="91"/>
      <c r="M53" s="91"/>
    </row>
    <row r="54" spans="3:13" x14ac:dyDescent="0.35">
      <c r="C54">
        <v>2950</v>
      </c>
      <c r="J54" s="90"/>
      <c r="K54" s="90"/>
      <c r="L54" s="92"/>
      <c r="M54" s="91"/>
    </row>
    <row r="55" spans="3:13" x14ac:dyDescent="0.35">
      <c r="C55">
        <f>+C53*C54</f>
        <v>1817200</v>
      </c>
      <c r="J55" s="90"/>
      <c r="K55" s="90"/>
      <c r="L55" s="91"/>
      <c r="M55" s="91"/>
    </row>
    <row r="56" spans="3:13" x14ac:dyDescent="0.35">
      <c r="C56">
        <f>+C55*3.2/100</f>
        <v>58150.400000000001</v>
      </c>
      <c r="L56" s="91"/>
      <c r="M56" s="91"/>
    </row>
    <row r="57" spans="3:13" x14ac:dyDescent="0.35">
      <c r="C57">
        <f>+C55-C56</f>
        <v>1759049.6</v>
      </c>
      <c r="L57" s="91"/>
      <c r="M57" s="91"/>
    </row>
    <row r="58" spans="3:13" x14ac:dyDescent="0.35">
      <c r="J58" s="8"/>
      <c r="L58" s="93"/>
      <c r="M58" s="91"/>
    </row>
    <row r="59" spans="3:13" x14ac:dyDescent="0.35">
      <c r="L59" s="91"/>
      <c r="M59" s="91"/>
    </row>
    <row r="60" spans="3:13" x14ac:dyDescent="0.35">
      <c r="L60" s="91"/>
      <c r="M60" s="91"/>
    </row>
    <row r="61" spans="3:13" x14ac:dyDescent="0.35">
      <c r="L61" s="91"/>
      <c r="M61" s="91"/>
    </row>
    <row r="62" spans="3:13" x14ac:dyDescent="0.35">
      <c r="G62" s="1"/>
      <c r="L62" s="92"/>
      <c r="M62" s="91"/>
    </row>
    <row r="63" spans="3:13" x14ac:dyDescent="0.35">
      <c r="L63" s="91"/>
      <c r="M63" s="91"/>
    </row>
    <row r="64" spans="3:13" x14ac:dyDescent="0.35">
      <c r="L64" s="91"/>
      <c r="M64" s="91"/>
    </row>
    <row r="65" spans="12:13" x14ac:dyDescent="0.35">
      <c r="L65" s="91"/>
      <c r="M65" s="91"/>
    </row>
    <row r="66" spans="12:13" x14ac:dyDescent="0.35">
      <c r="L66" s="91"/>
      <c r="M66" s="91"/>
    </row>
    <row r="67" spans="12:13" x14ac:dyDescent="0.35">
      <c r="L67" s="92"/>
      <c r="M67" s="91"/>
    </row>
    <row r="68" spans="12:13" x14ac:dyDescent="0.35">
      <c r="L68" s="91"/>
      <c r="M68" s="91"/>
    </row>
    <row r="69" spans="12:13" x14ac:dyDescent="0.35">
      <c r="L69" s="91"/>
      <c r="M69" s="91"/>
    </row>
    <row r="70" spans="12:13" x14ac:dyDescent="0.35">
      <c r="L70" s="91"/>
      <c r="M70" s="91"/>
    </row>
    <row r="71" spans="12:13" x14ac:dyDescent="0.35">
      <c r="L71" s="91"/>
      <c r="M71" s="91"/>
    </row>
    <row r="72" spans="12:13" x14ac:dyDescent="0.35">
      <c r="L72" s="91"/>
      <c r="M72" s="91"/>
    </row>
    <row r="73" spans="12:13" x14ac:dyDescent="0.35">
      <c r="L73" s="91"/>
      <c r="M73" s="91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N35"/>
  <sheetViews>
    <sheetView topLeftCell="A2" workbookViewId="0">
      <selection activeCell="A28" sqref="A28"/>
    </sheetView>
  </sheetViews>
  <sheetFormatPr defaultColWidth="9.1796875" defaultRowHeight="14.5" x14ac:dyDescent="0.35"/>
  <cols>
    <col min="1" max="1" width="30.54296875" style="65" bestFit="1" customWidth="1"/>
    <col min="2" max="2" width="12.26953125" style="65" bestFit="1" customWidth="1"/>
    <col min="3" max="3" width="11.54296875" style="107" bestFit="1" customWidth="1"/>
    <col min="4" max="6" width="9.1796875" style="107"/>
    <col min="7" max="7" width="9.1796875" style="65"/>
    <col min="8" max="8" width="13.26953125" style="65" bestFit="1" customWidth="1"/>
    <col min="9" max="10" width="9.1796875" style="65"/>
    <col min="11" max="11" width="17.54296875" style="65" bestFit="1" customWidth="1"/>
    <col min="12" max="14" width="12.54296875" style="65" bestFit="1" customWidth="1"/>
    <col min="15" max="16384" width="9.1796875" style="65"/>
  </cols>
  <sheetData>
    <row r="1" spans="1:14" s="106" customFormat="1" x14ac:dyDescent="0.35">
      <c r="A1" s="69" t="s">
        <v>167</v>
      </c>
      <c r="B1" s="69">
        <v>74000</v>
      </c>
      <c r="C1" s="107"/>
      <c r="D1" s="107"/>
      <c r="E1" s="107"/>
      <c r="F1" s="107"/>
      <c r="M1" s="117" t="s">
        <v>263</v>
      </c>
      <c r="N1" s="117" t="s">
        <v>262</v>
      </c>
    </row>
    <row r="2" spans="1:14" s="106" customFormat="1" x14ac:dyDescent="0.35">
      <c r="A2" s="69" t="s">
        <v>141</v>
      </c>
      <c r="B2" s="69">
        <v>61300</v>
      </c>
      <c r="C2" s="107"/>
      <c r="D2" s="107"/>
      <c r="E2" s="107"/>
      <c r="F2" s="107"/>
    </row>
    <row r="3" spans="1:14" s="106" customFormat="1" x14ac:dyDescent="0.35">
      <c r="A3" s="107" t="s">
        <v>254</v>
      </c>
      <c r="C3" s="107">
        <f>B1+B2</f>
        <v>135300</v>
      </c>
      <c r="D3" s="107"/>
      <c r="E3" s="107"/>
      <c r="F3" s="107"/>
    </row>
    <row r="4" spans="1:14" s="106" customFormat="1" x14ac:dyDescent="0.35">
      <c r="A4" s="107"/>
      <c r="B4" s="107"/>
      <c r="C4" s="107"/>
      <c r="D4" s="107"/>
      <c r="E4" s="107"/>
      <c r="F4" s="107"/>
      <c r="H4" s="106">
        <v>124000</v>
      </c>
      <c r="L4" s="106" t="s">
        <v>85</v>
      </c>
      <c r="N4" s="106">
        <v>55807</v>
      </c>
    </row>
    <row r="5" spans="1:14" s="106" customFormat="1" x14ac:dyDescent="0.35">
      <c r="A5" s="109" t="s">
        <v>74</v>
      </c>
      <c r="B5" s="109">
        <v>20000</v>
      </c>
      <c r="C5" s="107"/>
      <c r="D5" s="107"/>
      <c r="E5" s="107"/>
      <c r="F5" s="107"/>
      <c r="H5" s="106">
        <v>56100</v>
      </c>
      <c r="L5" s="106" t="s">
        <v>260</v>
      </c>
      <c r="N5" s="106">
        <v>61331</v>
      </c>
    </row>
    <row r="6" spans="1:14" s="106" customFormat="1" x14ac:dyDescent="0.35">
      <c r="A6" s="110" t="s">
        <v>171</v>
      </c>
      <c r="B6" s="110">
        <v>5000</v>
      </c>
      <c r="C6" s="107"/>
      <c r="D6" s="107"/>
      <c r="E6" s="107"/>
      <c r="F6" s="107"/>
      <c r="H6" s="117">
        <f>+H4-H5</f>
        <v>67900</v>
      </c>
      <c r="L6" s="106" t="s">
        <v>261</v>
      </c>
      <c r="M6" s="106">
        <v>134000</v>
      </c>
    </row>
    <row r="7" spans="1:14" s="106" customFormat="1" x14ac:dyDescent="0.35">
      <c r="A7" s="111" t="s">
        <v>176</v>
      </c>
      <c r="B7" s="111">
        <v>5000</v>
      </c>
      <c r="C7" s="107"/>
      <c r="D7" s="107"/>
      <c r="E7" s="107"/>
      <c r="F7" s="107"/>
      <c r="L7" s="106" t="s">
        <v>167</v>
      </c>
      <c r="N7" s="106">
        <v>74000</v>
      </c>
    </row>
    <row r="8" spans="1:14" s="106" customFormat="1" x14ac:dyDescent="0.35">
      <c r="A8" s="111" t="s">
        <v>111</v>
      </c>
      <c r="B8" s="111">
        <v>5000</v>
      </c>
      <c r="C8" s="107">
        <f>SUM(B5:B8)</f>
        <v>35000</v>
      </c>
      <c r="D8" s="107"/>
      <c r="E8" s="107"/>
      <c r="F8" s="107"/>
      <c r="L8" s="117"/>
      <c r="M8" s="117"/>
    </row>
    <row r="9" spans="1:14" s="114" customFormat="1" x14ac:dyDescent="0.35">
      <c r="A9" s="111"/>
      <c r="B9" s="111"/>
      <c r="C9" s="107"/>
      <c r="D9" s="107"/>
      <c r="E9" s="107"/>
      <c r="F9" s="107"/>
    </row>
    <row r="10" spans="1:14" s="106" customFormat="1" x14ac:dyDescent="0.35">
      <c r="A10" s="115" t="s">
        <v>162</v>
      </c>
      <c r="B10" s="115">
        <v>5000</v>
      </c>
      <c r="C10" s="107"/>
      <c r="D10" s="107"/>
      <c r="E10" s="107"/>
      <c r="F10" s="107"/>
    </row>
    <row r="11" spans="1:14" s="106" customFormat="1" x14ac:dyDescent="0.35">
      <c r="A11" s="115" t="s">
        <v>172</v>
      </c>
      <c r="B11" s="115">
        <f>1400+700</f>
        <v>2100</v>
      </c>
      <c r="C11" s="107"/>
      <c r="D11" s="107"/>
      <c r="E11" s="107"/>
      <c r="F11" s="107"/>
    </row>
    <row r="12" spans="1:14" s="106" customFormat="1" x14ac:dyDescent="0.35">
      <c r="A12" s="115" t="s">
        <v>165</v>
      </c>
      <c r="B12" s="115">
        <v>2100</v>
      </c>
      <c r="C12" s="107"/>
      <c r="D12" s="107"/>
      <c r="E12" s="107"/>
      <c r="F12" s="107"/>
    </row>
    <row r="13" spans="1:14" s="106" customFormat="1" x14ac:dyDescent="0.35">
      <c r="A13" s="115" t="s">
        <v>251</v>
      </c>
      <c r="B13" s="115">
        <v>4000</v>
      </c>
      <c r="C13" s="107"/>
      <c r="D13" s="107"/>
      <c r="E13" s="107"/>
      <c r="F13" s="107"/>
    </row>
    <row r="14" spans="1:14" s="106" customFormat="1" x14ac:dyDescent="0.35">
      <c r="A14" s="115" t="s">
        <v>128</v>
      </c>
      <c r="B14" s="115">
        <v>4000</v>
      </c>
      <c r="C14" s="107"/>
      <c r="D14" s="107"/>
      <c r="E14" s="107"/>
      <c r="F14" s="107"/>
    </row>
    <row r="15" spans="1:14" s="106" customFormat="1" x14ac:dyDescent="0.35">
      <c r="A15" s="115" t="s">
        <v>170</v>
      </c>
      <c r="B15" s="115">
        <v>1500</v>
      </c>
      <c r="C15" s="107">
        <f>SUM(B10:B17)</f>
        <v>21100</v>
      </c>
      <c r="D15" s="107"/>
      <c r="E15" s="107"/>
      <c r="F15" s="107"/>
    </row>
    <row r="16" spans="1:14" s="106" customFormat="1" x14ac:dyDescent="0.35">
      <c r="A16" s="118" t="s">
        <v>258</v>
      </c>
      <c r="B16" s="115">
        <v>1200</v>
      </c>
      <c r="C16" s="107"/>
      <c r="D16" s="107"/>
      <c r="E16" s="107"/>
      <c r="F16" s="107"/>
    </row>
    <row r="17" spans="1:14" s="106" customFormat="1" x14ac:dyDescent="0.35">
      <c r="A17" s="118" t="s">
        <v>259</v>
      </c>
      <c r="B17" s="115">
        <v>1200</v>
      </c>
      <c r="C17" s="107"/>
      <c r="D17" s="107"/>
      <c r="E17" s="107"/>
      <c r="F17" s="107"/>
      <c r="K17" s="106">
        <v>55807</v>
      </c>
    </row>
    <row r="18" spans="1:14" s="106" customFormat="1" x14ac:dyDescent="0.35">
      <c r="A18" s="116"/>
      <c r="C18" s="107"/>
      <c r="D18" s="107"/>
      <c r="E18" s="107"/>
      <c r="F18" s="107"/>
      <c r="K18" s="106">
        <f>80000-1807</f>
        <v>78193</v>
      </c>
    </row>
    <row r="19" spans="1:14" s="106" customFormat="1" x14ac:dyDescent="0.35">
      <c r="A19" s="111" t="s">
        <v>17</v>
      </c>
      <c r="B19" s="111"/>
      <c r="C19" s="107"/>
      <c r="D19" s="107"/>
      <c r="E19" s="107"/>
      <c r="F19" s="107"/>
      <c r="K19" s="106">
        <f>SUM(K17:K18)</f>
        <v>134000</v>
      </c>
    </row>
    <row r="20" spans="1:14" s="106" customFormat="1" x14ac:dyDescent="0.35">
      <c r="A20" s="111" t="s">
        <v>16</v>
      </c>
      <c r="B20" s="111"/>
      <c r="C20" s="107"/>
      <c r="D20" s="107"/>
      <c r="E20" s="107"/>
      <c r="F20" s="107"/>
      <c r="K20" s="106">
        <f>+K19-M6</f>
        <v>0</v>
      </c>
    </row>
    <row r="21" spans="1:14" s="106" customFormat="1" x14ac:dyDescent="0.35">
      <c r="A21" s="111" t="s">
        <v>7</v>
      </c>
      <c r="B21" s="111"/>
      <c r="C21" s="107">
        <f>SUM(B19:B21)</f>
        <v>0</v>
      </c>
      <c r="D21" s="107"/>
      <c r="E21" s="107"/>
      <c r="F21" s="107"/>
    </row>
    <row r="22" spans="1:14" s="106" customFormat="1" x14ac:dyDescent="0.35">
      <c r="A22" s="65"/>
      <c r="B22" s="65"/>
      <c r="C22" s="107"/>
      <c r="D22" s="107"/>
      <c r="E22" s="107"/>
      <c r="F22" s="107"/>
    </row>
    <row r="23" spans="1:14" s="106" customFormat="1" x14ac:dyDescent="0.35">
      <c r="A23" s="65" t="s">
        <v>256</v>
      </c>
      <c r="B23" s="65"/>
      <c r="C23" s="107">
        <f>+C3-SUM(C8:C22)</f>
        <v>79200</v>
      </c>
      <c r="D23" s="107"/>
      <c r="E23" s="107"/>
      <c r="F23" s="107"/>
    </row>
    <row r="24" spans="1:14" s="106" customFormat="1" x14ac:dyDescent="0.35">
      <c r="A24" s="70" t="s">
        <v>255</v>
      </c>
      <c r="B24" s="111">
        <v>134000</v>
      </c>
      <c r="C24" s="107"/>
      <c r="D24" s="107"/>
      <c r="E24" s="107"/>
      <c r="F24" s="107"/>
      <c r="M24" s="117">
        <f>SUM(M2:M23)</f>
        <v>134000</v>
      </c>
      <c r="N24" s="117">
        <f>SUM(N2:N23)</f>
        <v>191138</v>
      </c>
    </row>
    <row r="25" spans="1:14" s="106" customFormat="1" x14ac:dyDescent="0.35">
      <c r="A25" s="65" t="s">
        <v>257</v>
      </c>
      <c r="B25" s="65">
        <v>55807</v>
      </c>
      <c r="C25" s="107"/>
      <c r="D25" s="107"/>
      <c r="E25" s="107"/>
      <c r="F25" s="107"/>
    </row>
    <row r="26" spans="1:14" s="106" customFormat="1" x14ac:dyDescent="0.35">
      <c r="A26" s="65"/>
      <c r="B26" s="65"/>
      <c r="C26" s="107"/>
      <c r="D26" s="107"/>
      <c r="E26" s="107"/>
      <c r="F26" s="107"/>
    </row>
    <row r="27" spans="1:14" s="106" customFormat="1" x14ac:dyDescent="0.35">
      <c r="A27" s="66" t="s">
        <v>264</v>
      </c>
      <c r="B27" s="65"/>
      <c r="C27" s="107">
        <f>+C23+B25-B24</f>
        <v>1007</v>
      </c>
      <c r="D27" s="107"/>
      <c r="E27" s="107"/>
      <c r="F27" s="107"/>
    </row>
    <row r="28" spans="1:14" s="106" customFormat="1" x14ac:dyDescent="0.35">
      <c r="A28" s="65"/>
      <c r="B28" s="65"/>
      <c r="C28" s="107"/>
      <c r="D28" s="107"/>
      <c r="E28" s="107"/>
      <c r="F28" s="107"/>
    </row>
    <row r="29" spans="1:14" s="106" customFormat="1" x14ac:dyDescent="0.35">
      <c r="A29" s="65"/>
      <c r="B29" s="65"/>
      <c r="C29" s="107"/>
      <c r="D29" s="107"/>
      <c r="E29" s="107"/>
      <c r="F29" s="107"/>
    </row>
    <row r="30" spans="1:14" s="106" customFormat="1" x14ac:dyDescent="0.35">
      <c r="A30" s="65"/>
      <c r="B30" s="65"/>
      <c r="C30" s="107"/>
      <c r="D30" s="107"/>
      <c r="E30" s="107"/>
      <c r="F30" s="107"/>
    </row>
    <row r="31" spans="1:14" s="106" customFormat="1" x14ac:dyDescent="0.35">
      <c r="A31" s="65"/>
      <c r="B31" s="65"/>
      <c r="C31" s="107"/>
      <c r="D31" s="107"/>
      <c r="E31" s="107"/>
      <c r="F31" s="107"/>
    </row>
    <row r="32" spans="1:14" s="106" customFormat="1" x14ac:dyDescent="0.35">
      <c r="A32" s="65"/>
      <c r="B32" s="65"/>
      <c r="C32" s="107"/>
      <c r="D32" s="107"/>
      <c r="E32" s="107"/>
      <c r="F32" s="107"/>
    </row>
    <row r="33" spans="1:6" s="106" customFormat="1" x14ac:dyDescent="0.35">
      <c r="A33" s="65"/>
      <c r="B33" s="65"/>
      <c r="C33" s="107"/>
      <c r="D33" s="107"/>
      <c r="E33" s="107"/>
      <c r="F33" s="107"/>
    </row>
    <row r="34" spans="1:6" s="106" customFormat="1" x14ac:dyDescent="0.35">
      <c r="A34" s="65"/>
      <c r="B34" s="65"/>
      <c r="C34" s="107"/>
      <c r="D34" s="107"/>
      <c r="E34" s="107"/>
      <c r="F34" s="107"/>
    </row>
    <row r="35" spans="1:6" s="106" customFormat="1" x14ac:dyDescent="0.35">
      <c r="A35" s="65"/>
      <c r="B35" s="65"/>
      <c r="C35" s="107"/>
      <c r="D35" s="107"/>
      <c r="E35" s="107"/>
      <c r="F35" s="107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K40"/>
  <sheetViews>
    <sheetView topLeftCell="A19" workbookViewId="0">
      <selection activeCell="G1" sqref="G1:J36"/>
    </sheetView>
  </sheetViews>
  <sheetFormatPr defaultRowHeight="14.5" x14ac:dyDescent="0.35"/>
  <cols>
    <col min="1" max="1" width="30.7265625" customWidth="1"/>
    <col min="2" max="2" width="12.81640625" customWidth="1"/>
    <col min="6" max="6" width="7.7265625" customWidth="1"/>
    <col min="7" max="7" width="19.453125" style="6" customWidth="1"/>
    <col min="8" max="11" width="9.1796875" style="6"/>
  </cols>
  <sheetData>
    <row r="1" spans="1:9" x14ac:dyDescent="0.35">
      <c r="A1" s="1" t="s">
        <v>167</v>
      </c>
      <c r="B1">
        <v>73500</v>
      </c>
      <c r="D1">
        <f>25000+25000+18000</f>
        <v>68000</v>
      </c>
      <c r="G1" s="17" t="s">
        <v>167</v>
      </c>
      <c r="H1" s="17">
        <v>75000</v>
      </c>
    </row>
    <row r="3" spans="1:9" x14ac:dyDescent="0.35">
      <c r="A3" s="1" t="s">
        <v>74</v>
      </c>
      <c r="B3" s="12">
        <v>32000</v>
      </c>
      <c r="C3" s="85" t="s">
        <v>52</v>
      </c>
      <c r="G3" s="64" t="s">
        <v>74</v>
      </c>
      <c r="H3" s="64">
        <v>32000</v>
      </c>
    </row>
    <row r="4" spans="1:9" x14ac:dyDescent="0.35">
      <c r="A4" s="36" t="s">
        <v>171</v>
      </c>
      <c r="B4" s="34">
        <v>5000</v>
      </c>
      <c r="C4" s="85" t="s">
        <v>52</v>
      </c>
      <c r="G4" s="34" t="s">
        <v>171</v>
      </c>
      <c r="H4" s="34">
        <v>5000</v>
      </c>
    </row>
    <row r="5" spans="1:9" x14ac:dyDescent="0.35">
      <c r="A5" s="36" t="s">
        <v>162</v>
      </c>
      <c r="B5" s="56">
        <v>5000</v>
      </c>
      <c r="C5" s="85" t="s">
        <v>52</v>
      </c>
      <c r="G5" s="34" t="s">
        <v>162</v>
      </c>
      <c r="H5" s="34">
        <v>5000</v>
      </c>
    </row>
    <row r="6" spans="1:9" x14ac:dyDescent="0.35">
      <c r="A6" s="36" t="s">
        <v>172</v>
      </c>
      <c r="B6" s="56">
        <f>1400+700</f>
        <v>2100</v>
      </c>
      <c r="C6" s="85" t="s">
        <v>52</v>
      </c>
      <c r="G6" s="34" t="s">
        <v>172</v>
      </c>
      <c r="H6" s="34">
        <f>1400+700</f>
        <v>2100</v>
      </c>
    </row>
    <row r="7" spans="1:9" x14ac:dyDescent="0.35">
      <c r="A7" s="36" t="s">
        <v>165</v>
      </c>
      <c r="B7" s="56">
        <v>2100</v>
      </c>
      <c r="C7" s="85" t="s">
        <v>52</v>
      </c>
      <c r="G7" s="34" t="s">
        <v>165</v>
      </c>
      <c r="H7" s="34">
        <v>2100</v>
      </c>
    </row>
    <row r="8" spans="1:9" x14ac:dyDescent="0.35">
      <c r="A8" s="36" t="s">
        <v>13</v>
      </c>
      <c r="B8" s="54">
        <v>1700</v>
      </c>
      <c r="C8" s="85" t="s">
        <v>52</v>
      </c>
      <c r="G8" s="34" t="s">
        <v>13</v>
      </c>
      <c r="H8" s="34">
        <v>1700</v>
      </c>
    </row>
    <row r="9" spans="1:9" x14ac:dyDescent="0.35">
      <c r="A9" s="36" t="s">
        <v>173</v>
      </c>
      <c r="B9" s="53">
        <v>1100</v>
      </c>
      <c r="C9" s="14" t="s">
        <v>150</v>
      </c>
      <c r="G9" s="34" t="s">
        <v>174</v>
      </c>
      <c r="H9" s="34">
        <v>2000</v>
      </c>
    </row>
    <row r="10" spans="1:9" x14ac:dyDescent="0.35">
      <c r="A10" s="36" t="s">
        <v>11</v>
      </c>
      <c r="B10" s="53">
        <v>1500</v>
      </c>
      <c r="C10" s="14" t="s">
        <v>150</v>
      </c>
      <c r="G10" s="34" t="s">
        <v>17</v>
      </c>
      <c r="H10" s="34">
        <v>300</v>
      </c>
    </row>
    <row r="11" spans="1:9" x14ac:dyDescent="0.35">
      <c r="A11" s="36" t="s">
        <v>174</v>
      </c>
      <c r="B11" s="53">
        <v>3000</v>
      </c>
      <c r="C11" s="85" t="s">
        <v>52</v>
      </c>
      <c r="G11" s="34" t="s">
        <v>14</v>
      </c>
      <c r="H11" s="34">
        <v>500</v>
      </c>
    </row>
    <row r="12" spans="1:9" x14ac:dyDescent="0.35">
      <c r="A12" s="36" t="s">
        <v>17</v>
      </c>
      <c r="B12" s="34">
        <v>300</v>
      </c>
      <c r="C12" s="34"/>
      <c r="D12">
        <f>+B12</f>
        <v>300</v>
      </c>
      <c r="G12" s="34" t="s">
        <v>175</v>
      </c>
      <c r="H12" s="34">
        <v>1000</v>
      </c>
    </row>
    <row r="13" spans="1:9" x14ac:dyDescent="0.35">
      <c r="A13" s="36" t="s">
        <v>14</v>
      </c>
      <c r="B13" s="34">
        <v>500</v>
      </c>
      <c r="C13" s="85" t="s">
        <v>52</v>
      </c>
      <c r="G13" s="34" t="s">
        <v>16</v>
      </c>
      <c r="H13" s="34">
        <v>500</v>
      </c>
    </row>
    <row r="14" spans="1:9" x14ac:dyDescent="0.35">
      <c r="A14" s="36" t="s">
        <v>175</v>
      </c>
      <c r="B14" s="34">
        <v>1000</v>
      </c>
      <c r="D14">
        <f>+B14/2</f>
        <v>500</v>
      </c>
      <c r="G14" s="34" t="s">
        <v>7</v>
      </c>
      <c r="H14" s="34">
        <v>2000</v>
      </c>
    </row>
    <row r="15" spans="1:9" x14ac:dyDescent="0.35">
      <c r="A15" s="36" t="s">
        <v>16</v>
      </c>
      <c r="B15" s="34">
        <v>500</v>
      </c>
      <c r="C15" s="85" t="s">
        <v>52</v>
      </c>
      <c r="G15" s="34" t="s">
        <v>176</v>
      </c>
      <c r="H15" s="34">
        <v>3000</v>
      </c>
      <c r="I15" s="6">
        <f>100*21</f>
        <v>2100</v>
      </c>
    </row>
    <row r="16" spans="1:9" x14ac:dyDescent="0.35">
      <c r="A16" s="36" t="s">
        <v>7</v>
      </c>
      <c r="B16" s="34">
        <v>1000</v>
      </c>
      <c r="C16" s="86"/>
      <c r="G16" s="34" t="s">
        <v>46</v>
      </c>
      <c r="H16" s="34">
        <v>700</v>
      </c>
    </row>
    <row r="17" spans="1:10" x14ac:dyDescent="0.35">
      <c r="A17" s="36" t="s">
        <v>176</v>
      </c>
      <c r="B17" s="36">
        <v>3000</v>
      </c>
      <c r="C17" t="s">
        <v>178</v>
      </c>
      <c r="D17">
        <f>+B17/2</f>
        <v>1500</v>
      </c>
      <c r="G17" s="34" t="s">
        <v>163</v>
      </c>
      <c r="H17" s="34">
        <f>1050+1800</f>
        <v>2850</v>
      </c>
    </row>
    <row r="18" spans="1:10" x14ac:dyDescent="0.35">
      <c r="A18" s="36" t="s">
        <v>46</v>
      </c>
      <c r="B18" s="34">
        <f>700+700</f>
        <v>1400</v>
      </c>
      <c r="C18" s="14" t="s">
        <v>150</v>
      </c>
      <c r="G18" s="34" t="s">
        <v>128</v>
      </c>
      <c r="H18" s="34">
        <v>4000</v>
      </c>
    </row>
    <row r="19" spans="1:10" x14ac:dyDescent="0.35">
      <c r="A19" s="36" t="s">
        <v>163</v>
      </c>
      <c r="B19" s="34">
        <v>4000</v>
      </c>
      <c r="C19" s="85" t="s">
        <v>52</v>
      </c>
      <c r="G19" s="34" t="s">
        <v>111</v>
      </c>
      <c r="H19" s="34">
        <v>5000</v>
      </c>
    </row>
    <row r="20" spans="1:10" x14ac:dyDescent="0.35">
      <c r="A20" s="36" t="s">
        <v>128</v>
      </c>
      <c r="B20" s="34">
        <v>2000</v>
      </c>
      <c r="C20" s="85" t="s">
        <v>52</v>
      </c>
      <c r="G20" s="34" t="s">
        <v>170</v>
      </c>
      <c r="H20" s="34">
        <v>1700</v>
      </c>
      <c r="J20" s="6">
        <v>17000</v>
      </c>
    </row>
    <row r="21" spans="1:10" x14ac:dyDescent="0.35">
      <c r="A21" s="36" t="s">
        <v>111</v>
      </c>
      <c r="B21" s="34">
        <v>5000</v>
      </c>
      <c r="C21" s="85" t="s">
        <v>52</v>
      </c>
    </row>
    <row r="22" spans="1:10" x14ac:dyDescent="0.35">
      <c r="A22" s="36" t="s">
        <v>168</v>
      </c>
      <c r="B22" s="34">
        <v>5000</v>
      </c>
      <c r="C22" s="86"/>
      <c r="G22" s="36"/>
      <c r="H22" s="34"/>
    </row>
    <row r="23" spans="1:10" x14ac:dyDescent="0.35">
      <c r="A23" s="36" t="s">
        <v>170</v>
      </c>
      <c r="B23" s="34">
        <v>1700</v>
      </c>
      <c r="D23">
        <f>+B23</f>
        <v>1700</v>
      </c>
      <c r="G23" s="17" t="s">
        <v>179</v>
      </c>
      <c r="H23" s="17">
        <f>+H1-SUM(H3:H20)</f>
        <v>3550</v>
      </c>
    </row>
    <row r="24" spans="1:10" x14ac:dyDescent="0.35">
      <c r="A24" s="36"/>
      <c r="B24" s="34"/>
    </row>
    <row r="25" spans="1:10" x14ac:dyDescent="0.35">
      <c r="B25" s="84">
        <f>+B1-SUM(B3:B23)</f>
        <v>-5400</v>
      </c>
      <c r="G25" s="17" t="s">
        <v>180</v>
      </c>
      <c r="H25" s="17">
        <v>53000</v>
      </c>
    </row>
    <row r="26" spans="1:10" x14ac:dyDescent="0.35">
      <c r="D26">
        <v>400</v>
      </c>
      <c r="G26" s="17" t="s">
        <v>181</v>
      </c>
      <c r="H26" s="17">
        <f>+H23+H25</f>
        <v>56550</v>
      </c>
    </row>
    <row r="27" spans="1:10" x14ac:dyDescent="0.35">
      <c r="A27" s="36" t="s">
        <v>151</v>
      </c>
      <c r="B27" s="36">
        <v>15000</v>
      </c>
      <c r="D27">
        <v>800</v>
      </c>
      <c r="G27" s="17"/>
      <c r="H27" s="17"/>
    </row>
    <row r="28" spans="1:10" x14ac:dyDescent="0.35">
      <c r="A28" t="s">
        <v>169</v>
      </c>
      <c r="B28">
        <v>5400</v>
      </c>
      <c r="G28" s="17"/>
      <c r="H28" s="17"/>
    </row>
    <row r="29" spans="1:10" x14ac:dyDescent="0.35">
      <c r="A29" t="s">
        <v>177</v>
      </c>
      <c r="B29">
        <v>25000</v>
      </c>
      <c r="G29" s="34" t="s">
        <v>151</v>
      </c>
      <c r="I29" s="34">
        <v>3000</v>
      </c>
    </row>
    <row r="30" spans="1:10" x14ac:dyDescent="0.35">
      <c r="G30" s="34" t="s">
        <v>173</v>
      </c>
      <c r="I30" s="34">
        <v>1003</v>
      </c>
    </row>
    <row r="31" spans="1:10" x14ac:dyDescent="0.35">
      <c r="A31" t="s">
        <v>141</v>
      </c>
      <c r="B31">
        <v>53000</v>
      </c>
      <c r="G31" s="34" t="s">
        <v>11</v>
      </c>
      <c r="I31" s="34">
        <v>1200</v>
      </c>
    </row>
    <row r="32" spans="1:10" x14ac:dyDescent="0.35">
      <c r="G32" s="64" t="s">
        <v>182</v>
      </c>
      <c r="H32" s="64">
        <f>SUM(I29:I31)</f>
        <v>5203</v>
      </c>
    </row>
    <row r="33" spans="2:8" x14ac:dyDescent="0.35">
      <c r="B33" s="84">
        <f>+B31-SUM(B27:B29)</f>
        <v>7600</v>
      </c>
      <c r="G33" s="34" t="s">
        <v>183</v>
      </c>
      <c r="H33" s="34">
        <v>40000</v>
      </c>
    </row>
    <row r="34" spans="2:8" x14ac:dyDescent="0.35">
      <c r="G34" s="34"/>
      <c r="H34" s="34"/>
    </row>
    <row r="35" spans="2:8" x14ac:dyDescent="0.35">
      <c r="G35" s="36" t="s">
        <v>29</v>
      </c>
      <c r="H35" s="36">
        <f>SUM(H26)-SUM(H29:H33)</f>
        <v>11347</v>
      </c>
    </row>
    <row r="37" spans="2:8" x14ac:dyDescent="0.35">
      <c r="G37" s="64"/>
    </row>
    <row r="38" spans="2:8" x14ac:dyDescent="0.35">
      <c r="G38" s="64"/>
    </row>
    <row r="39" spans="2:8" x14ac:dyDescent="0.35">
      <c r="G39" s="64"/>
    </row>
    <row r="40" spans="2:8" x14ac:dyDescent="0.35">
      <c r="G40" s="64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102"/>
  <sheetViews>
    <sheetView topLeftCell="A97" workbookViewId="0">
      <selection activeCell="K130" sqref="K130"/>
    </sheetView>
  </sheetViews>
  <sheetFormatPr defaultRowHeight="14.5" x14ac:dyDescent="0.35"/>
  <cols>
    <col min="1" max="1" width="13.7265625" customWidth="1"/>
  </cols>
  <sheetData>
    <row r="1" spans="1:1" x14ac:dyDescent="0.35">
      <c r="A1" s="83">
        <v>43203</v>
      </c>
    </row>
    <row r="34" spans="1:1" x14ac:dyDescent="0.35">
      <c r="A34" s="83">
        <v>43203</v>
      </c>
    </row>
    <row r="65" spans="1:1" x14ac:dyDescent="0.35">
      <c r="A65" s="83">
        <v>43205</v>
      </c>
    </row>
    <row r="102" spans="1:1" x14ac:dyDescent="0.35">
      <c r="A102" t="s">
        <v>161</v>
      </c>
    </row>
  </sheetData>
  <pageMargins left="0.7" right="0.7" top="0.75" bottom="0.75" header="0.3" footer="0.3"/>
  <pageSetup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I61"/>
  <sheetViews>
    <sheetView workbookViewId="0">
      <selection activeCell="E9" sqref="E9"/>
    </sheetView>
  </sheetViews>
  <sheetFormatPr defaultColWidth="9.1796875" defaultRowHeight="14.5" x14ac:dyDescent="0.35"/>
  <cols>
    <col min="1" max="1" width="27.54296875" style="96" customWidth="1"/>
    <col min="2" max="2" width="23" style="96" bestFit="1" customWidth="1"/>
    <col min="3" max="3" width="12.81640625" style="96" bestFit="1" customWidth="1"/>
    <col min="4" max="4" width="23.453125" style="96" bestFit="1" customWidth="1"/>
    <col min="5" max="5" width="9.1796875" style="96"/>
    <col min="6" max="6" width="22.453125" style="96" bestFit="1" customWidth="1"/>
    <col min="7" max="7" width="6.7265625" style="96" customWidth="1"/>
    <col min="8" max="8" width="33.1796875" style="96" bestFit="1" customWidth="1"/>
    <col min="9" max="9" width="22" style="96" bestFit="1" customWidth="1"/>
    <col min="10" max="16384" width="9.1796875" style="96"/>
  </cols>
  <sheetData>
    <row r="1" spans="1:9" s="94" customFormat="1" x14ac:dyDescent="0.35">
      <c r="A1" s="95"/>
      <c r="B1" s="95" t="s">
        <v>204</v>
      </c>
      <c r="C1" s="95" t="s">
        <v>205</v>
      </c>
      <c r="D1" s="95" t="s">
        <v>206</v>
      </c>
      <c r="F1" s="95" t="s">
        <v>233</v>
      </c>
      <c r="G1" s="95" t="s">
        <v>203</v>
      </c>
      <c r="H1" s="95" t="s">
        <v>239</v>
      </c>
      <c r="I1" s="95" t="s">
        <v>238</v>
      </c>
    </row>
    <row r="2" spans="1:9" x14ac:dyDescent="0.35">
      <c r="A2" s="97" t="s">
        <v>208</v>
      </c>
      <c r="B2" s="97">
        <v>3</v>
      </c>
      <c r="C2" s="97" t="s">
        <v>210</v>
      </c>
      <c r="D2" s="97" t="s">
        <v>210</v>
      </c>
      <c r="F2" s="97" t="s">
        <v>234</v>
      </c>
      <c r="G2" s="199">
        <v>63.7</v>
      </c>
      <c r="H2" s="198">
        <v>154000</v>
      </c>
      <c r="I2" s="198">
        <v>90000</v>
      </c>
    </row>
    <row r="3" spans="1:9" x14ac:dyDescent="0.35">
      <c r="A3" s="97" t="s">
        <v>209</v>
      </c>
      <c r="B3" s="97" t="s">
        <v>210</v>
      </c>
      <c r="C3" s="97">
        <v>1.5</v>
      </c>
      <c r="D3" s="97" t="s">
        <v>210</v>
      </c>
      <c r="F3" s="97" t="s">
        <v>235</v>
      </c>
      <c r="G3" s="199"/>
      <c r="H3" s="198"/>
      <c r="I3" s="198"/>
    </row>
    <row r="4" spans="1:9" x14ac:dyDescent="0.35">
      <c r="A4" s="97" t="s">
        <v>211</v>
      </c>
      <c r="B4" s="97" t="s">
        <v>210</v>
      </c>
      <c r="C4" s="97" t="s">
        <v>210</v>
      </c>
      <c r="D4" s="97">
        <v>2.25</v>
      </c>
      <c r="F4" s="97" t="s">
        <v>236</v>
      </c>
      <c r="G4" s="199"/>
      <c r="H4" s="198"/>
      <c r="I4" s="198"/>
    </row>
    <row r="5" spans="1:9" x14ac:dyDescent="0.35">
      <c r="A5" s="97" t="s">
        <v>211</v>
      </c>
      <c r="B5" s="97" t="s">
        <v>210</v>
      </c>
      <c r="C5" s="97" t="s">
        <v>210</v>
      </c>
      <c r="D5" s="97">
        <v>3</v>
      </c>
      <c r="F5" s="97" t="s">
        <v>237</v>
      </c>
      <c r="G5" s="199"/>
      <c r="H5" s="198"/>
      <c r="I5" s="198"/>
    </row>
    <row r="6" spans="1:9" x14ac:dyDescent="0.35">
      <c r="A6" s="97" t="s">
        <v>196</v>
      </c>
      <c r="B6" s="97" t="s">
        <v>210</v>
      </c>
      <c r="C6" s="97">
        <v>3</v>
      </c>
      <c r="D6" s="97" t="s">
        <v>210</v>
      </c>
      <c r="F6" s="97" t="s">
        <v>234</v>
      </c>
      <c r="G6" s="198">
        <v>69.900000000000006</v>
      </c>
      <c r="H6" s="198">
        <v>168000</v>
      </c>
      <c r="I6" s="198">
        <v>116000</v>
      </c>
    </row>
    <row r="7" spans="1:9" x14ac:dyDescent="0.35">
      <c r="A7" s="97" t="s">
        <v>196</v>
      </c>
      <c r="B7" s="97" t="s">
        <v>210</v>
      </c>
      <c r="C7" s="97">
        <v>1.5</v>
      </c>
      <c r="D7" s="97" t="s">
        <v>210</v>
      </c>
      <c r="F7" s="97" t="s">
        <v>240</v>
      </c>
      <c r="G7" s="198"/>
      <c r="H7" s="198"/>
      <c r="I7" s="198"/>
    </row>
    <row r="8" spans="1:9" x14ac:dyDescent="0.35">
      <c r="A8" s="97" t="s">
        <v>212</v>
      </c>
      <c r="B8" s="97">
        <v>11</v>
      </c>
      <c r="C8" s="97" t="s">
        <v>210</v>
      </c>
      <c r="D8" s="97" t="s">
        <v>210</v>
      </c>
      <c r="F8" s="97" t="s">
        <v>241</v>
      </c>
      <c r="G8" s="198"/>
      <c r="H8" s="198"/>
      <c r="I8" s="198"/>
    </row>
    <row r="9" spans="1:9" x14ac:dyDescent="0.35">
      <c r="A9" s="97"/>
      <c r="B9" s="97"/>
      <c r="C9" s="97"/>
      <c r="D9" s="97"/>
      <c r="F9" s="97" t="s">
        <v>242</v>
      </c>
      <c r="G9" s="198">
        <v>41</v>
      </c>
      <c r="H9" s="198">
        <v>98000</v>
      </c>
      <c r="I9" s="198">
        <v>65000</v>
      </c>
    </row>
    <row r="10" spans="1:9" x14ac:dyDescent="0.35">
      <c r="A10" s="97"/>
      <c r="B10" s="97"/>
      <c r="C10" s="97"/>
      <c r="D10" s="97"/>
      <c r="F10" s="97" t="s">
        <v>243</v>
      </c>
      <c r="G10" s="198"/>
      <c r="H10" s="198"/>
      <c r="I10" s="198"/>
    </row>
    <row r="11" spans="1:9" x14ac:dyDescent="0.35">
      <c r="A11" s="97"/>
      <c r="B11" s="97"/>
      <c r="C11" s="97"/>
      <c r="D11" s="97"/>
      <c r="F11" s="97" t="s">
        <v>244</v>
      </c>
      <c r="G11" s="101">
        <v>73.2</v>
      </c>
      <c r="H11" s="97">
        <v>176400</v>
      </c>
      <c r="I11" s="97">
        <v>119000</v>
      </c>
    </row>
    <row r="12" spans="1:9" x14ac:dyDescent="0.35">
      <c r="A12" s="97"/>
      <c r="B12" s="97"/>
      <c r="C12" s="97"/>
      <c r="D12" s="97"/>
      <c r="F12" s="97" t="s">
        <v>245</v>
      </c>
      <c r="G12" s="101">
        <v>60.1</v>
      </c>
      <c r="H12" s="97">
        <v>142800</v>
      </c>
      <c r="I12" s="97">
        <v>91000</v>
      </c>
    </row>
    <row r="13" spans="1:9" x14ac:dyDescent="0.35">
      <c r="F13" s="97" t="s">
        <v>246</v>
      </c>
      <c r="G13" s="198">
        <v>64.2</v>
      </c>
      <c r="H13" s="198">
        <v>156800</v>
      </c>
      <c r="I13" s="198">
        <v>90000</v>
      </c>
    </row>
    <row r="14" spans="1:9" x14ac:dyDescent="0.35">
      <c r="A14" s="96" t="s">
        <v>213</v>
      </c>
      <c r="B14" s="94">
        <f>SUM(B2:B12)</f>
        <v>14</v>
      </c>
      <c r="C14" s="94">
        <f t="shared" ref="C14:D14" si="0">SUM(C2:C12)</f>
        <v>6</v>
      </c>
      <c r="D14" s="94">
        <f t="shared" si="0"/>
        <v>5.25</v>
      </c>
      <c r="F14" s="97" t="s">
        <v>247</v>
      </c>
      <c r="G14" s="198"/>
      <c r="H14" s="198"/>
      <c r="I14" s="198"/>
    </row>
    <row r="15" spans="1:9" x14ac:dyDescent="0.35">
      <c r="C15" s="94">
        <f>+B14+C14+D14</f>
        <v>25.25</v>
      </c>
      <c r="G15" s="102">
        <f>SUM(G2:G14)</f>
        <v>372.1</v>
      </c>
      <c r="H15" s="102">
        <f t="shared" ref="H15:I15" si="1">SUM(H2:H14)</f>
        <v>896000</v>
      </c>
      <c r="I15" s="102">
        <f t="shared" si="1"/>
        <v>571000</v>
      </c>
    </row>
    <row r="18" spans="1:8" x14ac:dyDescent="0.35">
      <c r="H18" s="96">
        <v>2913</v>
      </c>
    </row>
    <row r="19" spans="1:8" x14ac:dyDescent="0.35">
      <c r="H19" s="96">
        <f>+G15*H18</f>
        <v>1083927.3</v>
      </c>
    </row>
    <row r="20" spans="1:8" x14ac:dyDescent="0.35">
      <c r="A20" s="97" t="s">
        <v>207</v>
      </c>
      <c r="B20" s="97">
        <v>3</v>
      </c>
      <c r="C20" s="97">
        <v>3</v>
      </c>
      <c r="D20" s="97">
        <v>4</v>
      </c>
      <c r="H20" s="96">
        <v>3</v>
      </c>
    </row>
    <row r="21" spans="1:8" s="98" customFormat="1" x14ac:dyDescent="0.35">
      <c r="H21" s="98">
        <f>+H19*H20/100</f>
        <v>32517.819000000003</v>
      </c>
    </row>
    <row r="22" spans="1:8" x14ac:dyDescent="0.35">
      <c r="A22" s="97" t="s">
        <v>214</v>
      </c>
      <c r="B22" s="97">
        <f>+B14*8</f>
        <v>112</v>
      </c>
      <c r="C22" s="97">
        <f>+C14*8</f>
        <v>48</v>
      </c>
      <c r="D22" s="97">
        <f>+D14*8</f>
        <v>42</v>
      </c>
      <c r="H22" s="96">
        <f>+H19-H21</f>
        <v>1051409.4810000001</v>
      </c>
    </row>
    <row r="23" spans="1:8" x14ac:dyDescent="0.35">
      <c r="A23" s="97" t="s">
        <v>215</v>
      </c>
      <c r="B23" s="97">
        <v>2921</v>
      </c>
      <c r="C23" s="97">
        <v>2921</v>
      </c>
      <c r="D23" s="97">
        <v>2921</v>
      </c>
      <c r="H23" s="96">
        <f>40000+20000</f>
        <v>60000</v>
      </c>
    </row>
    <row r="24" spans="1:8" x14ac:dyDescent="0.35">
      <c r="A24" s="97" t="s">
        <v>216</v>
      </c>
      <c r="B24" s="97">
        <f>+B22*B23</f>
        <v>327152</v>
      </c>
      <c r="C24" s="97">
        <f>+C22*C23</f>
        <v>140208</v>
      </c>
      <c r="D24" s="97">
        <f>+D22*D23</f>
        <v>122682</v>
      </c>
      <c r="H24" s="94">
        <f>+H22+H23</f>
        <v>1111409.4810000001</v>
      </c>
    </row>
    <row r="25" spans="1:8" x14ac:dyDescent="0.35">
      <c r="A25" s="97" t="s">
        <v>218</v>
      </c>
      <c r="B25" s="97">
        <f>+B24*B20/100</f>
        <v>9814.56</v>
      </c>
      <c r="C25" s="97">
        <f>+C24*C20/100</f>
        <v>4206.24</v>
      </c>
      <c r="D25" s="97">
        <f>+D24*D20/100</f>
        <v>4907.28</v>
      </c>
      <c r="H25" s="96">
        <v>2700000</v>
      </c>
    </row>
    <row r="26" spans="1:8" s="94" customFormat="1" x14ac:dyDescent="0.35">
      <c r="A26" s="95" t="s">
        <v>217</v>
      </c>
      <c r="B26" s="95">
        <f>+B24-B25</f>
        <v>317337.44</v>
      </c>
      <c r="C26" s="95">
        <f>+C24-C25</f>
        <v>136001.76</v>
      </c>
      <c r="D26" s="95">
        <f>+D24-D25</f>
        <v>117774.72</v>
      </c>
      <c r="H26" s="94">
        <f>+H25-H24</f>
        <v>1588590.5189999999</v>
      </c>
    </row>
    <row r="28" spans="1:8" x14ac:dyDescent="0.35">
      <c r="C28" s="94">
        <f>+B26+C26+D26</f>
        <v>571113.92000000004</v>
      </c>
    </row>
    <row r="35" spans="1:2" x14ac:dyDescent="0.35">
      <c r="A35" s="96" t="s">
        <v>219</v>
      </c>
      <c r="B35" s="96">
        <v>5</v>
      </c>
    </row>
    <row r="36" spans="1:2" x14ac:dyDescent="0.35">
      <c r="A36" s="96" t="s">
        <v>220</v>
      </c>
      <c r="B36" s="96">
        <v>4</v>
      </c>
    </row>
    <row r="37" spans="1:2" x14ac:dyDescent="0.35">
      <c r="A37" s="96" t="s">
        <v>221</v>
      </c>
      <c r="B37" s="96">
        <v>5.25</v>
      </c>
    </row>
    <row r="38" spans="1:2" x14ac:dyDescent="0.35">
      <c r="A38" s="96" t="s">
        <v>222</v>
      </c>
      <c r="B38" s="96">
        <v>5.5</v>
      </c>
    </row>
    <row r="39" spans="1:2" x14ac:dyDescent="0.35">
      <c r="A39" s="96" t="s">
        <v>223</v>
      </c>
      <c r="B39" s="96">
        <v>1</v>
      </c>
    </row>
    <row r="40" spans="1:2" x14ac:dyDescent="0.35">
      <c r="A40" s="96" t="s">
        <v>224</v>
      </c>
      <c r="B40" s="96">
        <v>9</v>
      </c>
    </row>
    <row r="41" spans="1:2" x14ac:dyDescent="0.35">
      <c r="A41" s="96" t="s">
        <v>225</v>
      </c>
      <c r="B41" s="96">
        <v>3</v>
      </c>
    </row>
    <row r="42" spans="1:2" x14ac:dyDescent="0.35">
      <c r="A42" s="96" t="s">
        <v>225</v>
      </c>
      <c r="B42" s="96">
        <v>2.25</v>
      </c>
    </row>
    <row r="43" spans="1:2" x14ac:dyDescent="0.35">
      <c r="A43" s="96" t="s">
        <v>225</v>
      </c>
      <c r="B43" s="96">
        <v>1</v>
      </c>
    </row>
    <row r="44" spans="1:2" x14ac:dyDescent="0.35">
      <c r="A44" s="96" t="s">
        <v>225</v>
      </c>
      <c r="B44" s="96">
        <v>2.25</v>
      </c>
    </row>
    <row r="45" spans="1:2" x14ac:dyDescent="0.35">
      <c r="A45" s="96" t="s">
        <v>225</v>
      </c>
      <c r="B45" s="96">
        <v>2</v>
      </c>
    </row>
    <row r="46" spans="1:2" x14ac:dyDescent="0.35">
      <c r="A46" s="96" t="s">
        <v>209</v>
      </c>
      <c r="B46" s="96">
        <v>0.75</v>
      </c>
    </row>
    <row r="47" spans="1:2" x14ac:dyDescent="0.35">
      <c r="A47" s="96" t="s">
        <v>226</v>
      </c>
      <c r="B47" s="96">
        <v>1</v>
      </c>
    </row>
    <row r="49" spans="1:6" x14ac:dyDescent="0.35">
      <c r="B49" s="94">
        <f>SUM(B35:B48)</f>
        <v>42</v>
      </c>
      <c r="C49" s="96">
        <f>+B49*8</f>
        <v>336</v>
      </c>
    </row>
    <row r="50" spans="1:6" x14ac:dyDescent="0.35">
      <c r="C50" s="96">
        <v>2921</v>
      </c>
      <c r="F50" s="94"/>
    </row>
    <row r="51" spans="1:6" x14ac:dyDescent="0.35">
      <c r="C51" s="96">
        <f>+C49*C50</f>
        <v>981456</v>
      </c>
    </row>
    <row r="52" spans="1:6" x14ac:dyDescent="0.35">
      <c r="C52" s="96">
        <f>+C51*3/100</f>
        <v>29443.68</v>
      </c>
    </row>
    <row r="53" spans="1:6" x14ac:dyDescent="0.35">
      <c r="C53" s="100">
        <f>+C51-C52</f>
        <v>952012.32</v>
      </c>
    </row>
    <row r="56" spans="1:6" x14ac:dyDescent="0.35">
      <c r="A56" s="99" t="s">
        <v>227</v>
      </c>
      <c r="B56" s="99">
        <v>4</v>
      </c>
    </row>
    <row r="57" spans="1:6" x14ac:dyDescent="0.35">
      <c r="A57" s="99" t="s">
        <v>228</v>
      </c>
      <c r="B57" s="99">
        <v>1.5</v>
      </c>
    </row>
    <row r="58" spans="1:6" x14ac:dyDescent="0.35">
      <c r="A58" s="99" t="s">
        <v>229</v>
      </c>
      <c r="B58" s="99">
        <v>1</v>
      </c>
    </row>
    <row r="59" spans="1:6" x14ac:dyDescent="0.35">
      <c r="A59" s="96" t="s">
        <v>230</v>
      </c>
      <c r="B59" s="96">
        <v>1</v>
      </c>
    </row>
    <row r="60" spans="1:6" x14ac:dyDescent="0.35">
      <c r="A60" s="96" t="s">
        <v>231</v>
      </c>
      <c r="B60" s="96">
        <v>1</v>
      </c>
    </row>
    <row r="61" spans="1:6" x14ac:dyDescent="0.35">
      <c r="A61" s="96" t="s">
        <v>225</v>
      </c>
      <c r="B61" s="96">
        <v>2.25</v>
      </c>
    </row>
  </sheetData>
  <mergeCells count="12">
    <mergeCell ref="G2:G5"/>
    <mergeCell ref="H2:H5"/>
    <mergeCell ref="I2:I5"/>
    <mergeCell ref="G6:G8"/>
    <mergeCell ref="H6:H8"/>
    <mergeCell ref="I6:I8"/>
    <mergeCell ref="G9:G10"/>
    <mergeCell ref="H9:H10"/>
    <mergeCell ref="I9:I10"/>
    <mergeCell ref="G13:G14"/>
    <mergeCell ref="H13:H14"/>
    <mergeCell ref="I13:I1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7"/>
  <sheetViews>
    <sheetView workbookViewId="0">
      <selection sqref="A1:B27"/>
    </sheetView>
  </sheetViews>
  <sheetFormatPr defaultRowHeight="14.5" x14ac:dyDescent="0.35"/>
  <cols>
    <col min="1" max="1" width="21.54296875" bestFit="1" customWidth="1"/>
    <col min="3" max="3" width="36.453125" customWidth="1"/>
    <col min="4" max="22" width="9.1796875" style="12"/>
  </cols>
  <sheetData>
    <row r="1" spans="1:8" x14ac:dyDescent="0.35">
      <c r="B1" s="7" t="s">
        <v>32</v>
      </c>
    </row>
    <row r="2" spans="1:8" x14ac:dyDescent="0.35">
      <c r="A2" s="1" t="s">
        <v>33</v>
      </c>
      <c r="B2" s="1">
        <v>37000</v>
      </c>
    </row>
    <row r="3" spans="1:8" x14ac:dyDescent="0.35">
      <c r="A3" s="1" t="s">
        <v>34</v>
      </c>
      <c r="B3" s="1">
        <v>43600</v>
      </c>
      <c r="C3" s="14">
        <f>+B3-32000-600</f>
        <v>11000</v>
      </c>
    </row>
    <row r="5" spans="1:8" x14ac:dyDescent="0.35">
      <c r="A5" t="s">
        <v>3</v>
      </c>
      <c r="B5">
        <v>32000</v>
      </c>
    </row>
    <row r="6" spans="1:8" x14ac:dyDescent="0.35">
      <c r="A6" t="s">
        <v>4</v>
      </c>
      <c r="B6">
        <v>600</v>
      </c>
    </row>
    <row r="7" spans="1:8" x14ac:dyDescent="0.35">
      <c r="A7" t="s">
        <v>15</v>
      </c>
      <c r="B7" s="17">
        <v>1100</v>
      </c>
    </row>
    <row r="8" spans="1:8" x14ac:dyDescent="0.35">
      <c r="A8" t="s">
        <v>11</v>
      </c>
      <c r="B8" s="1">
        <v>1000</v>
      </c>
      <c r="H8" s="12">
        <f>37000-9500</f>
        <v>27500</v>
      </c>
    </row>
    <row r="9" spans="1:8" x14ac:dyDescent="0.35">
      <c r="A9" t="s">
        <v>23</v>
      </c>
      <c r="B9" s="17">
        <v>500</v>
      </c>
      <c r="H9" s="12">
        <f>+H8-2600</f>
        <v>24900</v>
      </c>
    </row>
    <row r="10" spans="1:8" x14ac:dyDescent="0.35">
      <c r="A10" t="s">
        <v>22</v>
      </c>
      <c r="B10" s="10">
        <v>2000</v>
      </c>
      <c r="C10" t="s">
        <v>18</v>
      </c>
      <c r="D10" s="12">
        <f>SUM(B10:B22)</f>
        <v>20600</v>
      </c>
    </row>
    <row r="11" spans="1:8" x14ac:dyDescent="0.35">
      <c r="A11" t="s">
        <v>5</v>
      </c>
      <c r="B11" s="10">
        <v>4000</v>
      </c>
      <c r="C11" t="s">
        <v>18</v>
      </c>
      <c r="D11" s="13">
        <f>+D10-C3</f>
        <v>9600</v>
      </c>
    </row>
    <row r="12" spans="1:8" x14ac:dyDescent="0.35">
      <c r="A12" t="s">
        <v>8</v>
      </c>
      <c r="B12" s="10">
        <v>1400</v>
      </c>
      <c r="C12" t="s">
        <v>18</v>
      </c>
    </row>
    <row r="13" spans="1:8" x14ac:dyDescent="0.35">
      <c r="A13" t="s">
        <v>9</v>
      </c>
      <c r="B13" s="10">
        <v>3000</v>
      </c>
      <c r="C13" t="s">
        <v>18</v>
      </c>
    </row>
    <row r="14" spans="1:8" x14ac:dyDescent="0.35">
      <c r="A14" t="s">
        <v>12</v>
      </c>
      <c r="B14" s="10">
        <v>2100</v>
      </c>
      <c r="C14" t="s">
        <v>18</v>
      </c>
    </row>
    <row r="15" spans="1:8" x14ac:dyDescent="0.35">
      <c r="A15" t="s">
        <v>13</v>
      </c>
      <c r="B15" s="10">
        <v>1700</v>
      </c>
      <c r="C15" t="s">
        <v>18</v>
      </c>
    </row>
    <row r="16" spans="1:8" x14ac:dyDescent="0.35">
      <c r="A16" t="s">
        <v>17</v>
      </c>
      <c r="B16" s="15">
        <v>200</v>
      </c>
      <c r="C16" t="s">
        <v>18</v>
      </c>
    </row>
    <row r="17" spans="1:3" x14ac:dyDescent="0.35">
      <c r="A17" t="s">
        <v>14</v>
      </c>
      <c r="B17" s="10">
        <v>500</v>
      </c>
      <c r="C17" t="s">
        <v>18</v>
      </c>
    </row>
    <row r="18" spans="1:3" ht="18.5" x14ac:dyDescent="0.45">
      <c r="A18" t="s">
        <v>16</v>
      </c>
      <c r="B18" s="16">
        <v>700</v>
      </c>
      <c r="C18" t="s">
        <v>18</v>
      </c>
    </row>
    <row r="19" spans="1:3" ht="18.5" x14ac:dyDescent="0.45">
      <c r="A19" t="s">
        <v>6</v>
      </c>
      <c r="B19" s="16">
        <v>1000</v>
      </c>
      <c r="C19" t="s">
        <v>18</v>
      </c>
    </row>
    <row r="20" spans="1:3" ht="18.5" x14ac:dyDescent="0.45">
      <c r="A20" t="s">
        <v>7</v>
      </c>
      <c r="B20" s="16">
        <v>500</v>
      </c>
      <c r="C20" t="s">
        <v>18</v>
      </c>
    </row>
    <row r="21" spans="1:3" ht="18.5" x14ac:dyDescent="0.45">
      <c r="A21" t="s">
        <v>10</v>
      </c>
      <c r="B21" s="16">
        <v>3000</v>
      </c>
      <c r="C21" t="s">
        <v>18</v>
      </c>
    </row>
    <row r="22" spans="1:3" ht="18.5" x14ac:dyDescent="0.45">
      <c r="A22" t="s">
        <v>28</v>
      </c>
      <c r="B22" s="16">
        <v>500</v>
      </c>
    </row>
    <row r="25" spans="1:3" x14ac:dyDescent="0.35">
      <c r="A25" t="s">
        <v>30</v>
      </c>
      <c r="B25" s="12">
        <f>SUM(B2:B3)</f>
        <v>80600</v>
      </c>
    </row>
    <row r="26" spans="1:3" x14ac:dyDescent="0.35">
      <c r="A26" t="s">
        <v>31</v>
      </c>
      <c r="B26" s="12">
        <f>SUM(B5:B24)</f>
        <v>55800</v>
      </c>
    </row>
    <row r="27" spans="1:3" s="12" customFormat="1" x14ac:dyDescent="0.35">
      <c r="A27" s="1" t="s">
        <v>29</v>
      </c>
      <c r="B27" s="1">
        <f>+B25-B26</f>
        <v>24800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P41"/>
  <sheetViews>
    <sheetView workbookViewId="0">
      <selection activeCell="G13" sqref="G13"/>
    </sheetView>
  </sheetViews>
  <sheetFormatPr defaultColWidth="9.1796875" defaultRowHeight="14.5" x14ac:dyDescent="0.35"/>
  <cols>
    <col min="1" max="1" width="30.54296875" style="65" bestFit="1" customWidth="1"/>
    <col min="2" max="2" width="12.26953125" style="65" bestFit="1" customWidth="1"/>
    <col min="3" max="3" width="11.54296875" style="107" bestFit="1" customWidth="1"/>
    <col min="4" max="5" width="9.1796875" style="107"/>
    <col min="6" max="6" width="11.54296875" style="65" bestFit="1" customWidth="1"/>
    <col min="7" max="7" width="39.1796875" style="65" bestFit="1" customWidth="1"/>
    <col min="8" max="8" width="30.54296875" style="65" bestFit="1" customWidth="1"/>
    <col min="9" max="10" width="12.26953125" style="122" bestFit="1" customWidth="1"/>
    <col min="11" max="11" width="11.26953125" style="65" bestFit="1" customWidth="1"/>
    <col min="12" max="16384" width="9.1796875" style="65"/>
  </cols>
  <sheetData>
    <row r="1" spans="1:12" s="106" customFormat="1" x14ac:dyDescent="0.35">
      <c r="A1" s="69" t="s">
        <v>167</v>
      </c>
      <c r="B1" s="69">
        <v>74000</v>
      </c>
      <c r="C1" s="107"/>
      <c r="D1" s="107"/>
      <c r="E1" s="107"/>
      <c r="G1" s="120" t="s">
        <v>267</v>
      </c>
      <c r="H1" s="69" t="s">
        <v>167</v>
      </c>
      <c r="I1" s="121">
        <f>+B1</f>
        <v>74000</v>
      </c>
      <c r="J1" s="122"/>
    </row>
    <row r="2" spans="1:12" s="106" customFormat="1" x14ac:dyDescent="0.35">
      <c r="A2" s="69" t="s">
        <v>141</v>
      </c>
      <c r="B2" s="69">
        <v>53000</v>
      </c>
      <c r="C2" s="107"/>
      <c r="D2" s="107"/>
      <c r="E2" s="107"/>
      <c r="H2" s="69" t="s">
        <v>141</v>
      </c>
      <c r="I2" s="121">
        <f>+B2</f>
        <v>53000</v>
      </c>
      <c r="J2" s="122"/>
    </row>
    <row r="3" spans="1:12" s="106" customFormat="1" x14ac:dyDescent="0.35">
      <c r="A3" s="107" t="s">
        <v>254</v>
      </c>
      <c r="C3" s="107">
        <f>B1+B2</f>
        <v>127000</v>
      </c>
      <c r="D3" s="107"/>
      <c r="E3" s="107">
        <f>SUM(B1:B2)</f>
        <v>127000</v>
      </c>
      <c r="H3" s="107" t="s">
        <v>254</v>
      </c>
      <c r="I3" s="122"/>
      <c r="J3" s="122"/>
    </row>
    <row r="4" spans="1:12" s="106" customFormat="1" x14ac:dyDescent="0.35">
      <c r="A4" s="107"/>
      <c r="B4" s="107"/>
      <c r="C4" s="107"/>
      <c r="D4" s="107"/>
      <c r="E4" s="107"/>
      <c r="H4" s="107"/>
      <c r="I4" s="119"/>
      <c r="J4" s="122"/>
    </row>
    <row r="5" spans="1:12" s="106" customFormat="1" x14ac:dyDescent="0.35">
      <c r="A5" s="109" t="s">
        <v>74</v>
      </c>
      <c r="B5" s="109">
        <v>20000</v>
      </c>
      <c r="C5" s="107"/>
      <c r="D5" s="107"/>
      <c r="E5" s="107"/>
      <c r="H5" s="109" t="s">
        <v>74</v>
      </c>
      <c r="I5" s="123">
        <v>-20000</v>
      </c>
      <c r="J5" s="122"/>
    </row>
    <row r="6" spans="1:12" s="106" customFormat="1" x14ac:dyDescent="0.35">
      <c r="A6" s="110" t="s">
        <v>171</v>
      </c>
      <c r="B6" s="110">
        <v>5000</v>
      </c>
      <c r="C6" s="107"/>
      <c r="D6" s="107"/>
      <c r="E6" s="107"/>
      <c r="H6" s="110" t="s">
        <v>171</v>
      </c>
      <c r="I6" s="124">
        <v>-5000</v>
      </c>
      <c r="J6" s="122"/>
    </row>
    <row r="7" spans="1:12" s="106" customFormat="1" x14ac:dyDescent="0.35">
      <c r="A7" s="111" t="s">
        <v>176</v>
      </c>
      <c r="B7" s="111"/>
      <c r="C7" s="107"/>
      <c r="D7" s="107"/>
      <c r="E7" s="107"/>
      <c r="H7" s="111" t="s">
        <v>176</v>
      </c>
      <c r="I7" s="125">
        <v>-3000</v>
      </c>
      <c r="J7" s="122"/>
    </row>
    <row r="8" spans="1:12" s="106" customFormat="1" x14ac:dyDescent="0.35">
      <c r="A8" s="111" t="s">
        <v>111</v>
      </c>
      <c r="B8" s="111">
        <v>5000</v>
      </c>
      <c r="C8" s="107">
        <f>SUM(B5:B8)</f>
        <v>30000</v>
      </c>
      <c r="D8" s="107"/>
      <c r="E8" s="107">
        <f>SUM(B5:B8)</f>
        <v>30000</v>
      </c>
      <c r="H8" s="111" t="s">
        <v>111</v>
      </c>
      <c r="I8" s="125">
        <v>-5000</v>
      </c>
      <c r="J8" s="122">
        <f>SUM(I5:I8)</f>
        <v>-33000</v>
      </c>
    </row>
    <row r="9" spans="1:12" s="114" customFormat="1" x14ac:dyDescent="0.35">
      <c r="A9" s="111"/>
      <c r="B9" s="111"/>
      <c r="C9" s="107"/>
      <c r="D9" s="107"/>
      <c r="E9" s="107"/>
      <c r="H9" s="111"/>
      <c r="I9" s="125"/>
      <c r="J9" s="127"/>
    </row>
    <row r="10" spans="1:12" s="106" customFormat="1" x14ac:dyDescent="0.35">
      <c r="A10" s="115" t="s">
        <v>162</v>
      </c>
      <c r="B10" s="115">
        <v>5000</v>
      </c>
      <c r="C10" s="107"/>
      <c r="D10" s="107"/>
      <c r="E10" s="107"/>
      <c r="H10" s="115" t="s">
        <v>162</v>
      </c>
      <c r="I10" s="126">
        <v>-5000</v>
      </c>
      <c r="J10" s="122"/>
    </row>
    <row r="11" spans="1:12" s="106" customFormat="1" x14ac:dyDescent="0.35">
      <c r="A11" s="115" t="s">
        <v>172</v>
      </c>
      <c r="B11" s="115">
        <f>1400+700</f>
        <v>2100</v>
      </c>
      <c r="C11" s="107"/>
      <c r="D11" s="107"/>
      <c r="E11" s="107"/>
      <c r="H11" s="115" t="s">
        <v>172</v>
      </c>
      <c r="I11" s="126">
        <f>-1400-700</f>
        <v>-2100</v>
      </c>
      <c r="J11" s="122"/>
    </row>
    <row r="12" spans="1:12" s="106" customFormat="1" x14ac:dyDescent="0.35">
      <c r="A12" s="115" t="s">
        <v>165</v>
      </c>
      <c r="B12" s="115">
        <v>2100</v>
      </c>
      <c r="C12" s="107"/>
      <c r="D12" s="107"/>
      <c r="E12" s="107"/>
      <c r="H12" s="115" t="s">
        <v>165</v>
      </c>
      <c r="I12" s="126">
        <v>-2100</v>
      </c>
      <c r="J12" s="122"/>
    </row>
    <row r="13" spans="1:12" s="106" customFormat="1" x14ac:dyDescent="0.35">
      <c r="A13" s="115" t="s">
        <v>251</v>
      </c>
      <c r="B13" s="115">
        <v>4000</v>
      </c>
      <c r="C13" s="107"/>
      <c r="D13" s="107"/>
      <c r="E13" s="107"/>
      <c r="H13" s="115" t="s">
        <v>251</v>
      </c>
      <c r="I13" s="126">
        <v>-4000</v>
      </c>
      <c r="J13" s="122"/>
    </row>
    <row r="14" spans="1:12" s="106" customFormat="1" x14ac:dyDescent="0.35">
      <c r="A14" s="115" t="s">
        <v>128</v>
      </c>
      <c r="B14" s="115">
        <v>4000</v>
      </c>
      <c r="C14" s="107"/>
      <c r="D14" s="107"/>
      <c r="E14" s="107"/>
      <c r="H14" s="115" t="s">
        <v>128</v>
      </c>
      <c r="I14" s="126">
        <v>-4000</v>
      </c>
      <c r="J14" s="122"/>
    </row>
    <row r="15" spans="1:12" s="106" customFormat="1" x14ac:dyDescent="0.35">
      <c r="A15" s="115" t="s">
        <v>170</v>
      </c>
      <c r="B15" s="115">
        <v>1500</v>
      </c>
      <c r="C15" s="107">
        <f>SUM(B10:B17)</f>
        <v>19900</v>
      </c>
      <c r="D15" s="107"/>
      <c r="E15" s="107">
        <v>16885</v>
      </c>
      <c r="H15" s="115" t="s">
        <v>170</v>
      </c>
      <c r="I15" s="126">
        <v>-1500</v>
      </c>
      <c r="J15" s="122"/>
    </row>
    <row r="16" spans="1:12" s="114" customFormat="1" x14ac:dyDescent="0.35">
      <c r="A16" s="111"/>
      <c r="B16" s="111"/>
      <c r="C16" s="107"/>
      <c r="D16" s="107"/>
      <c r="E16" s="107"/>
      <c r="H16" s="111"/>
      <c r="I16" s="125"/>
      <c r="J16" s="122"/>
      <c r="K16" s="106"/>
      <c r="L16" s="106"/>
    </row>
    <row r="17" spans="1:10" s="106" customFormat="1" x14ac:dyDescent="0.35">
      <c r="A17" s="118" t="s">
        <v>259</v>
      </c>
      <c r="B17" s="115">
        <v>1200</v>
      </c>
      <c r="C17" s="107"/>
      <c r="D17" s="107"/>
      <c r="E17" s="107"/>
      <c r="H17" s="118" t="s">
        <v>259</v>
      </c>
      <c r="I17" s="126">
        <v>-1200</v>
      </c>
      <c r="J17" s="122">
        <f>SUM(I10:I17)</f>
        <v>-19900</v>
      </c>
    </row>
    <row r="18" spans="1:10" s="106" customFormat="1" x14ac:dyDescent="0.35">
      <c r="A18" s="116"/>
      <c r="C18" s="107"/>
      <c r="D18" s="107"/>
      <c r="E18" s="107"/>
      <c r="H18" s="116"/>
      <c r="I18" s="122"/>
      <c r="J18" s="122"/>
    </row>
    <row r="19" spans="1:10" s="106" customFormat="1" x14ac:dyDescent="0.35">
      <c r="A19" s="111" t="s">
        <v>17</v>
      </c>
      <c r="B19" s="111"/>
      <c r="C19" s="107"/>
      <c r="D19" s="107"/>
      <c r="E19" s="107"/>
      <c r="H19" s="111" t="s">
        <v>17</v>
      </c>
      <c r="I19" s="125">
        <v>-300</v>
      </c>
      <c r="J19" s="122"/>
    </row>
    <row r="20" spans="1:10" s="106" customFormat="1" x14ac:dyDescent="0.35">
      <c r="A20" s="111" t="s">
        <v>16</v>
      </c>
      <c r="B20" s="111"/>
      <c r="C20" s="107"/>
      <c r="D20" s="107"/>
      <c r="E20" s="107"/>
      <c r="H20" s="111" t="s">
        <v>16</v>
      </c>
      <c r="I20" s="125"/>
      <c r="J20" s="122"/>
    </row>
    <row r="21" spans="1:10" s="106" customFormat="1" x14ac:dyDescent="0.35">
      <c r="A21" s="111" t="s">
        <v>7</v>
      </c>
      <c r="B21" s="111">
        <f>1000+770</f>
        <v>1770</v>
      </c>
      <c r="C21" s="107"/>
      <c r="D21" s="107"/>
      <c r="E21" s="107"/>
      <c r="H21" s="111" t="s">
        <v>7</v>
      </c>
      <c r="I21" s="125"/>
      <c r="J21" s="122">
        <f>SUM(I19:I21)</f>
        <v>-300</v>
      </c>
    </row>
    <row r="22" spans="1:10" s="106" customFormat="1" x14ac:dyDescent="0.35">
      <c r="A22" s="65"/>
      <c r="B22" s="65"/>
      <c r="C22" s="107"/>
      <c r="D22" s="107"/>
      <c r="E22" s="107"/>
      <c r="H22" s="65"/>
      <c r="I22" s="122"/>
      <c r="J22" s="122"/>
    </row>
    <row r="23" spans="1:10" s="106" customFormat="1" x14ac:dyDescent="0.35">
      <c r="A23" s="65" t="s">
        <v>256</v>
      </c>
      <c r="B23" s="65"/>
      <c r="C23" s="107"/>
      <c r="D23" s="107"/>
      <c r="E23" s="107"/>
      <c r="H23" s="65"/>
      <c r="I23" s="122"/>
      <c r="J23" s="122"/>
    </row>
    <row r="24" spans="1:10" s="106" customFormat="1" x14ac:dyDescent="0.35">
      <c r="A24" s="70" t="s">
        <v>255</v>
      </c>
      <c r="B24" s="111">
        <v>71000</v>
      </c>
      <c r="C24" s="107">
        <f>SUM(B17:B24)</f>
        <v>73970</v>
      </c>
      <c r="D24" s="107"/>
      <c r="E24" s="107">
        <f>SUM(B17:B25)</f>
        <v>75970</v>
      </c>
      <c r="H24" s="70" t="s">
        <v>255</v>
      </c>
      <c r="I24" s="125">
        <f>-(1003+1200+3000+2000+3000)</f>
        <v>-10203</v>
      </c>
      <c r="J24" s="122"/>
    </row>
    <row r="25" spans="1:10" s="106" customFormat="1" x14ac:dyDescent="0.35">
      <c r="A25" s="65" t="s">
        <v>268</v>
      </c>
      <c r="B25" s="119">
        <v>2000</v>
      </c>
      <c r="C25" s="119"/>
      <c r="D25" s="107"/>
      <c r="E25" s="119"/>
      <c r="H25" s="65" t="s">
        <v>269</v>
      </c>
      <c r="I25" s="122">
        <v>-10000</v>
      </c>
      <c r="J25" s="122"/>
    </row>
    <row r="26" spans="1:10" s="106" customFormat="1" x14ac:dyDescent="0.35">
      <c r="A26" s="65"/>
      <c r="B26" s="65"/>
      <c r="C26" s="107"/>
      <c r="D26" s="107"/>
      <c r="E26" s="107"/>
      <c r="H26" s="65"/>
      <c r="I26" s="122"/>
      <c r="J26" s="122"/>
    </row>
    <row r="27" spans="1:10" s="106" customFormat="1" x14ac:dyDescent="0.35">
      <c r="A27" s="66" t="s">
        <v>265</v>
      </c>
      <c r="B27" s="65"/>
      <c r="C27" s="107">
        <f>SUM(C4:C26)</f>
        <v>123870</v>
      </c>
      <c r="D27" s="107"/>
      <c r="E27" s="107">
        <f>SUM(E4:E26)</f>
        <v>122855</v>
      </c>
      <c r="H27" s="66"/>
      <c r="I27" s="122"/>
      <c r="J27" s="122"/>
    </row>
    <row r="28" spans="1:10" s="106" customFormat="1" x14ac:dyDescent="0.35">
      <c r="A28" s="66"/>
      <c r="B28" s="65"/>
      <c r="C28" s="107"/>
      <c r="D28" s="107"/>
      <c r="E28" s="107"/>
      <c r="H28" s="66"/>
      <c r="I28" s="122"/>
      <c r="J28" s="122"/>
    </row>
    <row r="29" spans="1:10" s="106" customFormat="1" x14ac:dyDescent="0.35">
      <c r="A29" s="66"/>
      <c r="B29" s="65"/>
      <c r="C29" s="107"/>
      <c r="D29" s="107"/>
      <c r="E29" s="107"/>
      <c r="H29" s="66"/>
      <c r="I29" s="122"/>
      <c r="J29" s="122"/>
    </row>
    <row r="30" spans="1:10" s="106" customFormat="1" x14ac:dyDescent="0.35">
      <c r="A30" s="66"/>
      <c r="B30" s="65"/>
      <c r="C30" s="107"/>
      <c r="D30" s="107"/>
      <c r="E30" s="107"/>
      <c r="H30" s="66"/>
      <c r="I30" s="122"/>
      <c r="J30" s="122"/>
    </row>
    <row r="31" spans="1:10" s="106" customFormat="1" x14ac:dyDescent="0.35">
      <c r="A31" s="66" t="s">
        <v>266</v>
      </c>
      <c r="B31" s="65"/>
      <c r="C31" s="119">
        <f>+C3-C27</f>
        <v>3130</v>
      </c>
      <c r="D31" s="107"/>
      <c r="E31" s="119">
        <f>+E3-E27</f>
        <v>4145</v>
      </c>
      <c r="H31" s="66" t="s">
        <v>266</v>
      </c>
      <c r="I31" s="128">
        <f>SUM(I1:I30)</f>
        <v>53597</v>
      </c>
      <c r="J31" s="122"/>
    </row>
    <row r="32" spans="1:10" s="106" customFormat="1" x14ac:dyDescent="0.35">
      <c r="A32" s="65"/>
      <c r="B32" s="65"/>
      <c r="C32" s="107"/>
      <c r="D32" s="107"/>
      <c r="E32" s="107"/>
      <c r="H32" s="65"/>
      <c r="I32" s="122"/>
      <c r="J32" s="122"/>
    </row>
    <row r="33" spans="1:16" s="106" customFormat="1" x14ac:dyDescent="0.35">
      <c r="A33" s="65"/>
      <c r="B33" s="65"/>
      <c r="C33" s="107"/>
      <c r="D33" s="107"/>
      <c r="E33" s="107"/>
      <c r="H33" s="65"/>
      <c r="I33" s="122"/>
      <c r="J33" s="122"/>
    </row>
    <row r="34" spans="1:16" s="106" customFormat="1" x14ac:dyDescent="0.35">
      <c r="A34" s="65"/>
      <c r="B34" s="65"/>
      <c r="C34" s="107"/>
      <c r="D34" s="107"/>
      <c r="E34" s="107"/>
      <c r="H34" s="65"/>
      <c r="I34" s="122"/>
      <c r="J34" s="122"/>
    </row>
    <row r="35" spans="1:16" s="106" customFormat="1" x14ac:dyDescent="0.35">
      <c r="A35" s="65"/>
      <c r="B35" s="65"/>
      <c r="C35" s="107"/>
      <c r="D35" s="107"/>
      <c r="E35" s="107"/>
      <c r="H35" s="65"/>
      <c r="I35" s="122"/>
      <c r="J35" s="122"/>
    </row>
    <row r="36" spans="1:16" s="106" customFormat="1" x14ac:dyDescent="0.35">
      <c r="A36" s="65"/>
      <c r="B36" s="65"/>
      <c r="C36" s="107"/>
      <c r="D36" s="107"/>
      <c r="E36" s="107"/>
      <c r="H36" s="65"/>
      <c r="I36" s="122"/>
      <c r="J36" s="122"/>
    </row>
    <row r="37" spans="1:16" s="106" customFormat="1" x14ac:dyDescent="0.35">
      <c r="A37" s="65"/>
      <c r="B37" s="65"/>
      <c r="C37" s="107"/>
      <c r="D37" s="107"/>
      <c r="E37" s="107"/>
      <c r="H37" s="65"/>
      <c r="I37" s="122"/>
      <c r="J37" s="122"/>
    </row>
    <row r="38" spans="1:16" x14ac:dyDescent="0.35">
      <c r="F38" s="106"/>
      <c r="G38" s="106"/>
      <c r="K38" s="106"/>
      <c r="L38" s="106"/>
      <c r="M38" s="106"/>
      <c r="N38" s="106"/>
      <c r="O38" s="106"/>
      <c r="P38" s="106"/>
    </row>
    <row r="39" spans="1:16" x14ac:dyDescent="0.35">
      <c r="F39" s="106"/>
      <c r="G39" s="106"/>
      <c r="K39" s="106"/>
      <c r="L39" s="106"/>
      <c r="M39" s="106"/>
      <c r="N39" s="106"/>
      <c r="O39" s="106"/>
      <c r="P39" s="106"/>
    </row>
    <row r="40" spans="1:16" x14ac:dyDescent="0.35">
      <c r="F40" s="106"/>
      <c r="G40" s="106"/>
      <c r="K40" s="106"/>
      <c r="L40" s="106"/>
      <c r="M40" s="106"/>
    </row>
    <row r="41" spans="1:16" x14ac:dyDescent="0.35">
      <c r="F41" s="106"/>
      <c r="G41" s="106"/>
      <c r="K41" s="106"/>
      <c r="L41" s="106"/>
      <c r="M41" s="106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K41"/>
  <sheetViews>
    <sheetView workbookViewId="0">
      <selection activeCell="B3" sqref="B3"/>
    </sheetView>
  </sheetViews>
  <sheetFormatPr defaultColWidth="9.1796875" defaultRowHeight="14.5" x14ac:dyDescent="0.35"/>
  <cols>
    <col min="1" max="1" width="30.54296875" style="65" bestFit="1" customWidth="1"/>
    <col min="2" max="2" width="12.26953125" style="122" bestFit="1" customWidth="1"/>
    <col min="3" max="3" width="17.81640625" style="65" customWidth="1"/>
    <col min="4" max="4" width="30.54296875" style="65" bestFit="1" customWidth="1"/>
    <col min="5" max="5" width="12.26953125" style="122" bestFit="1" customWidth="1"/>
    <col min="6" max="9" width="9.1796875" style="65"/>
    <col min="10" max="10" width="12.54296875" style="65" bestFit="1" customWidth="1"/>
    <col min="11" max="13" width="9.1796875" style="65"/>
    <col min="14" max="14" width="11.54296875" style="65" bestFit="1" customWidth="1"/>
    <col min="15" max="16384" width="9.1796875" style="65"/>
  </cols>
  <sheetData>
    <row r="1" spans="1:11" s="106" customFormat="1" x14ac:dyDescent="0.35">
      <c r="A1" s="69" t="s">
        <v>167</v>
      </c>
      <c r="B1" s="121">
        <v>70000</v>
      </c>
      <c r="D1" s="69" t="s">
        <v>167</v>
      </c>
      <c r="E1" s="121">
        <v>70000</v>
      </c>
    </row>
    <row r="2" spans="1:11" s="106" customFormat="1" x14ac:dyDescent="0.35">
      <c r="A2" s="69" t="s">
        <v>141</v>
      </c>
      <c r="B2" s="121">
        <v>46000</v>
      </c>
      <c r="D2" s="69" t="s">
        <v>141</v>
      </c>
      <c r="E2" s="121">
        <v>53000</v>
      </c>
      <c r="J2" s="106">
        <v>9200</v>
      </c>
    </row>
    <row r="3" spans="1:11" s="106" customFormat="1" x14ac:dyDescent="0.35">
      <c r="A3" s="107" t="s">
        <v>254</v>
      </c>
      <c r="B3" s="122"/>
      <c r="D3" s="107" t="s">
        <v>254</v>
      </c>
      <c r="E3" s="122"/>
      <c r="J3" s="106">
        <v>3869</v>
      </c>
    </row>
    <row r="4" spans="1:11" s="106" customFormat="1" x14ac:dyDescent="0.35">
      <c r="A4" s="107"/>
      <c r="B4" s="119"/>
      <c r="D4" s="107"/>
      <c r="E4" s="119"/>
      <c r="J4" s="106">
        <v>1500</v>
      </c>
    </row>
    <row r="5" spans="1:11" s="106" customFormat="1" x14ac:dyDescent="0.35">
      <c r="A5" s="109" t="s">
        <v>74</v>
      </c>
      <c r="B5" s="123">
        <v>-20000</v>
      </c>
      <c r="D5" s="109" t="s">
        <v>74</v>
      </c>
      <c r="E5" s="123">
        <v>-20000</v>
      </c>
      <c r="J5" s="106">
        <v>4469</v>
      </c>
    </row>
    <row r="6" spans="1:11" s="106" customFormat="1" x14ac:dyDescent="0.35">
      <c r="A6" s="110" t="s">
        <v>171</v>
      </c>
      <c r="B6" s="124">
        <v>-5000</v>
      </c>
      <c r="D6" s="110" t="s">
        <v>171</v>
      </c>
      <c r="E6" s="124">
        <v>-5000</v>
      </c>
      <c r="J6" s="117">
        <f>SUM(J2:J5)</f>
        <v>19038</v>
      </c>
    </row>
    <row r="7" spans="1:11" s="106" customFormat="1" x14ac:dyDescent="0.35">
      <c r="A7" s="111" t="s">
        <v>176</v>
      </c>
      <c r="B7" s="125">
        <v>-3000</v>
      </c>
      <c r="D7" s="111" t="s">
        <v>176</v>
      </c>
      <c r="E7" s="125">
        <v>-3000</v>
      </c>
    </row>
    <row r="8" spans="1:11" s="106" customFormat="1" x14ac:dyDescent="0.35">
      <c r="A8" s="111" t="s">
        <v>111</v>
      </c>
      <c r="B8" s="125">
        <v>-5000</v>
      </c>
      <c r="D8" s="111" t="s">
        <v>111</v>
      </c>
      <c r="E8" s="125">
        <v>-5000</v>
      </c>
    </row>
    <row r="9" spans="1:11" s="114" customFormat="1" x14ac:dyDescent="0.35">
      <c r="A9" s="111"/>
      <c r="B9" s="125"/>
      <c r="D9" s="111"/>
      <c r="E9" s="125"/>
      <c r="J9" s="106"/>
      <c r="K9" s="106"/>
    </row>
    <row r="10" spans="1:11" s="106" customFormat="1" x14ac:dyDescent="0.35">
      <c r="A10" s="115" t="s">
        <v>162</v>
      </c>
      <c r="B10" s="126">
        <v>-5000</v>
      </c>
      <c r="C10" s="114"/>
      <c r="D10" s="115" t="s">
        <v>162</v>
      </c>
      <c r="E10" s="126">
        <v>-5000</v>
      </c>
      <c r="F10" s="114"/>
      <c r="G10" s="114"/>
      <c r="H10" s="114"/>
      <c r="I10" s="114"/>
    </row>
    <row r="11" spans="1:11" s="106" customFormat="1" x14ac:dyDescent="0.35">
      <c r="A11" s="115" t="s">
        <v>172</v>
      </c>
      <c r="B11" s="126">
        <v>-2100</v>
      </c>
      <c r="C11" s="114"/>
      <c r="D11" s="115" t="s">
        <v>172</v>
      </c>
      <c r="E11" s="126">
        <v>-2100</v>
      </c>
      <c r="F11" s="114"/>
      <c r="G11" s="114"/>
      <c r="H11" s="114"/>
      <c r="I11" s="114"/>
    </row>
    <row r="12" spans="1:11" s="106" customFormat="1" x14ac:dyDescent="0.35">
      <c r="A12" s="115" t="s">
        <v>165</v>
      </c>
      <c r="B12" s="126">
        <v>-2100</v>
      </c>
      <c r="C12" s="114"/>
      <c r="D12" s="115" t="s">
        <v>165</v>
      </c>
      <c r="E12" s="126">
        <v>-2100</v>
      </c>
      <c r="F12" s="114"/>
      <c r="G12" s="114"/>
      <c r="H12" s="114"/>
      <c r="I12" s="114"/>
    </row>
    <row r="13" spans="1:11" s="106" customFormat="1" x14ac:dyDescent="0.35">
      <c r="A13" s="115" t="s">
        <v>251</v>
      </c>
      <c r="B13" s="126">
        <v>-4000</v>
      </c>
      <c r="C13" s="114"/>
      <c r="D13" s="115" t="s">
        <v>251</v>
      </c>
      <c r="E13" s="126">
        <v>-3869</v>
      </c>
      <c r="F13" s="114"/>
      <c r="G13" s="114"/>
      <c r="H13" s="114"/>
      <c r="I13" s="114"/>
      <c r="J13" s="114"/>
      <c r="K13" s="114"/>
    </row>
    <row r="14" spans="1:11" s="106" customFormat="1" x14ac:dyDescent="0.35">
      <c r="A14" s="115" t="s">
        <v>128</v>
      </c>
      <c r="B14" s="126">
        <v>-4000</v>
      </c>
      <c r="C14" s="114"/>
      <c r="D14" s="115" t="s">
        <v>128</v>
      </c>
      <c r="E14" s="126">
        <v>-4469</v>
      </c>
      <c r="F14" s="114"/>
      <c r="G14" s="114"/>
      <c r="H14" s="114"/>
      <c r="I14" s="114"/>
      <c r="J14" s="114"/>
      <c r="K14" s="114"/>
    </row>
    <row r="15" spans="1:11" s="106" customFormat="1" x14ac:dyDescent="0.35">
      <c r="A15" s="115" t="s">
        <v>170</v>
      </c>
      <c r="B15" s="126">
        <v>-1500</v>
      </c>
      <c r="C15" s="114"/>
      <c r="D15" s="115" t="s">
        <v>170</v>
      </c>
      <c r="E15" s="126">
        <v>-1500</v>
      </c>
      <c r="F15" s="114"/>
      <c r="G15" s="114"/>
      <c r="H15" s="114"/>
      <c r="I15" s="114"/>
      <c r="J15" s="114"/>
      <c r="K15" s="114"/>
    </row>
    <row r="16" spans="1:11" s="114" customFormat="1" x14ac:dyDescent="0.35">
      <c r="A16" s="111"/>
      <c r="B16" s="125"/>
      <c r="D16" s="111"/>
      <c r="E16" s="125"/>
    </row>
    <row r="17" spans="1:11" s="106" customFormat="1" x14ac:dyDescent="0.35">
      <c r="A17" s="118" t="s">
        <v>259</v>
      </c>
      <c r="B17" s="126">
        <v>-1200</v>
      </c>
      <c r="C17" s="114"/>
      <c r="D17" s="118" t="s">
        <v>259</v>
      </c>
      <c r="E17" s="126">
        <v>-1200</v>
      </c>
      <c r="F17" s="114"/>
      <c r="G17" s="114"/>
      <c r="H17" s="114"/>
      <c r="I17" s="114"/>
      <c r="J17" s="114"/>
      <c r="K17" s="114"/>
    </row>
    <row r="18" spans="1:11" s="106" customFormat="1" x14ac:dyDescent="0.35">
      <c r="A18" s="116"/>
      <c r="B18" s="122"/>
      <c r="C18" s="114"/>
      <c r="D18" s="116"/>
      <c r="E18" s="122"/>
      <c r="F18" s="114"/>
      <c r="G18" s="114"/>
      <c r="H18" s="114"/>
      <c r="I18" s="114"/>
      <c r="J18" s="114"/>
      <c r="K18" s="114"/>
    </row>
    <row r="19" spans="1:11" s="106" customFormat="1" x14ac:dyDescent="0.35">
      <c r="A19" s="111" t="s">
        <v>17</v>
      </c>
      <c r="B19" s="125"/>
      <c r="C19" s="114"/>
      <c r="D19" s="111" t="s">
        <v>17</v>
      </c>
      <c r="E19" s="125"/>
      <c r="F19" s="114"/>
      <c r="G19" s="114"/>
      <c r="H19" s="114"/>
      <c r="I19" s="114"/>
      <c r="J19" s="114"/>
      <c r="K19" s="114"/>
    </row>
    <row r="20" spans="1:11" s="106" customFormat="1" x14ac:dyDescent="0.35">
      <c r="A20" s="111" t="s">
        <v>16</v>
      </c>
      <c r="B20" s="125"/>
      <c r="C20" s="114"/>
      <c r="D20" s="111" t="s">
        <v>16</v>
      </c>
      <c r="E20" s="125"/>
      <c r="F20" s="114"/>
      <c r="G20" s="114"/>
      <c r="H20" s="114"/>
      <c r="I20" s="114"/>
      <c r="J20" s="114"/>
      <c r="K20" s="114"/>
    </row>
    <row r="21" spans="1:11" s="106" customFormat="1" x14ac:dyDescent="0.35">
      <c r="A21" s="111" t="s">
        <v>7</v>
      </c>
      <c r="B21" s="125"/>
      <c r="C21" s="114"/>
      <c r="D21" s="111" t="s">
        <v>7</v>
      </c>
      <c r="E21" s="125"/>
      <c r="F21" s="114"/>
      <c r="G21" s="114"/>
      <c r="H21" s="114"/>
      <c r="I21" s="114"/>
      <c r="J21" s="114"/>
      <c r="K21" s="114"/>
    </row>
    <row r="22" spans="1:11" s="106" customFormat="1" x14ac:dyDescent="0.35">
      <c r="A22" s="65"/>
      <c r="B22" s="122"/>
      <c r="C22" s="114"/>
      <c r="D22" s="65"/>
      <c r="E22" s="122"/>
      <c r="F22" s="114"/>
      <c r="G22" s="114"/>
      <c r="H22" s="114"/>
      <c r="I22" s="114"/>
      <c r="J22" s="114"/>
      <c r="K22" s="114"/>
    </row>
    <row r="23" spans="1:11" s="106" customFormat="1" x14ac:dyDescent="0.35">
      <c r="A23" s="65"/>
      <c r="B23" s="122"/>
      <c r="C23" s="114"/>
      <c r="D23" s="70" t="s">
        <v>255</v>
      </c>
      <c r="E23" s="125">
        <v>-15000</v>
      </c>
      <c r="F23" s="114"/>
      <c r="G23" s="114"/>
      <c r="H23" s="114"/>
      <c r="I23" s="114"/>
      <c r="J23" s="114"/>
      <c r="K23" s="114"/>
    </row>
    <row r="24" spans="1:11" s="106" customFormat="1" x14ac:dyDescent="0.35">
      <c r="A24" s="70" t="s">
        <v>255</v>
      </c>
      <c r="B24" s="125">
        <v>-15000</v>
      </c>
      <c r="C24" s="114"/>
      <c r="F24" s="114"/>
      <c r="G24" s="114"/>
      <c r="H24" s="114"/>
      <c r="I24" s="114"/>
      <c r="J24" s="114"/>
      <c r="K24" s="114"/>
    </row>
    <row r="25" spans="1:11" s="106" customFormat="1" x14ac:dyDescent="0.35">
      <c r="A25" s="65" t="s">
        <v>270</v>
      </c>
      <c r="B25" s="121">
        <v>-10000</v>
      </c>
      <c r="C25" s="114"/>
      <c r="D25" s="65"/>
      <c r="E25" s="121"/>
      <c r="F25" s="114"/>
      <c r="G25" s="114"/>
      <c r="H25" s="114"/>
      <c r="I25" s="114"/>
      <c r="J25" s="114"/>
      <c r="K25" s="114"/>
    </row>
    <row r="26" spans="1:11" s="106" customFormat="1" x14ac:dyDescent="0.35">
      <c r="A26" s="65" t="s">
        <v>271</v>
      </c>
      <c r="B26" s="122">
        <v>-1300</v>
      </c>
      <c r="C26" s="114"/>
      <c r="E26" s="122"/>
      <c r="F26" s="114"/>
      <c r="G26" s="114"/>
      <c r="H26" s="114"/>
      <c r="I26" s="114"/>
      <c r="J26" s="114"/>
      <c r="K26" s="114"/>
    </row>
    <row r="27" spans="1:11" s="106" customFormat="1" x14ac:dyDescent="0.35">
      <c r="A27" s="65" t="s">
        <v>272</v>
      </c>
      <c r="B27" s="122">
        <v>-1200</v>
      </c>
      <c r="C27" s="114"/>
      <c r="D27" s="65"/>
      <c r="E27" s="122"/>
      <c r="F27" s="114"/>
      <c r="G27" s="114"/>
      <c r="H27" s="114"/>
      <c r="I27" s="114"/>
      <c r="J27" s="114"/>
      <c r="K27" s="114"/>
    </row>
    <row r="28" spans="1:11" s="106" customFormat="1" x14ac:dyDescent="0.35">
      <c r="A28" s="66"/>
      <c r="B28" s="122"/>
      <c r="C28" s="114"/>
      <c r="D28" s="66"/>
      <c r="E28" s="122"/>
      <c r="F28" s="114"/>
      <c r="G28" s="114"/>
      <c r="H28" s="114"/>
      <c r="I28" s="114"/>
      <c r="J28" s="114"/>
      <c r="K28" s="114"/>
    </row>
    <row r="29" spans="1:11" s="106" customFormat="1" x14ac:dyDescent="0.35">
      <c r="A29" s="66"/>
      <c r="B29" s="122"/>
      <c r="C29" s="114"/>
      <c r="D29" s="66"/>
      <c r="E29" s="122"/>
      <c r="F29" s="114"/>
      <c r="G29" s="114"/>
      <c r="H29" s="114"/>
      <c r="I29" s="114"/>
      <c r="J29" s="114"/>
      <c r="K29" s="114"/>
    </row>
    <row r="30" spans="1:11" s="106" customFormat="1" x14ac:dyDescent="0.35">
      <c r="A30" s="66"/>
      <c r="B30" s="122"/>
      <c r="C30" s="114"/>
      <c r="D30" s="66"/>
      <c r="E30" s="122"/>
      <c r="F30" s="114"/>
      <c r="G30" s="114"/>
      <c r="H30" s="114"/>
      <c r="I30" s="114"/>
      <c r="J30" s="114"/>
      <c r="K30" s="114"/>
    </row>
    <row r="31" spans="1:11" s="106" customFormat="1" x14ac:dyDescent="0.35">
      <c r="A31" s="66" t="s">
        <v>266</v>
      </c>
      <c r="B31" s="122">
        <f>SUM(B1:B30)</f>
        <v>35600</v>
      </c>
      <c r="C31" s="114"/>
      <c r="D31" s="66" t="s">
        <v>266</v>
      </c>
      <c r="E31" s="122">
        <f>SUM(E1:E30)</f>
        <v>54762</v>
      </c>
      <c r="F31" s="114"/>
      <c r="G31" s="114"/>
      <c r="H31" s="114"/>
      <c r="I31" s="114"/>
      <c r="J31" s="114"/>
      <c r="K31" s="114"/>
    </row>
    <row r="32" spans="1:11" s="106" customFormat="1" x14ac:dyDescent="0.35">
      <c r="A32" s="65"/>
      <c r="B32" s="122"/>
      <c r="D32" s="65"/>
      <c r="E32" s="122"/>
    </row>
    <row r="33" spans="1:6" s="106" customFormat="1" x14ac:dyDescent="0.35">
      <c r="A33" s="65"/>
      <c r="B33" s="122"/>
      <c r="D33" s="65"/>
      <c r="E33" s="122"/>
    </row>
    <row r="34" spans="1:6" s="106" customFormat="1" x14ac:dyDescent="0.35">
      <c r="A34" s="65"/>
      <c r="B34" s="122"/>
      <c r="D34" s="65"/>
      <c r="E34" s="122"/>
    </row>
    <row r="35" spans="1:6" s="106" customFormat="1" x14ac:dyDescent="0.35">
      <c r="A35" s="65"/>
      <c r="B35" s="122"/>
      <c r="D35" s="65"/>
      <c r="E35" s="122"/>
    </row>
    <row r="36" spans="1:6" s="106" customFormat="1" x14ac:dyDescent="0.35">
      <c r="A36" s="65"/>
      <c r="B36" s="122"/>
      <c r="D36" s="65"/>
      <c r="E36" s="122"/>
    </row>
    <row r="37" spans="1:6" s="106" customFormat="1" x14ac:dyDescent="0.35">
      <c r="A37" s="65"/>
      <c r="B37" s="122"/>
      <c r="D37" s="65"/>
      <c r="E37" s="122"/>
    </row>
    <row r="38" spans="1:6" x14ac:dyDescent="0.35">
      <c r="C38" s="106"/>
      <c r="F38" s="106"/>
    </row>
    <row r="39" spans="1:6" x14ac:dyDescent="0.35">
      <c r="C39" s="106"/>
      <c r="F39" s="106"/>
    </row>
    <row r="40" spans="1:6" x14ac:dyDescent="0.35">
      <c r="C40" s="106"/>
      <c r="F40" s="106"/>
    </row>
    <row r="41" spans="1:6" x14ac:dyDescent="0.35">
      <c r="C41" s="106"/>
      <c r="F41" s="106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K41"/>
  <sheetViews>
    <sheetView workbookViewId="0">
      <selection activeCell="B24" sqref="B24"/>
    </sheetView>
  </sheetViews>
  <sheetFormatPr defaultColWidth="9.1796875" defaultRowHeight="14.5" x14ac:dyDescent="0.35"/>
  <cols>
    <col min="1" max="1" width="30.54296875" style="65" bestFit="1" customWidth="1"/>
    <col min="2" max="2" width="12.26953125" style="122" bestFit="1" customWidth="1"/>
    <col min="3" max="3" width="17.81640625" style="65" customWidth="1"/>
    <col min="4" max="5" width="9.1796875" style="65"/>
    <col min="6" max="6" width="30.54296875" style="65" bestFit="1" customWidth="1"/>
    <col min="7" max="7" width="12.26953125" style="122" bestFit="1" customWidth="1"/>
    <col min="8" max="8" width="17.81640625" style="65" customWidth="1"/>
    <col min="9" max="10" width="9.1796875" style="65"/>
    <col min="11" max="11" width="11.54296875" style="65" bestFit="1" customWidth="1"/>
    <col min="12" max="12" width="9.1796875" style="65"/>
    <col min="13" max="13" width="10.54296875" style="65" bestFit="1" customWidth="1"/>
    <col min="14" max="16384" width="9.1796875" style="65"/>
  </cols>
  <sheetData>
    <row r="1" spans="1:11" s="106" customFormat="1" x14ac:dyDescent="0.35">
      <c r="A1" s="69" t="s">
        <v>167</v>
      </c>
      <c r="B1" s="121">
        <v>70500</v>
      </c>
      <c r="F1" s="69" t="s">
        <v>167</v>
      </c>
      <c r="G1" s="121">
        <v>70500</v>
      </c>
    </row>
    <row r="2" spans="1:11" s="106" customFormat="1" x14ac:dyDescent="0.35">
      <c r="A2" s="69" t="s">
        <v>141</v>
      </c>
      <c r="B2" s="121">
        <v>66000</v>
      </c>
      <c r="F2" s="69" t="s">
        <v>141</v>
      </c>
      <c r="G2" s="121">
        <v>66000</v>
      </c>
    </row>
    <row r="3" spans="1:11" s="106" customFormat="1" x14ac:dyDescent="0.35">
      <c r="A3" s="107" t="s">
        <v>254</v>
      </c>
      <c r="B3" s="122"/>
      <c r="F3" s="107" t="s">
        <v>254</v>
      </c>
      <c r="G3" s="122"/>
    </row>
    <row r="4" spans="1:11" s="106" customFormat="1" x14ac:dyDescent="0.35">
      <c r="A4" s="107"/>
      <c r="B4" s="119"/>
      <c r="F4" s="107"/>
      <c r="G4" s="119"/>
    </row>
    <row r="5" spans="1:11" s="106" customFormat="1" x14ac:dyDescent="0.35">
      <c r="A5" s="109" t="s">
        <v>74</v>
      </c>
      <c r="B5" s="123">
        <v>-20000</v>
      </c>
      <c r="F5" s="109" t="s">
        <v>74</v>
      </c>
      <c r="G5" s="123">
        <v>-20000</v>
      </c>
    </row>
    <row r="6" spans="1:11" s="106" customFormat="1" x14ac:dyDescent="0.35">
      <c r="A6" s="110" t="s">
        <v>171</v>
      </c>
      <c r="B6" s="124">
        <v>-5000</v>
      </c>
      <c r="F6" s="110" t="s">
        <v>171</v>
      </c>
      <c r="G6" s="124">
        <v>-5000</v>
      </c>
    </row>
    <row r="7" spans="1:11" s="106" customFormat="1" x14ac:dyDescent="0.35">
      <c r="A7" s="111" t="s">
        <v>176</v>
      </c>
      <c r="B7" s="125">
        <v>-3000</v>
      </c>
      <c r="F7" s="111" t="s">
        <v>176</v>
      </c>
      <c r="G7" s="125">
        <v>-3000</v>
      </c>
    </row>
    <row r="8" spans="1:11" s="106" customFormat="1" x14ac:dyDescent="0.35">
      <c r="A8" s="111" t="s">
        <v>111</v>
      </c>
      <c r="B8" s="125">
        <v>-5000</v>
      </c>
      <c r="F8" s="111" t="s">
        <v>111</v>
      </c>
      <c r="G8" s="125">
        <v>-5000</v>
      </c>
    </row>
    <row r="9" spans="1:11" s="114" customFormat="1" x14ac:dyDescent="0.35">
      <c r="A9" s="111"/>
      <c r="B9" s="125"/>
      <c r="F9" s="111"/>
      <c r="G9" s="125"/>
    </row>
    <row r="10" spans="1:11" s="106" customFormat="1" x14ac:dyDescent="0.35">
      <c r="A10" s="115" t="s">
        <v>162</v>
      </c>
      <c r="B10" s="126">
        <v>-5000</v>
      </c>
      <c r="C10" s="114"/>
      <c r="F10" s="115" t="s">
        <v>162</v>
      </c>
      <c r="G10" s="126">
        <v>-20428</v>
      </c>
      <c r="H10" s="114"/>
    </row>
    <row r="11" spans="1:11" s="106" customFormat="1" x14ac:dyDescent="0.35">
      <c r="A11" s="115" t="s">
        <v>172</v>
      </c>
      <c r="B11" s="126">
        <v>-2100</v>
      </c>
      <c r="C11" s="114"/>
      <c r="F11" s="115" t="s">
        <v>172</v>
      </c>
      <c r="G11" s="126"/>
      <c r="H11" s="114"/>
    </row>
    <row r="12" spans="1:11" s="106" customFormat="1" x14ac:dyDescent="0.35">
      <c r="A12" s="115" t="s">
        <v>165</v>
      </c>
      <c r="B12" s="126">
        <v>-2100</v>
      </c>
      <c r="C12" s="114"/>
      <c r="F12" s="115" t="s">
        <v>165</v>
      </c>
      <c r="G12" s="126"/>
      <c r="H12" s="114"/>
    </row>
    <row r="13" spans="1:11" s="106" customFormat="1" x14ac:dyDescent="0.35">
      <c r="A13" s="115" t="s">
        <v>251</v>
      </c>
      <c r="B13" s="126">
        <v>-4000</v>
      </c>
      <c r="C13" s="114"/>
      <c r="F13" s="115" t="s">
        <v>251</v>
      </c>
      <c r="G13" s="126"/>
      <c r="H13" s="114"/>
      <c r="K13" s="106">
        <v>40766</v>
      </c>
    </row>
    <row r="14" spans="1:11" s="106" customFormat="1" x14ac:dyDescent="0.35">
      <c r="A14" s="115" t="s">
        <v>128</v>
      </c>
      <c r="B14" s="126">
        <v>-6000</v>
      </c>
      <c r="C14" s="114"/>
      <c r="F14" s="115" t="s">
        <v>128</v>
      </c>
      <c r="G14" s="126"/>
      <c r="H14" s="114"/>
      <c r="K14" s="106">
        <v>-1510</v>
      </c>
    </row>
    <row r="15" spans="1:11" s="106" customFormat="1" x14ac:dyDescent="0.35">
      <c r="A15" s="115" t="s">
        <v>170</v>
      </c>
      <c r="B15" s="126">
        <v>-1500</v>
      </c>
      <c r="C15" s="114"/>
      <c r="F15" s="115" t="s">
        <v>170</v>
      </c>
      <c r="G15" s="126"/>
      <c r="H15" s="114"/>
      <c r="K15" s="106">
        <v>-5000</v>
      </c>
    </row>
    <row r="16" spans="1:11" s="114" customFormat="1" x14ac:dyDescent="0.35">
      <c r="A16" s="111"/>
      <c r="B16" s="125"/>
      <c r="D16" s="106"/>
      <c r="E16" s="106"/>
      <c r="F16" s="111"/>
      <c r="G16" s="125"/>
      <c r="K16" s="114">
        <v>-5500</v>
      </c>
    </row>
    <row r="17" spans="1:11" s="106" customFormat="1" x14ac:dyDescent="0.35">
      <c r="A17" s="118" t="s">
        <v>259</v>
      </c>
      <c r="B17" s="126">
        <v>-1200</v>
      </c>
      <c r="C17" s="114"/>
      <c r="F17" s="118" t="s">
        <v>259</v>
      </c>
      <c r="G17" s="126"/>
      <c r="H17" s="114"/>
      <c r="K17" s="106">
        <v>-3000</v>
      </c>
    </row>
    <row r="18" spans="1:11" s="106" customFormat="1" x14ac:dyDescent="0.35">
      <c r="A18" s="116"/>
      <c r="B18" s="122"/>
      <c r="C18" s="114"/>
      <c r="F18" s="116"/>
      <c r="G18" s="122"/>
      <c r="H18" s="114"/>
    </row>
    <row r="19" spans="1:11" s="106" customFormat="1" x14ac:dyDescent="0.35">
      <c r="A19" s="111" t="s">
        <v>17</v>
      </c>
      <c r="B19" s="125">
        <v>310</v>
      </c>
      <c r="C19" s="114"/>
      <c r="F19" s="111" t="s">
        <v>17</v>
      </c>
      <c r="G19" s="125">
        <v>-660</v>
      </c>
      <c r="H19" s="114"/>
    </row>
    <row r="20" spans="1:11" s="106" customFormat="1" x14ac:dyDescent="0.35">
      <c r="A20" s="111" t="s">
        <v>16</v>
      </c>
      <c r="B20" s="125"/>
      <c r="C20" s="114"/>
      <c r="F20" s="111" t="s">
        <v>16</v>
      </c>
      <c r="G20" s="125"/>
      <c r="H20" s="114"/>
    </row>
    <row r="21" spans="1:11" s="106" customFormat="1" x14ac:dyDescent="0.35">
      <c r="A21" s="111" t="s">
        <v>7</v>
      </c>
      <c r="B21" s="125"/>
      <c r="C21" s="114"/>
      <c r="F21" s="111" t="s">
        <v>7</v>
      </c>
      <c r="G21" s="125">
        <v>-830</v>
      </c>
      <c r="H21" s="114">
        <f>680+830</f>
        <v>1510</v>
      </c>
    </row>
    <row r="22" spans="1:11" s="106" customFormat="1" x14ac:dyDescent="0.35">
      <c r="A22" s="65" t="s">
        <v>115</v>
      </c>
      <c r="B22" s="122">
        <v>-10500</v>
      </c>
      <c r="C22" s="114"/>
      <c r="F22" s="65" t="s">
        <v>115</v>
      </c>
      <c r="G22" s="122"/>
      <c r="H22" s="114"/>
    </row>
    <row r="23" spans="1:11" s="106" customFormat="1" x14ac:dyDescent="0.35">
      <c r="A23" s="65"/>
      <c r="B23" s="122"/>
      <c r="C23" s="114"/>
      <c r="F23" s="65" t="s">
        <v>274</v>
      </c>
      <c r="G23" s="122">
        <v>-5500</v>
      </c>
      <c r="H23" s="114"/>
    </row>
    <row r="24" spans="1:11" s="106" customFormat="1" x14ac:dyDescent="0.35">
      <c r="A24" s="70" t="s">
        <v>255</v>
      </c>
      <c r="B24" s="125">
        <v>-23000</v>
      </c>
      <c r="C24" s="114"/>
      <c r="F24" s="70" t="s">
        <v>255</v>
      </c>
      <c r="G24" s="125">
        <v>-26500</v>
      </c>
      <c r="H24" s="114"/>
    </row>
    <row r="25" spans="1:11" s="106" customFormat="1" x14ac:dyDescent="0.35">
      <c r="A25" s="65" t="s">
        <v>273</v>
      </c>
      <c r="B25" s="121">
        <v>-1200</v>
      </c>
      <c r="C25" s="114"/>
      <c r="F25" s="65" t="s">
        <v>273</v>
      </c>
      <c r="G25" s="121"/>
      <c r="H25" s="114"/>
    </row>
    <row r="26" spans="1:11" s="106" customFormat="1" x14ac:dyDescent="0.35">
      <c r="A26" s="65" t="s">
        <v>273</v>
      </c>
      <c r="B26" s="122">
        <v>-5000</v>
      </c>
      <c r="C26" s="114"/>
      <c r="F26" s="65" t="s">
        <v>273</v>
      </c>
      <c r="G26" s="122"/>
      <c r="H26" s="114"/>
    </row>
    <row r="27" spans="1:11" s="106" customFormat="1" x14ac:dyDescent="0.35">
      <c r="A27" s="65"/>
      <c r="B27" s="122"/>
      <c r="C27" s="114"/>
      <c r="F27" s="65"/>
      <c r="G27" s="122"/>
      <c r="H27" s="114"/>
    </row>
    <row r="28" spans="1:11" s="106" customFormat="1" x14ac:dyDescent="0.35">
      <c r="A28" s="66"/>
      <c r="B28" s="122"/>
      <c r="C28" s="114"/>
      <c r="F28" s="66"/>
      <c r="G28" s="122"/>
      <c r="H28" s="114"/>
    </row>
    <row r="29" spans="1:11" s="106" customFormat="1" x14ac:dyDescent="0.35">
      <c r="A29" s="66"/>
      <c r="B29" s="122"/>
      <c r="C29" s="114"/>
      <c r="F29" s="66"/>
      <c r="G29" s="122"/>
      <c r="H29" s="114"/>
    </row>
    <row r="30" spans="1:11" s="106" customFormat="1" x14ac:dyDescent="0.35">
      <c r="A30" s="66"/>
      <c r="B30" s="122"/>
      <c r="C30" s="114"/>
      <c r="F30" s="66"/>
      <c r="G30" s="122"/>
      <c r="H30" s="114"/>
      <c r="K30" s="106">
        <f>SUM(K13:K29)</f>
        <v>25756</v>
      </c>
    </row>
    <row r="31" spans="1:11" s="106" customFormat="1" x14ac:dyDescent="0.35">
      <c r="A31" s="66" t="s">
        <v>266</v>
      </c>
      <c r="B31" s="122">
        <f>SUM(B1:B30)</f>
        <v>42210</v>
      </c>
      <c r="C31" s="114"/>
      <c r="F31" s="66" t="s">
        <v>266</v>
      </c>
      <c r="G31" s="122">
        <f>SUM(G1:G30)</f>
        <v>49582</v>
      </c>
      <c r="H31" s="114"/>
    </row>
    <row r="32" spans="1:11" s="106" customFormat="1" x14ac:dyDescent="0.35">
      <c r="A32" s="65"/>
      <c r="B32" s="122"/>
      <c r="F32" s="65"/>
      <c r="G32" s="122"/>
    </row>
    <row r="33" spans="1:8" s="106" customFormat="1" x14ac:dyDescent="0.35">
      <c r="A33" s="65"/>
      <c r="B33" s="122"/>
      <c r="F33" s="65"/>
      <c r="G33" s="122"/>
    </row>
    <row r="34" spans="1:8" s="106" customFormat="1" x14ac:dyDescent="0.35">
      <c r="A34" s="65"/>
      <c r="B34" s="122"/>
      <c r="F34" s="65" t="s">
        <v>275</v>
      </c>
      <c r="G34" s="122">
        <v>32812</v>
      </c>
    </row>
    <row r="35" spans="1:8" s="106" customFormat="1" x14ac:dyDescent="0.35">
      <c r="A35" s="65"/>
      <c r="B35" s="122"/>
      <c r="F35" s="65"/>
      <c r="G35" s="129">
        <f>+G31+G34</f>
        <v>82394</v>
      </c>
    </row>
    <row r="36" spans="1:8" s="106" customFormat="1" x14ac:dyDescent="0.35">
      <c r="A36" s="65"/>
      <c r="B36" s="122"/>
      <c r="F36" s="65"/>
      <c r="G36" s="122"/>
    </row>
    <row r="37" spans="1:8" s="106" customFormat="1" x14ac:dyDescent="0.35">
      <c r="A37" s="65"/>
      <c r="B37" s="122"/>
      <c r="F37" s="65"/>
      <c r="G37" s="122"/>
    </row>
    <row r="38" spans="1:8" x14ac:dyDescent="0.35">
      <c r="C38" s="106"/>
      <c r="H38" s="106"/>
    </row>
    <row r="39" spans="1:8" x14ac:dyDescent="0.35">
      <c r="C39" s="106"/>
      <c r="H39" s="106"/>
    </row>
    <row r="40" spans="1:8" x14ac:dyDescent="0.35">
      <c r="C40" s="106"/>
      <c r="H40" s="106"/>
    </row>
    <row r="41" spans="1:8" x14ac:dyDescent="0.35">
      <c r="C41" s="106"/>
      <c r="H41" s="106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38"/>
  <sheetViews>
    <sheetView workbookViewId="0">
      <selection activeCell="H21" sqref="H21"/>
    </sheetView>
  </sheetViews>
  <sheetFormatPr defaultColWidth="9.1796875" defaultRowHeight="14.5" x14ac:dyDescent="0.35"/>
  <cols>
    <col min="1" max="1" width="30.54296875" style="65" bestFit="1" customWidth="1"/>
    <col min="2" max="2" width="12.26953125" style="122" bestFit="1" customWidth="1"/>
    <col min="3" max="3" width="17.81640625" style="65" customWidth="1"/>
    <col min="4" max="4" width="12.26953125" style="65" bestFit="1" customWidth="1"/>
    <col min="5" max="5" width="10.54296875" style="65" bestFit="1" customWidth="1"/>
    <col min="6" max="6" width="11.54296875" style="65" bestFit="1" customWidth="1"/>
    <col min="7" max="7" width="19.54296875" style="130" customWidth="1"/>
    <col min="8" max="9" width="9.1796875" style="65"/>
    <col min="10" max="10" width="12.54296875" style="65" bestFit="1" customWidth="1"/>
    <col min="11" max="16384" width="9.1796875" style="65"/>
  </cols>
  <sheetData>
    <row r="1" spans="1:7" s="106" customFormat="1" x14ac:dyDescent="0.35">
      <c r="A1" s="69" t="s">
        <v>167</v>
      </c>
      <c r="B1" s="121">
        <v>70500</v>
      </c>
      <c r="G1" s="130">
        <f>60000+70500</f>
        <v>130500</v>
      </c>
    </row>
    <row r="2" spans="1:7" s="106" customFormat="1" x14ac:dyDescent="0.35">
      <c r="A2" s="69" t="s">
        <v>141</v>
      </c>
      <c r="B2" s="121">
        <v>51000</v>
      </c>
      <c r="C2" s="106">
        <v>79000</v>
      </c>
      <c r="D2" s="106">
        <f>+C2-B2</f>
        <v>28000</v>
      </c>
      <c r="E2" s="106">
        <f>+D2/3</f>
        <v>9333.3333333333339</v>
      </c>
      <c r="G2" s="130">
        <f>SUM(B5:B8)</f>
        <v>-33000</v>
      </c>
    </row>
    <row r="3" spans="1:7" s="106" customFormat="1" x14ac:dyDescent="0.35">
      <c r="A3" s="107" t="s">
        <v>254</v>
      </c>
      <c r="B3" s="122"/>
      <c r="C3" s="106">
        <f>+B2+E2</f>
        <v>60333.333333333336</v>
      </c>
      <c r="G3" s="130">
        <f>SUM(B10:B14)</f>
        <v>-15700</v>
      </c>
    </row>
    <row r="4" spans="1:7" s="106" customFormat="1" x14ac:dyDescent="0.35">
      <c r="A4" s="107"/>
      <c r="B4" s="119"/>
      <c r="G4" s="130">
        <f>+B16</f>
        <v>-1200</v>
      </c>
    </row>
    <row r="5" spans="1:7" s="106" customFormat="1" x14ac:dyDescent="0.35">
      <c r="A5" s="109" t="s">
        <v>74</v>
      </c>
      <c r="B5" s="123">
        <v>-20000</v>
      </c>
      <c r="G5" s="130">
        <f>+B18</f>
        <v>-350</v>
      </c>
    </row>
    <row r="6" spans="1:7" s="106" customFormat="1" x14ac:dyDescent="0.35">
      <c r="A6" s="110" t="s">
        <v>171</v>
      </c>
      <c r="B6" s="124">
        <v>-5000</v>
      </c>
      <c r="G6" s="130">
        <f>-10500-1003-1500-5000</f>
        <v>-18003</v>
      </c>
    </row>
    <row r="7" spans="1:7" s="106" customFormat="1" x14ac:dyDescent="0.35">
      <c r="A7" s="111" t="s">
        <v>176</v>
      </c>
      <c r="B7" s="125">
        <v>-3000</v>
      </c>
      <c r="G7" s="130"/>
    </row>
    <row r="8" spans="1:7" s="106" customFormat="1" x14ac:dyDescent="0.35">
      <c r="A8" s="111" t="s">
        <v>111</v>
      </c>
      <c r="B8" s="125">
        <v>-5000</v>
      </c>
      <c r="G8" s="130"/>
    </row>
    <row r="9" spans="1:7" s="114" customFormat="1" x14ac:dyDescent="0.35">
      <c r="A9" s="111"/>
      <c r="B9" s="125"/>
      <c r="G9" s="130"/>
    </row>
    <row r="10" spans="1:7" s="106" customFormat="1" x14ac:dyDescent="0.35">
      <c r="A10" s="115" t="s">
        <v>162</v>
      </c>
      <c r="B10" s="126">
        <v>-5000</v>
      </c>
      <c r="C10" s="114"/>
      <c r="D10" s="114"/>
      <c r="E10" s="114"/>
      <c r="G10" s="130"/>
    </row>
    <row r="11" spans="1:7" s="106" customFormat="1" x14ac:dyDescent="0.35">
      <c r="A11" s="115" t="s">
        <v>172</v>
      </c>
      <c r="B11" s="126">
        <v>-2100</v>
      </c>
      <c r="C11" s="114"/>
      <c r="D11" s="114"/>
      <c r="E11" s="114"/>
      <c r="G11" s="130"/>
    </row>
    <row r="12" spans="1:7" s="106" customFormat="1" x14ac:dyDescent="0.35">
      <c r="A12" s="115" t="s">
        <v>165</v>
      </c>
      <c r="B12" s="126">
        <v>-2100</v>
      </c>
      <c r="C12" s="114"/>
      <c r="D12" s="114"/>
      <c r="E12" s="114"/>
      <c r="G12" s="130"/>
    </row>
    <row r="13" spans="1:7" s="106" customFormat="1" x14ac:dyDescent="0.35">
      <c r="A13" s="115" t="s">
        <v>128</v>
      </c>
      <c r="B13" s="126">
        <v>-5000</v>
      </c>
      <c r="C13" s="114"/>
      <c r="D13" s="114"/>
      <c r="E13" s="114"/>
      <c r="G13" s="130"/>
    </row>
    <row r="14" spans="1:7" s="106" customFormat="1" x14ac:dyDescent="0.35">
      <c r="A14" s="115" t="s">
        <v>170</v>
      </c>
      <c r="B14" s="126">
        <v>-1500</v>
      </c>
      <c r="C14" s="114"/>
      <c r="D14" s="114"/>
      <c r="E14" s="114"/>
      <c r="G14" s="131">
        <f>SUM(G1:G13)</f>
        <v>62247</v>
      </c>
    </row>
    <row r="15" spans="1:7" s="114" customFormat="1" x14ac:dyDescent="0.35">
      <c r="A15" s="111"/>
      <c r="B15" s="125"/>
      <c r="F15" s="106"/>
      <c r="G15" s="130"/>
    </row>
    <row r="16" spans="1:7" s="106" customFormat="1" x14ac:dyDescent="0.35">
      <c r="A16" s="118" t="s">
        <v>259</v>
      </c>
      <c r="B16" s="126">
        <v>-1200</v>
      </c>
      <c r="C16" s="114"/>
      <c r="E16" s="114"/>
      <c r="G16" s="130"/>
    </row>
    <row r="17" spans="1:7" s="106" customFormat="1" x14ac:dyDescent="0.35">
      <c r="A17" s="116"/>
      <c r="B17" s="122"/>
      <c r="C17" s="114"/>
      <c r="E17" s="114"/>
      <c r="G17" s="130"/>
    </row>
    <row r="18" spans="1:7" s="106" customFormat="1" x14ac:dyDescent="0.35">
      <c r="A18" s="111" t="s">
        <v>17</v>
      </c>
      <c r="B18" s="125">
        <v>-350</v>
      </c>
      <c r="C18" s="114"/>
      <c r="E18" s="114"/>
      <c r="G18" s="130"/>
    </row>
    <row r="19" spans="1:7" s="106" customFormat="1" x14ac:dyDescent="0.35">
      <c r="A19" s="111" t="s">
        <v>16</v>
      </c>
      <c r="B19" s="125"/>
      <c r="C19" s="114"/>
      <c r="E19" s="114"/>
      <c r="G19" s="130"/>
    </row>
    <row r="20" spans="1:7" s="106" customFormat="1" x14ac:dyDescent="0.35">
      <c r="A20" s="111" t="s">
        <v>7</v>
      </c>
      <c r="B20" s="125"/>
      <c r="C20" s="114"/>
      <c r="E20" s="114"/>
      <c r="G20" s="130"/>
    </row>
    <row r="21" spans="1:7" s="106" customFormat="1" x14ac:dyDescent="0.35">
      <c r="A21" s="65" t="s">
        <v>115</v>
      </c>
      <c r="B21" s="122"/>
      <c r="C21" s="114"/>
      <c r="E21" s="114"/>
      <c r="G21" s="130"/>
    </row>
    <row r="22" spans="1:7" s="106" customFormat="1" x14ac:dyDescent="0.35">
      <c r="A22" s="65"/>
      <c r="B22" s="122"/>
      <c r="C22" s="114"/>
      <c r="E22" s="114"/>
      <c r="G22" s="130"/>
    </row>
    <row r="23" spans="1:7" s="106" customFormat="1" x14ac:dyDescent="0.35">
      <c r="A23" s="70" t="s">
        <v>255</v>
      </c>
      <c r="B23" s="125">
        <v>-71500</v>
      </c>
      <c r="C23" s="114"/>
      <c r="E23" s="114"/>
      <c r="G23" s="130"/>
    </row>
    <row r="24" spans="1:7" s="106" customFormat="1" x14ac:dyDescent="0.35">
      <c r="A24" s="65" t="s">
        <v>273</v>
      </c>
      <c r="B24" s="121"/>
      <c r="C24" s="114"/>
      <c r="E24" s="114"/>
      <c r="G24" s="130"/>
    </row>
    <row r="25" spans="1:7" s="106" customFormat="1" x14ac:dyDescent="0.35">
      <c r="A25" s="65" t="s">
        <v>273</v>
      </c>
      <c r="B25" s="122"/>
      <c r="C25" s="114"/>
      <c r="G25" s="130"/>
    </row>
    <row r="26" spans="1:7" s="106" customFormat="1" x14ac:dyDescent="0.35">
      <c r="A26" s="66"/>
      <c r="B26" s="122"/>
      <c r="C26" s="114"/>
      <c r="G26" s="130"/>
    </row>
    <row r="27" spans="1:7" s="106" customFormat="1" x14ac:dyDescent="0.35">
      <c r="A27" s="66"/>
      <c r="B27" s="122"/>
      <c r="C27" s="114"/>
      <c r="G27" s="130"/>
    </row>
    <row r="28" spans="1:7" s="106" customFormat="1" x14ac:dyDescent="0.35">
      <c r="A28" s="66" t="s">
        <v>266</v>
      </c>
      <c r="B28" s="122">
        <f>SUM(B1:B27)</f>
        <v>-250</v>
      </c>
      <c r="C28" s="114"/>
      <c r="G28" s="130"/>
    </row>
    <row r="29" spans="1:7" s="106" customFormat="1" x14ac:dyDescent="0.35">
      <c r="A29" s="65"/>
      <c r="B29" s="122"/>
      <c r="G29" s="130"/>
    </row>
    <row r="30" spans="1:7" s="106" customFormat="1" x14ac:dyDescent="0.35">
      <c r="A30" s="65"/>
      <c r="B30" s="122"/>
      <c r="G30" s="130"/>
    </row>
    <row r="31" spans="1:7" s="106" customFormat="1" x14ac:dyDescent="0.35">
      <c r="A31" s="65"/>
      <c r="B31" s="122"/>
      <c r="G31" s="130"/>
    </row>
    <row r="32" spans="1:7" s="106" customFormat="1" x14ac:dyDescent="0.35">
      <c r="A32" s="65"/>
      <c r="B32" s="129"/>
      <c r="G32" s="130"/>
    </row>
    <row r="33" spans="1:7" s="106" customFormat="1" x14ac:dyDescent="0.35">
      <c r="A33" s="65"/>
      <c r="B33" s="122"/>
      <c r="G33" s="130"/>
    </row>
    <row r="34" spans="1:7" s="106" customFormat="1" x14ac:dyDescent="0.35">
      <c r="A34" s="65"/>
      <c r="B34" s="122"/>
      <c r="G34" s="130"/>
    </row>
    <row r="35" spans="1:7" x14ac:dyDescent="0.35">
      <c r="C35" s="106"/>
    </row>
    <row r="36" spans="1:7" x14ac:dyDescent="0.35">
      <c r="C36" s="106"/>
    </row>
    <row r="37" spans="1:7" x14ac:dyDescent="0.35">
      <c r="C37" s="106"/>
    </row>
    <row r="38" spans="1:7" x14ac:dyDescent="0.35">
      <c r="C38" s="106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38"/>
  <sheetViews>
    <sheetView workbookViewId="0">
      <selection activeCell="F32" sqref="F32"/>
    </sheetView>
  </sheetViews>
  <sheetFormatPr defaultColWidth="9.1796875" defaultRowHeight="14.5" x14ac:dyDescent="0.35"/>
  <cols>
    <col min="1" max="1" width="30.54296875" style="65" bestFit="1" customWidth="1"/>
    <col min="2" max="2" width="12.26953125" style="122" bestFit="1" customWidth="1"/>
    <col min="3" max="3" width="17.81640625" style="65" customWidth="1"/>
    <col min="4" max="4" width="12.26953125" style="65" bestFit="1" customWidth="1"/>
    <col min="5" max="5" width="10.54296875" style="65" bestFit="1" customWidth="1"/>
    <col min="6" max="6" width="11.54296875" style="65" bestFit="1" customWidth="1"/>
    <col min="7" max="7" width="19.54296875" style="130" customWidth="1"/>
    <col min="8" max="9" width="9.1796875" style="65"/>
    <col min="10" max="10" width="15.1796875" style="65" bestFit="1" customWidth="1"/>
    <col min="11" max="11" width="10.54296875" style="65" bestFit="1" customWidth="1"/>
    <col min="12" max="13" width="12.54296875" style="65" bestFit="1" customWidth="1"/>
    <col min="14" max="16384" width="9.1796875" style="65"/>
  </cols>
  <sheetData>
    <row r="1" spans="1:13" s="106" customFormat="1" x14ac:dyDescent="0.35">
      <c r="A1" s="69" t="s">
        <v>167</v>
      </c>
      <c r="B1" s="121">
        <v>70000</v>
      </c>
      <c r="G1" s="130">
        <f>60000+70500</f>
        <v>130500</v>
      </c>
      <c r="K1" s="132">
        <v>43525</v>
      </c>
      <c r="L1" s="114">
        <v>113000</v>
      </c>
      <c r="M1" s="106">
        <f>+L1</f>
        <v>113000</v>
      </c>
    </row>
    <row r="2" spans="1:13" s="106" customFormat="1" x14ac:dyDescent="0.35">
      <c r="A2" s="69" t="s">
        <v>141</v>
      </c>
      <c r="B2" s="121">
        <v>72000</v>
      </c>
      <c r="C2" s="106">
        <v>79000</v>
      </c>
      <c r="D2" s="106">
        <f>+C2-B2</f>
        <v>7000</v>
      </c>
      <c r="E2" s="106">
        <f>+D2/3</f>
        <v>2333.3333333333335</v>
      </c>
      <c r="G2" s="130">
        <f>SUM(B5:B8)</f>
        <v>-28000</v>
      </c>
      <c r="K2" s="132">
        <v>43556</v>
      </c>
      <c r="L2" s="106">
        <v>58000</v>
      </c>
      <c r="M2" s="106">
        <f>+L2+M1</f>
        <v>171000</v>
      </c>
    </row>
    <row r="3" spans="1:13" s="106" customFormat="1" x14ac:dyDescent="0.35">
      <c r="A3" s="107" t="s">
        <v>254</v>
      </c>
      <c r="B3" s="122"/>
      <c r="C3" s="106">
        <f>+B2+E2</f>
        <v>74333.333333333328</v>
      </c>
      <c r="G3" s="130">
        <f>SUM(B10:B14)</f>
        <v>-14200</v>
      </c>
      <c r="K3" s="132">
        <v>43586</v>
      </c>
      <c r="L3" s="106">
        <v>62000</v>
      </c>
      <c r="M3" s="106">
        <f>+L3+M2</f>
        <v>233000</v>
      </c>
    </row>
    <row r="4" spans="1:13" s="106" customFormat="1" x14ac:dyDescent="0.35">
      <c r="A4" s="107"/>
      <c r="B4" s="119"/>
      <c r="G4" s="130">
        <f>+B16</f>
        <v>-1200</v>
      </c>
      <c r="K4" s="132">
        <v>43617</v>
      </c>
      <c r="L4" s="106">
        <v>62000</v>
      </c>
      <c r="M4" s="106">
        <f t="shared" ref="M4:M6" si="0">+L4+M3</f>
        <v>295000</v>
      </c>
    </row>
    <row r="5" spans="1:13" s="106" customFormat="1" x14ac:dyDescent="0.35">
      <c r="A5" s="109" t="s">
        <v>74</v>
      </c>
      <c r="B5" s="123">
        <v>-20000</v>
      </c>
      <c r="G5" s="130">
        <f>+B18</f>
        <v>-350</v>
      </c>
      <c r="K5" s="132">
        <v>43647</v>
      </c>
      <c r="L5" s="106">
        <v>62000</v>
      </c>
      <c r="M5" s="106">
        <f t="shared" si="0"/>
        <v>357000</v>
      </c>
    </row>
    <row r="6" spans="1:13" s="106" customFormat="1" x14ac:dyDescent="0.35">
      <c r="A6" s="110" t="s">
        <v>171</v>
      </c>
      <c r="B6" s="124">
        <v>-5000</v>
      </c>
      <c r="G6" s="130">
        <f>-10500-1003-1500-5000</f>
        <v>-18003</v>
      </c>
      <c r="J6" s="117"/>
      <c r="K6" s="132">
        <v>43678</v>
      </c>
      <c r="L6" s="106">
        <v>62000</v>
      </c>
      <c r="M6" s="106">
        <f t="shared" si="0"/>
        <v>419000</v>
      </c>
    </row>
    <row r="7" spans="1:13" s="106" customFormat="1" x14ac:dyDescent="0.35">
      <c r="A7" s="111" t="s">
        <v>176</v>
      </c>
      <c r="B7" s="125">
        <v>-3000</v>
      </c>
      <c r="G7" s="130"/>
    </row>
    <row r="8" spans="1:13" s="106" customFormat="1" x14ac:dyDescent="0.35">
      <c r="A8" s="111" t="s">
        <v>111</v>
      </c>
      <c r="B8" s="125"/>
      <c r="G8" s="130"/>
    </row>
    <row r="9" spans="1:13" s="114" customFormat="1" x14ac:dyDescent="0.35">
      <c r="A9" s="111"/>
      <c r="B9" s="125"/>
      <c r="G9" s="130"/>
    </row>
    <row r="10" spans="1:13" s="106" customFormat="1" x14ac:dyDescent="0.35">
      <c r="A10" s="115" t="s">
        <v>162</v>
      </c>
      <c r="B10" s="126">
        <v>-5000</v>
      </c>
      <c r="C10" s="114"/>
      <c r="D10" s="114"/>
      <c r="E10" s="114"/>
      <c r="G10" s="130"/>
    </row>
    <row r="11" spans="1:13" s="106" customFormat="1" x14ac:dyDescent="0.35">
      <c r="A11" s="115" t="s">
        <v>172</v>
      </c>
      <c r="B11" s="126">
        <v>-2100</v>
      </c>
      <c r="C11" s="114"/>
      <c r="D11" s="114"/>
      <c r="E11" s="114"/>
      <c r="G11" s="130"/>
    </row>
    <row r="12" spans="1:13" s="106" customFormat="1" x14ac:dyDescent="0.35">
      <c r="A12" s="115" t="s">
        <v>165</v>
      </c>
      <c r="B12" s="126">
        <v>-2100</v>
      </c>
      <c r="C12" s="114"/>
      <c r="D12" s="114"/>
      <c r="E12" s="114"/>
      <c r="G12" s="130"/>
    </row>
    <row r="13" spans="1:13" s="106" customFormat="1" x14ac:dyDescent="0.35">
      <c r="A13" s="115" t="s">
        <v>128</v>
      </c>
      <c r="B13" s="126">
        <v>-5000</v>
      </c>
      <c r="C13" s="114"/>
      <c r="D13" s="114"/>
      <c r="E13" s="114"/>
      <c r="G13" s="130"/>
      <c r="L13" s="117">
        <f>SUM(L1:L12)</f>
        <v>419000</v>
      </c>
    </row>
    <row r="14" spans="1:13" s="106" customFormat="1" x14ac:dyDescent="0.35">
      <c r="A14" s="115" t="s">
        <v>170</v>
      </c>
      <c r="B14" s="126"/>
      <c r="C14" s="114"/>
      <c r="D14" s="114"/>
      <c r="E14" s="114"/>
      <c r="G14" s="131">
        <f>SUM(G1:G13)</f>
        <v>68747</v>
      </c>
    </row>
    <row r="15" spans="1:13" s="114" customFormat="1" x14ac:dyDescent="0.35">
      <c r="A15" s="111"/>
      <c r="B15" s="125"/>
      <c r="F15" s="106"/>
      <c r="G15" s="130"/>
    </row>
    <row r="16" spans="1:13" s="106" customFormat="1" x14ac:dyDescent="0.35">
      <c r="A16" s="118" t="s">
        <v>259</v>
      </c>
      <c r="B16" s="126">
        <v>-1200</v>
      </c>
      <c r="C16" s="114"/>
      <c r="E16" s="114"/>
      <c r="G16" s="130"/>
    </row>
    <row r="17" spans="1:7" s="106" customFormat="1" x14ac:dyDescent="0.35">
      <c r="A17" s="116"/>
      <c r="B17" s="122"/>
      <c r="C17" s="114"/>
      <c r="E17" s="114"/>
      <c r="G17" s="130"/>
    </row>
    <row r="18" spans="1:7" s="106" customFormat="1" x14ac:dyDescent="0.35">
      <c r="A18" s="111" t="s">
        <v>17</v>
      </c>
      <c r="B18" s="125">
        <v>-350</v>
      </c>
      <c r="C18" s="114"/>
      <c r="E18" s="114"/>
      <c r="G18" s="130"/>
    </row>
    <row r="19" spans="1:7" s="106" customFormat="1" x14ac:dyDescent="0.35">
      <c r="A19" s="111" t="s">
        <v>16</v>
      </c>
      <c r="B19" s="125">
        <v>-700</v>
      </c>
      <c r="C19" s="114"/>
      <c r="E19" s="114"/>
      <c r="G19" s="130"/>
    </row>
    <row r="20" spans="1:7" s="106" customFormat="1" x14ac:dyDescent="0.35">
      <c r="A20" s="111" t="s">
        <v>7</v>
      </c>
      <c r="B20" s="125">
        <v>-2000</v>
      </c>
      <c r="C20" s="114"/>
      <c r="E20" s="114"/>
      <c r="G20" s="130"/>
    </row>
    <row r="21" spans="1:7" s="106" customFormat="1" x14ac:dyDescent="0.35">
      <c r="A21" s="65" t="s">
        <v>115</v>
      </c>
      <c r="B21" s="122"/>
      <c r="C21" s="114"/>
      <c r="E21" s="114"/>
      <c r="G21" s="130"/>
    </row>
    <row r="22" spans="1:7" s="106" customFormat="1" x14ac:dyDescent="0.35">
      <c r="A22" s="65"/>
      <c r="B22" s="122"/>
      <c r="C22" s="114"/>
      <c r="E22" s="114"/>
      <c r="G22" s="130"/>
    </row>
    <row r="23" spans="1:7" s="106" customFormat="1" x14ac:dyDescent="0.35">
      <c r="A23" s="70" t="s">
        <v>255</v>
      </c>
      <c r="B23" s="125">
        <v>-134000</v>
      </c>
      <c r="C23" s="114"/>
      <c r="E23" s="114"/>
      <c r="G23" s="130"/>
    </row>
    <row r="24" spans="1:7" s="106" customFormat="1" x14ac:dyDescent="0.35">
      <c r="A24" s="65" t="s">
        <v>273</v>
      </c>
      <c r="B24" s="121"/>
      <c r="C24" s="114"/>
      <c r="E24" s="114"/>
      <c r="G24" s="130"/>
    </row>
    <row r="25" spans="1:7" s="106" customFormat="1" x14ac:dyDescent="0.35">
      <c r="A25" s="65" t="s">
        <v>273</v>
      </c>
      <c r="B25" s="122"/>
      <c r="C25" s="114"/>
      <c r="G25" s="130"/>
    </row>
    <row r="26" spans="1:7" s="106" customFormat="1" x14ac:dyDescent="0.35">
      <c r="A26" s="66" t="s">
        <v>85</v>
      </c>
      <c r="B26" s="122">
        <v>100000</v>
      </c>
      <c r="C26" s="114"/>
      <c r="G26" s="130"/>
    </row>
    <row r="27" spans="1:7" s="106" customFormat="1" x14ac:dyDescent="0.35">
      <c r="A27" s="66"/>
      <c r="B27" s="122"/>
      <c r="C27" s="114"/>
      <c r="G27" s="130"/>
    </row>
    <row r="28" spans="1:7" s="106" customFormat="1" x14ac:dyDescent="0.35">
      <c r="A28" s="66" t="s">
        <v>266</v>
      </c>
      <c r="B28" s="122">
        <f>SUM(B1:B27)</f>
        <v>61550</v>
      </c>
      <c r="C28" s="114"/>
      <c r="G28" s="130"/>
    </row>
    <row r="29" spans="1:7" s="106" customFormat="1" x14ac:dyDescent="0.35">
      <c r="A29" s="65"/>
      <c r="B29" s="122"/>
      <c r="G29" s="130"/>
    </row>
    <row r="30" spans="1:7" s="106" customFormat="1" x14ac:dyDescent="0.35">
      <c r="A30" s="65"/>
      <c r="B30" s="122"/>
      <c r="G30" s="130"/>
    </row>
    <row r="31" spans="1:7" s="106" customFormat="1" x14ac:dyDescent="0.35">
      <c r="A31" s="65"/>
      <c r="B31" s="122"/>
      <c r="G31" s="130"/>
    </row>
    <row r="32" spans="1:7" s="106" customFormat="1" x14ac:dyDescent="0.35">
      <c r="A32" s="65"/>
      <c r="B32" s="129"/>
      <c r="G32" s="130"/>
    </row>
    <row r="33" spans="1:7" s="106" customFormat="1" x14ac:dyDescent="0.35">
      <c r="A33" s="65"/>
      <c r="B33" s="122"/>
      <c r="G33" s="130"/>
    </row>
    <row r="34" spans="1:7" s="106" customFormat="1" x14ac:dyDescent="0.35">
      <c r="A34" s="65"/>
      <c r="B34" s="122"/>
      <c r="G34" s="130"/>
    </row>
    <row r="35" spans="1:7" x14ac:dyDescent="0.35">
      <c r="C35" s="106"/>
    </row>
    <row r="36" spans="1:7" x14ac:dyDescent="0.35">
      <c r="C36" s="106"/>
    </row>
    <row r="37" spans="1:7" x14ac:dyDescent="0.35">
      <c r="C37" s="106"/>
    </row>
    <row r="38" spans="1:7" x14ac:dyDescent="0.35">
      <c r="C38" s="106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38"/>
  <sheetViews>
    <sheetView workbookViewId="0"/>
  </sheetViews>
  <sheetFormatPr defaultColWidth="9.1796875" defaultRowHeight="14.5" x14ac:dyDescent="0.35"/>
  <cols>
    <col min="1" max="1" width="30.54296875" style="65" bestFit="1" customWidth="1"/>
    <col min="2" max="2" width="12.26953125" style="122" bestFit="1" customWidth="1"/>
    <col min="3" max="3" width="17.81640625" style="65" customWidth="1"/>
    <col min="4" max="4" width="12.26953125" style="65" bestFit="1" customWidth="1"/>
    <col min="5" max="5" width="14.26953125" style="65" bestFit="1" customWidth="1"/>
    <col min="6" max="6" width="11.54296875" style="65" bestFit="1" customWidth="1"/>
    <col min="7" max="7" width="19.54296875" style="130" customWidth="1"/>
    <col min="8" max="9" width="9.1796875" style="105"/>
    <col min="10" max="10" width="15.1796875" style="105" bestFit="1" customWidth="1"/>
    <col min="11" max="11" width="9.1796875" style="105"/>
    <col min="12" max="12" width="15.1796875" style="105" customWidth="1"/>
    <col min="13" max="13" width="10.54296875" style="65" bestFit="1" customWidth="1"/>
    <col min="14" max="15" width="12.54296875" style="65" bestFit="1" customWidth="1"/>
    <col min="16" max="16384" width="9.1796875" style="65"/>
  </cols>
  <sheetData>
    <row r="1" spans="1:15" s="106" customFormat="1" x14ac:dyDescent="0.35">
      <c r="A1" s="69" t="s">
        <v>167</v>
      </c>
      <c r="B1" s="121">
        <v>70000</v>
      </c>
      <c r="G1" s="130">
        <f>60000+70500</f>
        <v>130500</v>
      </c>
      <c r="H1" s="105"/>
      <c r="I1" s="105">
        <v>1500000</v>
      </c>
      <c r="J1" s="105">
        <v>1600000</v>
      </c>
      <c r="K1" s="105">
        <v>1050000</v>
      </c>
      <c r="L1" s="105"/>
      <c r="M1" s="132">
        <v>43525</v>
      </c>
      <c r="N1" s="114">
        <v>113000</v>
      </c>
      <c r="O1" s="106">
        <f>+N1</f>
        <v>113000</v>
      </c>
    </row>
    <row r="2" spans="1:15" s="106" customFormat="1" x14ac:dyDescent="0.35">
      <c r="A2" s="69" t="s">
        <v>141</v>
      </c>
      <c r="B2" s="121">
        <v>61000</v>
      </c>
      <c r="C2" s="106">
        <v>79000</v>
      </c>
      <c r="D2" s="106">
        <f>+C2-B2</f>
        <v>18000</v>
      </c>
      <c r="E2" s="106">
        <f>+D2/3</f>
        <v>6000</v>
      </c>
      <c r="G2" s="130">
        <f>SUM(B5:B8)</f>
        <v>-28000</v>
      </c>
      <c r="H2" s="105"/>
      <c r="I2" s="105">
        <v>12</v>
      </c>
      <c r="J2" s="105">
        <v>12</v>
      </c>
      <c r="K2" s="105">
        <v>12</v>
      </c>
      <c r="L2" s="105"/>
      <c r="M2" s="132">
        <v>43556</v>
      </c>
      <c r="N2" s="106">
        <v>58000</v>
      </c>
      <c r="O2" s="106">
        <f>+N2+O1</f>
        <v>171000</v>
      </c>
    </row>
    <row r="3" spans="1:15" s="106" customFormat="1" x14ac:dyDescent="0.35">
      <c r="A3" s="107" t="s">
        <v>254</v>
      </c>
      <c r="B3" s="122"/>
      <c r="C3" s="106">
        <f>+B2+E2</f>
        <v>67000</v>
      </c>
      <c r="G3" s="130">
        <f>SUM(B10:B14)</f>
        <v>-13200</v>
      </c>
      <c r="H3" s="105"/>
      <c r="I3" s="105">
        <f>+I1/I2</f>
        <v>125000</v>
      </c>
      <c r="J3" s="105">
        <f>+J1/J2</f>
        <v>133333.33333333334</v>
      </c>
      <c r="K3" s="105">
        <f>+K1/K2</f>
        <v>87500</v>
      </c>
      <c r="L3" s="105"/>
      <c r="M3" s="132">
        <v>43586</v>
      </c>
      <c r="N3" s="106">
        <v>62000</v>
      </c>
      <c r="O3" s="106">
        <f>+N3+O2</f>
        <v>233000</v>
      </c>
    </row>
    <row r="4" spans="1:15" s="106" customFormat="1" x14ac:dyDescent="0.35">
      <c r="A4" s="107"/>
      <c r="B4" s="119"/>
      <c r="G4" s="130">
        <f>+B16</f>
        <v>0</v>
      </c>
      <c r="H4" s="105"/>
      <c r="I4" s="105"/>
      <c r="J4" s="105"/>
      <c r="K4" s="105"/>
      <c r="L4" s="105"/>
      <c r="M4" s="132">
        <v>43617</v>
      </c>
      <c r="N4" s="106">
        <v>62000</v>
      </c>
      <c r="O4" s="106">
        <f t="shared" ref="O4:O6" si="0">+N4+O3</f>
        <v>295000</v>
      </c>
    </row>
    <row r="5" spans="1:15" s="106" customFormat="1" x14ac:dyDescent="0.35">
      <c r="A5" s="109" t="s">
        <v>74</v>
      </c>
      <c r="B5" s="123">
        <v>-20000</v>
      </c>
      <c r="G5" s="130">
        <f>+B18</f>
        <v>-350</v>
      </c>
      <c r="H5" s="105">
        <v>35</v>
      </c>
      <c r="I5" s="105">
        <f>+I3*H5/100</f>
        <v>43750</v>
      </c>
      <c r="J5" s="105">
        <f>+J3*I5/100</f>
        <v>58333333.333333343</v>
      </c>
      <c r="K5" s="105">
        <f>+K3*H5/100</f>
        <v>30625</v>
      </c>
      <c r="L5" s="105"/>
      <c r="M5" s="132">
        <v>43647</v>
      </c>
      <c r="N5" s="106">
        <v>62000</v>
      </c>
      <c r="O5" s="106">
        <f t="shared" si="0"/>
        <v>357000</v>
      </c>
    </row>
    <row r="6" spans="1:15" s="106" customFormat="1" x14ac:dyDescent="0.35">
      <c r="A6" s="110" t="s">
        <v>171</v>
      </c>
      <c r="B6" s="124">
        <v>-5000</v>
      </c>
      <c r="G6" s="130">
        <f>-10500-1003-1500-5000</f>
        <v>-18003</v>
      </c>
      <c r="H6" s="105">
        <v>12</v>
      </c>
      <c r="I6" s="105">
        <f>+I5*H6/100</f>
        <v>5250</v>
      </c>
      <c r="J6" s="105">
        <f>+J5*I6/100</f>
        <v>3062500000.0000005</v>
      </c>
      <c r="K6" s="105">
        <f>+K5*H6/100</f>
        <v>3675</v>
      </c>
      <c r="L6" s="105"/>
      <c r="M6" s="132">
        <v>43678</v>
      </c>
      <c r="N6" s="106">
        <v>62000</v>
      </c>
      <c r="O6" s="106">
        <f t="shared" si="0"/>
        <v>419000</v>
      </c>
    </row>
    <row r="7" spans="1:15" s="106" customFormat="1" x14ac:dyDescent="0.35">
      <c r="A7" s="111" t="s">
        <v>176</v>
      </c>
      <c r="B7" s="125">
        <v>-3000</v>
      </c>
      <c r="G7" s="130"/>
      <c r="H7" s="105"/>
      <c r="I7" s="105"/>
      <c r="J7" s="105"/>
      <c r="K7" s="105"/>
      <c r="L7" s="105"/>
    </row>
    <row r="8" spans="1:15" s="106" customFormat="1" x14ac:dyDescent="0.35">
      <c r="A8" s="111" t="s">
        <v>111</v>
      </c>
      <c r="B8" s="125"/>
      <c r="G8" s="130"/>
      <c r="H8" s="105"/>
      <c r="I8" s="105"/>
      <c r="J8" s="105"/>
      <c r="K8" s="105"/>
      <c r="L8" s="105"/>
    </row>
    <row r="9" spans="1:15" s="114" customFormat="1" x14ac:dyDescent="0.35">
      <c r="A9" s="111"/>
      <c r="B9" s="125"/>
      <c r="G9" s="130"/>
      <c r="H9" s="113"/>
      <c r="I9" s="113"/>
      <c r="J9" s="113"/>
      <c r="K9" s="113"/>
      <c r="L9" s="113"/>
    </row>
    <row r="10" spans="1:15" s="106" customFormat="1" x14ac:dyDescent="0.35">
      <c r="A10" s="115" t="s">
        <v>162</v>
      </c>
      <c r="B10" s="126">
        <v>-5000</v>
      </c>
      <c r="C10" s="114"/>
      <c r="D10" s="114"/>
      <c r="E10" s="114"/>
      <c r="G10" s="130"/>
      <c r="H10" s="105"/>
      <c r="I10" s="105"/>
      <c r="J10" s="105"/>
      <c r="K10" s="105">
        <v>70000</v>
      </c>
      <c r="L10" s="105"/>
    </row>
    <row r="11" spans="1:15" s="106" customFormat="1" x14ac:dyDescent="0.35">
      <c r="A11" s="115" t="s">
        <v>172</v>
      </c>
      <c r="B11" s="126">
        <v>-2100</v>
      </c>
      <c r="C11" s="114"/>
      <c r="D11" s="114"/>
      <c r="E11" s="114"/>
      <c r="G11" s="130"/>
      <c r="H11" s="105"/>
      <c r="I11" s="105"/>
      <c r="J11" s="105"/>
      <c r="K11" s="105">
        <f>+K3-K10</f>
        <v>17500</v>
      </c>
      <c r="L11" s="105"/>
    </row>
    <row r="12" spans="1:15" s="106" customFormat="1" x14ac:dyDescent="0.35">
      <c r="A12" s="115" t="s">
        <v>165</v>
      </c>
      <c r="B12" s="126">
        <v>-2100</v>
      </c>
      <c r="C12" s="114"/>
      <c r="D12" s="114"/>
      <c r="E12" s="114"/>
      <c r="G12" s="130"/>
      <c r="H12" s="105"/>
      <c r="I12" s="105"/>
      <c r="J12" s="105"/>
      <c r="K12" s="105">
        <f>+K11/K3*100</f>
        <v>20</v>
      </c>
      <c r="L12" s="105"/>
    </row>
    <row r="13" spans="1:15" s="106" customFormat="1" x14ac:dyDescent="0.35">
      <c r="A13" s="115" t="s">
        <v>128</v>
      </c>
      <c r="B13" s="126">
        <v>-4000</v>
      </c>
      <c r="C13" s="114"/>
      <c r="D13" s="114"/>
      <c r="E13" s="114"/>
      <c r="G13" s="130"/>
      <c r="H13" s="105"/>
      <c r="I13" s="105">
        <f>+I3*20/100</f>
        <v>25000</v>
      </c>
      <c r="J13" s="105">
        <f>+J3*20/100</f>
        <v>26666.666666666672</v>
      </c>
      <c r="K13" s="105"/>
      <c r="L13" s="105"/>
      <c r="N13" s="117">
        <f>SUM(N1:N12)</f>
        <v>419000</v>
      </c>
    </row>
    <row r="14" spans="1:15" s="106" customFormat="1" x14ac:dyDescent="0.35">
      <c r="A14" s="115" t="s">
        <v>170</v>
      </c>
      <c r="B14" s="126"/>
      <c r="C14" s="114"/>
      <c r="D14" s="114"/>
      <c r="E14" s="114"/>
      <c r="G14" s="131">
        <f>SUM(G1:G13)</f>
        <v>70947</v>
      </c>
      <c r="H14" s="105"/>
      <c r="I14" s="105">
        <f>+I3-I13</f>
        <v>100000</v>
      </c>
      <c r="J14" s="105">
        <f>+J3-J13</f>
        <v>106666.66666666667</v>
      </c>
      <c r="K14" s="105"/>
      <c r="L14" s="105"/>
    </row>
    <row r="15" spans="1:15" s="114" customFormat="1" x14ac:dyDescent="0.35">
      <c r="A15" s="111"/>
      <c r="B15" s="125"/>
      <c r="F15" s="106"/>
      <c r="G15" s="130"/>
      <c r="H15" s="113"/>
      <c r="I15" s="113"/>
      <c r="J15" s="113"/>
      <c r="K15" s="113"/>
      <c r="L15" s="113"/>
    </row>
    <row r="16" spans="1:15" s="106" customFormat="1" x14ac:dyDescent="0.35">
      <c r="A16" s="118" t="s">
        <v>259</v>
      </c>
      <c r="B16" s="126"/>
      <c r="C16" s="114"/>
      <c r="E16" s="114"/>
      <c r="G16" s="130"/>
      <c r="H16" s="105"/>
      <c r="I16" s="105"/>
      <c r="J16" s="105"/>
      <c r="K16" s="105"/>
      <c r="L16" s="105"/>
    </row>
    <row r="17" spans="1:12" s="106" customFormat="1" x14ac:dyDescent="0.35">
      <c r="A17" s="116"/>
      <c r="B17" s="122"/>
      <c r="C17" s="114"/>
      <c r="E17" s="114"/>
      <c r="G17" s="130"/>
      <c r="H17" s="105"/>
      <c r="I17" s="105"/>
      <c r="J17" s="105"/>
      <c r="K17" s="105"/>
      <c r="L17" s="105"/>
    </row>
    <row r="18" spans="1:12" s="106" customFormat="1" x14ac:dyDescent="0.35">
      <c r="A18" s="111" t="s">
        <v>17</v>
      </c>
      <c r="B18" s="125">
        <v>-350</v>
      </c>
      <c r="C18" s="114"/>
      <c r="E18" s="114"/>
      <c r="G18" s="130"/>
      <c r="H18" s="105"/>
      <c r="I18" s="105"/>
      <c r="J18" s="105"/>
      <c r="K18" s="105"/>
      <c r="L18" s="105"/>
    </row>
    <row r="19" spans="1:12" s="106" customFormat="1" x14ac:dyDescent="0.35">
      <c r="A19" s="111" t="s">
        <v>16</v>
      </c>
      <c r="B19" s="125"/>
      <c r="C19" s="114"/>
      <c r="E19" s="114"/>
      <c r="G19" s="130"/>
      <c r="H19" s="105"/>
      <c r="I19" s="105"/>
      <c r="J19" s="105"/>
      <c r="K19" s="105"/>
      <c r="L19" s="105"/>
    </row>
    <row r="20" spans="1:12" s="106" customFormat="1" x14ac:dyDescent="0.35">
      <c r="A20" s="111" t="s">
        <v>7</v>
      </c>
      <c r="B20" s="125"/>
      <c r="C20" s="114"/>
      <c r="E20" s="114"/>
      <c r="G20" s="130"/>
      <c r="H20" s="105"/>
      <c r="I20" s="105"/>
      <c r="J20" s="105"/>
      <c r="K20" s="105"/>
      <c r="L20" s="105"/>
    </row>
    <row r="21" spans="1:12" s="106" customFormat="1" x14ac:dyDescent="0.35">
      <c r="A21" s="65" t="s">
        <v>115</v>
      </c>
      <c r="B21" s="122"/>
      <c r="C21" s="114"/>
      <c r="E21" s="114"/>
      <c r="G21" s="130"/>
      <c r="H21" s="105"/>
      <c r="I21" s="105"/>
      <c r="J21" s="105"/>
      <c r="K21" s="105"/>
      <c r="L21" s="105"/>
    </row>
    <row r="22" spans="1:12" s="106" customFormat="1" x14ac:dyDescent="0.35">
      <c r="A22" s="65"/>
      <c r="B22" s="122"/>
      <c r="C22" s="114"/>
      <c r="E22" s="114"/>
      <c r="G22" s="130"/>
      <c r="H22" s="105"/>
      <c r="I22" s="105"/>
      <c r="J22" s="105"/>
      <c r="K22" s="105"/>
      <c r="L22" s="105"/>
    </row>
    <row r="23" spans="1:12" s="106" customFormat="1" x14ac:dyDescent="0.35">
      <c r="A23" s="70" t="s">
        <v>255</v>
      </c>
      <c r="B23" s="125">
        <f>-10500-1000-10000-4500-1000</f>
        <v>-27000</v>
      </c>
      <c r="C23" s="114"/>
      <c r="E23" s="114"/>
      <c r="G23" s="130"/>
      <c r="H23" s="105"/>
      <c r="I23" s="105"/>
      <c r="J23" s="105"/>
      <c r="K23" s="105"/>
      <c r="L23" s="105"/>
    </row>
    <row r="24" spans="1:12" s="106" customFormat="1" x14ac:dyDescent="0.35">
      <c r="A24" s="65" t="s">
        <v>276</v>
      </c>
      <c r="B24" s="121">
        <v>-45000</v>
      </c>
      <c r="E24" s="114"/>
      <c r="G24" s="130"/>
      <c r="H24" s="105"/>
      <c r="I24" s="105"/>
      <c r="J24" s="105"/>
      <c r="K24" s="105"/>
      <c r="L24" s="105"/>
    </row>
    <row r="25" spans="1:12" s="106" customFormat="1" x14ac:dyDescent="0.35">
      <c r="A25" s="65"/>
      <c r="B25" s="122"/>
      <c r="C25" s="114"/>
      <c r="G25" s="130"/>
      <c r="H25" s="105"/>
      <c r="I25" s="105"/>
      <c r="J25" s="105"/>
      <c r="K25" s="105"/>
      <c r="L25" s="105"/>
    </row>
    <row r="26" spans="1:12" s="106" customFormat="1" x14ac:dyDescent="0.35">
      <c r="A26" s="67"/>
      <c r="B26" s="122"/>
      <c r="C26" s="114"/>
      <c r="G26" s="130"/>
      <c r="H26" s="105"/>
      <c r="I26" s="105"/>
      <c r="J26" s="105"/>
      <c r="K26" s="105"/>
      <c r="L26" s="105"/>
    </row>
    <row r="27" spans="1:12" s="106" customFormat="1" x14ac:dyDescent="0.35">
      <c r="A27" s="66"/>
      <c r="B27" s="122"/>
      <c r="C27" s="114"/>
      <c r="G27" s="130"/>
      <c r="H27" s="105"/>
      <c r="I27" s="105"/>
      <c r="J27" s="105"/>
      <c r="K27" s="105"/>
      <c r="L27" s="105"/>
    </row>
    <row r="28" spans="1:12" s="106" customFormat="1" x14ac:dyDescent="0.35">
      <c r="A28" s="66" t="s">
        <v>266</v>
      </c>
      <c r="B28" s="122">
        <f>SUM(B1:B27)</f>
        <v>17450</v>
      </c>
      <c r="C28" s="114"/>
      <c r="G28" s="130"/>
      <c r="H28" s="105"/>
      <c r="I28" s="105"/>
      <c r="J28" s="105"/>
      <c r="K28" s="105"/>
      <c r="L28" s="105"/>
    </row>
    <row r="29" spans="1:12" s="106" customFormat="1" x14ac:dyDescent="0.35">
      <c r="A29" s="65"/>
      <c r="B29" s="122"/>
      <c r="G29" s="130"/>
      <c r="H29" s="105"/>
      <c r="I29" s="105"/>
      <c r="J29" s="105"/>
      <c r="K29" s="105"/>
      <c r="L29" s="105"/>
    </row>
    <row r="30" spans="1:12" s="106" customFormat="1" x14ac:dyDescent="0.35">
      <c r="A30" s="65"/>
      <c r="B30" s="122"/>
      <c r="G30" s="130"/>
      <c r="H30" s="105"/>
      <c r="I30" s="105"/>
      <c r="J30" s="105"/>
      <c r="K30" s="105"/>
      <c r="L30" s="105"/>
    </row>
    <row r="31" spans="1:12" s="106" customFormat="1" x14ac:dyDescent="0.35">
      <c r="A31" s="65"/>
      <c r="B31" s="122"/>
      <c r="G31" s="130"/>
      <c r="H31" s="105"/>
      <c r="I31" s="105"/>
      <c r="J31" s="105"/>
      <c r="K31" s="105"/>
      <c r="L31" s="105"/>
    </row>
    <row r="32" spans="1:12" s="106" customFormat="1" x14ac:dyDescent="0.35">
      <c r="A32" s="65"/>
      <c r="B32" s="129"/>
      <c r="G32" s="130"/>
      <c r="H32" s="105"/>
      <c r="I32" s="105"/>
      <c r="J32" s="105"/>
      <c r="K32" s="105"/>
      <c r="L32" s="105"/>
    </row>
    <row r="33" spans="1:12" s="106" customFormat="1" x14ac:dyDescent="0.35">
      <c r="A33" s="65"/>
      <c r="B33" s="122"/>
      <c r="G33" s="130"/>
      <c r="H33" s="105"/>
      <c r="I33" s="105"/>
      <c r="J33" s="105"/>
      <c r="K33" s="105"/>
      <c r="L33" s="105"/>
    </row>
    <row r="34" spans="1:12" s="106" customFormat="1" x14ac:dyDescent="0.35">
      <c r="A34" s="65"/>
      <c r="B34" s="122"/>
      <c r="G34" s="130"/>
      <c r="H34" s="105"/>
      <c r="I34" s="105"/>
      <c r="J34" s="105"/>
      <c r="K34" s="105"/>
      <c r="L34" s="105"/>
    </row>
    <row r="35" spans="1:12" x14ac:dyDescent="0.35">
      <c r="C35" s="106"/>
    </row>
    <row r="36" spans="1:12" x14ac:dyDescent="0.35">
      <c r="C36" s="106"/>
    </row>
    <row r="37" spans="1:12" x14ac:dyDescent="0.35">
      <c r="C37" s="106"/>
    </row>
    <row r="38" spans="1:12" x14ac:dyDescent="0.35">
      <c r="C38" s="106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O34"/>
  <sheetViews>
    <sheetView zoomScale="115" zoomScaleNormal="115" workbookViewId="0"/>
  </sheetViews>
  <sheetFormatPr defaultColWidth="9.1796875" defaultRowHeight="13" x14ac:dyDescent="0.3"/>
  <cols>
    <col min="1" max="1" width="27.54296875" style="146" bestFit="1" customWidth="1"/>
    <col min="2" max="2" width="12" style="134" bestFit="1" customWidth="1"/>
    <col min="3" max="3" width="11.54296875" style="146" bestFit="1" customWidth="1"/>
    <col min="4" max="4" width="12" style="146" bestFit="1" customWidth="1"/>
    <col min="5" max="5" width="9.1796875" style="146"/>
    <col min="6" max="7" width="13.453125" style="146" bestFit="1" customWidth="1"/>
    <col min="8" max="8" width="12" style="146" bestFit="1" customWidth="1"/>
    <col min="9" max="9" width="13.453125" style="146" bestFit="1" customWidth="1"/>
    <col min="10" max="10" width="12" style="146" bestFit="1" customWidth="1"/>
    <col min="11" max="11" width="14.453125" style="146" bestFit="1" customWidth="1"/>
    <col min="12" max="12" width="9.1796875" style="146"/>
    <col min="13" max="13" width="12" style="146" bestFit="1" customWidth="1"/>
    <col min="14" max="14" width="11" style="146" bestFit="1" customWidth="1"/>
    <col min="15" max="15" width="13.453125" style="146" bestFit="1" customWidth="1"/>
    <col min="16" max="16384" width="9.1796875" style="146"/>
  </cols>
  <sheetData>
    <row r="1" spans="1:15" s="134" customFormat="1" x14ac:dyDescent="0.3">
      <c r="A1" s="133" t="s">
        <v>167</v>
      </c>
      <c r="B1" s="134">
        <v>153000</v>
      </c>
      <c r="N1" s="134">
        <v>21600</v>
      </c>
    </row>
    <row r="2" spans="1:15" s="134" customFormat="1" x14ac:dyDescent="0.3">
      <c r="A2" s="133" t="s">
        <v>141</v>
      </c>
      <c r="B2" s="134">
        <v>73000</v>
      </c>
      <c r="D2" s="134">
        <f>58000+95000</f>
        <v>153000</v>
      </c>
      <c r="N2" s="134">
        <v>34376</v>
      </c>
    </row>
    <row r="3" spans="1:15" s="134" customFormat="1" x14ac:dyDescent="0.3">
      <c r="A3" s="133"/>
      <c r="N3" s="134">
        <v>18000</v>
      </c>
    </row>
    <row r="4" spans="1:15" s="134" customFormat="1" x14ac:dyDescent="0.3">
      <c r="A4" s="133"/>
      <c r="B4" s="135"/>
      <c r="F4" s="134">
        <v>1500000</v>
      </c>
      <c r="G4" s="134">
        <v>1050000</v>
      </c>
      <c r="H4" s="134">
        <f>+F4-G4</f>
        <v>450000</v>
      </c>
      <c r="I4" s="134">
        <f>+H4/12</f>
        <v>37500</v>
      </c>
      <c r="J4" s="134">
        <f>70000+I4</f>
        <v>107500</v>
      </c>
      <c r="N4" s="134">
        <f>SUM(N1:N3)</f>
        <v>73976</v>
      </c>
      <c r="O4" s="134">
        <v>1430000</v>
      </c>
    </row>
    <row r="5" spans="1:15" s="134" customFormat="1" x14ac:dyDescent="0.3">
      <c r="A5" s="136" t="s">
        <v>74</v>
      </c>
      <c r="B5" s="149">
        <v>-20000</v>
      </c>
      <c r="C5" s="134">
        <f>+B5</f>
        <v>-20000</v>
      </c>
      <c r="F5" s="134">
        <v>12</v>
      </c>
      <c r="O5" s="134">
        <f>+O4-N4</f>
        <v>1356024</v>
      </c>
    </row>
    <row r="6" spans="1:15" s="134" customFormat="1" x14ac:dyDescent="0.3">
      <c r="A6" s="137" t="s">
        <v>171</v>
      </c>
      <c r="B6" s="138">
        <v>-5000</v>
      </c>
      <c r="C6" s="134">
        <f>+B6</f>
        <v>-5000</v>
      </c>
      <c r="F6" s="134">
        <f>+F4/F5</f>
        <v>125000</v>
      </c>
      <c r="G6" s="134">
        <v>35</v>
      </c>
      <c r="H6" s="134">
        <f>+F6*G6/100</f>
        <v>43750</v>
      </c>
      <c r="O6" s="134">
        <f>+O5/12</f>
        <v>113002</v>
      </c>
    </row>
    <row r="7" spans="1:15" s="134" customFormat="1" x14ac:dyDescent="0.3">
      <c r="A7" s="136" t="s">
        <v>277</v>
      </c>
      <c r="B7" s="149">
        <f>-30000</f>
        <v>-30000</v>
      </c>
      <c r="G7" s="134">
        <v>12</v>
      </c>
      <c r="H7" s="134">
        <f>+H6*G7/100</f>
        <v>5250</v>
      </c>
    </row>
    <row r="8" spans="1:15" s="134" customFormat="1" x14ac:dyDescent="0.3">
      <c r="A8" s="136" t="s">
        <v>278</v>
      </c>
      <c r="B8" s="149">
        <v>-10000</v>
      </c>
      <c r="O8" s="134">
        <v>113002</v>
      </c>
    </row>
    <row r="9" spans="1:15" s="135" customFormat="1" x14ac:dyDescent="0.3">
      <c r="A9" s="137" t="s">
        <v>176</v>
      </c>
      <c r="B9" s="152">
        <v>-3000</v>
      </c>
      <c r="C9" s="134">
        <f>+B9</f>
        <v>-3000</v>
      </c>
      <c r="F9" s="135">
        <v>1450000</v>
      </c>
      <c r="K9" s="135">
        <v>1430000</v>
      </c>
    </row>
    <row r="10" spans="1:15" s="134" customFormat="1" x14ac:dyDescent="0.3">
      <c r="F10" s="134">
        <v>10</v>
      </c>
      <c r="K10" s="134">
        <v>10</v>
      </c>
      <c r="M10" s="134">
        <v>800000</v>
      </c>
    </row>
    <row r="11" spans="1:15" s="134" customFormat="1" x14ac:dyDescent="0.3">
      <c r="A11" s="139" t="s">
        <v>162</v>
      </c>
      <c r="B11" s="140">
        <v>-5000</v>
      </c>
      <c r="C11" s="134">
        <f t="shared" ref="C11:C15" si="0">+B11</f>
        <v>-5000</v>
      </c>
      <c r="F11" s="134">
        <f>+F9*F10/100</f>
        <v>145000</v>
      </c>
      <c r="G11" s="134">
        <f>+F11/12</f>
        <v>12083.333333333334</v>
      </c>
      <c r="K11" s="134">
        <f>+K9*K10/100</f>
        <v>143000</v>
      </c>
      <c r="M11" s="134">
        <v>6</v>
      </c>
    </row>
    <row r="12" spans="1:15" s="134" customFormat="1" x14ac:dyDescent="0.3">
      <c r="A12" s="139" t="s">
        <v>172</v>
      </c>
      <c r="B12" s="140">
        <v>-2100</v>
      </c>
      <c r="C12" s="134">
        <f t="shared" si="0"/>
        <v>-2100</v>
      </c>
      <c r="K12" s="134">
        <f>+K9+K11</f>
        <v>1573000</v>
      </c>
      <c r="M12" s="134">
        <f>+M10*M11/100</f>
        <v>48000</v>
      </c>
    </row>
    <row r="13" spans="1:15" s="134" customFormat="1" x14ac:dyDescent="0.3">
      <c r="A13" s="139" t="s">
        <v>165</v>
      </c>
      <c r="B13" s="150">
        <v>-2100</v>
      </c>
      <c r="C13" s="134">
        <f t="shared" si="0"/>
        <v>-2100</v>
      </c>
      <c r="M13" s="134">
        <f>+M12/12</f>
        <v>4000</v>
      </c>
    </row>
    <row r="14" spans="1:15" s="134" customFormat="1" x14ac:dyDescent="0.3">
      <c r="A14" s="139" t="s">
        <v>128</v>
      </c>
      <c r="B14" s="140">
        <v>-4000</v>
      </c>
      <c r="C14" s="134">
        <v>-3000</v>
      </c>
    </row>
    <row r="15" spans="1:15" s="135" customFormat="1" x14ac:dyDescent="0.3">
      <c r="A15" s="139" t="s">
        <v>170</v>
      </c>
      <c r="B15" s="140">
        <v>-1200</v>
      </c>
      <c r="C15" s="134">
        <f t="shared" si="0"/>
        <v>-1200</v>
      </c>
    </row>
    <row r="16" spans="1:15" s="134" customFormat="1" x14ac:dyDescent="0.3">
      <c r="A16" s="141"/>
      <c r="B16" s="142"/>
      <c r="F16" s="134">
        <v>1100000</v>
      </c>
      <c r="G16" s="134">
        <f>+F16*0.75</f>
        <v>825000</v>
      </c>
      <c r="I16" s="134">
        <f>1430000*6/100</f>
        <v>85800</v>
      </c>
    </row>
    <row r="17" spans="1:11" s="134" customFormat="1" x14ac:dyDescent="0.3">
      <c r="A17" s="143" t="s">
        <v>17</v>
      </c>
      <c r="B17" s="144">
        <v>-350</v>
      </c>
      <c r="C17" s="134">
        <f t="shared" ref="C17:C18" si="1">+B17</f>
        <v>-350</v>
      </c>
      <c r="F17" s="134">
        <v>1450000</v>
      </c>
      <c r="I17" s="134">
        <f>I16+1430000</f>
        <v>1515800</v>
      </c>
      <c r="K17" s="134">
        <f>1430000*10/100</f>
        <v>143000</v>
      </c>
    </row>
    <row r="18" spans="1:11" s="134" customFormat="1" x14ac:dyDescent="0.3">
      <c r="A18" s="143" t="s">
        <v>16</v>
      </c>
      <c r="B18" s="144">
        <v>-500</v>
      </c>
      <c r="C18" s="134">
        <f t="shared" si="1"/>
        <v>-500</v>
      </c>
      <c r="F18" s="134">
        <f>+F17-F16</f>
        <v>350000</v>
      </c>
      <c r="I18" s="134">
        <f>I17*8/100</f>
        <v>121264</v>
      </c>
      <c r="K18" s="134">
        <v>1430000</v>
      </c>
    </row>
    <row r="19" spans="1:11" s="134" customFormat="1" x14ac:dyDescent="0.3">
      <c r="A19" s="143" t="s">
        <v>7</v>
      </c>
      <c r="B19" s="144">
        <v>-1000</v>
      </c>
      <c r="C19" s="134">
        <v>-750</v>
      </c>
      <c r="D19" s="145"/>
      <c r="F19" s="134">
        <f>+F18/F16*100</f>
        <v>31.818181818181817</v>
      </c>
      <c r="I19" s="134">
        <f>I18+I17</f>
        <v>1637064</v>
      </c>
      <c r="K19" s="134">
        <f>K18+K17</f>
        <v>1573000</v>
      </c>
    </row>
    <row r="20" spans="1:11" s="134" customFormat="1" x14ac:dyDescent="0.3">
      <c r="A20" s="146"/>
      <c r="I20" s="134">
        <f>I19/12</f>
        <v>136422</v>
      </c>
      <c r="K20" s="134">
        <f>K19*10/100</f>
        <v>157300</v>
      </c>
    </row>
    <row r="21" spans="1:11" s="134" customFormat="1" x14ac:dyDescent="0.3">
      <c r="A21" s="147" t="s">
        <v>279</v>
      </c>
      <c r="B21" s="148">
        <v>-72000</v>
      </c>
      <c r="C21" s="134">
        <v>-22000</v>
      </c>
      <c r="K21" s="134">
        <f>K19+K20</f>
        <v>1730300</v>
      </c>
    </row>
    <row r="22" spans="1:11" s="134" customFormat="1" x14ac:dyDescent="0.3">
      <c r="A22" s="134" t="s">
        <v>280</v>
      </c>
      <c r="B22" s="151"/>
    </row>
    <row r="23" spans="1:11" s="134" customFormat="1" x14ac:dyDescent="0.3"/>
    <row r="24" spans="1:11" s="134" customFormat="1" x14ac:dyDescent="0.3"/>
    <row r="25" spans="1:11" s="134" customFormat="1" x14ac:dyDescent="0.3">
      <c r="A25" s="146" t="s">
        <v>266</v>
      </c>
      <c r="B25" s="134">
        <f>SUM(B1:B24)</f>
        <v>69750</v>
      </c>
      <c r="C25" s="134">
        <f>SUM(C5:C24)</f>
        <v>-65000</v>
      </c>
      <c r="D25" s="134">
        <f>+B2+C25</f>
        <v>8000</v>
      </c>
    </row>
    <row r="26" spans="1:11" s="134" customFormat="1" x14ac:dyDescent="0.3"/>
    <row r="27" spans="1:11" s="134" customFormat="1" x14ac:dyDescent="0.3">
      <c r="A27" s="134" t="s">
        <v>285</v>
      </c>
      <c r="B27" s="134">
        <v>-19000</v>
      </c>
    </row>
    <row r="28" spans="1:11" s="134" customFormat="1" x14ac:dyDescent="0.3">
      <c r="B28" s="151">
        <f>SUM(B25:B27)</f>
        <v>50750</v>
      </c>
    </row>
    <row r="29" spans="1:11" s="134" customFormat="1" x14ac:dyDescent="0.3">
      <c r="A29" s="146"/>
    </row>
    <row r="30" spans="1:11" s="134" customFormat="1" x14ac:dyDescent="0.3">
      <c r="A30" s="146"/>
    </row>
    <row r="31" spans="1:11" s="134" customFormat="1" x14ac:dyDescent="0.3"/>
    <row r="32" spans="1:11" s="134" customFormat="1" x14ac:dyDescent="0.3">
      <c r="A32" s="146"/>
    </row>
    <row r="33" spans="1:1" s="134" customFormat="1" x14ac:dyDescent="0.3">
      <c r="A33" s="146"/>
    </row>
    <row r="34" spans="1:1" s="134" customFormat="1" x14ac:dyDescent="0.3">
      <c r="A34" s="146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N32"/>
  <sheetViews>
    <sheetView zoomScale="85" zoomScaleNormal="85" workbookViewId="0">
      <selection activeCell="B1" sqref="B1"/>
    </sheetView>
  </sheetViews>
  <sheetFormatPr defaultColWidth="9.1796875" defaultRowHeight="13" x14ac:dyDescent="0.3"/>
  <cols>
    <col min="1" max="1" width="27.54296875" style="146" bestFit="1" customWidth="1"/>
    <col min="2" max="2" width="13.453125" style="134" bestFit="1" customWidth="1"/>
    <col min="3" max="3" width="11.54296875" style="146" bestFit="1" customWidth="1"/>
    <col min="4" max="4" width="3.453125" style="146" customWidth="1"/>
    <col min="5" max="5" width="13.453125" style="146" bestFit="1" customWidth="1"/>
    <col min="6" max="6" width="15.26953125" style="146" bestFit="1" customWidth="1"/>
    <col min="7" max="7" width="13.1796875" style="146" bestFit="1" customWidth="1"/>
    <col min="8" max="8" width="11.54296875" style="146" bestFit="1" customWidth="1"/>
    <col min="9" max="9" width="13.453125" style="146" bestFit="1" customWidth="1"/>
    <col min="10" max="10" width="11.54296875" style="161" bestFit="1" customWidth="1"/>
    <col min="11" max="11" width="12.90625" style="146" bestFit="1" customWidth="1"/>
    <col min="12" max="12" width="9.6328125" style="146" bestFit="1" customWidth="1"/>
    <col min="13" max="13" width="11.54296875" style="146" bestFit="1" customWidth="1"/>
    <col min="14" max="16384" width="9.1796875" style="146"/>
  </cols>
  <sheetData>
    <row r="1" spans="1:14" s="134" customFormat="1" ht="14.5" x14ac:dyDescent="0.35">
      <c r="A1" s="133" t="s">
        <v>167</v>
      </c>
      <c r="B1" s="134">
        <v>105000</v>
      </c>
      <c r="E1" s="200" t="s">
        <v>300</v>
      </c>
      <c r="F1" s="201"/>
      <c r="G1" s="201"/>
      <c r="J1" s="161"/>
    </row>
    <row r="2" spans="1:14" s="134" customFormat="1" ht="14.5" x14ac:dyDescent="0.35">
      <c r="A2" s="133" t="s">
        <v>141</v>
      </c>
      <c r="B2" s="134">
        <v>61000</v>
      </c>
      <c r="E2" s="202" t="s">
        <v>288</v>
      </c>
      <c r="F2" s="203"/>
      <c r="G2" s="203"/>
      <c r="J2" s="161"/>
    </row>
    <row r="3" spans="1:14" s="134" customFormat="1" x14ac:dyDescent="0.3">
      <c r="A3" s="133" t="s">
        <v>286</v>
      </c>
      <c r="E3" s="157" t="s">
        <v>289</v>
      </c>
      <c r="F3" s="157" t="s">
        <v>297</v>
      </c>
      <c r="G3" s="157" t="s">
        <v>298</v>
      </c>
      <c r="J3" s="161" t="s">
        <v>307</v>
      </c>
    </row>
    <row r="4" spans="1:14" s="134" customFormat="1" x14ac:dyDescent="0.3">
      <c r="A4" s="133"/>
      <c r="B4" s="135"/>
      <c r="E4" s="159" t="s">
        <v>284</v>
      </c>
      <c r="F4" s="156">
        <v>50000</v>
      </c>
      <c r="G4" s="156">
        <v>58000</v>
      </c>
      <c r="H4" s="134" t="s">
        <v>299</v>
      </c>
      <c r="J4" s="161" t="s">
        <v>308</v>
      </c>
      <c r="K4" s="134">
        <v>50000</v>
      </c>
    </row>
    <row r="5" spans="1:14" s="134" customFormat="1" x14ac:dyDescent="0.3">
      <c r="A5" s="136" t="s">
        <v>74</v>
      </c>
      <c r="B5" s="149">
        <v>-20000</v>
      </c>
      <c r="E5" s="159" t="s">
        <v>290</v>
      </c>
      <c r="F5" s="156">
        <v>55000</v>
      </c>
      <c r="G5" s="156"/>
      <c r="J5" s="161" t="s">
        <v>309</v>
      </c>
      <c r="K5" s="134">
        <v>80000</v>
      </c>
    </row>
    <row r="6" spans="1:14" s="134" customFormat="1" x14ac:dyDescent="0.3">
      <c r="A6" s="137" t="s">
        <v>171</v>
      </c>
      <c r="B6" s="152">
        <v>-5000</v>
      </c>
      <c r="E6" s="159" t="s">
        <v>291</v>
      </c>
      <c r="F6" s="156">
        <v>55000</v>
      </c>
      <c r="G6" s="158"/>
      <c r="J6" s="161" t="s">
        <v>310</v>
      </c>
      <c r="K6" s="134">
        <v>80000</v>
      </c>
    </row>
    <row r="7" spans="1:14" s="134" customFormat="1" x14ac:dyDescent="0.3">
      <c r="A7" s="136" t="s">
        <v>277</v>
      </c>
      <c r="B7" s="149"/>
      <c r="E7" s="159" t="s">
        <v>292</v>
      </c>
      <c r="F7" s="156">
        <v>55000</v>
      </c>
      <c r="G7" s="156"/>
      <c r="J7" s="161" t="s">
        <v>311</v>
      </c>
      <c r="K7" s="134">
        <v>40000</v>
      </c>
    </row>
    <row r="8" spans="1:14" s="134" customFormat="1" x14ac:dyDescent="0.3">
      <c r="A8" s="136" t="s">
        <v>278</v>
      </c>
      <c r="B8" s="149">
        <v>-10000</v>
      </c>
      <c r="E8" s="159" t="s">
        <v>293</v>
      </c>
      <c r="F8" s="156">
        <v>55000</v>
      </c>
      <c r="G8" s="156"/>
      <c r="J8" s="161" t="s">
        <v>312</v>
      </c>
      <c r="K8" s="134">
        <v>80000</v>
      </c>
    </row>
    <row r="9" spans="1:14" s="135" customFormat="1" ht="14.5" x14ac:dyDescent="0.35">
      <c r="A9" s="137" t="s">
        <v>176</v>
      </c>
      <c r="B9" s="152">
        <v>-3000</v>
      </c>
      <c r="E9" s="159" t="s">
        <v>0</v>
      </c>
      <c r="F9" s="156">
        <v>55000</v>
      </c>
      <c r="G9" s="156"/>
      <c r="H9" s="134"/>
      <c r="I9" s="134"/>
      <c r="J9" s="161" t="s">
        <v>313</v>
      </c>
      <c r="K9" s="134">
        <v>80000</v>
      </c>
      <c r="N9"/>
    </row>
    <row r="10" spans="1:14" s="134" customFormat="1" ht="14.5" x14ac:dyDescent="0.35">
      <c r="E10" s="159" t="s">
        <v>24</v>
      </c>
      <c r="F10" s="156">
        <v>55000</v>
      </c>
      <c r="G10" s="156"/>
      <c r="J10" s="161" t="s">
        <v>314</v>
      </c>
      <c r="K10" s="134">
        <v>80000</v>
      </c>
      <c r="N10"/>
    </row>
    <row r="11" spans="1:14" s="134" customFormat="1" ht="14.5" x14ac:dyDescent="0.35">
      <c r="A11" s="139" t="s">
        <v>162</v>
      </c>
      <c r="B11" s="140">
        <v>-5000</v>
      </c>
      <c r="E11" s="159" t="s">
        <v>32</v>
      </c>
      <c r="F11" s="156">
        <v>65000</v>
      </c>
      <c r="G11" s="156"/>
      <c r="J11" s="161" t="s">
        <v>315</v>
      </c>
      <c r="K11" s="134">
        <v>0</v>
      </c>
      <c r="N11"/>
    </row>
    <row r="12" spans="1:14" s="134" customFormat="1" ht="14.5" x14ac:dyDescent="0.35">
      <c r="A12" s="139" t="s">
        <v>172</v>
      </c>
      <c r="B12" s="140">
        <v>-2400</v>
      </c>
      <c r="C12" s="160">
        <f>12020+2506</f>
        <v>14526</v>
      </c>
      <c r="E12" s="159" t="s">
        <v>294</v>
      </c>
      <c r="F12" s="156">
        <v>65000</v>
      </c>
      <c r="G12" s="156"/>
      <c r="J12" s="161" t="s">
        <v>316</v>
      </c>
      <c r="K12" s="134">
        <v>80000</v>
      </c>
      <c r="N12"/>
    </row>
    <row r="13" spans="1:14" s="134" customFormat="1" ht="14.5" x14ac:dyDescent="0.35">
      <c r="A13" s="139" t="s">
        <v>165</v>
      </c>
      <c r="B13" s="150">
        <v>-2100</v>
      </c>
      <c r="E13" s="159" t="s">
        <v>295</v>
      </c>
      <c r="F13" s="156">
        <v>65000</v>
      </c>
      <c r="G13" s="156"/>
      <c r="J13" s="161" t="s">
        <v>294</v>
      </c>
      <c r="K13" s="134">
        <v>80000</v>
      </c>
      <c r="N13"/>
    </row>
    <row r="14" spans="1:14" s="134" customFormat="1" ht="14.5" x14ac:dyDescent="0.35">
      <c r="A14" s="139" t="s">
        <v>128</v>
      </c>
      <c r="B14" s="140">
        <v>-3500</v>
      </c>
      <c r="E14" s="159" t="s">
        <v>296</v>
      </c>
      <c r="F14" s="156">
        <v>65000</v>
      </c>
      <c r="G14" s="156"/>
      <c r="J14" s="161" t="s">
        <v>317</v>
      </c>
      <c r="K14" s="134">
        <v>80000</v>
      </c>
      <c r="L14" s="162"/>
      <c r="N14"/>
    </row>
    <row r="15" spans="1:14" s="135" customFormat="1" ht="14.5" x14ac:dyDescent="0.35">
      <c r="A15" s="139" t="s">
        <v>170</v>
      </c>
      <c r="B15" s="140"/>
      <c r="E15" s="134"/>
      <c r="F15" s="157">
        <f>SUM(F4:F14)</f>
        <v>640000</v>
      </c>
      <c r="G15" s="157">
        <f>SUM(G4:G14)</f>
        <v>58000</v>
      </c>
      <c r="H15" s="134"/>
      <c r="I15" s="134"/>
      <c r="J15" s="161" t="s">
        <v>307</v>
      </c>
      <c r="K15" s="134">
        <v>80000</v>
      </c>
      <c r="L15" s="134"/>
      <c r="N15"/>
    </row>
    <row r="16" spans="1:14" s="134" customFormat="1" ht="14.5" x14ac:dyDescent="0.35">
      <c r="A16" s="141"/>
      <c r="B16" s="142"/>
      <c r="J16" s="161" t="s">
        <v>308</v>
      </c>
      <c r="K16" s="134">
        <v>80000</v>
      </c>
      <c r="N16"/>
    </row>
    <row r="17" spans="1:14" s="134" customFormat="1" ht="14.5" x14ac:dyDescent="0.35">
      <c r="A17" s="143" t="s">
        <v>17</v>
      </c>
      <c r="B17" s="144">
        <v>-500</v>
      </c>
      <c r="J17" s="161" t="s">
        <v>309</v>
      </c>
      <c r="K17" s="134">
        <v>80000</v>
      </c>
      <c r="L17" s="134">
        <v>1400</v>
      </c>
      <c r="N17"/>
    </row>
    <row r="18" spans="1:14" s="134" customFormat="1" x14ac:dyDescent="0.3">
      <c r="A18" s="143" t="s">
        <v>16</v>
      </c>
      <c r="B18" s="144"/>
      <c r="J18" s="161" t="s">
        <v>310</v>
      </c>
      <c r="K18" s="134">
        <v>80000</v>
      </c>
      <c r="L18" s="134">
        <v>1100</v>
      </c>
    </row>
    <row r="19" spans="1:14" s="134" customFormat="1" x14ac:dyDescent="0.3">
      <c r="A19" s="143" t="s">
        <v>7</v>
      </c>
      <c r="B19" s="144"/>
      <c r="C19" s="145"/>
      <c r="J19" s="161" t="s">
        <v>311</v>
      </c>
      <c r="K19" s="134">
        <v>80000</v>
      </c>
      <c r="L19" s="134">
        <v>4000</v>
      </c>
    </row>
    <row r="20" spans="1:14" s="134" customFormat="1" x14ac:dyDescent="0.3">
      <c r="A20" s="146"/>
      <c r="J20" s="161" t="s">
        <v>312</v>
      </c>
      <c r="K20" s="134">
        <v>80000</v>
      </c>
      <c r="L20" s="134">
        <v>1500</v>
      </c>
    </row>
    <row r="21" spans="1:14" s="134" customFormat="1" x14ac:dyDescent="0.3">
      <c r="A21" s="147" t="s">
        <v>279</v>
      </c>
      <c r="B21" s="148">
        <v>-28000</v>
      </c>
      <c r="J21" s="161"/>
      <c r="K21" s="134">
        <f>SUM(K4:K20)</f>
        <v>1210000</v>
      </c>
      <c r="L21" s="134">
        <v>1000</v>
      </c>
    </row>
    <row r="22" spans="1:14" s="134" customFormat="1" x14ac:dyDescent="0.3">
      <c r="A22" s="134" t="s">
        <v>96</v>
      </c>
      <c r="B22" s="151">
        <v>-10500</v>
      </c>
      <c r="J22" s="161"/>
      <c r="L22" s="134">
        <v>4000</v>
      </c>
    </row>
    <row r="23" spans="1:14" s="134" customFormat="1" x14ac:dyDescent="0.3">
      <c r="A23" s="134" t="s">
        <v>318</v>
      </c>
      <c r="J23" s="161"/>
    </row>
    <row r="24" spans="1:14" s="134" customFormat="1" x14ac:dyDescent="0.3">
      <c r="F24" s="134">
        <f>38000-2000-350-850-32500</f>
        <v>2300</v>
      </c>
      <c r="J24" s="161"/>
    </row>
    <row r="25" spans="1:14" s="134" customFormat="1" x14ac:dyDescent="0.3">
      <c r="A25" s="146" t="s">
        <v>266</v>
      </c>
      <c r="B25" s="134">
        <f>SUM(B1:B24)</f>
        <v>76000</v>
      </c>
      <c r="J25" s="161"/>
    </row>
    <row r="26" spans="1:14" s="134" customFormat="1" x14ac:dyDescent="0.3">
      <c r="J26" s="161"/>
    </row>
    <row r="27" spans="1:14" s="134" customFormat="1" x14ac:dyDescent="0.3">
      <c r="J27" s="161"/>
    </row>
    <row r="28" spans="1:14" s="134" customFormat="1" x14ac:dyDescent="0.3">
      <c r="J28" s="161"/>
    </row>
    <row r="29" spans="1:14" s="134" customFormat="1" x14ac:dyDescent="0.3">
      <c r="A29" s="146"/>
      <c r="J29" s="161"/>
    </row>
    <row r="30" spans="1:14" s="134" customFormat="1" x14ac:dyDescent="0.3">
      <c r="A30" s="146"/>
      <c r="J30" s="161"/>
    </row>
    <row r="31" spans="1:14" s="134" customFormat="1" x14ac:dyDescent="0.3">
      <c r="J31" s="161"/>
    </row>
    <row r="32" spans="1:14" s="134" customFormat="1" x14ac:dyDescent="0.3">
      <c r="A32" s="146"/>
      <c r="J32" s="161"/>
    </row>
  </sheetData>
  <mergeCells count="2">
    <mergeCell ref="E1:G1"/>
    <mergeCell ref="E2:G2"/>
  </mergeCells>
  <phoneticPr fontId="19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L46"/>
  <sheetViews>
    <sheetView topLeftCell="A13" zoomScale="115" zoomScaleNormal="115" workbookViewId="0">
      <selection activeCell="B27" sqref="B27"/>
    </sheetView>
  </sheetViews>
  <sheetFormatPr defaultColWidth="9.1796875" defaultRowHeight="12" x14ac:dyDescent="0.3"/>
  <cols>
    <col min="1" max="1" width="27.54296875" style="184" bestFit="1" customWidth="1"/>
    <col min="2" max="2" width="11.26953125" style="165" bestFit="1" customWidth="1"/>
    <col min="3" max="3" width="12.7265625" style="184" bestFit="1" customWidth="1"/>
    <col min="4" max="4" width="12.7265625" style="186" bestFit="1" customWidth="1"/>
    <col min="5" max="5" width="13.6328125" style="184" customWidth="1"/>
    <col min="6" max="6" width="13.1796875" style="184" bestFit="1" customWidth="1"/>
    <col min="7" max="7" width="12" style="184" bestFit="1" customWidth="1"/>
    <col min="8" max="8" width="13.453125" style="184" bestFit="1" customWidth="1"/>
    <col min="9" max="9" width="12.6328125" style="184" bestFit="1" customWidth="1"/>
    <col min="10" max="11" width="11" style="184" bestFit="1" customWidth="1"/>
    <col min="12" max="12" width="11.26953125" style="184" bestFit="1" customWidth="1"/>
    <col min="13" max="16384" width="9.1796875" style="184"/>
  </cols>
  <sheetData>
    <row r="1" spans="1:12" s="164" customFormat="1" x14ac:dyDescent="0.3">
      <c r="A1" s="163" t="s">
        <v>167</v>
      </c>
      <c r="B1" s="164">
        <v>101000</v>
      </c>
      <c r="C1" s="166">
        <v>110000</v>
      </c>
      <c r="D1" s="187"/>
      <c r="J1" s="164">
        <v>396073</v>
      </c>
    </row>
    <row r="2" spans="1:12" s="164" customFormat="1" x14ac:dyDescent="0.3">
      <c r="A2" s="163" t="s">
        <v>141</v>
      </c>
      <c r="B2" s="164">
        <v>64000</v>
      </c>
      <c r="C2" s="164">
        <v>72000</v>
      </c>
      <c r="D2" s="187"/>
      <c r="J2" s="164">
        <v>76000</v>
      </c>
    </row>
    <row r="3" spans="1:12" s="164" customFormat="1" x14ac:dyDescent="0.3">
      <c r="A3" s="163" t="s">
        <v>319</v>
      </c>
      <c r="B3" s="166"/>
      <c r="C3" s="187"/>
      <c r="D3" s="187"/>
      <c r="J3" s="164">
        <v>28000</v>
      </c>
      <c r="K3" s="164" t="s">
        <v>86</v>
      </c>
    </row>
    <row r="4" spans="1:12" s="164" customFormat="1" x14ac:dyDescent="0.3">
      <c r="A4" s="163"/>
      <c r="B4" s="167"/>
      <c r="D4" s="187"/>
      <c r="E4" s="164">
        <v>1220000</v>
      </c>
    </row>
    <row r="5" spans="1:12" s="164" customFormat="1" x14ac:dyDescent="0.3">
      <c r="A5" s="168" t="s">
        <v>74</v>
      </c>
      <c r="B5" s="164">
        <v>-20000</v>
      </c>
      <c r="D5" s="187"/>
      <c r="E5" s="164">
        <v>-700000</v>
      </c>
    </row>
    <row r="6" spans="1:12" s="164" customFormat="1" x14ac:dyDescent="0.3">
      <c r="A6" s="170" t="s">
        <v>171</v>
      </c>
      <c r="B6" s="171">
        <v>-5000</v>
      </c>
      <c r="C6" s="196">
        <v>-5000</v>
      </c>
      <c r="D6" s="187"/>
      <c r="E6" s="164">
        <v>-240000</v>
      </c>
      <c r="G6" s="164">
        <v>67000</v>
      </c>
    </row>
    <row r="7" spans="1:12" s="164" customFormat="1" x14ac:dyDescent="0.3">
      <c r="A7" s="168" t="s">
        <v>277</v>
      </c>
      <c r="B7" s="169"/>
      <c r="D7" s="187"/>
      <c r="E7" s="164">
        <f>SUM(E4:E6)</f>
        <v>280000</v>
      </c>
      <c r="G7" s="164">
        <v>64000</v>
      </c>
      <c r="H7" s="164">
        <f>105000</f>
        <v>105000</v>
      </c>
      <c r="L7" s="172">
        <v>141700</v>
      </c>
    </row>
    <row r="8" spans="1:12" s="164" customFormat="1" x14ac:dyDescent="0.3">
      <c r="A8" s="168" t="s">
        <v>278</v>
      </c>
      <c r="B8" s="169">
        <v>-10000</v>
      </c>
      <c r="C8" s="164">
        <v>-10000</v>
      </c>
      <c r="D8" s="187"/>
      <c r="G8" s="164">
        <v>-13500</v>
      </c>
      <c r="H8" s="164">
        <v>-5000</v>
      </c>
      <c r="L8" s="164">
        <v>-15000</v>
      </c>
    </row>
    <row r="9" spans="1:12" s="173" customFormat="1" x14ac:dyDescent="0.3">
      <c r="A9" s="170" t="s">
        <v>176</v>
      </c>
      <c r="B9" s="171">
        <v>-4000</v>
      </c>
      <c r="C9" s="196">
        <v>-4000</v>
      </c>
      <c r="D9" s="188"/>
      <c r="E9" s="164"/>
      <c r="F9" s="164"/>
      <c r="G9" s="164">
        <v>-21000</v>
      </c>
      <c r="H9" s="164">
        <v>-20140</v>
      </c>
      <c r="I9" s="164"/>
      <c r="J9" s="164"/>
      <c r="K9" s="164"/>
      <c r="L9" s="164">
        <v>-28000</v>
      </c>
    </row>
    <row r="10" spans="1:12" s="164" customFormat="1" ht="15" customHeight="1" x14ac:dyDescent="0.3">
      <c r="B10" s="165"/>
      <c r="D10" s="187"/>
      <c r="G10" s="164">
        <v>-17000</v>
      </c>
      <c r="H10" s="164">
        <v>-10900</v>
      </c>
      <c r="L10" s="164">
        <v>-28000</v>
      </c>
    </row>
    <row r="11" spans="1:12" s="164" customFormat="1" ht="15" customHeight="1" x14ac:dyDescent="0.3">
      <c r="A11" s="174" t="s">
        <v>162</v>
      </c>
      <c r="B11" s="175">
        <v>-5000</v>
      </c>
      <c r="C11" s="195">
        <v>-5000</v>
      </c>
      <c r="D11" s="187"/>
      <c r="E11" s="164">
        <v>2500</v>
      </c>
      <c r="G11" s="164">
        <v>-4000</v>
      </c>
      <c r="H11" s="164">
        <f>SUM(H7:H10)</f>
        <v>68960</v>
      </c>
      <c r="L11" s="164">
        <v>-4000</v>
      </c>
    </row>
    <row r="12" spans="1:12" s="164" customFormat="1" x14ac:dyDescent="0.3">
      <c r="A12" s="174" t="s">
        <v>172</v>
      </c>
      <c r="B12" s="175">
        <v>-2400</v>
      </c>
      <c r="C12" s="195">
        <v>-2400</v>
      </c>
      <c r="D12" s="187"/>
      <c r="E12" s="164">
        <v>1400</v>
      </c>
      <c r="G12" s="164">
        <v>-2000</v>
      </c>
      <c r="L12" s="164">
        <v>-2000</v>
      </c>
    </row>
    <row r="13" spans="1:12" s="164" customFormat="1" x14ac:dyDescent="0.3">
      <c r="A13" s="174" t="s">
        <v>165</v>
      </c>
      <c r="B13" s="175">
        <v>-2100</v>
      </c>
      <c r="C13" s="195">
        <v>-2100</v>
      </c>
      <c r="D13" s="187"/>
      <c r="E13" s="164">
        <v>2000</v>
      </c>
      <c r="G13" s="164">
        <v>-2000</v>
      </c>
      <c r="L13" s="164">
        <v>-10500</v>
      </c>
    </row>
    <row r="14" spans="1:12" s="164" customFormat="1" ht="12.5" thickBot="1" x14ac:dyDescent="0.35">
      <c r="A14" s="174" t="s">
        <v>128</v>
      </c>
      <c r="B14" s="175">
        <v>-2000</v>
      </c>
      <c r="C14" s="195">
        <v>-2000</v>
      </c>
      <c r="D14" s="187"/>
      <c r="E14" s="164">
        <v>3000</v>
      </c>
      <c r="G14" s="164">
        <f>SUM(G6:G13)</f>
        <v>71500</v>
      </c>
      <c r="L14" s="172">
        <f>SUM(L7:L13)</f>
        <v>54200</v>
      </c>
    </row>
    <row r="15" spans="1:12" s="173" customFormat="1" ht="12.5" thickBot="1" x14ac:dyDescent="0.35">
      <c r="A15" s="174" t="s">
        <v>170</v>
      </c>
      <c r="B15" s="175"/>
      <c r="C15" s="164"/>
      <c r="D15" s="188"/>
      <c r="E15" s="164">
        <v>4000</v>
      </c>
      <c r="F15" s="164"/>
      <c r="G15" s="164"/>
      <c r="H15" s="176"/>
      <c r="I15" s="176"/>
      <c r="J15" s="164"/>
      <c r="K15" s="164"/>
      <c r="L15" s="164"/>
    </row>
    <row r="16" spans="1:12" s="173" customFormat="1" x14ac:dyDescent="0.3">
      <c r="A16" s="174" t="s">
        <v>321</v>
      </c>
      <c r="B16" s="175">
        <v>-10000</v>
      </c>
      <c r="C16" s="164"/>
      <c r="D16" s="188"/>
      <c r="E16" s="164">
        <f>SUM(E11:E15)</f>
        <v>12900</v>
      </c>
      <c r="F16" s="164"/>
      <c r="G16" s="164"/>
      <c r="H16" s="177"/>
      <c r="I16" s="177"/>
      <c r="J16" s="164"/>
      <c r="K16" s="164"/>
      <c r="L16" s="164"/>
    </row>
    <row r="17" spans="1:12" s="164" customFormat="1" x14ac:dyDescent="0.3">
      <c r="A17" s="178"/>
      <c r="B17" s="179"/>
      <c r="D17" s="187"/>
      <c r="H17" s="180"/>
      <c r="I17" s="180"/>
    </row>
    <row r="18" spans="1:12" s="164" customFormat="1" x14ac:dyDescent="0.3">
      <c r="A18" s="193" t="s">
        <v>17</v>
      </c>
      <c r="B18" s="194"/>
      <c r="C18" s="197"/>
      <c r="D18" s="187"/>
      <c r="H18" s="180"/>
      <c r="I18" s="180"/>
      <c r="L18" s="164">
        <v>54000</v>
      </c>
    </row>
    <row r="19" spans="1:12" s="164" customFormat="1" x14ac:dyDescent="0.3">
      <c r="A19" s="193" t="s">
        <v>16</v>
      </c>
      <c r="B19" s="194">
        <v>-500</v>
      </c>
      <c r="C19" s="197">
        <v>-500</v>
      </c>
      <c r="D19" s="187"/>
      <c r="H19" s="180"/>
      <c r="I19" s="180"/>
      <c r="K19" s="164" t="s">
        <v>320</v>
      </c>
      <c r="L19" s="164">
        <v>15000</v>
      </c>
    </row>
    <row r="20" spans="1:12" s="164" customFormat="1" x14ac:dyDescent="0.3">
      <c r="A20" s="193" t="s">
        <v>7</v>
      </c>
      <c r="B20" s="194"/>
      <c r="C20" s="197"/>
      <c r="D20" s="189"/>
      <c r="L20" s="164">
        <v>12000</v>
      </c>
    </row>
    <row r="21" spans="1:12" s="164" customFormat="1" x14ac:dyDescent="0.3">
      <c r="A21" s="193" t="s">
        <v>115</v>
      </c>
      <c r="B21" s="194">
        <v>-13500</v>
      </c>
      <c r="C21" s="197">
        <v>-20500</v>
      </c>
      <c r="D21" s="189"/>
      <c r="G21" s="164">
        <v>90</v>
      </c>
      <c r="H21" s="164">
        <v>6</v>
      </c>
      <c r="L21" s="164">
        <f>SUM(L18:L20)</f>
        <v>81000</v>
      </c>
    </row>
    <row r="22" spans="1:12" s="183" customFormat="1" x14ac:dyDescent="0.3">
      <c r="A22" s="181"/>
      <c r="B22" s="182"/>
      <c r="D22" s="190"/>
      <c r="G22" s="183">
        <f>G21/H21</f>
        <v>15</v>
      </c>
    </row>
    <row r="23" spans="1:12" s="164" customFormat="1" x14ac:dyDescent="0.3">
      <c r="A23" s="191" t="s">
        <v>279</v>
      </c>
      <c r="B23" s="192">
        <v>-27000</v>
      </c>
      <c r="C23" s="164">
        <v>-25000</v>
      </c>
      <c r="D23" s="187"/>
      <c r="G23" s="180"/>
      <c r="H23" s="180"/>
    </row>
    <row r="24" spans="1:12" s="164" customFormat="1" x14ac:dyDescent="0.3">
      <c r="A24" s="164" t="s">
        <v>306</v>
      </c>
      <c r="B24" s="165"/>
      <c r="D24" s="187"/>
      <c r="F24" s="172"/>
      <c r="G24" s="180"/>
      <c r="H24" s="180"/>
    </row>
    <row r="25" spans="1:12" s="164" customFormat="1" x14ac:dyDescent="0.3">
      <c r="A25" s="164" t="s">
        <v>287</v>
      </c>
      <c r="B25" s="165"/>
      <c r="D25" s="187"/>
      <c r="G25" s="180"/>
      <c r="H25" s="180"/>
    </row>
    <row r="26" spans="1:12" s="164" customFormat="1" x14ac:dyDescent="0.3">
      <c r="B26" s="165"/>
      <c r="D26" s="187"/>
    </row>
    <row r="27" spans="1:12" s="164" customFormat="1" x14ac:dyDescent="0.3">
      <c r="A27" s="184" t="s">
        <v>266</v>
      </c>
      <c r="B27" s="165">
        <f>SUM(B1:B26)</f>
        <v>63500</v>
      </c>
      <c r="C27" s="165">
        <f>SUM(C1:C26)</f>
        <v>105500</v>
      </c>
      <c r="D27" s="187"/>
    </row>
    <row r="28" spans="1:12" s="164" customFormat="1" x14ac:dyDescent="0.3">
      <c r="B28" s="165"/>
      <c r="D28" s="187"/>
    </row>
    <row r="29" spans="1:12" s="164" customFormat="1" x14ac:dyDescent="0.3">
      <c r="B29" s="165"/>
      <c r="D29" s="187"/>
    </row>
    <row r="30" spans="1:12" s="164" customFormat="1" x14ac:dyDescent="0.3">
      <c r="B30" s="165"/>
      <c r="D30" s="187"/>
    </row>
    <row r="31" spans="1:12" s="164" customFormat="1" x14ac:dyDescent="0.3">
      <c r="A31" s="184"/>
      <c r="B31" s="165"/>
      <c r="D31" s="187"/>
      <c r="K31" s="164">
        <v>9500</v>
      </c>
    </row>
    <row r="32" spans="1:12" s="164" customFormat="1" x14ac:dyDescent="0.3">
      <c r="A32" s="184"/>
      <c r="B32" s="165"/>
      <c r="C32" s="184"/>
      <c r="D32" s="187"/>
      <c r="K32" s="164">
        <v>2528</v>
      </c>
    </row>
    <row r="33" spans="1:11" s="164" customFormat="1" x14ac:dyDescent="0.3">
      <c r="B33" s="165"/>
      <c r="D33" s="187"/>
      <c r="K33" s="164">
        <v>1890</v>
      </c>
    </row>
    <row r="34" spans="1:11" s="164" customFormat="1" x14ac:dyDescent="0.3">
      <c r="B34" s="165"/>
      <c r="C34" s="185"/>
      <c r="D34" s="187"/>
      <c r="F34" s="164">
        <v>200000</v>
      </c>
      <c r="K34" s="164">
        <f>SUM(K31:K33)</f>
        <v>13918</v>
      </c>
    </row>
    <row r="35" spans="1:11" s="164" customFormat="1" x14ac:dyDescent="0.3">
      <c r="A35" s="184"/>
      <c r="B35" s="165"/>
      <c r="D35" s="187"/>
      <c r="F35" s="164">
        <v>50000</v>
      </c>
      <c r="K35" s="164">
        <v>-3000</v>
      </c>
    </row>
    <row r="36" spans="1:11" s="164" customFormat="1" x14ac:dyDescent="0.3">
      <c r="A36" s="184"/>
      <c r="B36" s="165"/>
      <c r="D36" s="187"/>
      <c r="F36" s="164">
        <v>70000</v>
      </c>
      <c r="K36" s="164">
        <v>-5000</v>
      </c>
    </row>
    <row r="37" spans="1:11" x14ac:dyDescent="0.3">
      <c r="C37" s="164"/>
      <c r="F37" s="186"/>
      <c r="K37" s="164"/>
    </row>
    <row r="38" spans="1:11" x14ac:dyDescent="0.3">
      <c r="C38" s="164"/>
    </row>
    <row r="39" spans="1:11" x14ac:dyDescent="0.3">
      <c r="C39" s="164"/>
    </row>
    <row r="40" spans="1:11" x14ac:dyDescent="0.3">
      <c r="C40" s="164"/>
      <c r="H40" s="164"/>
    </row>
    <row r="41" spans="1:11" x14ac:dyDescent="0.3">
      <c r="C41" s="164"/>
    </row>
    <row r="42" spans="1:11" x14ac:dyDescent="0.3">
      <c r="C42" s="164"/>
    </row>
    <row r="43" spans="1:11" x14ac:dyDescent="0.3">
      <c r="C43" s="164"/>
    </row>
    <row r="44" spans="1:11" x14ac:dyDescent="0.3">
      <c r="C44" s="164"/>
    </row>
    <row r="45" spans="1:11" x14ac:dyDescent="0.3">
      <c r="C45" s="164"/>
    </row>
    <row r="46" spans="1:11" x14ac:dyDescent="0.3">
      <c r="C46" s="164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DA0DF-B32B-4AED-969A-BCE8D3F12A87}">
  <dimension ref="A1:L46"/>
  <sheetViews>
    <sheetView tabSelected="1" topLeftCell="A28" zoomScale="115" zoomScaleNormal="115" workbookViewId="0">
      <selection activeCell="E34" sqref="E34"/>
    </sheetView>
  </sheetViews>
  <sheetFormatPr defaultColWidth="9.1796875" defaultRowHeight="12" x14ac:dyDescent="0.3"/>
  <cols>
    <col min="1" max="1" width="27.54296875" style="184" bestFit="1" customWidth="1"/>
    <col min="2" max="2" width="11.26953125" style="165" bestFit="1" customWidth="1"/>
    <col min="3" max="3" width="12.7265625" style="184" bestFit="1" customWidth="1"/>
    <col min="4" max="4" width="12.7265625" style="186" bestFit="1" customWidth="1"/>
    <col min="5" max="5" width="13.6328125" style="184" customWidth="1"/>
    <col min="6" max="6" width="13.1796875" style="184" bestFit="1" customWidth="1"/>
    <col min="7" max="7" width="12" style="184" bestFit="1" customWidth="1"/>
    <col min="8" max="8" width="13.453125" style="184" bestFit="1" customWidth="1"/>
    <col min="9" max="9" width="12.6328125" style="184" bestFit="1" customWidth="1"/>
    <col min="10" max="11" width="11" style="184" bestFit="1" customWidth="1"/>
    <col min="12" max="12" width="11.26953125" style="184" bestFit="1" customWidth="1"/>
    <col min="13" max="16384" width="9.1796875" style="184"/>
  </cols>
  <sheetData>
    <row r="1" spans="1:12" s="164" customFormat="1" x14ac:dyDescent="0.3">
      <c r="A1" s="163" t="s">
        <v>167</v>
      </c>
      <c r="B1" s="164">
        <v>101000</v>
      </c>
      <c r="C1" s="165">
        <v>113400</v>
      </c>
      <c r="D1" s="187"/>
      <c r="J1" s="164">
        <v>396073</v>
      </c>
    </row>
    <row r="2" spans="1:12" s="164" customFormat="1" x14ac:dyDescent="0.3">
      <c r="A2" s="163" t="s">
        <v>141</v>
      </c>
      <c r="B2" s="164">
        <v>61000</v>
      </c>
      <c r="C2" s="165">
        <v>64600</v>
      </c>
      <c r="D2" s="187"/>
      <c r="J2" s="164">
        <v>76000</v>
      </c>
    </row>
    <row r="3" spans="1:12" s="164" customFormat="1" x14ac:dyDescent="0.3">
      <c r="A3" s="163" t="s">
        <v>319</v>
      </c>
      <c r="B3" s="166"/>
      <c r="D3" s="187"/>
      <c r="J3" s="164">
        <v>28000</v>
      </c>
      <c r="K3" s="164" t="s">
        <v>86</v>
      </c>
    </row>
    <row r="4" spans="1:12" s="164" customFormat="1" x14ac:dyDescent="0.3">
      <c r="A4" s="163"/>
      <c r="B4" s="167"/>
      <c r="D4" s="187"/>
    </row>
    <row r="5" spans="1:12" s="164" customFormat="1" x14ac:dyDescent="0.3">
      <c r="A5" s="168" t="s">
        <v>74</v>
      </c>
      <c r="B5" s="169">
        <v>-20000</v>
      </c>
      <c r="C5" s="164">
        <v>20000</v>
      </c>
      <c r="D5" s="187"/>
      <c r="F5" s="164">
        <v>1220000</v>
      </c>
      <c r="G5" s="164">
        <v>45000</v>
      </c>
    </row>
    <row r="6" spans="1:12" s="164" customFormat="1" x14ac:dyDescent="0.3">
      <c r="A6" s="170" t="s">
        <v>171</v>
      </c>
      <c r="B6" s="171">
        <v>-5000</v>
      </c>
      <c r="D6" s="187"/>
      <c r="F6" s="164">
        <v>-55000</v>
      </c>
      <c r="G6" s="164">
        <v>45000</v>
      </c>
    </row>
    <row r="7" spans="1:12" s="164" customFormat="1" x14ac:dyDescent="0.3">
      <c r="A7" s="168" t="s">
        <v>277</v>
      </c>
      <c r="B7" s="169"/>
      <c r="C7" s="164">
        <v>30000</v>
      </c>
      <c r="D7" s="187"/>
      <c r="F7" s="164">
        <v>-55000</v>
      </c>
      <c r="G7" s="164">
        <v>99000</v>
      </c>
      <c r="H7" s="164">
        <f>105000</f>
        <v>105000</v>
      </c>
      <c r="L7" s="172">
        <v>141700</v>
      </c>
    </row>
    <row r="8" spans="1:12" s="164" customFormat="1" x14ac:dyDescent="0.3">
      <c r="A8" s="168" t="s">
        <v>278</v>
      </c>
      <c r="B8" s="169">
        <v>-10000</v>
      </c>
      <c r="C8" s="164">
        <v>10000</v>
      </c>
      <c r="D8" s="187"/>
      <c r="E8" s="164">
        <v>102000</v>
      </c>
      <c r="F8" s="164">
        <v>-55000</v>
      </c>
      <c r="G8" s="164">
        <v>99000</v>
      </c>
      <c r="H8" s="164">
        <v>-5000</v>
      </c>
      <c r="L8" s="164">
        <v>-15000</v>
      </c>
    </row>
    <row r="9" spans="1:12" s="173" customFormat="1" x14ac:dyDescent="0.3">
      <c r="A9" s="170" t="s">
        <v>176</v>
      </c>
      <c r="B9" s="171">
        <v>-4000</v>
      </c>
      <c r="C9" s="164"/>
      <c r="D9" s="188"/>
      <c r="E9" s="164">
        <v>-20140</v>
      </c>
      <c r="F9" s="164">
        <v>-55000</v>
      </c>
      <c r="G9" s="164">
        <v>99000</v>
      </c>
      <c r="H9" s="164">
        <v>-20140</v>
      </c>
      <c r="I9" s="164"/>
      <c r="J9" s="164"/>
      <c r="K9" s="164"/>
      <c r="L9" s="164">
        <v>-28000</v>
      </c>
    </row>
    <row r="10" spans="1:12" s="164" customFormat="1" ht="15" customHeight="1" x14ac:dyDescent="0.3">
      <c r="B10" s="165"/>
      <c r="D10" s="187"/>
      <c r="E10" s="164">
        <v>-10000</v>
      </c>
      <c r="F10" s="164">
        <v>-55000</v>
      </c>
      <c r="G10" s="164">
        <v>99000</v>
      </c>
      <c r="H10" s="164">
        <v>-40000</v>
      </c>
      <c r="L10" s="164">
        <v>-28000</v>
      </c>
    </row>
    <row r="11" spans="1:12" s="164" customFormat="1" ht="15" customHeight="1" x14ac:dyDescent="0.3">
      <c r="A11" s="174" t="s">
        <v>162</v>
      </c>
      <c r="B11" s="175">
        <v>-5000</v>
      </c>
      <c r="D11" s="187"/>
      <c r="E11" s="164">
        <v>-1000</v>
      </c>
      <c r="F11" s="164">
        <v>-55000</v>
      </c>
      <c r="L11" s="164">
        <v>-4000</v>
      </c>
    </row>
    <row r="12" spans="1:12" s="164" customFormat="1" x14ac:dyDescent="0.3">
      <c r="A12" s="174" t="s">
        <v>172</v>
      </c>
      <c r="B12" s="175">
        <v>-2400</v>
      </c>
      <c r="D12" s="187"/>
      <c r="E12" s="164">
        <v>-5000</v>
      </c>
      <c r="F12" s="164">
        <v>-55000</v>
      </c>
      <c r="L12" s="164">
        <v>-2000</v>
      </c>
    </row>
    <row r="13" spans="1:12" s="164" customFormat="1" x14ac:dyDescent="0.3">
      <c r="A13" s="174" t="s">
        <v>165</v>
      </c>
      <c r="B13" s="175">
        <v>-2100</v>
      </c>
      <c r="C13" s="164">
        <v>2100</v>
      </c>
      <c r="D13" s="187"/>
      <c r="F13" s="164">
        <v>-55000</v>
      </c>
      <c r="L13" s="164">
        <v>-10500</v>
      </c>
    </row>
    <row r="14" spans="1:12" s="164" customFormat="1" ht="12.5" thickBot="1" x14ac:dyDescent="0.35">
      <c r="A14" s="174" t="s">
        <v>128</v>
      </c>
      <c r="B14" s="175">
        <v>-1500</v>
      </c>
      <c r="D14" s="187"/>
      <c r="F14" s="164">
        <v>-55000</v>
      </c>
      <c r="L14" s="172">
        <f>SUM(L7:L13)</f>
        <v>54200</v>
      </c>
    </row>
    <row r="15" spans="1:12" s="173" customFormat="1" ht="12.5" thickBot="1" x14ac:dyDescent="0.35">
      <c r="A15" s="174" t="s">
        <v>170</v>
      </c>
      <c r="B15" s="175"/>
      <c r="C15" s="164"/>
      <c r="D15" s="188"/>
      <c r="E15" s="164"/>
      <c r="F15" s="164">
        <v>-55000</v>
      </c>
      <c r="G15" s="164"/>
      <c r="H15" s="176"/>
      <c r="I15" s="176"/>
      <c r="J15" s="164"/>
      <c r="K15" s="164"/>
      <c r="L15" s="164"/>
    </row>
    <row r="16" spans="1:12" s="173" customFormat="1" x14ac:dyDescent="0.3">
      <c r="A16" s="174" t="s">
        <v>321</v>
      </c>
      <c r="B16" s="175">
        <v>-10000</v>
      </c>
      <c r="C16" s="164"/>
      <c r="D16" s="188"/>
      <c r="E16" s="164"/>
      <c r="F16" s="164">
        <v>-55000</v>
      </c>
      <c r="G16" s="164"/>
      <c r="H16" s="177"/>
      <c r="I16" s="177"/>
      <c r="J16" s="164"/>
      <c r="K16" s="164"/>
      <c r="L16" s="164"/>
    </row>
    <row r="17" spans="1:12" s="164" customFormat="1" x14ac:dyDescent="0.3">
      <c r="A17" s="178"/>
      <c r="B17" s="179"/>
      <c r="D17" s="187">
        <v>2200</v>
      </c>
      <c r="F17" s="164">
        <v>-55000</v>
      </c>
      <c r="H17" s="180"/>
      <c r="I17" s="180"/>
    </row>
    <row r="18" spans="1:12" s="164" customFormat="1" x14ac:dyDescent="0.3">
      <c r="A18" s="193" t="s">
        <v>17</v>
      </c>
      <c r="B18" s="194"/>
      <c r="D18" s="187">
        <v>4500</v>
      </c>
      <c r="F18" s="164">
        <v>-240000</v>
      </c>
      <c r="H18" s="180"/>
      <c r="I18" s="180"/>
      <c r="L18" s="164">
        <v>54000</v>
      </c>
    </row>
    <row r="19" spans="1:12" s="164" customFormat="1" x14ac:dyDescent="0.3">
      <c r="A19" s="193" t="s">
        <v>16</v>
      </c>
      <c r="B19" s="194">
        <v>-500</v>
      </c>
      <c r="D19" s="187">
        <v>500</v>
      </c>
      <c r="F19" s="164">
        <f>SUM(F5:F18)</f>
        <v>320000</v>
      </c>
      <c r="H19" s="180"/>
      <c r="I19" s="180"/>
      <c r="K19" s="164" t="s">
        <v>320</v>
      </c>
      <c r="L19" s="164">
        <v>15000</v>
      </c>
    </row>
    <row r="20" spans="1:12" s="164" customFormat="1" x14ac:dyDescent="0.3">
      <c r="A20" s="193" t="s">
        <v>7</v>
      </c>
      <c r="B20" s="194"/>
      <c r="D20" s="189">
        <v>1000</v>
      </c>
      <c r="L20" s="164">
        <v>12000</v>
      </c>
    </row>
    <row r="21" spans="1:12" s="164" customFormat="1" x14ac:dyDescent="0.3">
      <c r="A21" s="193" t="s">
        <v>115</v>
      </c>
      <c r="B21" s="194">
        <v>-30000</v>
      </c>
      <c r="D21" s="189">
        <v>3000</v>
      </c>
      <c r="G21" s="164">
        <v>90</v>
      </c>
      <c r="H21" s="164">
        <v>6</v>
      </c>
      <c r="L21" s="164">
        <f>SUM(L18:L20)</f>
        <v>81000</v>
      </c>
    </row>
    <row r="22" spans="1:12" s="183" customFormat="1" x14ac:dyDescent="0.3">
      <c r="A22" s="181"/>
      <c r="B22" s="182"/>
      <c r="D22" s="190">
        <f>SUM(D17:D21)</f>
        <v>11200</v>
      </c>
      <c r="G22" s="183">
        <f>G21/H21</f>
        <v>15</v>
      </c>
    </row>
    <row r="23" spans="1:12" s="164" customFormat="1" x14ac:dyDescent="0.3">
      <c r="A23" s="191" t="s">
        <v>279</v>
      </c>
      <c r="B23" s="192">
        <v>-15000</v>
      </c>
      <c r="C23" s="164">
        <v>10500</v>
      </c>
      <c r="D23" s="187"/>
      <c r="G23" s="180"/>
      <c r="H23" s="180"/>
    </row>
    <row r="24" spans="1:12" s="164" customFormat="1" x14ac:dyDescent="0.3">
      <c r="A24" s="164" t="s">
        <v>306</v>
      </c>
      <c r="B24" s="165"/>
      <c r="D24" s="187"/>
      <c r="F24" s="172"/>
      <c r="G24" s="180"/>
      <c r="H24" s="180"/>
    </row>
    <row r="25" spans="1:12" s="164" customFormat="1" x14ac:dyDescent="0.3">
      <c r="A25" s="164" t="s">
        <v>287</v>
      </c>
      <c r="B25" s="165"/>
      <c r="D25" s="187"/>
      <c r="G25" s="180"/>
      <c r="H25" s="180"/>
    </row>
    <row r="26" spans="1:12" s="164" customFormat="1" x14ac:dyDescent="0.3">
      <c r="B26" s="165"/>
      <c r="D26" s="187"/>
    </row>
    <row r="27" spans="1:12" s="164" customFormat="1" x14ac:dyDescent="0.3">
      <c r="A27" s="184" t="s">
        <v>266</v>
      </c>
      <c r="B27" s="165">
        <f>SUM(B1:B26)</f>
        <v>56500</v>
      </c>
      <c r="D27" s="187"/>
    </row>
    <row r="28" spans="1:12" s="164" customFormat="1" x14ac:dyDescent="0.3">
      <c r="B28" s="165"/>
      <c r="D28" s="187"/>
    </row>
    <row r="29" spans="1:12" s="164" customFormat="1" x14ac:dyDescent="0.3">
      <c r="B29" s="165"/>
      <c r="D29" s="187"/>
    </row>
    <row r="30" spans="1:12" s="164" customFormat="1" x14ac:dyDescent="0.3">
      <c r="B30" s="165"/>
      <c r="D30" s="187"/>
    </row>
    <row r="31" spans="1:12" s="164" customFormat="1" x14ac:dyDescent="0.3">
      <c r="A31" s="184"/>
      <c r="B31" s="165"/>
      <c r="D31" s="187"/>
      <c r="K31" s="164">
        <v>9500</v>
      </c>
    </row>
    <row r="32" spans="1:12" s="164" customFormat="1" x14ac:dyDescent="0.3">
      <c r="A32" s="184"/>
      <c r="B32" s="165"/>
      <c r="C32" s="184">
        <v>-280000</v>
      </c>
      <c r="D32" s="187"/>
      <c r="E32" s="164">
        <v>65000</v>
      </c>
      <c r="K32" s="164">
        <v>2528</v>
      </c>
    </row>
    <row r="33" spans="1:11" s="164" customFormat="1" x14ac:dyDescent="0.3">
      <c r="B33" s="165"/>
      <c r="C33" s="164">
        <v>1300000</v>
      </c>
      <c r="D33" s="187"/>
      <c r="E33" s="164">
        <v>65000</v>
      </c>
      <c r="K33" s="164">
        <v>1890</v>
      </c>
    </row>
    <row r="34" spans="1:11" s="164" customFormat="1" x14ac:dyDescent="0.3">
      <c r="B34" s="165">
        <f>70000*13</f>
        <v>910000</v>
      </c>
      <c r="C34" s="185">
        <v>-910000</v>
      </c>
      <c r="D34" s="187"/>
      <c r="E34" s="164">
        <v>-95000</v>
      </c>
      <c r="F34" s="164">
        <v>200000</v>
      </c>
      <c r="K34" s="164">
        <f>SUM(K31:K33)</f>
        <v>13918</v>
      </c>
    </row>
    <row r="35" spans="1:11" s="164" customFormat="1" x14ac:dyDescent="0.3">
      <c r="A35" s="184"/>
      <c r="B35" s="165"/>
      <c r="C35" s="164">
        <f>SUM(C32:C34)</f>
        <v>110000</v>
      </c>
      <c r="D35" s="187"/>
      <c r="E35" s="164">
        <v>-8000</v>
      </c>
      <c r="F35" s="164">
        <v>50000</v>
      </c>
      <c r="K35" s="164">
        <v>-3000</v>
      </c>
    </row>
    <row r="36" spans="1:11" s="164" customFormat="1" x14ac:dyDescent="0.3">
      <c r="A36" s="184"/>
      <c r="B36" s="165"/>
      <c r="D36" s="187"/>
      <c r="E36" s="164">
        <v>-4000</v>
      </c>
      <c r="F36" s="164">
        <v>70000</v>
      </c>
      <c r="K36" s="164">
        <v>-5000</v>
      </c>
    </row>
    <row r="37" spans="1:11" x14ac:dyDescent="0.3">
      <c r="C37" s="164"/>
      <c r="E37" s="164">
        <v>-2000</v>
      </c>
      <c r="F37" s="186"/>
      <c r="K37" s="164"/>
    </row>
    <row r="38" spans="1:11" x14ac:dyDescent="0.3">
      <c r="C38" s="164"/>
    </row>
    <row r="39" spans="1:11" x14ac:dyDescent="0.3">
      <c r="C39" s="164"/>
    </row>
    <row r="40" spans="1:11" x14ac:dyDescent="0.3">
      <c r="C40" s="164"/>
      <c r="H40" s="164"/>
    </row>
    <row r="41" spans="1:11" x14ac:dyDescent="0.3">
      <c r="C41" s="164"/>
    </row>
    <row r="42" spans="1:11" x14ac:dyDescent="0.3">
      <c r="C42" s="164"/>
    </row>
    <row r="43" spans="1:11" x14ac:dyDescent="0.3">
      <c r="C43" s="164"/>
      <c r="E43" s="164">
        <f>SUM(E32:E42)</f>
        <v>21000</v>
      </c>
    </row>
    <row r="44" spans="1:11" x14ac:dyDescent="0.3">
      <c r="C44" s="164"/>
    </row>
    <row r="45" spans="1:11" x14ac:dyDescent="0.3">
      <c r="C45" s="164"/>
    </row>
    <row r="46" spans="1:11" x14ac:dyDescent="0.3">
      <c r="C46" s="16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6"/>
  <sheetViews>
    <sheetView workbookViewId="0">
      <selection activeCell="K19" sqref="K19"/>
    </sheetView>
  </sheetViews>
  <sheetFormatPr defaultRowHeight="14.5" x14ac:dyDescent="0.35"/>
  <cols>
    <col min="1" max="1" width="21.54296875" bestFit="1" customWidth="1"/>
    <col min="11" max="11" width="19.7265625" bestFit="1" customWidth="1"/>
    <col min="15" max="15" width="15.7265625" bestFit="1" customWidth="1"/>
  </cols>
  <sheetData>
    <row r="1" spans="1:16" x14ac:dyDescent="0.35">
      <c r="A1" s="1" t="s">
        <v>33</v>
      </c>
      <c r="B1" s="1">
        <v>40000</v>
      </c>
      <c r="D1" s="12"/>
      <c r="E1" s="12"/>
      <c r="F1" s="12"/>
      <c r="G1" s="12"/>
      <c r="H1" s="12"/>
      <c r="I1" s="12"/>
      <c r="J1" s="12"/>
      <c r="K1" s="12"/>
    </row>
    <row r="2" spans="1:16" x14ac:dyDescent="0.35">
      <c r="A2" s="1" t="s">
        <v>34</v>
      </c>
      <c r="B2" s="1">
        <v>55000</v>
      </c>
      <c r="C2" s="14">
        <f>+B2-32000-600</f>
        <v>22400</v>
      </c>
      <c r="D2" s="12"/>
      <c r="E2" s="12"/>
      <c r="F2" s="12"/>
      <c r="G2" s="12"/>
      <c r="H2" s="12"/>
      <c r="I2" s="12"/>
      <c r="J2" s="12"/>
      <c r="K2" s="12"/>
    </row>
    <row r="3" spans="1:16" x14ac:dyDescent="0.35">
      <c r="D3" s="12"/>
      <c r="E3" s="12"/>
      <c r="F3" s="12"/>
      <c r="G3" s="12"/>
      <c r="H3" s="12"/>
      <c r="I3" s="12"/>
      <c r="J3" s="12"/>
      <c r="K3" s="12"/>
    </row>
    <row r="4" spans="1:16" x14ac:dyDescent="0.35">
      <c r="A4" t="s">
        <v>3</v>
      </c>
      <c r="B4">
        <v>32000</v>
      </c>
      <c r="D4" s="12"/>
      <c r="E4" s="12"/>
      <c r="F4" s="12"/>
      <c r="G4" s="12"/>
      <c r="H4" s="12"/>
      <c r="I4" s="12"/>
      <c r="J4" s="12"/>
      <c r="K4" s="12"/>
    </row>
    <row r="5" spans="1:16" x14ac:dyDescent="0.35">
      <c r="A5" t="s">
        <v>15</v>
      </c>
      <c r="B5" s="17">
        <v>1100</v>
      </c>
      <c r="D5" s="12"/>
      <c r="E5" s="12"/>
      <c r="F5" s="12"/>
      <c r="G5" s="12"/>
      <c r="H5" s="12"/>
      <c r="I5" s="12"/>
      <c r="J5" s="12"/>
      <c r="K5" s="12"/>
    </row>
    <row r="6" spans="1:16" x14ac:dyDescent="0.35">
      <c r="A6" t="s">
        <v>11</v>
      </c>
      <c r="B6" s="1">
        <v>1000</v>
      </c>
      <c r="D6" s="12"/>
      <c r="E6" s="12"/>
      <c r="F6" s="12"/>
      <c r="G6" s="12"/>
      <c r="H6" s="12">
        <f>37000-9500</f>
        <v>27500</v>
      </c>
      <c r="I6" s="12"/>
      <c r="J6" s="12"/>
      <c r="K6" s="12"/>
    </row>
    <row r="7" spans="1:16" x14ac:dyDescent="0.35">
      <c r="A7" t="s">
        <v>23</v>
      </c>
      <c r="B7" s="17">
        <v>500</v>
      </c>
      <c r="D7" s="12"/>
      <c r="E7" s="12"/>
      <c r="F7" s="12"/>
      <c r="G7" s="12"/>
      <c r="H7" s="12">
        <f>+H6-2600</f>
        <v>24900</v>
      </c>
      <c r="I7" s="12"/>
      <c r="J7" s="12"/>
      <c r="K7" s="12"/>
    </row>
    <row r="8" spans="1:16" x14ac:dyDescent="0.35">
      <c r="A8" t="s">
        <v>22</v>
      </c>
      <c r="B8" s="18">
        <v>2000</v>
      </c>
      <c r="C8" t="s">
        <v>18</v>
      </c>
      <c r="D8" s="12">
        <f>SUM(B8:B20)</f>
        <v>21100</v>
      </c>
      <c r="E8" s="12"/>
      <c r="F8" s="12"/>
      <c r="G8" s="12"/>
      <c r="H8" s="12"/>
      <c r="I8" s="12"/>
      <c r="J8" s="12"/>
      <c r="K8" t="s">
        <v>36</v>
      </c>
      <c r="L8">
        <v>8900</v>
      </c>
    </row>
    <row r="9" spans="1:16" x14ac:dyDescent="0.35">
      <c r="A9" t="s">
        <v>5</v>
      </c>
      <c r="B9" s="10">
        <v>4000</v>
      </c>
      <c r="C9" t="s">
        <v>18</v>
      </c>
      <c r="D9" s="13">
        <f>+D8-C2</f>
        <v>-1300</v>
      </c>
      <c r="E9" s="12"/>
      <c r="F9" s="12"/>
      <c r="G9" s="12"/>
      <c r="H9" s="12"/>
      <c r="I9" s="12"/>
      <c r="J9" s="12"/>
      <c r="K9" t="s">
        <v>35</v>
      </c>
      <c r="L9">
        <v>5400</v>
      </c>
    </row>
    <row r="10" spans="1:16" x14ac:dyDescent="0.35">
      <c r="A10" t="s">
        <v>8</v>
      </c>
      <c r="B10" s="10">
        <v>1400</v>
      </c>
      <c r="C10" t="s">
        <v>18</v>
      </c>
      <c r="D10" s="12"/>
      <c r="E10" s="12"/>
      <c r="F10" s="12"/>
      <c r="G10" s="12"/>
      <c r="H10" s="12"/>
      <c r="I10" s="12"/>
      <c r="J10" s="12"/>
      <c r="K10" s="12"/>
      <c r="O10" t="s">
        <v>5</v>
      </c>
      <c r="P10" s="10">
        <v>4000</v>
      </c>
    </row>
    <row r="11" spans="1:16" x14ac:dyDescent="0.35">
      <c r="A11" t="s">
        <v>9</v>
      </c>
      <c r="B11" s="10">
        <v>3000</v>
      </c>
      <c r="C11" t="s">
        <v>18</v>
      </c>
      <c r="D11" s="12"/>
      <c r="E11" s="12"/>
      <c r="F11" s="12"/>
      <c r="G11" s="12"/>
      <c r="H11" s="12"/>
      <c r="I11" s="12"/>
      <c r="J11" s="12"/>
      <c r="K11" s="12"/>
      <c r="O11" t="s">
        <v>8</v>
      </c>
      <c r="P11" s="10">
        <v>1400</v>
      </c>
    </row>
    <row r="12" spans="1:16" x14ac:dyDescent="0.35">
      <c r="A12" t="s">
        <v>12</v>
      </c>
      <c r="B12" s="10">
        <v>2100</v>
      </c>
      <c r="C12" t="s">
        <v>18</v>
      </c>
      <c r="D12" s="12"/>
      <c r="E12" s="12"/>
      <c r="F12" s="12"/>
      <c r="G12" s="12"/>
      <c r="H12" s="12"/>
      <c r="I12" s="12"/>
      <c r="J12" s="12"/>
      <c r="K12" s="12"/>
      <c r="O12" t="s">
        <v>9</v>
      </c>
      <c r="P12" s="10">
        <v>3000</v>
      </c>
    </row>
    <row r="13" spans="1:16" x14ac:dyDescent="0.35">
      <c r="A13" t="s">
        <v>13</v>
      </c>
      <c r="B13" s="10">
        <v>1700</v>
      </c>
      <c r="C13" t="s">
        <v>18</v>
      </c>
      <c r="D13" s="12"/>
      <c r="E13" s="12"/>
      <c r="F13" s="12"/>
      <c r="G13" s="12"/>
      <c r="H13" s="12"/>
      <c r="I13" s="12">
        <v>41000</v>
      </c>
      <c r="J13" s="12"/>
      <c r="K13" s="12"/>
      <c r="O13" t="s">
        <v>12</v>
      </c>
      <c r="P13" s="10">
        <v>2100</v>
      </c>
    </row>
    <row r="14" spans="1:16" x14ac:dyDescent="0.35">
      <c r="A14" t="s">
        <v>17</v>
      </c>
      <c r="B14" s="15">
        <v>200</v>
      </c>
      <c r="C14" t="s">
        <v>18</v>
      </c>
      <c r="D14" s="12"/>
      <c r="E14" s="12"/>
      <c r="F14" s="12"/>
      <c r="G14" s="12"/>
      <c r="H14" s="12"/>
      <c r="I14" s="12"/>
      <c r="J14" s="12"/>
      <c r="K14" s="12"/>
      <c r="O14" t="s">
        <v>13</v>
      </c>
      <c r="P14" s="10">
        <v>1700</v>
      </c>
    </row>
    <row r="15" spans="1:16" x14ac:dyDescent="0.35">
      <c r="A15" t="s">
        <v>14</v>
      </c>
      <c r="B15" s="9">
        <v>500</v>
      </c>
      <c r="C15" t="s">
        <v>18</v>
      </c>
      <c r="D15" s="12"/>
      <c r="E15" s="12"/>
      <c r="F15" s="12"/>
      <c r="G15" s="12"/>
      <c r="H15" s="12"/>
      <c r="I15" s="12"/>
      <c r="J15" s="12"/>
      <c r="K15" s="12"/>
      <c r="O15" t="s">
        <v>17</v>
      </c>
      <c r="P15" s="15">
        <v>200</v>
      </c>
    </row>
    <row r="16" spans="1:16" x14ac:dyDescent="0.35">
      <c r="A16" t="s">
        <v>16</v>
      </c>
      <c r="B16" s="19">
        <v>700</v>
      </c>
      <c r="C16" t="s">
        <v>18</v>
      </c>
      <c r="D16" s="12"/>
      <c r="E16" s="12"/>
      <c r="F16" s="12"/>
      <c r="G16" s="12"/>
      <c r="H16" s="12"/>
      <c r="I16" s="12"/>
      <c r="J16" s="12"/>
      <c r="K16" s="12"/>
      <c r="O16" t="s">
        <v>6</v>
      </c>
      <c r="P16" s="10">
        <v>1000</v>
      </c>
    </row>
    <row r="17" spans="1:17" x14ac:dyDescent="0.35">
      <c r="A17" t="s">
        <v>6</v>
      </c>
      <c r="B17" s="22">
        <v>1000</v>
      </c>
      <c r="C17" t="s">
        <v>18</v>
      </c>
      <c r="D17" s="12"/>
      <c r="E17" s="12"/>
      <c r="F17" s="12"/>
      <c r="G17" s="12"/>
      <c r="H17" s="12"/>
      <c r="I17" s="12"/>
      <c r="J17" s="12"/>
      <c r="K17" s="12"/>
      <c r="O17" t="s">
        <v>28</v>
      </c>
      <c r="P17" s="10">
        <v>500</v>
      </c>
    </row>
    <row r="18" spans="1:17" x14ac:dyDescent="0.35">
      <c r="A18" t="s">
        <v>7</v>
      </c>
      <c r="B18" s="20">
        <v>500</v>
      </c>
      <c r="C18" t="s">
        <v>18</v>
      </c>
      <c r="D18" s="12"/>
      <c r="E18" s="12"/>
      <c r="F18" s="12"/>
      <c r="G18" s="12"/>
      <c r="H18" s="12"/>
      <c r="I18" s="12"/>
      <c r="J18" s="12"/>
      <c r="K18" s="12"/>
      <c r="O18" t="s">
        <v>7</v>
      </c>
      <c r="P18" s="10">
        <v>400</v>
      </c>
    </row>
    <row r="19" spans="1:17" x14ac:dyDescent="0.35">
      <c r="A19" t="s">
        <v>10</v>
      </c>
      <c r="B19" s="19">
        <v>3000</v>
      </c>
      <c r="C19" t="s">
        <v>18</v>
      </c>
      <c r="D19" s="12"/>
      <c r="E19" s="12"/>
      <c r="F19" s="12"/>
      <c r="G19" s="12"/>
      <c r="H19" s="12"/>
      <c r="I19" s="12"/>
      <c r="J19">
        <f>16300+2600</f>
        <v>18900</v>
      </c>
      <c r="K19" s="12"/>
      <c r="P19">
        <f>SUM(P10:P18)</f>
        <v>14300</v>
      </c>
    </row>
    <row r="20" spans="1:17" x14ac:dyDescent="0.35">
      <c r="A20" t="s">
        <v>28</v>
      </c>
      <c r="B20" s="19">
        <v>1000</v>
      </c>
      <c r="D20" s="12"/>
      <c r="E20" s="12"/>
      <c r="F20" s="12"/>
      <c r="G20" s="12"/>
      <c r="H20" s="12"/>
      <c r="I20" s="12"/>
      <c r="J20" s="12"/>
      <c r="K20" s="12"/>
    </row>
    <row r="21" spans="1:17" x14ac:dyDescent="0.35">
      <c r="B21" s="21"/>
      <c r="D21" s="12"/>
      <c r="E21" s="12"/>
      <c r="F21" s="12"/>
      <c r="G21" s="12"/>
      <c r="H21" s="12"/>
      <c r="I21" s="12"/>
      <c r="J21" s="12"/>
      <c r="K21" s="12"/>
    </row>
    <row r="22" spans="1:17" x14ac:dyDescent="0.35">
      <c r="D22" s="12"/>
      <c r="E22" s="12"/>
      <c r="F22" s="12"/>
      <c r="G22" s="12"/>
      <c r="H22" s="12"/>
      <c r="I22" s="12"/>
      <c r="J22" s="12"/>
      <c r="K22" s="12"/>
    </row>
    <row r="23" spans="1:17" x14ac:dyDescent="0.35">
      <c r="A23" t="s">
        <v>30</v>
      </c>
      <c r="B23" s="12">
        <f>SUM(B1:B2)</f>
        <v>95000</v>
      </c>
      <c r="D23" s="12"/>
      <c r="E23" s="12"/>
      <c r="F23" s="12"/>
      <c r="G23" s="12"/>
      <c r="H23" s="12"/>
      <c r="I23" s="12"/>
      <c r="J23" s="12"/>
      <c r="K23" s="12"/>
    </row>
    <row r="24" spans="1:17" x14ac:dyDescent="0.35">
      <c r="A24" t="s">
        <v>31</v>
      </c>
      <c r="B24" s="12">
        <f>SUM(B4:B22)</f>
        <v>55700</v>
      </c>
      <c r="D24" s="12"/>
      <c r="E24" s="12"/>
      <c r="F24" s="12"/>
      <c r="G24" s="12"/>
      <c r="H24" s="12"/>
      <c r="I24" s="12"/>
      <c r="J24" s="12"/>
      <c r="K24" s="12"/>
      <c r="Q24">
        <f>33000-5400</f>
        <v>27600</v>
      </c>
    </row>
    <row r="25" spans="1:17" x14ac:dyDescent="0.35">
      <c r="A25" s="1" t="s">
        <v>29</v>
      </c>
      <c r="B25" s="1">
        <f>+B23-B24</f>
        <v>39300</v>
      </c>
      <c r="C25" s="12"/>
      <c r="D25" s="12"/>
      <c r="E25" s="12"/>
      <c r="F25" s="12"/>
      <c r="G25" s="12"/>
      <c r="H25" s="12"/>
      <c r="I25" s="12"/>
      <c r="J25" s="12"/>
      <c r="K25" s="12"/>
      <c r="Q25">
        <v>2600</v>
      </c>
    </row>
    <row r="26" spans="1:17" x14ac:dyDescent="0.35">
      <c r="Q26">
        <f>Q24-Q25</f>
        <v>25000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4E558-D419-468C-8638-5AB7B5A1EF41}">
  <dimension ref="A5:R41"/>
  <sheetViews>
    <sheetView topLeftCell="B16" workbookViewId="0">
      <selection activeCell="E29" sqref="E29"/>
    </sheetView>
  </sheetViews>
  <sheetFormatPr defaultRowHeight="14.5" x14ac:dyDescent="0.35"/>
  <cols>
    <col min="6" max="6" width="9.90625" bestFit="1" customWidth="1"/>
  </cols>
  <sheetData>
    <row r="5" spans="1:15" x14ac:dyDescent="0.35">
      <c r="J5" t="s">
        <v>0</v>
      </c>
      <c r="O5">
        <v>695000</v>
      </c>
    </row>
    <row r="6" spans="1:15" x14ac:dyDescent="0.35">
      <c r="B6">
        <v>261000</v>
      </c>
      <c r="J6" t="s">
        <v>24</v>
      </c>
      <c r="O6">
        <v>85000</v>
      </c>
    </row>
    <row r="7" spans="1:15" x14ac:dyDescent="0.35">
      <c r="A7" t="s">
        <v>293</v>
      </c>
      <c r="B7">
        <v>10000</v>
      </c>
      <c r="E7">
        <v>5000</v>
      </c>
      <c r="G7">
        <v>105000</v>
      </c>
      <c r="J7" t="s">
        <v>32</v>
      </c>
      <c r="O7">
        <v>80000</v>
      </c>
    </row>
    <row r="8" spans="1:15" x14ac:dyDescent="0.35">
      <c r="A8" t="s">
        <v>301</v>
      </c>
      <c r="B8">
        <v>80000</v>
      </c>
      <c r="C8">
        <v>11000</v>
      </c>
      <c r="E8">
        <v>-3500</v>
      </c>
      <c r="G8">
        <v>-5000</v>
      </c>
      <c r="J8" t="s">
        <v>294</v>
      </c>
    </row>
    <row r="9" spans="1:15" x14ac:dyDescent="0.35">
      <c r="A9" t="s">
        <v>302</v>
      </c>
      <c r="B9">
        <v>50000</v>
      </c>
      <c r="E9">
        <v>-900</v>
      </c>
      <c r="G9">
        <v>-40000</v>
      </c>
    </row>
    <row r="10" spans="1:15" x14ac:dyDescent="0.35">
      <c r="A10" t="s">
        <v>303</v>
      </c>
      <c r="B10">
        <v>50000</v>
      </c>
      <c r="C10">
        <v>10000</v>
      </c>
      <c r="G10">
        <v>-20140</v>
      </c>
      <c r="J10" t="s">
        <v>305</v>
      </c>
    </row>
    <row r="11" spans="1:15" x14ac:dyDescent="0.35">
      <c r="A11" t="s">
        <v>304</v>
      </c>
      <c r="B11">
        <v>50000</v>
      </c>
      <c r="C11">
        <v>10000</v>
      </c>
      <c r="J11" t="s">
        <v>305</v>
      </c>
    </row>
    <row r="12" spans="1:15" x14ac:dyDescent="0.35">
      <c r="A12" t="s">
        <v>305</v>
      </c>
      <c r="B12">
        <v>50000</v>
      </c>
      <c r="C12">
        <v>11000</v>
      </c>
    </row>
    <row r="13" spans="1:15" x14ac:dyDescent="0.35">
      <c r="B13">
        <v>240000</v>
      </c>
      <c r="C13">
        <v>55000</v>
      </c>
    </row>
    <row r="14" spans="1:15" x14ac:dyDescent="0.35">
      <c r="A14" t="s">
        <v>301</v>
      </c>
      <c r="B14">
        <v>30000</v>
      </c>
    </row>
    <row r="15" spans="1:15" x14ac:dyDescent="0.35">
      <c r="A15" t="s">
        <v>302</v>
      </c>
      <c r="B15">
        <v>30000</v>
      </c>
    </row>
    <row r="16" spans="1:15" x14ac:dyDescent="0.35">
      <c r="A16" t="s">
        <v>303</v>
      </c>
      <c r="B16">
        <v>30000</v>
      </c>
    </row>
    <row r="17" spans="1:18" x14ac:dyDescent="0.35">
      <c r="A17" t="s">
        <v>304</v>
      </c>
      <c r="B17">
        <v>30000</v>
      </c>
    </row>
    <row r="18" spans="1:18" x14ac:dyDescent="0.35">
      <c r="A18" t="s">
        <v>305</v>
      </c>
      <c r="B18">
        <v>30000</v>
      </c>
    </row>
    <row r="19" spans="1:18" x14ac:dyDescent="0.35">
      <c r="B19">
        <v>100000</v>
      </c>
    </row>
    <row r="20" spans="1:18" x14ac:dyDescent="0.35">
      <c r="B20">
        <v>55000</v>
      </c>
    </row>
    <row r="25" spans="1:18" x14ac:dyDescent="0.35">
      <c r="M25">
        <v>1320000</v>
      </c>
    </row>
    <row r="26" spans="1:18" x14ac:dyDescent="0.35">
      <c r="L26" t="s">
        <v>334</v>
      </c>
      <c r="M26">
        <v>-70000</v>
      </c>
    </row>
    <row r="27" spans="1:18" x14ac:dyDescent="0.35">
      <c r="C27">
        <v>388700</v>
      </c>
      <c r="D27">
        <v>61000</v>
      </c>
      <c r="G27">
        <v>388700</v>
      </c>
      <c r="L27" t="s">
        <v>335</v>
      </c>
      <c r="M27">
        <v>-70000</v>
      </c>
    </row>
    <row r="28" spans="1:18" x14ac:dyDescent="0.35">
      <c r="C28">
        <v>-357000</v>
      </c>
      <c r="D28">
        <v>-4000</v>
      </c>
      <c r="F28" t="s">
        <v>74</v>
      </c>
      <c r="G28">
        <v>-357000</v>
      </c>
      <c r="L28" t="s">
        <v>328</v>
      </c>
      <c r="M28">
        <v>-70000</v>
      </c>
    </row>
    <row r="29" spans="1:18" x14ac:dyDescent="0.35">
      <c r="C29">
        <v>-5000</v>
      </c>
      <c r="D29">
        <v>-2000</v>
      </c>
      <c r="F29" t="s">
        <v>326</v>
      </c>
      <c r="G29">
        <v>61000</v>
      </c>
      <c r="L29" t="s">
        <v>301</v>
      </c>
      <c r="M29">
        <v>-70000</v>
      </c>
      <c r="Q29" t="s">
        <v>326</v>
      </c>
      <c r="R29">
        <v>-4600</v>
      </c>
    </row>
    <row r="30" spans="1:18" x14ac:dyDescent="0.35">
      <c r="C30">
        <v>-10000</v>
      </c>
      <c r="D30">
        <v>-21655</v>
      </c>
      <c r="F30" t="s">
        <v>327</v>
      </c>
      <c r="G30">
        <v>-5000</v>
      </c>
      <c r="L30" t="s">
        <v>302</v>
      </c>
      <c r="M30">
        <v>-70000</v>
      </c>
      <c r="Q30" t="s">
        <v>325</v>
      </c>
      <c r="R30">
        <v>-2000</v>
      </c>
    </row>
    <row r="31" spans="1:18" x14ac:dyDescent="0.35">
      <c r="C31">
        <v>-20140</v>
      </c>
      <c r="D31">
        <v>-15500</v>
      </c>
      <c r="F31" t="s">
        <v>326</v>
      </c>
      <c r="G31">
        <v>-4000</v>
      </c>
      <c r="L31" t="s">
        <v>303</v>
      </c>
      <c r="M31">
        <v>-70000</v>
      </c>
    </row>
    <row r="32" spans="1:18" x14ac:dyDescent="0.35">
      <c r="D32">
        <v>-13500</v>
      </c>
      <c r="F32" t="s">
        <v>325</v>
      </c>
      <c r="G32">
        <v>-2000</v>
      </c>
      <c r="L32" t="s">
        <v>304</v>
      </c>
      <c r="M32">
        <v>-80000</v>
      </c>
    </row>
    <row r="33" spans="4:13" x14ac:dyDescent="0.35">
      <c r="D33">
        <v>-600</v>
      </c>
      <c r="F33" t="s">
        <v>324</v>
      </c>
      <c r="G33">
        <v>-10000</v>
      </c>
      <c r="L33" t="s">
        <v>329</v>
      </c>
      <c r="M33">
        <v>-80000</v>
      </c>
    </row>
    <row r="34" spans="4:13" x14ac:dyDescent="0.35">
      <c r="F34" t="s">
        <v>74</v>
      </c>
      <c r="G34">
        <v>-20140</v>
      </c>
      <c r="L34" t="s">
        <v>330</v>
      </c>
      <c r="M34">
        <v>-80000</v>
      </c>
    </row>
    <row r="35" spans="4:13" x14ac:dyDescent="0.35">
      <c r="F35" t="s">
        <v>323</v>
      </c>
      <c r="G35">
        <v>-21655</v>
      </c>
      <c r="L35" t="s">
        <v>331</v>
      </c>
      <c r="M35">
        <v>-80000</v>
      </c>
    </row>
    <row r="36" spans="4:13" x14ac:dyDescent="0.35">
      <c r="F36" t="s">
        <v>322</v>
      </c>
      <c r="G36">
        <v>-15500</v>
      </c>
      <c r="L36" t="s">
        <v>332</v>
      </c>
      <c r="M36">
        <v>-90000</v>
      </c>
    </row>
    <row r="37" spans="4:13" x14ac:dyDescent="0.35">
      <c r="F37" t="s">
        <v>115</v>
      </c>
      <c r="G37">
        <v>-13500</v>
      </c>
      <c r="L37" t="s">
        <v>333</v>
      </c>
      <c r="M37">
        <v>-90000</v>
      </c>
    </row>
    <row r="38" spans="4:13" x14ac:dyDescent="0.35">
      <c r="F38" t="s">
        <v>54</v>
      </c>
      <c r="G38">
        <v>-600</v>
      </c>
      <c r="L38" t="s">
        <v>334</v>
      </c>
      <c r="M38">
        <v>-90000</v>
      </c>
    </row>
    <row r="39" spans="4:13" x14ac:dyDescent="0.35">
      <c r="L39" t="s">
        <v>335</v>
      </c>
      <c r="M39">
        <v>-90000</v>
      </c>
    </row>
    <row r="40" spans="4:13" x14ac:dyDescent="0.35">
      <c r="G40">
        <f>SUM(G27:G38)</f>
        <v>305</v>
      </c>
      <c r="M40">
        <v>-280000</v>
      </c>
    </row>
    <row r="41" spans="4:13" x14ac:dyDescent="0.35">
      <c r="M41">
        <f>SUM(M25:M40)</f>
        <v>-60000</v>
      </c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3"/>
  <sheetViews>
    <sheetView workbookViewId="0">
      <selection activeCell="J11" sqref="J11:K13"/>
    </sheetView>
  </sheetViews>
  <sheetFormatPr defaultRowHeight="14.5" x14ac:dyDescent="0.35"/>
  <cols>
    <col min="1" max="1" width="16.81640625" customWidth="1"/>
    <col min="10" max="10" width="17.81640625" customWidth="1"/>
  </cols>
  <sheetData>
    <row r="1" spans="1:17" x14ac:dyDescent="0.35">
      <c r="B1" s="7" t="s">
        <v>32</v>
      </c>
    </row>
    <row r="2" spans="1:17" x14ac:dyDescent="0.35">
      <c r="A2" s="1" t="s">
        <v>33</v>
      </c>
      <c r="B2" s="1">
        <v>42000</v>
      </c>
    </row>
    <row r="3" spans="1:17" x14ac:dyDescent="0.35">
      <c r="A3" s="1" t="s">
        <v>34</v>
      </c>
      <c r="B3" s="1">
        <v>43600</v>
      </c>
    </row>
    <row r="5" spans="1:17" x14ac:dyDescent="0.35">
      <c r="A5" t="s">
        <v>3</v>
      </c>
      <c r="B5">
        <v>32000</v>
      </c>
      <c r="F5">
        <v>17900</v>
      </c>
    </row>
    <row r="6" spans="1:17" x14ac:dyDescent="0.35">
      <c r="A6" t="s">
        <v>4</v>
      </c>
      <c r="B6">
        <v>600</v>
      </c>
      <c r="F6">
        <v>11600</v>
      </c>
      <c r="Q6" s="23">
        <v>800</v>
      </c>
    </row>
    <row r="7" spans="1:17" x14ac:dyDescent="0.35">
      <c r="A7" s="23" t="s">
        <v>22</v>
      </c>
      <c r="B7" s="23">
        <v>800</v>
      </c>
      <c r="F7">
        <f>F5-F6</f>
        <v>6300</v>
      </c>
      <c r="Q7" s="23">
        <v>4000</v>
      </c>
    </row>
    <row r="8" spans="1:17" x14ac:dyDescent="0.35">
      <c r="A8" s="23" t="s">
        <v>5</v>
      </c>
      <c r="B8" s="23">
        <v>4000</v>
      </c>
      <c r="Q8" s="23">
        <v>1400</v>
      </c>
    </row>
    <row r="9" spans="1:17" x14ac:dyDescent="0.35">
      <c r="A9" s="23" t="s">
        <v>8</v>
      </c>
      <c r="B9" s="23">
        <v>1400</v>
      </c>
      <c r="Q9" s="23">
        <v>3000</v>
      </c>
    </row>
    <row r="10" spans="1:17" x14ac:dyDescent="0.35">
      <c r="A10" s="23" t="s">
        <v>9</v>
      </c>
      <c r="B10" s="23">
        <v>3000</v>
      </c>
      <c r="Q10" s="23">
        <v>2100</v>
      </c>
    </row>
    <row r="11" spans="1:17" x14ac:dyDescent="0.35">
      <c r="A11" s="23" t="s">
        <v>12</v>
      </c>
      <c r="B11" s="23">
        <v>2100</v>
      </c>
      <c r="J11" t="s">
        <v>15</v>
      </c>
      <c r="K11" s="17">
        <v>1100</v>
      </c>
      <c r="Q11" s="23">
        <v>1700</v>
      </c>
    </row>
    <row r="12" spans="1:17" x14ac:dyDescent="0.35">
      <c r="A12" s="23" t="s">
        <v>13</v>
      </c>
      <c r="B12" s="23">
        <v>1700</v>
      </c>
      <c r="J12" t="s">
        <v>11</v>
      </c>
      <c r="K12" s="1">
        <v>1000</v>
      </c>
      <c r="Q12" s="24">
        <v>250</v>
      </c>
    </row>
    <row r="13" spans="1:17" ht="18.5" x14ac:dyDescent="0.45">
      <c r="A13" s="23" t="s">
        <v>17</v>
      </c>
      <c r="B13" s="24">
        <v>250</v>
      </c>
      <c r="J13" t="s">
        <v>23</v>
      </c>
      <c r="K13" s="17">
        <v>500</v>
      </c>
      <c r="Q13" s="25">
        <v>1000</v>
      </c>
    </row>
    <row r="14" spans="1:17" ht="18.5" x14ac:dyDescent="0.45">
      <c r="A14" t="s">
        <v>14</v>
      </c>
      <c r="B14" s="10">
        <v>500</v>
      </c>
      <c r="Q14" s="25">
        <v>500</v>
      </c>
    </row>
    <row r="15" spans="1:17" ht="18.5" x14ac:dyDescent="0.45">
      <c r="A15" s="23" t="s">
        <v>6</v>
      </c>
      <c r="B15" s="25">
        <v>1000</v>
      </c>
      <c r="N15">
        <f>43783-25500</f>
        <v>18283</v>
      </c>
      <c r="Q15" s="25">
        <v>1000</v>
      </c>
    </row>
    <row r="16" spans="1:17" ht="18.5" x14ac:dyDescent="0.45">
      <c r="A16" s="23" t="s">
        <v>28</v>
      </c>
      <c r="B16" s="25">
        <v>500</v>
      </c>
      <c r="J16" t="s">
        <v>41</v>
      </c>
      <c r="N16">
        <v>16250</v>
      </c>
      <c r="Q16" s="25">
        <v>500</v>
      </c>
    </row>
    <row r="17" spans="1:10" ht="18.5" x14ac:dyDescent="0.45">
      <c r="A17" s="23" t="s">
        <v>37</v>
      </c>
      <c r="B17" s="25">
        <v>1000</v>
      </c>
      <c r="J17" s="1" t="s">
        <v>40</v>
      </c>
    </row>
    <row r="18" spans="1:10" ht="18.5" x14ac:dyDescent="0.45">
      <c r="A18" t="s">
        <v>38</v>
      </c>
      <c r="B18" s="16">
        <v>500</v>
      </c>
      <c r="J18" s="1"/>
    </row>
    <row r="19" spans="1:10" ht="18.5" x14ac:dyDescent="0.45">
      <c r="A19" s="23" t="s">
        <v>39</v>
      </c>
      <c r="B19" s="25">
        <v>500</v>
      </c>
      <c r="J19" s="1"/>
    </row>
    <row r="21" spans="1:10" x14ac:dyDescent="0.35">
      <c r="A21" t="s">
        <v>30</v>
      </c>
      <c r="B21" s="12">
        <f>SUM(B2:B3)</f>
        <v>85600</v>
      </c>
    </row>
    <row r="22" spans="1:10" x14ac:dyDescent="0.35">
      <c r="A22" t="s">
        <v>31</v>
      </c>
      <c r="B22" s="12">
        <f>SUM(B5:B20)</f>
        <v>49850</v>
      </c>
    </row>
    <row r="23" spans="1:10" x14ac:dyDescent="0.35">
      <c r="A23" s="1" t="s">
        <v>29</v>
      </c>
      <c r="B23" s="1">
        <f>+B21-B22</f>
        <v>35750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5"/>
  <sheetViews>
    <sheetView workbookViewId="0">
      <selection activeCell="B2" sqref="B2"/>
    </sheetView>
  </sheetViews>
  <sheetFormatPr defaultRowHeight="14.5" x14ac:dyDescent="0.35"/>
  <cols>
    <col min="1" max="1" width="15.7265625" bestFit="1" customWidth="1"/>
    <col min="2" max="2" width="7" bestFit="1" customWidth="1"/>
    <col min="9" max="9" width="17.54296875" bestFit="1" customWidth="1"/>
  </cols>
  <sheetData>
    <row r="1" spans="1:10" x14ac:dyDescent="0.35">
      <c r="A1" t="s">
        <v>1</v>
      </c>
      <c r="B1">
        <v>38000</v>
      </c>
    </row>
    <row r="2" spans="1:10" x14ac:dyDescent="0.35">
      <c r="A2" t="s">
        <v>42</v>
      </c>
      <c r="B2">
        <v>30500</v>
      </c>
    </row>
    <row r="5" spans="1:10" x14ac:dyDescent="0.35">
      <c r="A5" t="s">
        <v>3</v>
      </c>
      <c r="B5">
        <v>32000</v>
      </c>
    </row>
    <row r="6" spans="1:10" x14ac:dyDescent="0.35">
      <c r="A6" t="s">
        <v>22</v>
      </c>
      <c r="B6">
        <v>800</v>
      </c>
    </row>
    <row r="7" spans="1:10" x14ac:dyDescent="0.35">
      <c r="A7" t="s">
        <v>5</v>
      </c>
      <c r="B7">
        <v>4000</v>
      </c>
    </row>
    <row r="8" spans="1:10" x14ac:dyDescent="0.35">
      <c r="A8" t="s">
        <v>8</v>
      </c>
      <c r="B8">
        <v>1400</v>
      </c>
    </row>
    <row r="9" spans="1:10" x14ac:dyDescent="0.35">
      <c r="A9" t="s">
        <v>9</v>
      </c>
      <c r="B9">
        <v>3000</v>
      </c>
    </row>
    <row r="10" spans="1:10" x14ac:dyDescent="0.35">
      <c r="A10" t="s">
        <v>12</v>
      </c>
      <c r="B10">
        <v>2100</v>
      </c>
      <c r="I10" t="s">
        <v>15</v>
      </c>
      <c r="J10" s="17">
        <v>1100</v>
      </c>
    </row>
    <row r="11" spans="1:10" x14ac:dyDescent="0.35">
      <c r="A11" t="s">
        <v>13</v>
      </c>
      <c r="B11">
        <v>1700</v>
      </c>
      <c r="I11" t="s">
        <v>11</v>
      </c>
      <c r="J11" s="1">
        <v>1000</v>
      </c>
    </row>
    <row r="12" spans="1:10" x14ac:dyDescent="0.35">
      <c r="A12" t="s">
        <v>17</v>
      </c>
      <c r="B12">
        <v>250</v>
      </c>
      <c r="I12" t="s">
        <v>23</v>
      </c>
      <c r="J12" s="17">
        <v>500</v>
      </c>
    </row>
    <row r="13" spans="1:10" x14ac:dyDescent="0.35">
      <c r="A13" t="s">
        <v>14</v>
      </c>
      <c r="B13">
        <v>300</v>
      </c>
    </row>
    <row r="14" spans="1:10" x14ac:dyDescent="0.35">
      <c r="A14" t="s">
        <v>7</v>
      </c>
      <c r="B14">
        <v>1350</v>
      </c>
    </row>
    <row r="15" spans="1:10" x14ac:dyDescent="0.35">
      <c r="A15" t="s">
        <v>43</v>
      </c>
      <c r="B15">
        <v>500</v>
      </c>
    </row>
    <row r="16" spans="1:10" x14ac:dyDescent="0.35">
      <c r="A16" t="s">
        <v>44</v>
      </c>
      <c r="B16">
        <v>800</v>
      </c>
    </row>
    <row r="21" spans="2:10" x14ac:dyDescent="0.35">
      <c r="B21">
        <v>48500</v>
      </c>
    </row>
    <row r="22" spans="2:10" x14ac:dyDescent="0.35">
      <c r="B22">
        <v>30500</v>
      </c>
    </row>
    <row r="23" spans="2:10" x14ac:dyDescent="0.35">
      <c r="B23">
        <f>B21-B22</f>
        <v>18000</v>
      </c>
    </row>
    <row r="24" spans="2:10" x14ac:dyDescent="0.35">
      <c r="J24" s="26"/>
    </row>
    <row r="25" spans="2:10" x14ac:dyDescent="0.35">
      <c r="J25" s="2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53"/>
  <sheetViews>
    <sheetView workbookViewId="0">
      <selection activeCell="B3" sqref="B3"/>
    </sheetView>
  </sheetViews>
  <sheetFormatPr defaultColWidth="9.1796875" defaultRowHeight="14.5" x14ac:dyDescent="0.35"/>
  <cols>
    <col min="1" max="1" width="30.54296875" style="65" bestFit="1" customWidth="1"/>
    <col min="2" max="2" width="11.54296875" style="65" bestFit="1" customWidth="1"/>
    <col min="3" max="4" width="11.54296875" style="65" customWidth="1"/>
    <col min="5" max="5" width="12.54296875" style="105" bestFit="1" customWidth="1"/>
    <col min="6" max="6" width="14.26953125" style="105" bestFit="1" customWidth="1"/>
    <col min="7" max="7" width="12.54296875" style="105" bestFit="1" customWidth="1"/>
    <col min="8" max="17" width="9.1796875" style="105"/>
    <col min="18" max="16384" width="9.1796875" style="65"/>
  </cols>
  <sheetData>
    <row r="1" spans="1:17" s="106" customFormat="1" x14ac:dyDescent="0.35">
      <c r="A1" s="69" t="s">
        <v>167</v>
      </c>
      <c r="B1" s="69">
        <v>74000</v>
      </c>
      <c r="C1" s="69"/>
      <c r="D1" s="69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</row>
    <row r="2" spans="1:17" s="106" customFormat="1" x14ac:dyDescent="0.35">
      <c r="A2" s="69" t="s">
        <v>141</v>
      </c>
      <c r="B2" s="69">
        <v>50000</v>
      </c>
      <c r="C2" s="69"/>
      <c r="D2" s="69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</row>
    <row r="3" spans="1:17" s="106" customFormat="1" x14ac:dyDescent="0.35">
      <c r="A3" s="107" t="s">
        <v>254</v>
      </c>
      <c r="B3" s="107"/>
      <c r="C3" s="107"/>
      <c r="D3" s="107"/>
      <c r="E3" s="108">
        <f>SUM(B1:B2)</f>
        <v>124000</v>
      </c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</row>
    <row r="4" spans="1:17" s="106" customFormat="1" x14ac:dyDescent="0.35">
      <c r="A4" s="72"/>
      <c r="B4" s="72"/>
      <c r="C4" s="72"/>
      <c r="D4" s="72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</row>
    <row r="5" spans="1:17" s="106" customFormat="1" x14ac:dyDescent="0.35">
      <c r="A5" s="109" t="s">
        <v>74</v>
      </c>
      <c r="B5" s="109">
        <v>20000</v>
      </c>
      <c r="C5" s="109">
        <f>B5/2</f>
        <v>10000</v>
      </c>
      <c r="D5" s="109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</row>
    <row r="6" spans="1:17" s="106" customFormat="1" x14ac:dyDescent="0.35">
      <c r="A6" s="110" t="s">
        <v>171</v>
      </c>
      <c r="B6" s="110">
        <v>5000</v>
      </c>
      <c r="C6" s="109">
        <v>5000</v>
      </c>
      <c r="D6" s="110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</row>
    <row r="7" spans="1:17" s="114" customFormat="1" x14ac:dyDescent="0.35">
      <c r="A7" s="70" t="s">
        <v>253</v>
      </c>
      <c r="B7" s="111"/>
      <c r="C7" s="109">
        <f t="shared" ref="C7:C25" si="0">B7/2</f>
        <v>0</v>
      </c>
      <c r="D7" s="111"/>
      <c r="E7" s="112">
        <f>SUM(B5:B6)</f>
        <v>25000</v>
      </c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</row>
    <row r="8" spans="1:17" s="114" customFormat="1" x14ac:dyDescent="0.35">
      <c r="A8" s="111"/>
      <c r="B8" s="111"/>
      <c r="C8" s="109">
        <f t="shared" si="0"/>
        <v>0</v>
      </c>
      <c r="D8" s="111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</row>
    <row r="9" spans="1:17" s="106" customFormat="1" x14ac:dyDescent="0.35">
      <c r="A9" s="115" t="s">
        <v>162</v>
      </c>
      <c r="B9" s="115">
        <v>5000</v>
      </c>
      <c r="C9" s="109">
        <f t="shared" si="0"/>
        <v>2500</v>
      </c>
      <c r="D9" s="11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</row>
    <row r="10" spans="1:17" s="106" customFormat="1" x14ac:dyDescent="0.35">
      <c r="A10" s="115" t="s">
        <v>172</v>
      </c>
      <c r="B10" s="115">
        <f>1400+700</f>
        <v>2100</v>
      </c>
      <c r="C10" s="109">
        <f t="shared" si="0"/>
        <v>1050</v>
      </c>
      <c r="D10" s="11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</row>
    <row r="11" spans="1:17" s="106" customFormat="1" x14ac:dyDescent="0.35">
      <c r="A11" s="115" t="s">
        <v>165</v>
      </c>
      <c r="B11" s="115">
        <v>2100</v>
      </c>
      <c r="C11" s="109">
        <f t="shared" si="0"/>
        <v>1050</v>
      </c>
      <c r="D11" s="11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</row>
    <row r="12" spans="1:17" s="106" customFormat="1" x14ac:dyDescent="0.35">
      <c r="A12" s="115" t="s">
        <v>251</v>
      </c>
      <c r="B12" s="115">
        <v>3869</v>
      </c>
      <c r="C12" s="109">
        <f t="shared" si="0"/>
        <v>1934.5</v>
      </c>
      <c r="D12" s="11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</row>
    <row r="13" spans="1:17" s="106" customFormat="1" x14ac:dyDescent="0.35">
      <c r="A13" s="115" t="s">
        <v>128</v>
      </c>
      <c r="B13" s="115">
        <v>3984</v>
      </c>
      <c r="C13" s="109">
        <f t="shared" si="0"/>
        <v>1992</v>
      </c>
      <c r="D13" s="11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</row>
    <row r="14" spans="1:17" s="106" customFormat="1" x14ac:dyDescent="0.35">
      <c r="A14" s="115" t="s">
        <v>170</v>
      </c>
      <c r="B14" s="115">
        <v>1500</v>
      </c>
      <c r="C14" s="109">
        <f t="shared" si="0"/>
        <v>750</v>
      </c>
      <c r="D14" s="11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</row>
    <row r="15" spans="1:17" s="106" customFormat="1" x14ac:dyDescent="0.35">
      <c r="A15" s="106" t="s">
        <v>252</v>
      </c>
      <c r="B15" s="106">
        <v>19000</v>
      </c>
      <c r="C15" s="109">
        <f t="shared" si="0"/>
        <v>9500</v>
      </c>
      <c r="E15" s="108">
        <f>SUM(B9:B14)</f>
        <v>18553</v>
      </c>
      <c r="F15" s="105">
        <f>+E15-1500</f>
        <v>17053</v>
      </c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</row>
    <row r="16" spans="1:17" s="106" customFormat="1" x14ac:dyDescent="0.35">
      <c r="A16" s="116"/>
      <c r="B16" s="116"/>
      <c r="C16" s="109"/>
      <c r="D16" s="116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</row>
    <row r="17" spans="1:17" s="106" customFormat="1" x14ac:dyDescent="0.35">
      <c r="A17" s="111" t="s">
        <v>176</v>
      </c>
      <c r="B17" s="111">
        <v>5000</v>
      </c>
      <c r="C17" s="109">
        <f t="shared" si="0"/>
        <v>2500</v>
      </c>
      <c r="D17" s="111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</row>
    <row r="18" spans="1:17" s="106" customFormat="1" x14ac:dyDescent="0.35">
      <c r="A18" s="111" t="s">
        <v>111</v>
      </c>
      <c r="B18" s="111">
        <v>5000</v>
      </c>
      <c r="C18" s="109">
        <f t="shared" si="0"/>
        <v>2500</v>
      </c>
      <c r="D18" s="111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</row>
    <row r="19" spans="1:17" s="106" customFormat="1" x14ac:dyDescent="0.35">
      <c r="A19" s="111" t="s">
        <v>174</v>
      </c>
      <c r="B19" s="111">
        <v>2000</v>
      </c>
      <c r="C19" s="109">
        <f t="shared" si="0"/>
        <v>1000</v>
      </c>
      <c r="D19" s="111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</row>
    <row r="20" spans="1:17" s="106" customFormat="1" x14ac:dyDescent="0.35">
      <c r="A20" s="111" t="s">
        <v>17</v>
      </c>
      <c r="B20" s="111">
        <v>300</v>
      </c>
      <c r="C20" s="109">
        <f t="shared" si="0"/>
        <v>150</v>
      </c>
      <c r="D20" s="111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</row>
    <row r="21" spans="1:17" s="106" customFormat="1" x14ac:dyDescent="0.35">
      <c r="A21" s="111" t="s">
        <v>14</v>
      </c>
      <c r="B21" s="111">
        <v>500</v>
      </c>
      <c r="C21" s="109">
        <f t="shared" si="0"/>
        <v>250</v>
      </c>
      <c r="D21" s="111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</row>
    <row r="22" spans="1:17" s="106" customFormat="1" x14ac:dyDescent="0.35">
      <c r="A22" s="111" t="s">
        <v>175</v>
      </c>
      <c r="B22" s="111">
        <v>1000</v>
      </c>
      <c r="C22" s="109">
        <f t="shared" si="0"/>
        <v>500</v>
      </c>
      <c r="D22" s="111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</row>
    <row r="23" spans="1:17" s="106" customFormat="1" x14ac:dyDescent="0.35">
      <c r="A23" s="111" t="s">
        <v>16</v>
      </c>
      <c r="B23" s="111">
        <v>700</v>
      </c>
      <c r="C23" s="109">
        <f t="shared" si="0"/>
        <v>350</v>
      </c>
      <c r="D23" s="111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</row>
    <row r="24" spans="1:17" s="106" customFormat="1" x14ac:dyDescent="0.35">
      <c r="A24" s="111" t="s">
        <v>7</v>
      </c>
      <c r="B24" s="111">
        <v>2000</v>
      </c>
      <c r="C24" s="109">
        <f t="shared" si="0"/>
        <v>1000</v>
      </c>
      <c r="D24" s="111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</row>
    <row r="25" spans="1:17" s="106" customFormat="1" x14ac:dyDescent="0.35">
      <c r="A25" s="70" t="s">
        <v>117</v>
      </c>
      <c r="B25" s="111">
        <v>1500</v>
      </c>
      <c r="C25" s="109">
        <f t="shared" si="0"/>
        <v>750</v>
      </c>
      <c r="D25" s="111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</row>
    <row r="26" spans="1:17" s="106" customFormat="1" x14ac:dyDescent="0.35">
      <c r="A26" s="111"/>
      <c r="B26" s="116">
        <f>SUM(B17:B25)</f>
        <v>18000</v>
      </c>
      <c r="C26" s="111"/>
      <c r="D26" s="111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</row>
    <row r="27" spans="1:17" s="106" customFormat="1" x14ac:dyDescent="0.35">
      <c r="A27" s="65"/>
      <c r="B27" s="65"/>
      <c r="C27" s="65"/>
      <c r="D27" s="6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</row>
    <row r="28" spans="1:17" s="106" customFormat="1" x14ac:dyDescent="0.35">
      <c r="A28" s="65"/>
      <c r="B28" s="65"/>
      <c r="C28" s="65"/>
      <c r="D28" s="6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</row>
    <row r="29" spans="1:17" s="106" customFormat="1" x14ac:dyDescent="0.35">
      <c r="A29" s="65"/>
      <c r="B29" s="65"/>
      <c r="C29" s="65"/>
      <c r="D29" s="6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</row>
    <row r="30" spans="1:17" s="106" customFormat="1" x14ac:dyDescent="0.35">
      <c r="A30" s="65"/>
      <c r="B30" s="65"/>
      <c r="C30" s="65"/>
      <c r="D30" s="6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</row>
    <row r="31" spans="1:17" s="106" customFormat="1" x14ac:dyDescent="0.35">
      <c r="A31" s="65"/>
      <c r="B31" s="65"/>
      <c r="C31" s="65"/>
      <c r="D31" s="6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</row>
    <row r="32" spans="1:17" s="106" customFormat="1" x14ac:dyDescent="0.35">
      <c r="A32" s="65"/>
      <c r="B32" s="65"/>
      <c r="C32" s="65"/>
      <c r="D32" s="6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</row>
    <row r="33" spans="1:17" s="106" customFormat="1" x14ac:dyDescent="0.35">
      <c r="A33" s="65"/>
      <c r="B33" s="65"/>
      <c r="C33" s="65"/>
      <c r="D33" s="6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</row>
    <row r="34" spans="1:17" s="106" customFormat="1" x14ac:dyDescent="0.35">
      <c r="A34" s="65"/>
      <c r="B34" s="65"/>
      <c r="C34" s="65"/>
      <c r="D34" s="6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</row>
    <row r="35" spans="1:17" s="106" customFormat="1" x14ac:dyDescent="0.35">
      <c r="A35" s="65"/>
      <c r="B35" s="65"/>
      <c r="C35" s="65"/>
      <c r="D35" s="6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</row>
    <row r="36" spans="1:17" s="106" customFormat="1" x14ac:dyDescent="0.35">
      <c r="A36" s="65"/>
      <c r="B36" s="65"/>
      <c r="C36" s="65"/>
      <c r="D36" s="6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</row>
    <row r="37" spans="1:17" s="106" customFormat="1" x14ac:dyDescent="0.35">
      <c r="A37" s="65"/>
      <c r="B37" s="65"/>
      <c r="C37" s="65"/>
      <c r="D37" s="6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</row>
    <row r="38" spans="1:17" s="106" customFormat="1" x14ac:dyDescent="0.35">
      <c r="A38" s="65"/>
      <c r="B38" s="65"/>
      <c r="C38" s="65"/>
      <c r="D38" s="6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</row>
    <row r="39" spans="1:17" s="106" customFormat="1" x14ac:dyDescent="0.35">
      <c r="A39" s="65"/>
      <c r="B39" s="65"/>
      <c r="C39" s="65"/>
      <c r="D39" s="6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</row>
    <row r="40" spans="1:17" s="106" customFormat="1" x14ac:dyDescent="0.35">
      <c r="A40" s="65"/>
      <c r="B40" s="65"/>
      <c r="C40" s="65"/>
      <c r="D40" s="6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</row>
    <row r="41" spans="1:17" s="106" customFormat="1" x14ac:dyDescent="0.35">
      <c r="A41" s="65"/>
      <c r="B41" s="65"/>
      <c r="C41" s="65"/>
      <c r="D41" s="6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</row>
    <row r="42" spans="1:17" s="106" customFormat="1" x14ac:dyDescent="0.35">
      <c r="A42" s="65"/>
      <c r="B42" s="65"/>
      <c r="C42" s="65"/>
      <c r="D42" s="6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</row>
    <row r="43" spans="1:17" s="106" customFormat="1" x14ac:dyDescent="0.35">
      <c r="A43" s="65"/>
      <c r="B43" s="65"/>
      <c r="C43" s="65"/>
      <c r="D43" s="6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</row>
    <row r="44" spans="1:17" s="106" customFormat="1" x14ac:dyDescent="0.35">
      <c r="A44" s="65"/>
      <c r="B44" s="65"/>
      <c r="C44" s="65"/>
      <c r="D44" s="6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</row>
    <row r="45" spans="1:17" s="106" customFormat="1" x14ac:dyDescent="0.35">
      <c r="A45" s="65"/>
      <c r="B45" s="65"/>
      <c r="C45" s="65"/>
      <c r="D45" s="6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</row>
    <row r="46" spans="1:17" s="106" customFormat="1" x14ac:dyDescent="0.35">
      <c r="A46" s="65"/>
      <c r="B46" s="65"/>
      <c r="C46" s="65"/>
      <c r="D46" s="6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</row>
    <row r="47" spans="1:17" s="106" customFormat="1" x14ac:dyDescent="0.35">
      <c r="A47" s="65"/>
      <c r="B47" s="65"/>
      <c r="C47" s="65"/>
      <c r="D47" s="6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</row>
    <row r="48" spans="1:17" s="106" customFormat="1" x14ac:dyDescent="0.35">
      <c r="A48" s="65"/>
      <c r="B48" s="65"/>
      <c r="C48" s="65"/>
      <c r="D48" s="6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</row>
    <row r="49" spans="1:17" s="106" customFormat="1" x14ac:dyDescent="0.35">
      <c r="A49" s="65"/>
      <c r="B49" s="65"/>
      <c r="C49" s="65"/>
      <c r="D49" s="6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</row>
    <row r="50" spans="1:17" s="106" customFormat="1" x14ac:dyDescent="0.35">
      <c r="A50" s="65"/>
      <c r="B50" s="65"/>
      <c r="C50" s="65"/>
      <c r="D50" s="6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</row>
    <row r="51" spans="1:17" s="106" customFormat="1" x14ac:dyDescent="0.35">
      <c r="A51" s="65"/>
      <c r="B51" s="65"/>
      <c r="C51" s="65"/>
      <c r="D51" s="6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</row>
    <row r="52" spans="1:17" s="106" customFormat="1" x14ac:dyDescent="0.35">
      <c r="A52" s="65"/>
      <c r="B52" s="65"/>
      <c r="C52" s="65"/>
      <c r="D52" s="6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</row>
    <row r="53" spans="1:17" s="106" customFormat="1" x14ac:dyDescent="0.35">
      <c r="A53" s="65"/>
      <c r="B53" s="65"/>
      <c r="C53" s="65"/>
      <c r="D53" s="6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30"/>
  <sheetViews>
    <sheetView workbookViewId="0">
      <selection activeCell="B9" sqref="B9"/>
    </sheetView>
  </sheetViews>
  <sheetFormatPr defaultRowHeight="14.5" x14ac:dyDescent="0.35"/>
  <cols>
    <col min="1" max="1" width="21.54296875" bestFit="1" customWidth="1"/>
    <col min="11" max="11" width="19.7265625" bestFit="1" customWidth="1"/>
    <col min="15" max="15" width="15.7265625" bestFit="1" customWidth="1"/>
  </cols>
  <sheetData>
    <row r="1" spans="1:16" x14ac:dyDescent="0.35">
      <c r="A1" s="1" t="s">
        <v>33</v>
      </c>
      <c r="B1" s="1">
        <v>38000</v>
      </c>
      <c r="D1" s="12"/>
      <c r="E1" s="12"/>
      <c r="F1" s="12"/>
      <c r="G1" s="12"/>
      <c r="H1" s="12"/>
      <c r="I1" s="12"/>
      <c r="J1" s="12"/>
      <c r="K1" s="12"/>
    </row>
    <row r="2" spans="1:16" x14ac:dyDescent="0.35">
      <c r="A2" s="1" t="s">
        <v>34</v>
      </c>
      <c r="B2" s="1">
        <v>20000</v>
      </c>
      <c r="C2" s="14">
        <f>+B2-32000-600</f>
        <v>-12600</v>
      </c>
      <c r="D2" s="12"/>
      <c r="E2" s="12"/>
      <c r="F2" s="12"/>
      <c r="G2" s="12"/>
      <c r="H2" s="12"/>
      <c r="I2" s="12"/>
      <c r="J2" s="12"/>
      <c r="K2" s="12"/>
    </row>
    <row r="3" spans="1:16" x14ac:dyDescent="0.35">
      <c r="D3" s="12"/>
      <c r="E3" s="12"/>
      <c r="F3" s="12"/>
      <c r="G3" s="12"/>
      <c r="H3" s="12"/>
      <c r="I3" s="12"/>
      <c r="J3" s="12"/>
      <c r="K3" s="12"/>
    </row>
    <row r="4" spans="1:16" x14ac:dyDescent="0.35">
      <c r="A4" t="s">
        <v>3</v>
      </c>
      <c r="B4">
        <v>32000</v>
      </c>
      <c r="D4" s="12"/>
      <c r="E4" s="12"/>
      <c r="F4" s="12"/>
      <c r="G4" s="12"/>
      <c r="H4" s="12"/>
      <c r="I4" s="12"/>
      <c r="J4" s="12"/>
      <c r="K4" s="12"/>
    </row>
    <row r="5" spans="1:16" x14ac:dyDescent="0.35">
      <c r="A5" t="s">
        <v>4</v>
      </c>
      <c r="B5">
        <f>600-600</f>
        <v>0</v>
      </c>
      <c r="D5" s="12"/>
      <c r="E5" s="12"/>
      <c r="F5" s="12"/>
      <c r="G5" s="12"/>
      <c r="H5" s="12"/>
      <c r="I5" s="12"/>
      <c r="J5" s="12"/>
      <c r="K5" s="12"/>
    </row>
    <row r="6" spans="1:16" x14ac:dyDescent="0.35">
      <c r="A6" t="s">
        <v>15</v>
      </c>
      <c r="B6" s="17">
        <v>1100</v>
      </c>
      <c r="D6" s="12"/>
      <c r="E6" s="12"/>
      <c r="F6" s="12"/>
      <c r="G6" s="12"/>
      <c r="H6" s="12"/>
      <c r="I6" s="12"/>
      <c r="J6" s="12"/>
      <c r="K6" s="12"/>
    </row>
    <row r="7" spans="1:16" x14ac:dyDescent="0.35">
      <c r="A7" t="s">
        <v>11</v>
      </c>
      <c r="B7" s="1">
        <v>1000</v>
      </c>
      <c r="D7" s="12"/>
      <c r="E7" s="12"/>
      <c r="F7" s="12"/>
      <c r="G7" s="12"/>
      <c r="H7" s="12">
        <f>37000-9500</f>
        <v>27500</v>
      </c>
      <c r="I7" s="12"/>
      <c r="J7" s="12"/>
      <c r="K7" s="12"/>
    </row>
    <row r="8" spans="1:16" x14ac:dyDescent="0.35">
      <c r="A8" t="s">
        <v>23</v>
      </c>
      <c r="B8" s="17">
        <v>500</v>
      </c>
      <c r="D8" s="12"/>
      <c r="E8" s="12"/>
      <c r="F8" s="12"/>
      <c r="G8" s="12"/>
      <c r="H8" s="12">
        <f>+H7-2600</f>
        <v>24900</v>
      </c>
      <c r="I8" s="12"/>
      <c r="J8" s="12"/>
      <c r="K8" s="12"/>
    </row>
    <row r="9" spans="1:16" x14ac:dyDescent="0.35">
      <c r="A9" t="s">
        <v>22</v>
      </c>
      <c r="B9" s="28">
        <v>3000</v>
      </c>
      <c r="C9" t="s">
        <v>18</v>
      </c>
      <c r="D9" s="12">
        <f>SUM(B9:B21)</f>
        <v>21800</v>
      </c>
      <c r="E9" s="12"/>
      <c r="F9" s="12"/>
      <c r="G9" s="12"/>
      <c r="H9" s="12"/>
      <c r="I9" s="12"/>
      <c r="J9" s="12"/>
      <c r="K9" t="s">
        <v>36</v>
      </c>
      <c r="L9">
        <v>8900</v>
      </c>
    </row>
    <row r="10" spans="1:16" x14ac:dyDescent="0.35">
      <c r="A10" t="s">
        <v>5</v>
      </c>
      <c r="B10" s="29">
        <v>4000</v>
      </c>
      <c r="C10" t="s">
        <v>18</v>
      </c>
      <c r="D10" s="13">
        <f>+D9-C2</f>
        <v>34400</v>
      </c>
      <c r="E10" s="12"/>
      <c r="F10" s="12"/>
      <c r="G10" s="12"/>
      <c r="H10" s="12"/>
      <c r="I10" s="12"/>
      <c r="J10" s="12"/>
      <c r="K10" t="s">
        <v>35</v>
      </c>
      <c r="L10">
        <v>5400</v>
      </c>
    </row>
    <row r="11" spans="1:16" x14ac:dyDescent="0.35">
      <c r="A11" t="s">
        <v>8</v>
      </c>
      <c r="B11" s="29">
        <f>1400+700</f>
        <v>2100</v>
      </c>
      <c r="C11" t="s">
        <v>18</v>
      </c>
      <c r="D11" s="12"/>
      <c r="E11" s="12"/>
      <c r="F11" s="12"/>
      <c r="G11" s="12"/>
      <c r="H11" s="12"/>
      <c r="I11" s="12"/>
      <c r="J11" s="12"/>
      <c r="K11" s="12"/>
      <c r="O11" t="s">
        <v>5</v>
      </c>
      <c r="P11" s="10">
        <v>4000</v>
      </c>
    </row>
    <row r="12" spans="1:16" x14ac:dyDescent="0.35">
      <c r="A12" t="s">
        <v>45</v>
      </c>
      <c r="B12" s="29">
        <v>3000</v>
      </c>
      <c r="C12" t="s">
        <v>18</v>
      </c>
      <c r="D12" s="12"/>
      <c r="E12" s="12"/>
      <c r="F12" s="12"/>
      <c r="G12" s="12"/>
      <c r="H12" s="12"/>
      <c r="I12" s="12"/>
      <c r="J12" s="12"/>
      <c r="K12" s="12"/>
      <c r="O12" t="s">
        <v>8</v>
      </c>
      <c r="P12" s="10">
        <f>1400+700</f>
        <v>2100</v>
      </c>
    </row>
    <row r="13" spans="1:16" x14ac:dyDescent="0.35">
      <c r="A13" t="s">
        <v>12</v>
      </c>
      <c r="B13" s="29">
        <v>2100</v>
      </c>
      <c r="C13" t="s">
        <v>18</v>
      </c>
      <c r="D13" s="12"/>
      <c r="E13" s="12"/>
      <c r="F13" s="12"/>
      <c r="G13" s="12"/>
      <c r="H13" s="12"/>
      <c r="I13" s="12"/>
      <c r="J13" s="12"/>
      <c r="K13" s="12"/>
      <c r="O13" t="s">
        <v>9</v>
      </c>
      <c r="P13" s="10">
        <v>3000</v>
      </c>
    </row>
    <row r="14" spans="1:16" x14ac:dyDescent="0.35">
      <c r="A14" t="s">
        <v>13</v>
      </c>
      <c r="B14" s="29">
        <v>1700</v>
      </c>
      <c r="C14" t="s">
        <v>18</v>
      </c>
      <c r="D14" s="12"/>
      <c r="E14" s="12"/>
      <c r="F14" s="12"/>
      <c r="G14" s="12"/>
      <c r="H14" s="12"/>
      <c r="I14" s="12">
        <v>41000</v>
      </c>
      <c r="J14" s="12"/>
      <c r="K14" s="12"/>
      <c r="O14" t="s">
        <v>12</v>
      </c>
      <c r="P14" s="10">
        <v>2100</v>
      </c>
    </row>
    <row r="15" spans="1:16" x14ac:dyDescent="0.35">
      <c r="A15" t="s">
        <v>17</v>
      </c>
      <c r="B15" s="29">
        <v>200</v>
      </c>
      <c r="C15" t="s">
        <v>18</v>
      </c>
      <c r="D15" s="12"/>
      <c r="E15" s="12"/>
      <c r="F15" s="12"/>
      <c r="G15" s="12"/>
      <c r="H15" s="12"/>
      <c r="I15" s="12"/>
      <c r="J15" s="12"/>
      <c r="K15" s="12"/>
      <c r="O15" t="s">
        <v>13</v>
      </c>
      <c r="P15" s="10">
        <v>1700</v>
      </c>
    </row>
    <row r="16" spans="1:16" x14ac:dyDescent="0.35">
      <c r="A16" t="s">
        <v>14</v>
      </c>
      <c r="B16" s="30">
        <v>500</v>
      </c>
      <c r="C16" t="s">
        <v>18</v>
      </c>
      <c r="D16" s="12"/>
      <c r="E16" s="12"/>
      <c r="F16" s="12"/>
      <c r="G16" s="12"/>
      <c r="H16" s="12"/>
      <c r="I16" s="12"/>
      <c r="J16" s="12"/>
      <c r="K16" s="12"/>
      <c r="O16" t="s">
        <v>17</v>
      </c>
      <c r="P16" s="15">
        <v>200</v>
      </c>
    </row>
    <row r="17" spans="1:17" x14ac:dyDescent="0.35">
      <c r="A17" t="s">
        <v>16</v>
      </c>
      <c r="B17" s="27">
        <v>700</v>
      </c>
      <c r="C17" t="s">
        <v>18</v>
      </c>
      <c r="D17" s="12"/>
      <c r="E17" s="12"/>
      <c r="F17" s="12"/>
      <c r="G17" s="12"/>
      <c r="H17" s="12"/>
      <c r="I17" s="12"/>
      <c r="J17" s="12"/>
      <c r="K17" s="12"/>
      <c r="M17">
        <v>38000</v>
      </c>
      <c r="O17" t="s">
        <v>6</v>
      </c>
      <c r="P17" s="10">
        <v>1000</v>
      </c>
    </row>
    <row r="18" spans="1:17" x14ac:dyDescent="0.35">
      <c r="A18" t="s">
        <v>6</v>
      </c>
      <c r="B18" s="22">
        <v>1000</v>
      </c>
      <c r="C18" t="s">
        <v>18</v>
      </c>
      <c r="D18" s="12"/>
      <c r="E18" s="12"/>
      <c r="F18" s="12"/>
      <c r="G18" s="12"/>
      <c r="H18" s="12"/>
      <c r="I18" s="12"/>
      <c r="J18" s="12"/>
      <c r="K18" s="12"/>
      <c r="L18">
        <v>15000</v>
      </c>
      <c r="M18">
        <v>17000</v>
      </c>
      <c r="O18" t="s">
        <v>28</v>
      </c>
      <c r="P18" s="10">
        <v>500</v>
      </c>
    </row>
    <row r="19" spans="1:17" x14ac:dyDescent="0.35">
      <c r="A19" t="s">
        <v>7</v>
      </c>
      <c r="B19" s="20">
        <f>500-500</f>
        <v>0</v>
      </c>
      <c r="C19" t="s">
        <v>18</v>
      </c>
      <c r="D19" s="12"/>
      <c r="E19" s="12"/>
      <c r="F19" s="12"/>
      <c r="G19" s="12"/>
      <c r="H19" s="12"/>
      <c r="I19" s="12"/>
      <c r="J19" s="12"/>
      <c r="K19" s="12"/>
      <c r="M19">
        <f>+M17-M18</f>
        <v>21000</v>
      </c>
      <c r="O19" t="s">
        <v>7</v>
      </c>
      <c r="P19" s="10">
        <v>400</v>
      </c>
    </row>
    <row r="20" spans="1:17" x14ac:dyDescent="0.35">
      <c r="A20" t="s">
        <v>10</v>
      </c>
      <c r="B20" s="19">
        <v>3000</v>
      </c>
      <c r="C20" t="s">
        <v>18</v>
      </c>
      <c r="D20" s="12"/>
      <c r="E20" s="12"/>
      <c r="F20" s="12"/>
      <c r="G20" s="12"/>
      <c r="H20" s="12"/>
      <c r="I20" s="12"/>
      <c r="J20">
        <f>16300+2600</f>
        <v>18900</v>
      </c>
      <c r="K20" s="12"/>
      <c r="P20">
        <f>SUM(P11:P19)</f>
        <v>15000</v>
      </c>
    </row>
    <row r="21" spans="1:17" x14ac:dyDescent="0.35">
      <c r="A21" t="s">
        <v>28</v>
      </c>
      <c r="B21" s="19">
        <v>500</v>
      </c>
      <c r="D21" s="12"/>
      <c r="E21" s="12"/>
      <c r="F21" s="12"/>
      <c r="G21" s="12"/>
      <c r="H21" s="12"/>
      <c r="I21" s="12"/>
      <c r="J21" s="12"/>
      <c r="K21" s="12"/>
    </row>
    <row r="22" spans="1:17" x14ac:dyDescent="0.35">
      <c r="A22" t="s">
        <v>46</v>
      </c>
      <c r="B22" s="21">
        <v>2500</v>
      </c>
      <c r="D22" s="12"/>
      <c r="E22" s="12"/>
      <c r="F22" s="12"/>
      <c r="G22" s="12"/>
      <c r="H22" s="12"/>
      <c r="I22" s="12"/>
      <c r="J22" s="12"/>
      <c r="K22" s="12"/>
    </row>
    <row r="23" spans="1:17" x14ac:dyDescent="0.35">
      <c r="B23" s="21"/>
      <c r="D23" s="12"/>
      <c r="E23" s="12"/>
      <c r="F23" s="12"/>
      <c r="G23" s="12"/>
      <c r="H23" s="12"/>
      <c r="I23" s="12"/>
      <c r="J23" s="12"/>
      <c r="K23" s="12"/>
    </row>
    <row r="24" spans="1:17" x14ac:dyDescent="0.35">
      <c r="B24" s="21"/>
      <c r="D24" s="12"/>
      <c r="E24" s="12"/>
      <c r="F24" s="12"/>
      <c r="G24" s="12"/>
      <c r="H24" s="12"/>
      <c r="I24" s="12"/>
      <c r="J24" s="12"/>
      <c r="K24" s="12"/>
    </row>
    <row r="25" spans="1:17" x14ac:dyDescent="0.35">
      <c r="B25" s="21"/>
      <c r="D25" s="12"/>
      <c r="E25" s="12"/>
      <c r="F25" s="12"/>
      <c r="G25" s="12"/>
      <c r="H25" s="12"/>
      <c r="I25" s="12"/>
      <c r="J25" s="12"/>
      <c r="K25" s="12"/>
    </row>
    <row r="26" spans="1:17" x14ac:dyDescent="0.35">
      <c r="D26" s="12"/>
      <c r="E26" s="12"/>
      <c r="F26" s="12"/>
      <c r="G26" s="12"/>
      <c r="H26" s="12"/>
      <c r="I26" s="12"/>
      <c r="J26" s="12"/>
      <c r="K26" s="12"/>
    </row>
    <row r="27" spans="1:17" x14ac:dyDescent="0.35">
      <c r="A27" t="s">
        <v>30</v>
      </c>
      <c r="B27" s="12">
        <f>SUM(B1:B2)</f>
        <v>58000</v>
      </c>
      <c r="D27" s="12"/>
      <c r="E27" s="12"/>
      <c r="F27" s="12"/>
      <c r="G27" s="12"/>
      <c r="H27" s="12"/>
      <c r="I27" s="12"/>
      <c r="J27" s="12"/>
      <c r="K27" s="12"/>
    </row>
    <row r="28" spans="1:17" x14ac:dyDescent="0.35">
      <c r="A28" t="s">
        <v>31</v>
      </c>
      <c r="B28" s="12">
        <f>SUM(B4:B26)</f>
        <v>58900</v>
      </c>
      <c r="D28" s="12"/>
      <c r="E28" s="12"/>
      <c r="F28" s="12"/>
      <c r="G28" s="12"/>
      <c r="H28" s="12"/>
      <c r="I28" s="12"/>
      <c r="J28" s="12"/>
      <c r="K28" s="12"/>
      <c r="O28">
        <f>15*7</f>
        <v>105</v>
      </c>
      <c r="Q28">
        <f>33000-5400</f>
        <v>27600</v>
      </c>
    </row>
    <row r="29" spans="1:17" x14ac:dyDescent="0.35">
      <c r="A29" s="1" t="s">
        <v>29</v>
      </c>
      <c r="B29" s="1">
        <f>+B27-B28</f>
        <v>-900</v>
      </c>
      <c r="C29" s="12"/>
      <c r="D29" s="12"/>
      <c r="E29" s="12"/>
      <c r="F29" s="12"/>
      <c r="G29" s="12"/>
      <c r="H29" s="12"/>
      <c r="I29" s="12"/>
      <c r="J29" s="12"/>
      <c r="K29" s="12"/>
      <c r="Q29">
        <v>2600</v>
      </c>
    </row>
    <row r="30" spans="1:17" x14ac:dyDescent="0.35">
      <c r="Q30">
        <f>Q28-Q29</f>
        <v>25000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Jul 2019 New (2)</vt:lpstr>
      <vt:lpstr>Feb 2015</vt:lpstr>
      <vt:lpstr>March 2015</vt:lpstr>
      <vt:lpstr>APR 2015</vt:lpstr>
      <vt:lpstr>May 2015</vt:lpstr>
      <vt:lpstr>June 15</vt:lpstr>
      <vt:lpstr>July 15</vt:lpstr>
      <vt:lpstr>Oct 2018</vt:lpstr>
      <vt:lpstr>Aug15</vt:lpstr>
      <vt:lpstr>Sep15</vt:lpstr>
      <vt:lpstr>Sheet2</vt:lpstr>
      <vt:lpstr>Oct 2015</vt:lpstr>
      <vt:lpstr>nov2015</vt:lpstr>
      <vt:lpstr>DEC2015</vt:lpstr>
      <vt:lpstr>jan2016</vt:lpstr>
      <vt:lpstr>feb2016</vt:lpstr>
      <vt:lpstr>July 2016</vt:lpstr>
      <vt:lpstr>Sheet3</vt:lpstr>
      <vt:lpstr>Jan2017</vt:lpstr>
      <vt:lpstr>mar17</vt:lpstr>
      <vt:lpstr>ap</vt:lpstr>
      <vt:lpstr>Sheet4</vt:lpstr>
      <vt:lpstr>Jul17</vt:lpstr>
      <vt:lpstr>Sep17</vt:lpstr>
      <vt:lpstr>Oct17</vt:lpstr>
      <vt:lpstr>rough</vt:lpstr>
      <vt:lpstr>Dec17</vt:lpstr>
      <vt:lpstr>Jan 18</vt:lpstr>
      <vt:lpstr>Sheet5</vt:lpstr>
      <vt:lpstr>Feb 2018</vt:lpstr>
      <vt:lpstr>Mar 2018</vt:lpstr>
      <vt:lpstr>Apr 2018 </vt:lpstr>
      <vt:lpstr>May 2018</vt:lpstr>
      <vt:lpstr>July 2018</vt:lpstr>
      <vt:lpstr>Aug 2018</vt:lpstr>
      <vt:lpstr>Dec 2018</vt:lpstr>
      <vt:lpstr>Rough2</vt:lpstr>
      <vt:lpstr>Rewards Points Screen Shot</vt:lpstr>
      <vt:lpstr>Jewels</vt:lpstr>
      <vt:lpstr>Jan 2019</vt:lpstr>
      <vt:lpstr>Feb 2019</vt:lpstr>
      <vt:lpstr>Mar 2019</vt:lpstr>
      <vt:lpstr>Apr 2019</vt:lpstr>
      <vt:lpstr>May 2019</vt:lpstr>
      <vt:lpstr>Jun 2019</vt:lpstr>
      <vt:lpstr>Aug 2019</vt:lpstr>
      <vt:lpstr>Sep 2019</vt:lpstr>
      <vt:lpstr>Sep 2020</vt:lpstr>
      <vt:lpstr>Dec 2020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Sundar</dc:creator>
  <cp:lastModifiedBy>Sundar Rajan</cp:lastModifiedBy>
  <dcterms:created xsi:type="dcterms:W3CDTF">2015-01-21T15:47:24Z</dcterms:created>
  <dcterms:modified xsi:type="dcterms:W3CDTF">2021-01-22T08:10:09Z</dcterms:modified>
</cp:coreProperties>
</file>