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queryTables/queryTable4.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queryTables/queryTable5.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queryTables/queryTable6.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queryTables/queryTable7.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queryTables/queryTable8.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queryTables/queryTable12.xml" ContentType="application/vnd.openxmlformats-officedocument.spreadsheetml.queryTab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queryTables/queryTable13.xml" ContentType="application/vnd.openxmlformats-officedocument.spreadsheetml.queryTable+xml"/>
  <Override PartName="/xl/drawings/drawing9.xml" ContentType="application/vnd.openxmlformats-officedocument.drawing+xml"/>
  <Override PartName="/xl/queryTables/queryTable14.xml" ContentType="application/vnd.openxmlformats-officedocument.spreadsheetml.queryTable+xml"/>
  <Override PartName="/xl/queryTables/queryTable15.xml" ContentType="application/vnd.openxmlformats-officedocument.spreadsheetml.queryTab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0.xml" ContentType="application/vnd.openxmlformats-officedocument.drawing+xml"/>
  <Override PartName="/xl/queryTables/queryTable16.xml" ContentType="application/vnd.openxmlformats-officedocument.spreadsheetml.queryTab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11.xml" ContentType="application/vnd.openxmlformats-officedocument.drawing+xml"/>
  <Override PartName="/xl/queryTables/queryTable17.xml" ContentType="application/vnd.openxmlformats-officedocument.spreadsheetml.queryTable+xml"/>
  <Override PartName="/xl/queryTables/queryTable18.xml" ContentType="application/vnd.openxmlformats-officedocument.spreadsheetml.queryTab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2.xml" ContentType="application/vnd.openxmlformats-officedocument.drawing+xml"/>
  <Override PartName="/xl/queryTables/queryTable19.xml" ContentType="application/vnd.openxmlformats-officedocument.spreadsheetml.queryTab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queryTables/queryTable20.xml" ContentType="application/vnd.openxmlformats-officedocument.spreadsheetml.queryTab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14.xml" ContentType="application/vnd.openxmlformats-officedocument.drawing+xml"/>
  <Override PartName="/xl/queryTables/queryTable21.xml" ContentType="application/vnd.openxmlformats-officedocument.spreadsheetml.queryTab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5.xml" ContentType="application/vnd.openxmlformats-officedocument.drawing+xml"/>
  <Override PartName="/xl/queryTables/queryTable22.xml" ContentType="application/vnd.openxmlformats-officedocument.spreadsheetml.queryTab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queryTables/queryTable23.xml" ContentType="application/vnd.openxmlformats-officedocument.spreadsheetml.queryTable+xml"/>
  <Override PartName="/xl/drawings/drawing16.xml" ContentType="application/vnd.openxmlformats-officedocument.drawing+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17.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18.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19.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0.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21.xml" ContentType="application/vnd.openxmlformats-officedocument.drawing+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22.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23.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24.xml" ContentType="application/vnd.openxmlformats-officedocument.drawingml.chartshapes+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https://d.docs.live.net/e9db24dcff54b3ed/Documents/GMU/CS 571 Spring 2022 - Cheng/final submission/"/>
    </mc:Choice>
  </mc:AlternateContent>
  <xr:revisionPtr revIDLastSave="2745" documentId="8_{8EAE7A6B-D063-3A4A-862C-B627891B4C20}" xr6:coauthVersionLast="47" xr6:coauthVersionMax="47" xr10:uidLastSave="{EE064BC7-8EDF-224A-A93A-4F5D7A7804F5}"/>
  <bookViews>
    <workbookView xWindow="0" yWindow="0" windowWidth="67200" windowHeight="37800" xr2:uid="{F5E83DC4-825B-714D-B5A7-20F4C1742F26}"/>
  </bookViews>
  <sheets>
    <sheet name="README" sheetId="27" r:id="rId1"/>
    <sheet name="Sheet2" sheetId="8" r:id="rId2"/>
    <sheet name="Sheet3" sheetId="3" r:id="rId3"/>
    <sheet name="BtrFS" sheetId="2" r:id="rId4"/>
    <sheet name="XFS" sheetId="5" r:id="rId5"/>
    <sheet name="EXT4" sheetId="6" r:id="rId6"/>
    <sheet name="F2FS" sheetId="9" r:id="rId7"/>
    <sheet name="BtrFS-V2" sheetId="11" r:id="rId8"/>
    <sheet name="EXT4-V2-write" sheetId="12" r:id="rId9"/>
    <sheet name="XFS-V2" sheetId="10" r:id="rId10"/>
    <sheet name="XFS-write" sheetId="14" r:id="rId11"/>
    <sheet name="XFS-read" sheetId="16" r:id="rId12"/>
    <sheet name="EXT4-write" sheetId="15" r:id="rId13"/>
    <sheet name="EXT4-read" sheetId="13" r:id="rId14"/>
    <sheet name="BtrFS-write" sheetId="19" r:id="rId15"/>
    <sheet name="BtrFS-read" sheetId="20" r:id="rId16"/>
    <sheet name="F2FS-write" sheetId="21" r:id="rId17"/>
    <sheet name="F2FS-read" sheetId="22" r:id="rId18"/>
    <sheet name="EXT4-baseline" sheetId="26" r:id="rId19"/>
    <sheet name="Combined-write" sheetId="17" r:id="rId20"/>
    <sheet name="Combined-read" sheetId="18" r:id="rId21"/>
    <sheet name="XFS-1B-Write" sheetId="24" r:id="rId22"/>
    <sheet name="Blocks-write" sheetId="25" r:id="rId23"/>
  </sheets>
  <definedNames>
    <definedName name="BtrFS_read" localSheetId="15">'BtrFS-read'!$A$2:$AH$5</definedName>
    <definedName name="BtrFS_read" localSheetId="20">'Combined-read'!$A$11:$AH$14</definedName>
    <definedName name="BtrFS_Stats" localSheetId="3">BtrFS!$C$3:$AG$8</definedName>
    <definedName name="BtrFS_V2_stats" localSheetId="7">'BtrFS-V2'!$A$2:$CF$5</definedName>
    <definedName name="BtrFS_V2_stats" localSheetId="1">Sheet2!$B$2:$BT$2</definedName>
    <definedName name="BtrFS_write" localSheetId="14">'BtrFS-write'!#REF!</definedName>
    <definedName name="BtrFS_write_1" localSheetId="22">'Blocks-write'!$A$5:$CF$6</definedName>
    <definedName name="BtrFS_write_1" localSheetId="14">'BtrFS-write'!$A$2:$CF$3</definedName>
    <definedName name="BtrFS_write_1" localSheetId="19">'Combined-write'!$A$6:$CF$7</definedName>
    <definedName name="EXT4_read" localSheetId="20">'Combined-read'!$A$25:$AI$26</definedName>
    <definedName name="EXT4_read" localSheetId="13">'EXT4-read'!$A$6:$AI$7</definedName>
    <definedName name="EXT4_read_1" localSheetId="20">'Combined-read'!$A$2:$AH$4</definedName>
    <definedName name="EXT4_read_1" localSheetId="13">'EXT4-read'!$A$2:$AH$4</definedName>
    <definedName name="EXT4_read_2" localSheetId="20">'Combined-read'!$A$27:$AH$27</definedName>
    <definedName name="EXT4_Stats.csv" localSheetId="5">'EXT4'!$C$3:$AG$10</definedName>
    <definedName name="EXT4_V2" localSheetId="8">'EXT4-V2-write'!$B$2:$BT$2</definedName>
    <definedName name="EXT4_V2_1" localSheetId="8">'EXT4-V2-write'!$A$3:$BT$4</definedName>
    <definedName name="EXT4_V2_2" localSheetId="8">'EXT4-V2-write'!$A$5:$CF$9</definedName>
    <definedName name="EXT4_write" localSheetId="19">'Combined-write'!$A$2:$CF$3</definedName>
    <definedName name="EXT4_write" localSheetId="18">'EXT4-baseline'!$A$3:$CF$3</definedName>
    <definedName name="EXT4_write" localSheetId="12">'EXT4-write'!$A$2:$CF$3</definedName>
    <definedName name="F2FS" localSheetId="6">F2FS!$A$2:$CG$5</definedName>
    <definedName name="F2FS_read" localSheetId="20">'Combined-read'!$A$15:$AH$18</definedName>
    <definedName name="F2FS_read" localSheetId="17">'F2FS-read'!$A$2:$AH$5</definedName>
    <definedName name="F2FS_write" localSheetId="22">'Blocks-write'!$A$7:$CF$8</definedName>
    <definedName name="F2FS_write" localSheetId="19">'Combined-write'!$A$8:$CF$9</definedName>
    <definedName name="F2FS_write" localSheetId="16">'F2FS-write'!$A$2:$CF$3</definedName>
    <definedName name="XFS" localSheetId="9">'XFS-V2'!$A$2:$CG$6</definedName>
    <definedName name="XFS_read" localSheetId="20">'Combined-read'!$A$6:$AG$9</definedName>
    <definedName name="XFS_read" localSheetId="13">'EXT4-read'!#REF!</definedName>
    <definedName name="XFS_read" localSheetId="11">'XFS-read'!$A$2:$AG$5</definedName>
    <definedName name="XFS_read_1" localSheetId="11">'XFS-read'!$A$6:$AH$10</definedName>
    <definedName name="XFS_Stats" localSheetId="4">XFS!$C$3:$AG$9</definedName>
    <definedName name="XFS_write" localSheetId="2">Sheet3!$AY$82:$ED$87</definedName>
    <definedName name="XFS_write" localSheetId="21">'XFS-1B-Write'!$A$3:$CF$11</definedName>
    <definedName name="XFS_write" localSheetId="10">'XFS-write'!#REF!</definedName>
    <definedName name="XFS_write_1" localSheetId="19">'Combined-write'!$A$4:$CF$5</definedName>
    <definedName name="XFS_write_1" localSheetId="2">Sheet3!$A$73:$CF$74</definedName>
    <definedName name="XFS_write_1" localSheetId="10">'XFS-write'!#REF!</definedName>
    <definedName name="XFS_write_2" localSheetId="10">'XFS-write'!#REF!</definedName>
    <definedName name="XFS_write_3" localSheetId="10">'XFS-write'!$A$2:$CF$4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27" i="18" l="1"/>
  <c r="AK27" i="18"/>
  <c r="AJ27" i="18"/>
  <c r="AI27" i="18"/>
  <c r="AM4" i="26"/>
  <c r="AM3" i="26"/>
  <c r="AM2" i="26"/>
  <c r="CH3" i="26"/>
  <c r="CG3" i="26"/>
  <c r="CJ3" i="26" s="1"/>
  <c r="AL26" i="18"/>
  <c r="AL25" i="18"/>
  <c r="AJ26" i="18"/>
  <c r="AJ25" i="18"/>
  <c r="AJ18" i="18"/>
  <c r="AI26" i="18"/>
  <c r="AI25" i="18"/>
  <c r="AK26" i="18"/>
  <c r="AK25" i="18"/>
  <c r="CI2" i="26"/>
  <c r="CH2" i="26"/>
  <c r="CG2" i="26"/>
  <c r="CJ2" i="26" s="1"/>
  <c r="AM11" i="17"/>
  <c r="CJ5" i="24"/>
  <c r="CJ6" i="24"/>
  <c r="CJ7" i="24"/>
  <c r="CJ11" i="24"/>
  <c r="CJ2" i="24"/>
  <c r="CK3" i="17"/>
  <c r="CK4" i="17"/>
  <c r="CK5" i="17"/>
  <c r="CK6" i="17"/>
  <c r="CK7" i="17"/>
  <c r="CK8" i="17"/>
  <c r="CK9" i="17"/>
  <c r="CK10" i="17"/>
  <c r="CK11" i="17"/>
  <c r="CK12" i="17"/>
  <c r="CK13" i="17"/>
  <c r="CK14" i="17"/>
  <c r="CK15" i="17"/>
  <c r="CK2" i="17"/>
  <c r="AQ10" i="2"/>
  <c r="AP10" i="2"/>
  <c r="AO10" i="2"/>
  <c r="AR11" i="2"/>
  <c r="AO11" i="2"/>
  <c r="AP11" i="2"/>
  <c r="AQ11" i="2" s="1"/>
  <c r="AN11" i="2"/>
  <c r="CK3" i="25"/>
  <c r="CK4" i="25"/>
  <c r="CK5" i="25"/>
  <c r="CK6" i="25"/>
  <c r="CK7" i="25"/>
  <c r="CK8" i="25"/>
  <c r="CK9" i="25"/>
  <c r="CK10" i="25"/>
  <c r="CK11" i="25"/>
  <c r="CK12" i="25"/>
  <c r="CK13" i="25"/>
  <c r="CK14" i="25"/>
  <c r="CK2" i="25"/>
  <c r="CJ12" i="25"/>
  <c r="CJ13" i="25"/>
  <c r="CJ14" i="25"/>
  <c r="BZ22" i="25"/>
  <c r="BZ23" i="25"/>
  <c r="BZ24" i="25"/>
  <c r="BR22" i="25"/>
  <c r="BR23" i="25"/>
  <c r="BR24" i="25"/>
  <c r="BP23" i="25"/>
  <c r="BP22" i="25"/>
  <c r="BP24" i="25"/>
  <c r="CI14" i="25"/>
  <c r="CH14" i="25"/>
  <c r="CG14" i="25"/>
  <c r="AP14" i="25"/>
  <c r="AO14" i="25"/>
  <c r="AN14" i="25"/>
  <c r="AM14" i="25"/>
  <c r="CI13" i="25"/>
  <c r="CH13" i="25"/>
  <c r="CG13" i="25"/>
  <c r="AP13" i="25"/>
  <c r="AO13" i="25"/>
  <c r="AN13" i="25"/>
  <c r="AM13" i="25"/>
  <c r="CI12" i="25"/>
  <c r="CH12" i="25"/>
  <c r="CG12" i="25"/>
  <c r="AP12" i="25"/>
  <c r="AO12" i="25"/>
  <c r="AN12" i="25"/>
  <c r="AM12" i="25"/>
  <c r="CJ10" i="25"/>
  <c r="CI11" i="25"/>
  <c r="CH11" i="25"/>
  <c r="CG11" i="25"/>
  <c r="CJ11" i="25" s="1"/>
  <c r="CH10" i="25"/>
  <c r="CG10" i="25"/>
  <c r="CI9" i="25"/>
  <c r="CH9" i="25"/>
  <c r="CG9" i="25"/>
  <c r="CJ9" i="25" s="1"/>
  <c r="AP9" i="25"/>
  <c r="AO9" i="25"/>
  <c r="AN9" i="25"/>
  <c r="AM9" i="25"/>
  <c r="BZ20" i="25"/>
  <c r="BZ21" i="25"/>
  <c r="BR20" i="25"/>
  <c r="BR21" i="25"/>
  <c r="BP20" i="25"/>
  <c r="BP21" i="25"/>
  <c r="CJ7" i="25"/>
  <c r="CI8" i="25"/>
  <c r="CH8" i="25"/>
  <c r="CG8" i="25"/>
  <c r="CJ8" i="25" s="1"/>
  <c r="AP8" i="25"/>
  <c r="AO8" i="25"/>
  <c r="AN8" i="25"/>
  <c r="AM8" i="25"/>
  <c r="CI7" i="25"/>
  <c r="CH7" i="25"/>
  <c r="CG7" i="25"/>
  <c r="AP7" i="25"/>
  <c r="AO7" i="25"/>
  <c r="AN7" i="25"/>
  <c r="AM7" i="25"/>
  <c r="BZ18" i="25"/>
  <c r="BZ19" i="25"/>
  <c r="BR18" i="25"/>
  <c r="BR19" i="25"/>
  <c r="BP18" i="25"/>
  <c r="BP19" i="25"/>
  <c r="CI6" i="25"/>
  <c r="CH6" i="25"/>
  <c r="CG6" i="25"/>
  <c r="CJ6" i="25" s="1"/>
  <c r="AP6" i="25"/>
  <c r="AO6" i="25"/>
  <c r="AN6" i="25"/>
  <c r="AM6" i="25"/>
  <c r="CI5" i="25"/>
  <c r="CH5" i="25"/>
  <c r="CG5" i="25"/>
  <c r="CJ5" i="25" s="1"/>
  <c r="AP5" i="25"/>
  <c r="AO5" i="25"/>
  <c r="AN5" i="25"/>
  <c r="AM5" i="25"/>
  <c r="BZ17" i="25"/>
  <c r="BR17" i="25"/>
  <c r="BP17" i="25"/>
  <c r="CI4" i="25"/>
  <c r="CH4" i="25"/>
  <c r="CG4" i="25"/>
  <c r="CJ4" i="25" s="1"/>
  <c r="AP4" i="25"/>
  <c r="AO4" i="25"/>
  <c r="AN4" i="25"/>
  <c r="AM4" i="25"/>
  <c r="BZ16" i="25"/>
  <c r="BZ15" i="25"/>
  <c r="BR16" i="25"/>
  <c r="BR15" i="25"/>
  <c r="BP16" i="25"/>
  <c r="BP15" i="25"/>
  <c r="CI3" i="25"/>
  <c r="CH3" i="25"/>
  <c r="CG3" i="25"/>
  <c r="CJ3" i="25" s="1"/>
  <c r="AP3" i="25"/>
  <c r="AO3" i="25"/>
  <c r="AN3" i="25"/>
  <c r="AM3" i="25"/>
  <c r="CI2" i="25"/>
  <c r="CH2" i="25"/>
  <c r="CG2" i="25"/>
  <c r="CJ2" i="25" s="1"/>
  <c r="AP2" i="25"/>
  <c r="AO2" i="25"/>
  <c r="AN2" i="25"/>
  <c r="AM2" i="25"/>
  <c r="AL10" i="18"/>
  <c r="AK10" i="18"/>
  <c r="AI10" i="18"/>
  <c r="AM11" i="24"/>
  <c r="CI15" i="17"/>
  <c r="CH15" i="17"/>
  <c r="CG15" i="17"/>
  <c r="CJ15" i="17" s="1"/>
  <c r="AP15" i="17"/>
  <c r="AO15" i="17"/>
  <c r="AN15" i="17"/>
  <c r="AM15" i="17"/>
  <c r="CI14" i="17"/>
  <c r="CH14" i="17"/>
  <c r="CG14" i="17"/>
  <c r="CJ14" i="17" s="1"/>
  <c r="AP14" i="17"/>
  <c r="AO14" i="17"/>
  <c r="AN14" i="17"/>
  <c r="AM14" i="17"/>
  <c r="CI13" i="17"/>
  <c r="CH13" i="17"/>
  <c r="CG13" i="17"/>
  <c r="CJ13" i="17" s="1"/>
  <c r="AP13" i="17"/>
  <c r="AO13" i="17"/>
  <c r="AN13" i="17"/>
  <c r="AM13" i="17"/>
  <c r="AM7" i="24"/>
  <c r="CI7" i="24"/>
  <c r="CH7" i="24"/>
  <c r="CG7" i="24"/>
  <c r="AP7" i="24"/>
  <c r="AO7" i="24"/>
  <c r="AN7" i="24"/>
  <c r="AM6" i="24"/>
  <c r="CG2" i="24"/>
  <c r="AM2" i="24"/>
  <c r="AM5" i="24"/>
  <c r="CG11" i="24"/>
  <c r="CG10" i="24"/>
  <c r="CG9" i="24"/>
  <c r="CG8" i="24"/>
  <c r="CG6" i="24"/>
  <c r="CG5" i="24"/>
  <c r="CG4" i="24"/>
  <c r="CG3" i="24"/>
  <c r="CG5" i="17"/>
  <c r="CJ5" i="17" s="1"/>
  <c r="CG4" i="17"/>
  <c r="CJ4" i="17" s="1"/>
  <c r="AP11" i="24"/>
  <c r="AP10" i="24"/>
  <c r="AP9" i="24"/>
  <c r="AP8" i="24"/>
  <c r="AP6" i="24"/>
  <c r="AP5" i="24"/>
  <c r="AP4" i="24"/>
  <c r="AP3" i="24"/>
  <c r="AO11" i="24"/>
  <c r="AO10" i="24"/>
  <c r="AO9" i="24"/>
  <c r="AO8" i="24"/>
  <c r="AO6" i="24"/>
  <c r="AO5" i="24"/>
  <c r="AO4" i="24"/>
  <c r="AO3" i="24"/>
  <c r="AN9" i="24"/>
  <c r="AN11" i="24"/>
  <c r="AN10" i="24"/>
  <c r="AN8" i="24"/>
  <c r="AN6" i="24"/>
  <c r="AN5" i="24"/>
  <c r="AN4" i="24"/>
  <c r="AN3" i="24"/>
  <c r="AN2" i="24"/>
  <c r="CI3" i="24"/>
  <c r="CI4" i="24"/>
  <c r="CI5" i="24"/>
  <c r="CI6" i="24"/>
  <c r="CI8" i="24"/>
  <c r="CI9" i="24"/>
  <c r="CI10" i="24"/>
  <c r="CI11" i="24"/>
  <c r="CH3" i="24"/>
  <c r="CH4" i="24"/>
  <c r="CH5" i="24"/>
  <c r="CH6" i="24"/>
  <c r="CH8" i="24"/>
  <c r="CH9" i="24"/>
  <c r="CH10" i="24"/>
  <c r="CH11" i="24"/>
  <c r="CI2" i="24"/>
  <c r="CH2" i="24"/>
  <c r="CI12" i="17"/>
  <c r="CH12" i="17"/>
  <c r="CG12" i="17"/>
  <c r="CJ12" i="17" s="1"/>
  <c r="AM10" i="17"/>
  <c r="AP10" i="17"/>
  <c r="AO10" i="17"/>
  <c r="AN10" i="17"/>
  <c r="CI10" i="17"/>
  <c r="CH10" i="17"/>
  <c r="CH11" i="17"/>
  <c r="CG10" i="17"/>
  <c r="CJ10" i="17" s="1"/>
  <c r="CG11" i="17"/>
  <c r="CJ11" i="17" s="1"/>
  <c r="CI3" i="17"/>
  <c r="CI4" i="17"/>
  <c r="CI5" i="17"/>
  <c r="CI6" i="17"/>
  <c r="CI7" i="17"/>
  <c r="CI8" i="17"/>
  <c r="CI9" i="17"/>
  <c r="CI2" i="17"/>
  <c r="AL9" i="18"/>
  <c r="AL11" i="18"/>
  <c r="AL3" i="18"/>
  <c r="AL2" i="18"/>
  <c r="AJ4" i="18"/>
  <c r="AK3" i="18"/>
  <c r="AK4" i="18"/>
  <c r="AK5" i="18"/>
  <c r="AK6" i="18"/>
  <c r="AK7" i="18"/>
  <c r="AK8" i="18"/>
  <c r="AK9" i="18"/>
  <c r="AK11" i="18"/>
  <c r="AK12" i="18"/>
  <c r="AK13" i="18"/>
  <c r="AK14" i="18"/>
  <c r="AK15" i="18"/>
  <c r="AK16" i="18"/>
  <c r="AK17" i="18"/>
  <c r="AK18" i="18"/>
  <c r="AK2" i="18"/>
  <c r="AM9" i="17"/>
  <c r="AM8" i="17"/>
  <c r="AM7" i="17"/>
  <c r="AM6" i="17"/>
  <c r="AM5" i="17"/>
  <c r="AM4" i="17"/>
  <c r="AM3" i="17"/>
  <c r="AM2" i="17"/>
  <c r="AO9" i="17"/>
  <c r="AO8" i="17"/>
  <c r="AO7" i="17"/>
  <c r="AO6" i="17"/>
  <c r="AO5" i="17"/>
  <c r="AO4" i="17"/>
  <c r="AO3" i="17"/>
  <c r="AO2" i="17"/>
  <c r="AP9" i="17"/>
  <c r="AP8" i="17"/>
  <c r="AP7" i="17"/>
  <c r="AP6" i="17"/>
  <c r="AP5" i="17"/>
  <c r="AP4" i="17"/>
  <c r="AP3" i="17"/>
  <c r="AP2" i="17"/>
  <c r="AN9" i="17"/>
  <c r="AN8" i="17"/>
  <c r="AN7" i="17"/>
  <c r="AN6" i="17"/>
  <c r="AN5" i="17"/>
  <c r="AN4" i="17"/>
  <c r="AN3" i="17"/>
  <c r="AN2" i="17"/>
  <c r="CH2" i="14"/>
  <c r="CH3" i="14"/>
  <c r="CP9" i="14"/>
  <c r="CP10" i="14" s="1"/>
  <c r="CG2" i="14"/>
  <c r="CG3" i="14"/>
  <c r="CI74" i="3"/>
  <c r="CH74" i="3"/>
  <c r="CG74" i="3"/>
  <c r="CI73" i="3"/>
  <c r="CH73" i="3"/>
  <c r="CG73" i="3"/>
  <c r="F68" i="3"/>
  <c r="P61" i="3"/>
  <c r="Q61" i="3"/>
  <c r="O61" i="3"/>
  <c r="H61" i="3"/>
  <c r="F65" i="3"/>
  <c r="F64" i="3"/>
  <c r="F63" i="3"/>
  <c r="E61" i="3"/>
  <c r="F61" i="3"/>
  <c r="CH3" i="17"/>
  <c r="CH4" i="17"/>
  <c r="CH5" i="17"/>
  <c r="CH6" i="17"/>
  <c r="CH7" i="17"/>
  <c r="CH8" i="17"/>
  <c r="CH9" i="17"/>
  <c r="CG3" i="17"/>
  <c r="CJ3" i="17" s="1"/>
  <c r="CG6" i="17"/>
  <c r="CJ6" i="17" s="1"/>
  <c r="CG7" i="17"/>
  <c r="CJ7" i="17" s="1"/>
  <c r="CG8" i="17"/>
  <c r="CJ8" i="17" s="1"/>
  <c r="CG9" i="17"/>
  <c r="CJ9" i="17" s="1"/>
  <c r="CG2" i="17"/>
  <c r="CJ2" i="17" s="1"/>
  <c r="CH2" i="17"/>
  <c r="AJ8" i="18"/>
  <c r="AJ3" i="18"/>
  <c r="AJ5" i="18"/>
  <c r="AJ6" i="18"/>
  <c r="AJ7" i="18"/>
  <c r="AJ9" i="18"/>
  <c r="AJ11" i="18"/>
  <c r="AJ12" i="18"/>
  <c r="AJ13" i="18"/>
  <c r="AJ14" i="18"/>
  <c r="AJ15" i="18"/>
  <c r="AJ16" i="18"/>
  <c r="AJ17" i="18"/>
  <c r="AJ2" i="18"/>
  <c r="AI3" i="18"/>
  <c r="AI4" i="18"/>
  <c r="AL4" i="18" s="1"/>
  <c r="AI5" i="18"/>
  <c r="AL5" i="18" s="1"/>
  <c r="AI6" i="18"/>
  <c r="AL6" i="18" s="1"/>
  <c r="AI7" i="18"/>
  <c r="AL7" i="18" s="1"/>
  <c r="AI8" i="18"/>
  <c r="AL8" i="18" s="1"/>
  <c r="AI9" i="18"/>
  <c r="AI11" i="18"/>
  <c r="AI12" i="18"/>
  <c r="AL12" i="18" s="1"/>
  <c r="AI13" i="18"/>
  <c r="AL13" i="18" s="1"/>
  <c r="AI14" i="18"/>
  <c r="AL14" i="18" s="1"/>
  <c r="AI15" i="18"/>
  <c r="AL15" i="18" s="1"/>
  <c r="AI16" i="18"/>
  <c r="AL16" i="18" s="1"/>
  <c r="AI17" i="18"/>
  <c r="AL17" i="18" s="1"/>
  <c r="AI18" i="18"/>
  <c r="AL18" i="18" s="1"/>
  <c r="AI2" i="18"/>
  <c r="BS9" i="15"/>
  <c r="BS8" i="15"/>
  <c r="BT9" i="15"/>
  <c r="BT8" i="15"/>
  <c r="BR9" i="15"/>
  <c r="BR8" i="15"/>
  <c r="BP9" i="15"/>
  <c r="BP8" i="15"/>
  <c r="BS13" i="12"/>
  <c r="BP15" i="12"/>
  <c r="BT14" i="12"/>
  <c r="BS14" i="12"/>
  <c r="BR13" i="12"/>
  <c r="BP13" i="12"/>
  <c r="AN43" i="11"/>
  <c r="AN44" i="11"/>
  <c r="AN45" i="11"/>
  <c r="AN42" i="11"/>
  <c r="AN51" i="10"/>
  <c r="AN52" i="10"/>
  <c r="AN53" i="10"/>
  <c r="AN54" i="10"/>
  <c r="AN50" i="10"/>
  <c r="BV2" i="8"/>
  <c r="BU2" i="8"/>
  <c r="AH11" i="2"/>
  <c r="AL11" i="2"/>
  <c r="S23" i="6"/>
  <c r="T23" i="6"/>
  <c r="U23" i="6"/>
  <c r="V23" i="6"/>
  <c r="W23" i="6"/>
  <c r="X23" i="6"/>
  <c r="Y23" i="6"/>
  <c r="Z23" i="6"/>
  <c r="AA23" i="6"/>
  <c r="R23" i="6"/>
  <c r="S22" i="6"/>
  <c r="T22" i="6"/>
  <c r="U22" i="6"/>
  <c r="V22" i="6"/>
  <c r="W22" i="6"/>
  <c r="X22" i="6"/>
  <c r="Y22" i="6"/>
  <c r="Z22" i="6"/>
  <c r="AA22" i="6"/>
  <c r="R22" i="6"/>
  <c r="I21" i="6"/>
  <c r="J21" i="6"/>
  <c r="K21" i="6"/>
  <c r="L21" i="6"/>
  <c r="M21" i="6"/>
  <c r="N21" i="6"/>
  <c r="O21" i="6"/>
  <c r="P21" i="6"/>
  <c r="Q21" i="6"/>
  <c r="H21" i="6"/>
  <c r="J20" i="6"/>
  <c r="K20" i="6"/>
  <c r="L20" i="6"/>
  <c r="M20" i="6"/>
  <c r="N20" i="6"/>
  <c r="O20" i="6"/>
  <c r="P20" i="6"/>
  <c r="Q20" i="6"/>
  <c r="I20" i="6"/>
  <c r="H20" i="6"/>
  <c r="AL10" i="6"/>
  <c r="AL9" i="6"/>
  <c r="AL8" i="6"/>
  <c r="AL7" i="6"/>
  <c r="AL6" i="6"/>
  <c r="AL5" i="6"/>
  <c r="AL4" i="6"/>
  <c r="AL3" i="6"/>
  <c r="AH4" i="6"/>
  <c r="AH5" i="6"/>
  <c r="AH6" i="6"/>
  <c r="AH7" i="6"/>
  <c r="AH8" i="6"/>
  <c r="AH9" i="6"/>
  <c r="AH10" i="6"/>
  <c r="AH3" i="6"/>
  <c r="AL9" i="5"/>
  <c r="AL8" i="5"/>
  <c r="AL7" i="5"/>
  <c r="AL6" i="5"/>
  <c r="AL5" i="5"/>
  <c r="AL4" i="5"/>
  <c r="AH4" i="5"/>
  <c r="AH5" i="5"/>
  <c r="AH6" i="5"/>
  <c r="AH7" i="5"/>
  <c r="AH8" i="5"/>
  <c r="AH9" i="5"/>
  <c r="AH3" i="5"/>
  <c r="AL3" i="5"/>
  <c r="E35" i="3"/>
  <c r="D35" i="3"/>
  <c r="C35" i="3"/>
  <c r="AL10" i="2"/>
  <c r="AL9" i="2"/>
  <c r="AL8" i="2"/>
  <c r="AL7" i="2"/>
  <c r="AL6" i="2"/>
  <c r="AL5" i="2"/>
  <c r="AL4" i="2"/>
  <c r="AL3" i="2"/>
  <c r="AH9" i="2"/>
  <c r="AH10" i="2"/>
  <c r="AH4" i="2"/>
  <c r="AH5" i="2"/>
  <c r="AH6" i="2"/>
  <c r="AH7" i="2"/>
  <c r="AH8" i="2"/>
  <c r="AH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tc={C0DB7731-CDCE-A942-99BB-045DB48E54B0}</author>
    <author>tc={1A576BDA-43A3-164C-8EC2-3C93B72C04AC}</author>
    <author>tc={04C64853-27CA-E547-9322-E108391922AA}</author>
  </authors>
  <commentList>
    <comment ref="BN1" authorId="0" shapeId="0" xr:uid="{C0DB7731-CDCE-A942-99BB-045DB48E54B0}">
      <text>
        <t>[Threaded comment]
Your version of Excel allows you to read this threaded comment; however, any edits to it will get removed if the file is opened in a newer version of Excel. Learn more: https://go.microsoft.com/fwlink/?linkid=870924
Comment:
    The value captured in the log corresponds to df command but that value needs to be multiplied by 1024 because df displays the size in 1K blocks. However, BtrFS block size is 4K.</t>
      </text>
    </comment>
    <comment ref="R2" authorId="1" shapeId="0" xr:uid="{1A576BDA-43A3-164C-8EC2-3C93B72C04AC}">
      <text>
        <t>[Threaded comment]
Your version of Excel allows you to read this threaded comment; however, any edits to it will get removed if the file is opened in a newer version of Excel. Learn more: https://go.microsoft.com/fwlink/?linkid=870924
Comment:
    0-25 nsec</t>
      </text>
    </comment>
    <comment ref="S2" authorId="2" shapeId="0" xr:uid="{04C64853-27CA-E547-9322-E108391922AA}">
      <text>
        <t>[Threaded comment]
Your version of Excel allows you to read this threaded comment; however, any edits to it will get removed if the file is opened in a newer version of Excel. Learn more: https://go.microsoft.com/fwlink/?linkid=870924
Comment:
    25-50 nsec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tc={E8854DB1-7FB6-AE49-809A-B682D541E0DD}</author>
  </authors>
  <commentList>
    <comment ref="AL9" authorId="0" shapeId="0" xr:uid="{E8854DB1-7FB6-AE49-809A-B682D541E0DD}">
      <text>
        <t>[Threaded comment]
Your version of Excel allows you to read this threaded comment; however, any edits to it will get removed if the file is opened in a newer version of Excel. Learn more: https://go.microsoft.com/fwlink/?linkid=870924
Comment:
    1 day + 14 hours = 38 hours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tc={2B457375-0F24-2F4D-B062-615F7CBF5D73}</author>
  </authors>
  <commentList>
    <comment ref="AL10" authorId="0" shapeId="0" xr:uid="{2B457375-0F24-2F4D-B062-615F7CBF5D73}">
      <text>
        <t>[Threaded comment]
Your version of Excel allows you to read this threaded comment; however, any edits to it will get removed if the file is opened in a newer version of Excel. Learn more: https://go.microsoft.com/fwlink/?linkid=870924
Comment:
    24 + 12:23:38 hours = 36:23:38</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DAF743-E972-B648-B2C4-359FD77090F8}" name="BtrFS Stats" type="6" refreshedVersion="7" background="1" saveData="1">
    <textPr sourceFile="/Users/sohailshaikh/Library/CloudStorage/OneDrive-Personal/Documents/GMU/CS 571 Spring 2022 - Cheng/BtrFS Stats.csv" tab="0" comma="1">
      <textFields count="3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640EA44B-B896-574B-93DB-F9D1ABDC32BE}" name="BtrFS V2 stats" type="6" refreshedVersion="7" background="1" saveData="1">
    <textPr sourceFile="/Users/sohailshaikh/Library/CloudStorage/OneDrive-Personal/Documents/GMU/CS 571 Spring 2022 - Cheng/BtrFS V2 stats.txt" comma="1">
      <textFields count="7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B91ECE25-B76D-E94D-AE73-C25088FC033C}" name="BtrFS V2 stats1" type="6" refreshedVersion="7" background="1" saveData="1">
    <textPr sourceFile="/Users/sohailshaikh/Library/CloudStorage/OneDrive-Personal/Documents/GMU/CS 571 Spring 2022 - Cheng/BtrFS V2 stats.txt"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C3F4378A-AB7C-9E47-A303-507ECEE8B132}" name="BtrFS-read" type="6" refreshedVersion="7" background="1" saveData="1">
    <textPr sourceFile="/Users/sohailshaikh/Library/CloudStorage/OneDrive-Personal/Documents/GMU/CS 571 Spring 2022 - Cheng/BtrFS-read.csv"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21B69B69-AC1D-E44A-9F20-5D9F8412AFB3}" name="BtrFS-read1" type="6" refreshedVersion="7" background="1" saveData="1">
    <textPr sourceFile="/Users/sohailshaikh/Library/CloudStorage/OneDrive-Personal/Documents/GMU/CS 571 Spring 2022 - Cheng/BtrFS-read.csv"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FF81D3BE-CD2C-344C-BE0A-0DBC99FAAD1E}" name="BtrFS-write1" type="6" refreshedVersion="7" background="1" saveData="1">
    <textPr sourceFile="/Users/sohailshaikh/Library/CloudStorage/OneDrive-Personal/Documents/GMU/CS 571 Spring 2022 - Cheng/Btr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0F43A20B-9C5E-1A42-9DD5-ECD2DB858A27}" name="BtrFS-write11" type="6" refreshedVersion="7" background="1" saveData="1">
    <textPr sourceFile="/Users/sohailshaikh/Library/CloudStorage/OneDrive-Personal/Documents/GMU/CS 571 Spring 2022 - Cheng/Btr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xr16:uid="{7E3C0CC0-9B83-3143-9B7D-3A2E9EBFA6C8}" name="BtrFS-write111" type="6" refreshedVersion="7" background="1" saveData="1">
    <textPr sourceFile="/Users/sohailshaikh/Library/CloudStorage/OneDrive-Personal/Documents/GMU/CS 571 Spring 2022 - Cheng/Btr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xr16:uid="{271B963C-7725-2849-8959-435B559BD00D}" name="EXT4 Stats.csv" type="6" refreshedVersion="7" background="1" saveData="1">
    <textPr sourceFile="/Users/sohailshaikh/Library/CloudStorage/OneDrive-Personal/Documents/GMU/CS 571 Spring 2022 - Cheng/EXT4 Stats.csv.txt" tab="0" comma="1">
      <textFields count="3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xr16:uid="{AAE57AFA-1FF0-C24B-ABD4-BF6B75D0339E}" name="EXT4-read" type="6" refreshedVersion="7" background="1" saveData="1">
    <textPr firstRow="5" sourceFile="/Users/sohailshaikh/Library/CloudStorage/OneDrive-Personal/Documents/GMU/CS 571 Spring 2022 - Cheng/EXT4-read.csv" comma="1">
      <textFields count="3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1" xr16:uid="{C098AACE-F3F2-A249-A23A-734EAB4D48C4}" name="EXT4-read1" type="6" refreshedVersion="7" background="1" saveData="1">
    <textPr sourceFile="/Users/sohailshaikh/Library/CloudStorage/OneDrive-Personal/Documents/GMU/CS 571 Spring 2022 - Cheng/EXT4-read.csv"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2" xr16:uid="{460A0C9E-663C-F94C-AEFF-ABE5D62F1E33}" name="EXT4-read11" type="6" refreshedVersion="7" background="1" saveData="1">
    <textPr sourceFile="/Users/sohailshaikh/Library/CloudStorage/OneDrive-Personal/Documents/GMU/CS 571 Spring 2022 - Cheng/EXT4-read.csv"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3" xr16:uid="{6DB71AF4-6D2E-194D-85A8-88EF3DE6EEB7}" name="EXT4-read2" type="6" refreshedVersion="7" background="1" saveData="1">
    <textPr firstRow="5" sourceFile="/Users/sohailshaikh/Library/CloudStorage/OneDrive-Personal/Documents/GMU/CS 571 Spring 2022 - Cheng/EXT4-read.csv" comma="1">
      <textFields count="3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4" xr16:uid="{1F938995-3BDC-CA4E-826C-AE1317C03984}" name="EXT4-read3" type="6" refreshedVersion="7" background="1" saveData="1">
    <textPr firstRow="7" sourceFile="/Users/sohailshaikh/Library/CloudStorage/OneDrive-Personal/Documents/GMU/CS 571 Spring 2022 - Cheng/EXT4-read.csv" comma="1">
      <textFields count="3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5" xr16:uid="{6BB1BC6D-D4F2-BE43-8EB5-35FB4B5FB46C}" name="EXT4-V2" type="6" refreshedVersion="7" background="1" saveData="1">
    <textPr sourceFile="/Users/sohailshaikh/Library/CloudStorage/OneDrive-Personal/Documents/GMU/CS 571 Spring 2022 - Cheng/EXT4-V2.csv" comma="1">
      <textFields count="7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6" xr16:uid="{3ED6B348-176B-0343-9423-B75F11D60FFD}" name="EXT4-V21" type="6" refreshedVersion="7" background="1" saveData="1">
    <textPr sourceFile="/Users/sohailshaikh/Library/CloudStorage/OneDrive-Personal/Documents/GMU/CS 571 Spring 2022 - Cheng/EXT4-V2.csv" comma="1">
      <textFields count="7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7" xr16:uid="{FC9B178F-F5B8-CD4D-9BD5-FAFF6C8DACFB}" name="EXT4-V22" type="6" refreshedVersion="7" background="1" saveData="1">
    <textPr sourceFile="/Users/sohailshaikh/Library/CloudStorage/OneDrive-Personal/Documents/GMU/CS 571 Spring 2022 - Cheng/EXT4-V2.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8" xr16:uid="{608A9E99-9DE7-7B41-994B-DFB8378E3152}" name="EXT4-write" type="6" refreshedVersion="7" background="1" saveData="1">
    <textPr sourceFile="/Users/sohailshaikh/Library/CloudStorage/OneDrive-Personal/Documents/GMU/CS 571 Spring 2022 - Cheng/EXT4-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9" xr16:uid="{CB1E92A4-34B9-B54B-89D3-271352AF420F}" name="EXT4-write1" type="6" refreshedVersion="7" background="1" saveData="1">
    <textPr sourceFile="/Users/sohailshaikh/Library/CloudStorage/OneDrive-Personal/Documents/GMU/CS 571 Spring 2022 - Cheng/EXT4-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0" xr16:uid="{064295FE-1BBF-2E47-8767-0A3851C7D697}" name="EXT4-write2" type="6" refreshedVersion="7" background="1" saveData="1">
    <textPr firstRow="6" sourceFile="/Users/sohailshaikh/Library/CloudStorage/OneDrive-Personal/Documents/GMU/CS 571 Spring 2022 - Cheng/EXT4-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1" xr16:uid="{84784379-9C80-C44C-B905-8DD42DFD5C51}" name="F2FS" type="6" refreshedVersion="7" background="1" saveData="1">
    <textPr sourceFile="/Users/sohailshaikh/Library/CloudStorage/OneDrive-Personal/Documents/GMU/CS 571 Spring 2022 - Cheng/F2FS.csv" comma="1">
      <textFields count="8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2" xr16:uid="{9F219858-BD0F-DA4C-9FE7-A8A345E8E747}" name="F2FS-read" type="6" refreshedVersion="7" background="1" saveData="1">
    <textPr sourceFile="/Users/sohailshaikh/Library/CloudStorage/OneDrive-Personal/Documents/GMU/CS 571 Spring 2022 - Cheng/F2FS-read.csv"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3" xr16:uid="{B8029BE8-B33F-E54B-BD4F-17F15D834543}" name="F2FS-read1" type="6" refreshedVersion="7" background="1" saveData="1">
    <textPr sourceFile="/Users/sohailshaikh/Library/CloudStorage/OneDrive-Personal/Documents/GMU/CS 571 Spring 2022 - Cheng/F2FS-read.csv" comma="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4" xr16:uid="{A8DB5CE2-02DB-6C46-86C6-F6F9FADD96CA}" name="F2FS-write" type="6" refreshedVersion="7" background="1" saveData="1">
    <textPr sourceFile="/Users/sohailshaikh/Library/CloudStorage/OneDrive-Personal/Documents/GMU/CS 571 Spring 2022 - Cheng/F2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5" xr16:uid="{D5CE861D-209C-BC47-9252-3D9D3FF8F3B0}" name="F2FS-write1" type="6" refreshedVersion="7" background="1" saveData="1">
    <textPr sourceFile="/Users/sohailshaikh/Library/CloudStorage/OneDrive-Personal/Documents/GMU/CS 571 Spring 2022 - Cheng/F2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6" xr16:uid="{64B21547-0631-4140-AF54-3DE3A8086FBE}" name="F2FS-write11" type="6" refreshedVersion="7" background="1" saveData="1">
    <textPr sourceFile="/Users/sohailshaikh/Library/CloudStorage/OneDrive-Personal/Documents/GMU/CS 571 Spring 2022 - Cheng/F2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7" xr16:uid="{83149A66-6A5D-EF41-B78D-2286596D73FD}" name="XFS" type="6" refreshedVersion="7" background="1" saveData="1">
    <textPr sourceFile="/Users/sohailshaikh/Library/CloudStorage/OneDrive-Personal/Documents/GMU/CS 571 Spring 2022 - Cheng/XFS.csv" comma="1">
      <textFields count="8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8" xr16:uid="{5179117E-A17A-C746-BFD2-25753D240E0A}" name="XFS Stats" type="6" refreshedVersion="7" background="1" saveData="1">
    <textPr sourceFile="/Users/sohailshaikh/Library/CloudStorage/OneDrive-Personal/Documents/GMU/CS 571 Spring 2022 - Cheng/XFS Stats.csv" tab="0" comma="1">
      <textFields count="3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9" xr16:uid="{9319AC4F-5AC4-094D-971B-8ACBBBB7691C}" name="XFS-read" type="6" refreshedVersion="7" background="1" saveData="1">
    <textPr sourceFile="/Users/sohailshaikh/Library/CloudStorage/OneDrive-Personal/Documents/GMU/CS 571 Spring 2022 - Cheng/XFS-read.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0" xr16:uid="{8D5035F7-48EE-074D-8E0A-87FB04542EAA}" name="XFS-read1" type="6" refreshedVersion="7" background="1" saveData="1">
    <textPr sourceFile="/Users/sohailshaikh/Library/CloudStorage/OneDrive-Personal/Documents/GMU/CS 571 Spring 2022 - Cheng/XFS-read.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1" xr16:uid="{D37355BC-3D23-E84A-A04B-9E283EE27E35}" name="XFS-read11" type="6" refreshedVersion="7" background="1" saveData="1">
    <textPr sourceFile="/Users/sohailshaikh/Library/CloudStorage/OneDrive-Personal/Documents/GMU/CS 571 Spring 2022 - Cheng/XFS-read.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2" xr16:uid="{13930CA0-85C9-074F-B105-83F6A75706C3}" name="XFS-write" type="6" refreshedVersion="7" background="1" saveData="1">
    <textPr sourceFile="/Users/sohailshaikh/Library/CloudStorage/OneDrive-Personal/Documents/GMU/CS 571 Spring 2022 - Cheng/X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3" xr16:uid="{16964371-5C36-ED4D-98D5-B9BEEE4567FD}" name="XFS-write11" type="6" refreshedVersion="7" background="1" saveData="1">
    <textPr sourceFile="/Users/sohailshaikh/Library/CloudStorage/OneDrive-Personal/Documents/GMU/CS 571 Spring 2022 - Cheng/X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4" xr16:uid="{EBCA666D-8067-0B48-A09C-ED511CE06D20}" name="XFS-write111" type="6" refreshedVersion="7" background="1" saveData="1">
    <textPr sourceFile="/Users/sohailshaikh/Library/CloudStorage/OneDrive-Personal/Documents/GMU/CS 571 Spring 2022 - Cheng/X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5" xr16:uid="{77025661-C478-9741-BF0D-18570775BA65}" name="XFS-write3" type="6" refreshedVersion="7" background="1" saveData="1">
    <textPr sourceFile="/Users/sohailshaikh/Library/CloudStorage/OneDrive-Personal/Documents/GMU/CS 571 Spring 2022 - Cheng/X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6" xr16:uid="{D0E5B003-7A9C-004A-A451-0B0AC69D4B02}" name="XFS-write4" type="6" refreshedVersion="7" background="1" saveData="1">
    <textPr sourceFile="/Users/sohailshaikh/Library/CloudStorage/OneDrive-Personal/Documents/GMU/CS 571 Spring 2022 - Cheng/XFS-write.csv"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<sst xmlns="http://schemas.openxmlformats.org/spreadsheetml/2006/main" count="2008" uniqueCount="312">
  <si>
    <t>Folders</t>
  </si>
  <si>
    <t>Files/Folder</t>
  </si>
  <si>
    <t>Files</t>
  </si>
  <si>
    <t>Threads</t>
  </si>
  <si>
    <t>fs[0]</t>
  </si>
  <si>
    <t>fs[1]</t>
  </si>
  <si>
    <t>fs[2]</t>
  </si>
  <si>
    <t>fs[3]</t>
  </si>
  <si>
    <t>fs[4]</t>
  </si>
  <si>
    <t>fs[5]</t>
  </si>
  <si>
    <t>fs[6]</t>
  </si>
  <si>
    <t>fs[7]</t>
  </si>
  <si>
    <t>fs[8]</t>
  </si>
  <si>
    <t>fs[9]</t>
  </si>
  <si>
    <t>ws[0]</t>
  </si>
  <si>
    <t>ws[1]</t>
  </si>
  <si>
    <t>ws[2]</t>
  </si>
  <si>
    <t>ws[3]</t>
  </si>
  <si>
    <t>ws[4]</t>
  </si>
  <si>
    <t>ws[5]</t>
  </si>
  <si>
    <t>ws[6]</t>
  </si>
  <si>
    <t>ws[7]</t>
  </si>
  <si>
    <t>ws[8]</t>
  </si>
  <si>
    <t>ws[9]</t>
  </si>
  <si>
    <t>Files Create Time</t>
  </si>
  <si>
    <t>Folders Create Time</t>
  </si>
  <si>
    <t>Files Create Min</t>
  </si>
  <si>
    <t>Files Create Max</t>
  </si>
  <si>
    <t>Files Create Avg.</t>
  </si>
  <si>
    <t>df -h</t>
  </si>
  <si>
    <t>13M</t>
  </si>
  <si>
    <t>67M</t>
  </si>
  <si>
    <t>8.5G</t>
  </si>
  <si>
    <t>85G</t>
  </si>
  <si>
    <t>841G</t>
  </si>
  <si>
    <t>851G</t>
  </si>
  <si>
    <t>864G</t>
  </si>
  <si>
    <t>df -h (used)</t>
  </si>
  <si>
    <t>Filesystem</t>
  </si>
  <si>
    <t>BtrFS</t>
  </si>
  <si>
    <t>Stats Processing Start Time</t>
  </si>
  <si>
    <t>Stats Processing End Time</t>
  </si>
  <si>
    <t>Processing Time Consumed</t>
  </si>
  <si>
    <t>Capture Start Time</t>
  </si>
  <si>
    <t>Capture End Time</t>
  </si>
  <si>
    <t>Total Capture Time</t>
  </si>
  <si>
    <t>Size Bin</t>
  </si>
  <si>
    <t>Count</t>
  </si>
  <si>
    <t>0-1K</t>
  </si>
  <si>
    <t>1K-2K</t>
  </si>
  <si>
    <t>2K-3K</t>
  </si>
  <si>
    <t>3K-4K</t>
  </si>
  <si>
    <t>4K-5K</t>
  </si>
  <si>
    <t>5K-6K</t>
  </si>
  <si>
    <t>6K-7K</t>
  </si>
  <si>
    <t>7K-8K</t>
  </si>
  <si>
    <t>8K-9K</t>
  </si>
  <si>
    <t>9K-10K</t>
  </si>
  <si>
    <t>Write Speed</t>
  </si>
  <si>
    <t>Count-3t</t>
  </si>
  <si>
    <t>Count-2t</t>
  </si>
  <si>
    <t>Count-1t</t>
  </si>
  <si>
    <t>XFS</t>
  </si>
  <si>
    <t>df -i</t>
  </si>
  <si>
    <t>78G</t>
  </si>
  <si>
    <t>79G</t>
  </si>
  <si>
    <t>86G</t>
  </si>
  <si>
    <t>157G</t>
  </si>
  <si>
    <t>7.8T</t>
  </si>
  <si>
    <t>EXT4</t>
  </si>
  <si>
    <t>7.2T</t>
  </si>
  <si>
    <t>738G</t>
  </si>
  <si>
    <t>74G</t>
  </si>
  <si>
    <t>7.5G</t>
  </si>
  <si>
    <t>840M</t>
  </si>
  <si>
    <t>161M</t>
  </si>
  <si>
    <t>86M</t>
  </si>
  <si>
    <t>8.3T</t>
  </si>
  <si>
    <t>TP[1]</t>
  </si>
  <si>
    <t>ws[10]</t>
  </si>
  <si>
    <t>ws[11]</t>
  </si>
  <si>
    <t>ws[12]</t>
  </si>
  <si>
    <t>ws[13]</t>
  </si>
  <si>
    <t>ws[14]</t>
  </si>
  <si>
    <t>ws[15]</t>
  </si>
  <si>
    <t>ws[16]</t>
  </si>
  <si>
    <t>ws[17]</t>
  </si>
  <si>
    <t>ws[18]</t>
  </si>
  <si>
    <t>ws[19]</t>
  </si>
  <si>
    <t>Folders Total Create Time</t>
  </si>
  <si>
    <t>Files Total Write Time</t>
  </si>
  <si>
    <t>Files Create Min Time</t>
  </si>
  <si>
    <t>Files Create Max Time</t>
  </si>
  <si>
    <t>Files Create Ave Time</t>
  </si>
  <si>
    <t>Files Cumulative Data (bytes)</t>
  </si>
  <si>
    <t>Files Average Size (bytes)</t>
  </si>
  <si>
    <t>File system Throuput Ave (MB/sec)</t>
  </si>
  <si>
    <t>TP[2]</t>
  </si>
  <si>
    <t>TP[3]</t>
  </si>
  <si>
    <t>TP[4]</t>
  </si>
  <si>
    <t>TP[5]</t>
  </si>
  <si>
    <t>TP[6]</t>
  </si>
  <si>
    <t>TP[7]</t>
  </si>
  <si>
    <t>TP[8]</t>
  </si>
  <si>
    <t>TP[9]</t>
  </si>
  <si>
    <t>TP[10]</t>
  </si>
  <si>
    <t>TP[11]</t>
  </si>
  <si>
    <t>TP[12]</t>
  </si>
  <si>
    <t>TP[13]</t>
  </si>
  <si>
    <t>TP[14]</t>
  </si>
  <si>
    <t>TP[15]</t>
  </si>
  <si>
    <t>TP[16]</t>
  </si>
  <si>
    <t>TP[17]</t>
  </si>
  <si>
    <t>TP[18]</t>
  </si>
  <si>
    <t>TP[19]</t>
  </si>
  <si>
    <t>TP[20]</t>
  </si>
  <si>
    <t>Total Storage Space</t>
  </si>
  <si>
    <t>Free Space Before</t>
  </si>
  <si>
    <t>Free Space After</t>
  </si>
  <si>
    <t>Unallocated Space Before</t>
  </si>
  <si>
    <t>Unallocated Space After</t>
  </si>
  <si>
    <t>Stop Processing Start Time</t>
  </si>
  <si>
    <t>fs[0] - 0~1000</t>
  </si>
  <si>
    <t>fs[1] - 1000~2000</t>
  </si>
  <si>
    <t>fs[2] - 2000~3000</t>
  </si>
  <si>
    <t>fs[3] = 3000~4000</t>
  </si>
  <si>
    <t>fs[4] - 4000~5000</t>
  </si>
  <si>
    <t>fs[5] - 5000~6000</t>
  </si>
  <si>
    <t>fs[6] - 6000~7000</t>
  </si>
  <si>
    <t>fs[7] - 7000~8000</t>
  </si>
  <si>
    <t>fs[8] - 8000~9000</t>
  </si>
  <si>
    <t>fs[9] - 9000~10,000</t>
  </si>
  <si>
    <t>Total Processing Time (seconds)</t>
  </si>
  <si>
    <t>Total Capture Time (hh.mm.ss.000)</t>
  </si>
  <si>
    <t>F2FS</t>
  </si>
  <si>
    <t>1.9T</t>
  </si>
  <si>
    <t>9.4G</t>
  </si>
  <si>
    <t>11G</t>
  </si>
  <si>
    <t>21G</t>
  </si>
  <si>
    <t>1.8T</t>
  </si>
  <si>
    <t>76G</t>
  </si>
  <si>
    <t>ws-0</t>
  </si>
  <si>
    <t>ws-1</t>
  </si>
  <si>
    <t>ws-2</t>
  </si>
  <si>
    <t>ws-3</t>
  </si>
  <si>
    <t>ws-4</t>
  </si>
  <si>
    <t>ws-5</t>
  </si>
  <si>
    <t>ws-6</t>
  </si>
  <si>
    <t>ws-7</t>
  </si>
  <si>
    <t>ws-8</t>
  </si>
  <si>
    <t>ws-9</t>
  </si>
  <si>
    <t>ws-10</t>
  </si>
  <si>
    <t>ws-11</t>
  </si>
  <si>
    <t>ws-12</t>
  </si>
  <si>
    <t>ws-13</t>
  </si>
  <si>
    <t>ws-14</t>
  </si>
  <si>
    <t>ws-15</t>
  </si>
  <si>
    <t>ws-16</t>
  </si>
  <si>
    <t>ws-17</t>
  </si>
  <si>
    <t>ws-18</t>
  </si>
  <si>
    <t>ws-19</t>
  </si>
  <si>
    <t>fs-0</t>
  </si>
  <si>
    <t>fs-1</t>
  </si>
  <si>
    <t>fs-2</t>
  </si>
  <si>
    <t>fs-3</t>
  </si>
  <si>
    <t>fs-4</t>
  </si>
  <si>
    <t>fs-5</t>
  </si>
  <si>
    <t>fs-6</t>
  </si>
  <si>
    <t>fs-7</t>
  </si>
  <si>
    <t>fs-8</t>
  </si>
  <si>
    <t>fs-9</t>
  </si>
  <si>
    <t>Filesystem throughput (MB/sec)</t>
  </si>
  <si>
    <t>Total space</t>
  </si>
  <si>
    <t>Free space before</t>
  </si>
  <si>
    <t>Folder ID-1</t>
  </si>
  <si>
    <t>Folder ID-2</t>
  </si>
  <si>
    <t>Folder ID-3</t>
  </si>
  <si>
    <t>Folder ID-4</t>
  </si>
  <si>
    <t>Folder ID-5</t>
  </si>
  <si>
    <t>Folder ID-6</t>
  </si>
  <si>
    <t>Folder ID-7</t>
  </si>
  <si>
    <t>Folder ID-8</t>
  </si>
  <si>
    <t>Folder ID-9</t>
  </si>
  <si>
    <t>Folder ID-10</t>
  </si>
  <si>
    <t>Folder ID-11</t>
  </si>
  <si>
    <t>Folder ID-12</t>
  </si>
  <si>
    <t>Folder ID-13</t>
  </si>
  <si>
    <t>Folder ID-14</t>
  </si>
  <si>
    <t>Folder ID-15</t>
  </si>
  <si>
    <t>Folder ID-16</t>
  </si>
  <si>
    <t>Folder ID-17</t>
  </si>
  <si>
    <t>Folder ID-18</t>
  </si>
  <si>
    <t>Folder ID-19</t>
  </si>
  <si>
    <t>Folder ID-20</t>
  </si>
  <si>
    <t>Free space after</t>
  </si>
  <si>
    <t>Unallocated space before</t>
  </si>
  <si>
    <t>Unallocated space after</t>
  </si>
  <si>
    <t>Total Inodes</t>
  </si>
  <si>
    <t>Inodes Used</t>
  </si>
  <si>
    <t>Inodes Remaining</t>
  </si>
  <si>
    <t>Inodes Used %</t>
  </si>
  <si>
    <t>Total Disk Space</t>
  </si>
  <si>
    <t>Disk Space Used</t>
  </si>
  <si>
    <t>Disk Space Remaining</t>
  </si>
  <si>
    <t>Disk Space Used %</t>
  </si>
  <si>
    <t>Total Disk Blocks</t>
  </si>
  <si>
    <t>Disk Blocks Used</t>
  </si>
  <si>
    <t>Disk Blocks Remaining</t>
  </si>
  <si>
    <t>Disk Blocks Used %</t>
  </si>
  <si>
    <t>11T</t>
  </si>
  <si>
    <t>92G</t>
  </si>
  <si>
    <t>183G</t>
  </si>
  <si>
    <t>883G</t>
  </si>
  <si>
    <t>Folder Create Ave. Time</t>
  </si>
  <si>
    <t>840G</t>
  </si>
  <si>
    <t>File Create Ave Time</t>
  </si>
  <si>
    <t>9.0T</t>
  </si>
  <si>
    <t>EXT</t>
  </si>
  <si>
    <t>3.2T</t>
  </si>
  <si>
    <t>3.0T</t>
  </si>
  <si>
    <t>File Average Size</t>
  </si>
  <si>
    <t>File Cumulative Data</t>
  </si>
  <si>
    <t>Space used</t>
  </si>
  <si>
    <t>Start Time (real)</t>
  </si>
  <si>
    <t>Start Time (nsec)</t>
  </si>
  <si>
    <t>File Read Time</t>
  </si>
  <si>
    <t>File Total Data</t>
  </si>
  <si>
    <t>File Read Time (min)</t>
  </si>
  <si>
    <t>File Read Time (max)</t>
  </si>
  <si>
    <t>File Read Time (ave)</t>
  </si>
  <si>
    <t>Failed Checksum</t>
  </si>
  <si>
    <t>Total File Read Time by Folder</t>
  </si>
  <si>
    <t>rb-0</t>
  </si>
  <si>
    <t>rb-1</t>
  </si>
  <si>
    <t>rb-2</t>
  </si>
  <si>
    <t>rb-3</t>
  </si>
  <si>
    <t>rb-4</t>
  </si>
  <si>
    <t>rb-5</t>
  </si>
  <si>
    <t>rb-6</t>
  </si>
  <si>
    <t>rb-7</t>
  </si>
  <si>
    <t>rb-8</t>
  </si>
  <si>
    <t>rb-9</t>
  </si>
  <si>
    <t>rb-10</t>
  </si>
  <si>
    <t>rb-11</t>
  </si>
  <si>
    <t>rb-12</t>
  </si>
  <si>
    <t>rb-13</t>
  </si>
  <si>
    <t>rb-14</t>
  </si>
  <si>
    <t>rb-15</t>
  </si>
  <si>
    <t>rb-16</t>
  </si>
  <si>
    <t>rb-17</t>
  </si>
  <si>
    <t>rb-18</t>
  </si>
  <si>
    <t>rb-19</t>
  </si>
  <si>
    <t>End Time (real)</t>
  </si>
  <si>
    <t>End Time (nsec)</t>
  </si>
  <si>
    <t>3.7T</t>
  </si>
  <si>
    <t>105G</t>
  </si>
  <si>
    <t>3.6T</t>
  </si>
  <si>
    <t>3.4T</t>
  </si>
  <si>
    <t>3.1T</t>
  </si>
  <si>
    <t>2.5T</t>
  </si>
  <si>
    <t>Space Used</t>
  </si>
  <si>
    <t>Allocated Space</t>
  </si>
  <si>
    <t>Processing Time</t>
  </si>
  <si>
    <t>10M</t>
  </si>
  <si>
    <t>SEQ</t>
  </si>
  <si>
    <t>RND</t>
  </si>
  <si>
    <t>100M</t>
  </si>
  <si>
    <t>Type</t>
  </si>
  <si>
    <t>Processing Time (nsec)</t>
  </si>
  <si>
    <t>Elapsed Time (real)</t>
  </si>
  <si>
    <t>812G</t>
  </si>
  <si>
    <t>2.9T</t>
  </si>
  <si>
    <t>Missing EXT4 RND</t>
  </si>
  <si>
    <t>BTRFS</t>
  </si>
  <si>
    <t>-</t>
  </si>
  <si>
    <t>839G</t>
  </si>
  <si>
    <t>1M</t>
  </si>
  <si>
    <t>6M</t>
  </si>
  <si>
    <t>Elapsed Time (min)</t>
  </si>
  <si>
    <t>Disk Utilization Overheads</t>
  </si>
  <si>
    <t>Disk Utilization Overhead</t>
  </si>
  <si>
    <t>Disk I/O Overheads</t>
  </si>
  <si>
    <t>Total</t>
  </si>
  <si>
    <t>Java</t>
  </si>
  <si>
    <t>I/O</t>
  </si>
  <si>
    <t>Files Create Avg. (msec)</t>
  </si>
  <si>
    <t>Files Create Min (msec)</t>
  </si>
  <si>
    <t>Read Throuput (MB/s)</t>
  </si>
  <si>
    <t>Files Read per Second</t>
  </si>
  <si>
    <t>2.3T</t>
  </si>
  <si>
    <t>4K blocks written per second</t>
  </si>
  <si>
    <t>4K blocks Written Per Second</t>
  </si>
  <si>
    <t xml:space="preserve"> basline</t>
  </si>
  <si>
    <t xml:space="preserve"> baseline</t>
  </si>
  <si>
    <t>1st run</t>
  </si>
  <si>
    <t>Dry run</t>
  </si>
  <si>
    <t>Baseline</t>
  </si>
  <si>
    <t>Run Type</t>
  </si>
  <si>
    <t>Disk Latency</t>
  </si>
  <si>
    <t>2nd run</t>
  </si>
  <si>
    <t>Following are general notes so reader can understand the evolution of the project over the past three months.</t>
  </si>
  <si>
    <t>There are several tabs capturing metrics generated by the application.</t>
  </si>
  <si>
    <t>Several test were repeated, at least initially to understand different filesystem behaviour. EXT4 was the guineapig! Most of the application development used EXT4 as the filesystem for experiments.</t>
  </si>
  <si>
    <t>Version 1 of the application uses only 10 buckets for folder performance. Version 2 incorporated 20 buckets and several other enhancements therefore the reader will see two sets of tabs: one with output from version 1 on the left and ones with output from version 2 on the right.</t>
  </si>
  <si>
    <t>You will also see all three i.e. EXT4, XFS and BtrFS reached 1 billion files goal. However, F2FS was not able to increase beyond 6 million inodes.</t>
  </si>
  <si>
    <t>Most of the graphs generated were incorporated.</t>
  </si>
  <si>
    <t>Combined-write and Combined-read tab incoporated all filesystems to compare with each other.</t>
  </si>
  <si>
    <t>Blocks-write tab is used for develop blocks/sec metrics</t>
  </si>
  <si>
    <t>To understand some of these spreadsheets, reader needs to look at the paper and the raw logs files that were generated by the application.</t>
  </si>
  <si>
    <t>Thanks</t>
  </si>
  <si>
    <t>Sohail Shaikh</t>
  </si>
  <si>
    <t>Notes for Billion-file Filesystem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</si>
</sst>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h:mm:ss.000"/>
    <numFmt numFmtId="165" formatCode="hh:mm:ss.000"/>
    <numFmt numFmtId="166" formatCode="_(* #,##0_);_(* \(#,##0\);_(* &quot;-&quot;??_);_(@_)"/>
    <numFmt numFmtId="167" formatCode="0.0%"/>
    <numFmt numFmtId="168" formatCode="0.0000%"/>
    <numFmt numFmtId="169" formatCode="0.0000"/>
    <numFmt numFmtId="170" formatCode="0.000000"/>
    <numFmt numFmtId="171" formatCode="0.000"/>
  </numFmts>
  <fonts count="10" x14ac:knownFonts="1">
    <font>
      <sz val="12"/>
      <color theme="1"/>
      <name val="Calibri"/>
      <family val="2"/>
      <scheme val="minor"/>
    </font>
    <font>
      <b/>
      <sz val="12"/>
      <color theme="1"/>
      <name val="Calibri"/>
      <family val="2"/>
      <scheme val="minor"/>
    </font>
    <font>
      <sz val="11.5"/>
      <color rgb="FF222222"/>
      <name val="Arial"/>
      <family val="2"/>
    </font>
    <font>
      <i/>
      <sz val="12"/>
      <color theme="1"/>
      <name val="Calibri"/>
      <family val="2"/>
      <scheme val="minor"/>
    </font>
    <font>
      <sz val="8"/>
      <name val="Calibri"/>
      <family val="2"/>
      <scheme val="minor"/>
    </font>
    <font>
      <sz val="12"/>
      <color theme="1"/>
      <name val="Calibri"/>
      <family val="2"/>
      <scheme val="minor"/>
    </font>
    <font>
      <sz val="12"/>
      <color rgb="FF000000"/>
      <name val="Calibri"/>
      <family val="2"/>
      <scheme val="minor"/>
    </font>
    <font>
      <sz val="12"/>
      <color rgb="FF222222"/>
      <name val="Calibri"/>
      <family val="2"/>
      <scheme val="minor"/>
    </font>
    <font>
      <sz val="12"/>
      <color rgb="FFFF0000"/>
      <name val="Calibri"/>
      <family val="2"/>
      <scheme val="minor"/>
    </font>
    <font>
      <b/>
      <sz val="1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199">
    <xf numFmtId="0" fontId="0" fillId="0" borderId="0" xfId="0"/>
    <xf numFmtId="0" fontId="2" fillId="0" borderId="0" xfId="0" applyFont="1"/>
    <xf numFmtId="1" fontId="0" fillId="0" borderId="0" xfId="0" applyNumberFormat="1"/>
    <xf numFmtId="1" fontId="1" fillId="0" borderId="0" xfId="0" applyNumberFormat="1" applyFont="1" applyAlignment="1">
      <alignment horizontal="center" wrapText="1"/>
    </xf>
    <xf numFmtId="0" fontId="1" fillId="0" borderId="0" xfId="0" applyFont="1" applyAlignment="1">
      <alignment horizontal="center" wrapText="1"/>
    </xf>
    <xf numFmtId="0" fontId="0" fillId="0" borderId="0" xfId="0" applyAlignment="1">
      <alignment wrapText="1"/>
    </xf>
    <xf numFmtId="0" fontId="0" fillId="0" borderId="0" xfId="0" applyAlignment="1">
      <alignment horizontal="right"/>
    </xf>
    <xf numFmtId="164" fontId="0" fillId="0" borderId="0" xfId="0" applyNumberFormat="1"/>
    <xf numFmtId="0" fontId="1" fillId="2" borderId="0" xfId="0" applyFont="1" applyFill="1" applyAlignment="1">
      <alignment horizontal="center" wrapText="1"/>
    </xf>
    <xf numFmtId="0" fontId="1" fillId="3" borderId="0" xfId="0" applyFont="1" applyFill="1" applyAlignment="1">
      <alignment horizontal="center" wrapText="1"/>
    </xf>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0" xfId="0" applyFont="1" applyAlignment="1">
      <alignment horizontal="right"/>
    </xf>
    <xf numFmtId="165" fontId="0" fillId="0" borderId="0" xfId="0" applyNumberFormat="1"/>
    <xf numFmtId="166" fontId="0" fillId="0" borderId="0" xfId="1" applyNumberFormat="1" applyFont="1"/>
    <xf numFmtId="166" fontId="0" fillId="0" borderId="0" xfId="0" applyNumberFormat="1"/>
    <xf numFmtId="166" fontId="6" fillId="0" borderId="0" xfId="0" applyNumberFormat="1" applyFont="1"/>
    <xf numFmtId="9" fontId="0" fillId="0" borderId="0" xfId="0" applyNumberFormat="1"/>
    <xf numFmtId="0" fontId="1" fillId="0" borderId="3" xfId="0" applyFont="1" applyBorder="1" applyAlignment="1">
      <alignment horizontal="center" textRotation="90" wrapText="1"/>
    </xf>
    <xf numFmtId="1" fontId="1" fillId="0" borderId="3" xfId="0" applyNumberFormat="1" applyFont="1" applyBorder="1" applyAlignment="1">
      <alignment horizontal="center" textRotation="90" wrapText="1"/>
    </xf>
    <xf numFmtId="0" fontId="1" fillId="2" borderId="3" xfId="0" applyFont="1" applyFill="1" applyBorder="1" applyAlignment="1">
      <alignment horizontal="center" textRotation="90" wrapText="1"/>
    </xf>
    <xf numFmtId="0" fontId="1" fillId="3" borderId="3" xfId="0" applyFont="1" applyFill="1" applyBorder="1" applyAlignment="1">
      <alignment horizontal="center" textRotation="90" wrapText="1"/>
    </xf>
    <xf numFmtId="0" fontId="1" fillId="4" borderId="3" xfId="0" applyFont="1" applyFill="1" applyBorder="1" applyAlignment="1">
      <alignment horizontal="center" textRotation="90" wrapText="1"/>
    </xf>
    <xf numFmtId="0" fontId="0" fillId="0" borderId="3" xfId="0" applyBorder="1"/>
    <xf numFmtId="164" fontId="0" fillId="0" borderId="3" xfId="0" applyNumberFormat="1" applyBorder="1"/>
    <xf numFmtId="166" fontId="0" fillId="0" borderId="3" xfId="1" applyNumberFormat="1" applyFont="1" applyBorder="1"/>
    <xf numFmtId="1" fontId="0" fillId="0" borderId="3" xfId="0" applyNumberFormat="1" applyBorder="1"/>
    <xf numFmtId="165" fontId="0" fillId="0" borderId="3" xfId="0" applyNumberFormat="1" applyBorder="1"/>
    <xf numFmtId="9" fontId="0" fillId="0" borderId="3" xfId="0" applyNumberFormat="1" applyBorder="1"/>
    <xf numFmtId="43" fontId="0" fillId="0" borderId="0" xfId="0" applyNumberFormat="1"/>
    <xf numFmtId="0" fontId="1" fillId="0" borderId="3" xfId="0" applyFont="1" applyBorder="1" applyAlignment="1">
      <alignment horizontal="center" textRotation="45" wrapText="1"/>
    </xf>
    <xf numFmtId="1" fontId="1" fillId="0" borderId="3" xfId="0" applyNumberFormat="1" applyFont="1" applyBorder="1" applyAlignment="1">
      <alignment horizontal="center" textRotation="45" wrapText="1"/>
    </xf>
    <xf numFmtId="0" fontId="1" fillId="2" borderId="3" xfId="0" applyFont="1" applyFill="1" applyBorder="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textRotation="45" wrapText="1"/>
    </xf>
    <xf numFmtId="0" fontId="0" fillId="0" borderId="0" xfId="0" applyAlignment="1">
      <alignment textRotation="45"/>
    </xf>
    <xf numFmtId="1" fontId="0" fillId="0" borderId="0" xfId="1" applyNumberFormat="1" applyFont="1"/>
    <xf numFmtId="0" fontId="0" fillId="0" borderId="0" xfId="0" applyFont="1"/>
    <xf numFmtId="165" fontId="0" fillId="0" borderId="0" xfId="0" applyNumberFormat="1" applyFont="1"/>
    <xf numFmtId="1" fontId="0" fillId="0" borderId="0" xfId="0" applyNumberFormat="1" applyFont="1"/>
    <xf numFmtId="9" fontId="0" fillId="0" borderId="0" xfId="0" applyNumberFormat="1" applyFont="1"/>
    <xf numFmtId="1" fontId="7" fillId="0" borderId="0" xfId="0" applyNumberFormat="1" applyFont="1"/>
    <xf numFmtId="9" fontId="7" fillId="0" borderId="0" xfId="0" applyNumberFormat="1" applyFont="1"/>
    <xf numFmtId="0" fontId="7" fillId="0" borderId="0" xfId="0" applyFont="1"/>
    <xf numFmtId="0" fontId="0" fillId="0" borderId="0" xfId="0" applyAlignment="1">
      <alignment textRotation="90"/>
    </xf>
    <xf numFmtId="165" fontId="0" fillId="0" borderId="0" xfId="0" applyNumberFormat="1" applyAlignment="1">
      <alignment horizontal="center" vertical="top" textRotation="90"/>
    </xf>
    <xf numFmtId="1" fontId="0" fillId="0" borderId="0" xfId="0" applyNumberFormat="1" applyAlignment="1">
      <alignment horizontal="center" vertical="top" textRotation="90"/>
    </xf>
    <xf numFmtId="166" fontId="0" fillId="0" borderId="0" xfId="1" applyNumberFormat="1" applyFont="1" applyAlignment="1">
      <alignment horizontal="center" vertical="top" textRotation="90"/>
    </xf>
    <xf numFmtId="0" fontId="0" fillId="0" borderId="0" xfId="0" applyAlignment="1">
      <alignment horizontal="center" vertical="top" textRotation="90"/>
    </xf>
    <xf numFmtId="9" fontId="0" fillId="0" borderId="0" xfId="0" applyNumberFormat="1" applyAlignment="1">
      <alignment horizontal="center" vertical="top" textRotation="90"/>
    </xf>
    <xf numFmtId="0" fontId="1" fillId="0" borderId="0" xfId="0" applyFont="1" applyAlignment="1">
      <alignment horizontal="center" textRotation="90"/>
    </xf>
    <xf numFmtId="47" fontId="0" fillId="0" borderId="0" xfId="0" applyNumberFormat="1"/>
    <xf numFmtId="1" fontId="1" fillId="0" borderId="0" xfId="0" applyNumberFormat="1" applyFont="1" applyAlignment="1">
      <alignment horizontal="center" vertical="top" textRotation="90"/>
    </xf>
    <xf numFmtId="0" fontId="8" fillId="0" borderId="0" xfId="0" applyFont="1"/>
    <xf numFmtId="0" fontId="1" fillId="2" borderId="0" xfId="0" applyFont="1" applyFill="1" applyAlignment="1">
      <alignment horizontal="center" textRotation="90"/>
    </xf>
    <xf numFmtId="47" fontId="0" fillId="0" borderId="0" xfId="0" applyNumberFormat="1" applyAlignment="1">
      <alignment horizontal="center" vertical="top" textRotation="90"/>
    </xf>
    <xf numFmtId="2" fontId="0" fillId="0" borderId="0" xfId="0" applyNumberFormat="1" applyAlignment="1">
      <alignment horizontal="center" vertical="top" textRotation="90"/>
    </xf>
    <xf numFmtId="0" fontId="0" fillId="0" borderId="0" xfId="0" applyAlignment="1">
      <alignment horizontal="center" vertical="top"/>
    </xf>
    <xf numFmtId="0" fontId="1" fillId="0" borderId="3" xfId="0" applyFont="1" applyBorder="1" applyAlignment="1">
      <alignment horizontal="center" wrapText="1"/>
    </xf>
    <xf numFmtId="1" fontId="1" fillId="0" borderId="3" xfId="0" applyNumberFormat="1" applyFont="1" applyBorder="1" applyAlignment="1">
      <alignment horizontal="center" wrapText="1"/>
    </xf>
    <xf numFmtId="1" fontId="0" fillId="0" borderId="0" xfId="0" applyNumberFormat="1" applyAlignment="1">
      <alignment horizontal="center" vertical="top"/>
    </xf>
    <xf numFmtId="165" fontId="0" fillId="0" borderId="0" xfId="0" applyNumberFormat="1" applyAlignment="1">
      <alignment horizontal="center" vertical="top"/>
    </xf>
    <xf numFmtId="9" fontId="0" fillId="0" borderId="0" xfId="0" applyNumberFormat="1" applyAlignment="1">
      <alignment horizontal="center" vertical="top"/>
    </xf>
    <xf numFmtId="2" fontId="0" fillId="0" borderId="0" xfId="0" applyNumberFormat="1" applyAlignment="1">
      <alignment horizontal="center" vertical="top"/>
    </xf>
    <xf numFmtId="166" fontId="0" fillId="0" borderId="0" xfId="1" applyNumberFormat="1" applyFont="1" applyAlignment="1">
      <alignment horizontal="center" vertical="top"/>
    </xf>
    <xf numFmtId="10" fontId="0" fillId="0" borderId="0" xfId="2" applyNumberFormat="1" applyFont="1"/>
    <xf numFmtId="167" fontId="0" fillId="0" borderId="0" xfId="2" applyNumberFormat="1" applyFont="1" applyAlignment="1">
      <alignment horizontal="center" vertical="top" textRotation="90"/>
    </xf>
    <xf numFmtId="10" fontId="0" fillId="0" borderId="0" xfId="2" applyNumberFormat="1" applyFont="1" applyAlignment="1">
      <alignment horizontal="center" vertical="top"/>
    </xf>
    <xf numFmtId="0" fontId="0" fillId="0" borderId="0" xfId="0" applyAlignment="1"/>
    <xf numFmtId="0" fontId="1" fillId="2" borderId="3" xfId="0" applyFont="1" applyFill="1" applyBorder="1" applyAlignment="1">
      <alignment horizontal="center" wrapText="1"/>
    </xf>
    <xf numFmtId="0" fontId="1" fillId="3" borderId="3" xfId="0" applyFont="1" applyFill="1" applyBorder="1" applyAlignment="1">
      <alignment horizontal="center" wrapText="1"/>
    </xf>
    <xf numFmtId="0" fontId="1" fillId="4" borderId="3" xfId="0" applyFont="1" applyFill="1" applyBorder="1" applyAlignment="1">
      <alignment horizontal="center" wrapText="1"/>
    </xf>
    <xf numFmtId="1" fontId="0" fillId="0" borderId="0" xfId="0" applyNumberFormat="1" applyFill="1" applyAlignment="1">
      <alignment horizontal="center" vertical="top" textRotation="90"/>
    </xf>
    <xf numFmtId="0" fontId="0" fillId="0" borderId="0" xfId="0" applyFill="1" applyAlignment="1">
      <alignment horizontal="center" vertical="top" textRotation="90"/>
    </xf>
    <xf numFmtId="0" fontId="0" fillId="0" borderId="0" xfId="0" applyFill="1" applyAlignment="1">
      <alignment textRotation="90"/>
    </xf>
    <xf numFmtId="165" fontId="0" fillId="0" borderId="0" xfId="0" applyNumberFormat="1" applyFill="1" applyAlignment="1">
      <alignment horizontal="center" vertical="top" textRotation="90"/>
    </xf>
    <xf numFmtId="9" fontId="0" fillId="0" borderId="0" xfId="0" applyNumberFormat="1" applyFill="1" applyAlignment="1">
      <alignment horizontal="center" vertical="top" textRotation="90"/>
    </xf>
    <xf numFmtId="167" fontId="0" fillId="0" borderId="0" xfId="2" applyNumberFormat="1" applyFont="1" applyFill="1" applyAlignment="1">
      <alignment horizontal="center" vertical="top" textRotation="90"/>
    </xf>
    <xf numFmtId="168" fontId="0" fillId="0" borderId="0" xfId="2" applyNumberFormat="1" applyFont="1" applyFill="1" applyAlignment="1">
      <alignment horizontal="right" vertical="center"/>
    </xf>
    <xf numFmtId="0" fontId="0" fillId="0" borderId="0" xfId="0" applyAlignment="1">
      <alignment horizontal="right" vertical="center"/>
    </xf>
    <xf numFmtId="166" fontId="0" fillId="0" borderId="0" xfId="1" applyNumberFormat="1" applyFont="1" applyAlignment="1">
      <alignment horizontal="right" vertical="center"/>
    </xf>
    <xf numFmtId="166" fontId="0" fillId="0" borderId="0" xfId="1" applyNumberFormat="1" applyFont="1" applyFill="1" applyAlignment="1">
      <alignment horizontal="right" vertical="center"/>
    </xf>
    <xf numFmtId="168" fontId="0" fillId="0" borderId="0" xfId="2" applyNumberFormat="1" applyFont="1" applyFill="1" applyAlignment="1">
      <alignment horizontal="center" vertical="top" textRotation="90"/>
    </xf>
    <xf numFmtId="168" fontId="0" fillId="0" borderId="0" xfId="2" applyNumberFormat="1" applyFont="1" applyAlignment="1">
      <alignment horizontal="center" vertical="top" textRotation="90"/>
    </xf>
    <xf numFmtId="169" fontId="0" fillId="0" borderId="0" xfId="0" applyNumberFormat="1"/>
    <xf numFmtId="10" fontId="0" fillId="0" borderId="0" xfId="2" applyNumberFormat="1" applyFont="1" applyAlignment="1">
      <alignment horizontal="center" vertical="top" textRotation="90"/>
    </xf>
    <xf numFmtId="169" fontId="0" fillId="0" borderId="0" xfId="0" applyNumberFormat="1" applyAlignment="1">
      <alignment horizontal="center" vertical="top" textRotation="90"/>
    </xf>
    <xf numFmtId="2" fontId="0" fillId="0" borderId="0" xfId="0" applyNumberFormat="1"/>
    <xf numFmtId="0" fontId="1" fillId="0" borderId="0" xfId="0" applyFont="1" applyAlignment="1">
      <alignment horizontal="center" vertical="top" textRotation="90"/>
    </xf>
    <xf numFmtId="0" fontId="0" fillId="6" borderId="0" xfId="0" applyFill="1"/>
    <xf numFmtId="165" fontId="0" fillId="6" borderId="0" xfId="0" applyNumberFormat="1" applyFill="1" applyAlignment="1">
      <alignment horizontal="center" vertical="top" textRotation="90"/>
    </xf>
    <xf numFmtId="1" fontId="0" fillId="6" borderId="0" xfId="0" applyNumberFormat="1" applyFill="1" applyAlignment="1">
      <alignment horizontal="center" vertical="top" textRotation="90"/>
    </xf>
    <xf numFmtId="0" fontId="0" fillId="6" borderId="0" xfId="0" applyFill="1" applyAlignment="1">
      <alignment horizontal="center" vertical="top" textRotation="90"/>
    </xf>
    <xf numFmtId="9" fontId="0" fillId="6" borderId="0" xfId="0" applyNumberFormat="1" applyFill="1" applyAlignment="1">
      <alignment horizontal="center" vertical="top" textRotation="90"/>
    </xf>
    <xf numFmtId="2" fontId="0" fillId="6" borderId="0" xfId="0" applyNumberFormat="1" applyFill="1" applyAlignment="1">
      <alignment horizontal="center" vertical="top" textRotation="90"/>
    </xf>
    <xf numFmtId="10" fontId="0" fillId="6" borderId="0" xfId="2" applyNumberFormat="1" applyFont="1" applyFill="1" applyAlignment="1">
      <alignment horizontal="center" vertical="top" textRotation="90"/>
    </xf>
    <xf numFmtId="166" fontId="0" fillId="6" borderId="0" xfId="1" applyNumberFormat="1" applyFont="1" applyFill="1" applyAlignment="1">
      <alignment horizontal="center" vertical="top" textRotation="90"/>
    </xf>
    <xf numFmtId="2" fontId="0" fillId="0" borderId="0" xfId="0" applyNumberFormat="1" applyFill="1" applyAlignment="1">
      <alignment horizontal="center" vertical="top" textRotation="90"/>
    </xf>
    <xf numFmtId="10" fontId="0" fillId="0" borderId="0" xfId="2" applyNumberFormat="1" applyFont="1" applyFill="1" applyAlignment="1">
      <alignment horizontal="center" vertical="top" textRotation="90"/>
    </xf>
    <xf numFmtId="169" fontId="0" fillId="6" borderId="0" xfId="0" applyNumberFormat="1" applyFill="1" applyAlignment="1">
      <alignment horizontal="center" vertical="top" textRotation="90"/>
    </xf>
    <xf numFmtId="170" fontId="0" fillId="0" borderId="0" xfId="0" applyNumberFormat="1" applyAlignment="1">
      <alignment horizontal="center" vertical="top" textRotation="90"/>
    </xf>
    <xf numFmtId="165" fontId="1" fillId="0" borderId="0" xfId="0" applyNumberFormat="1" applyFont="1" applyAlignment="1">
      <alignment horizontal="center" vertical="top" textRotation="90"/>
    </xf>
    <xf numFmtId="166" fontId="1" fillId="0" borderId="0" xfId="1" applyNumberFormat="1" applyFont="1" applyAlignment="1">
      <alignment horizontal="center" vertical="top" textRotation="90"/>
    </xf>
    <xf numFmtId="169" fontId="1" fillId="0" borderId="0" xfId="0" applyNumberFormat="1" applyFont="1" applyAlignment="1">
      <alignment horizontal="center" vertical="top" textRotation="90"/>
    </xf>
    <xf numFmtId="9" fontId="1" fillId="0" borderId="0" xfId="0" applyNumberFormat="1" applyFont="1" applyAlignment="1">
      <alignment horizontal="center" vertical="top" textRotation="90"/>
    </xf>
    <xf numFmtId="2" fontId="1" fillId="0" borderId="0" xfId="0" applyNumberFormat="1" applyFont="1" applyFill="1" applyAlignment="1">
      <alignment horizontal="center" vertical="top" textRotation="90"/>
    </xf>
    <xf numFmtId="165" fontId="1" fillId="0" borderId="0" xfId="0" applyNumberFormat="1" applyFont="1" applyFill="1" applyAlignment="1">
      <alignment horizontal="center" vertical="top" textRotation="90"/>
    </xf>
    <xf numFmtId="10" fontId="1" fillId="0" borderId="0" xfId="2" applyNumberFormat="1" applyFont="1" applyFill="1" applyAlignment="1">
      <alignment horizontal="center" vertical="top" textRotation="90"/>
    </xf>
    <xf numFmtId="165" fontId="1" fillId="6" borderId="0" xfId="0" applyNumberFormat="1" applyFont="1" applyFill="1" applyAlignment="1">
      <alignment horizontal="center" vertical="top" textRotation="90"/>
    </xf>
    <xf numFmtId="1" fontId="1" fillId="6" borderId="0" xfId="0" applyNumberFormat="1" applyFont="1" applyFill="1" applyAlignment="1">
      <alignment horizontal="center" vertical="top" textRotation="90"/>
    </xf>
    <xf numFmtId="0" fontId="1" fillId="6" borderId="0" xfId="0" applyFont="1" applyFill="1" applyAlignment="1">
      <alignment horizontal="center" vertical="top" textRotation="90"/>
    </xf>
    <xf numFmtId="166" fontId="1" fillId="6" borderId="0" xfId="1" applyNumberFormat="1" applyFont="1" applyFill="1" applyAlignment="1">
      <alignment horizontal="center" vertical="top" textRotation="90"/>
    </xf>
    <xf numFmtId="9" fontId="1" fillId="6" borderId="0" xfId="0" applyNumberFormat="1" applyFont="1" applyFill="1" applyAlignment="1">
      <alignment horizontal="center" vertical="top" textRotation="90"/>
    </xf>
    <xf numFmtId="2" fontId="1" fillId="6" borderId="0" xfId="0" applyNumberFormat="1" applyFont="1" applyFill="1" applyAlignment="1">
      <alignment horizontal="center" vertical="top" textRotation="90"/>
    </xf>
    <xf numFmtId="10" fontId="1" fillId="6" borderId="0" xfId="2" applyNumberFormat="1" applyFont="1" applyFill="1" applyAlignment="1">
      <alignment horizontal="center" vertical="top" textRotation="90"/>
    </xf>
    <xf numFmtId="171" fontId="0" fillId="0" borderId="0" xfId="0" applyNumberFormat="1" applyAlignment="1">
      <alignment horizontal="center" vertical="top" textRotation="90"/>
    </xf>
    <xf numFmtId="43" fontId="0" fillId="0" borderId="0" xfId="1" applyFont="1" applyAlignment="1">
      <alignment horizontal="center" vertical="top" textRotation="90"/>
    </xf>
    <xf numFmtId="166" fontId="0" fillId="0" borderId="0" xfId="0" applyNumberFormat="1" applyAlignment="1"/>
    <xf numFmtId="0" fontId="1" fillId="0" borderId="4" xfId="0" applyFont="1" applyFill="1" applyBorder="1" applyAlignment="1">
      <alignment horizontal="center" wrapText="1"/>
    </xf>
    <xf numFmtId="0" fontId="1" fillId="0" borderId="0" xfId="0" applyFont="1" applyAlignment="1">
      <alignment textRotation="90"/>
    </xf>
    <xf numFmtId="166" fontId="0" fillId="0" borderId="0" xfId="1" applyNumberFormat="1" applyFont="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1" fillId="6" borderId="0" xfId="0" applyFont="1" applyFill="1" applyAlignment="1">
      <alignment horizontal="center" vertical="center"/>
    </xf>
    <xf numFmtId="0" fontId="1" fillId="0" borderId="0" xfId="0" applyFont="1" applyAlignment="1">
      <alignment horizontal="center" vertical="center"/>
    </xf>
    <xf numFmtId="0" fontId="0" fillId="3" borderId="0" xfId="0" applyFill="1" applyAlignment="1">
      <alignment horizontal="right" vertical="center"/>
    </xf>
    <xf numFmtId="0" fontId="1" fillId="6" borderId="0" xfId="0" applyFont="1" applyFill="1" applyAlignment="1">
      <alignment horizontal="right" vertical="center"/>
    </xf>
    <xf numFmtId="0" fontId="1" fillId="0" borderId="0" xfId="0" applyFont="1" applyAlignment="1">
      <alignment horizontal="right" vertical="center"/>
    </xf>
    <xf numFmtId="165" fontId="0" fillId="0" borderId="0" xfId="0" applyNumberFormat="1" applyAlignment="1">
      <alignment horizontal="center" vertical="center"/>
    </xf>
    <xf numFmtId="165" fontId="0" fillId="3" borderId="0" xfId="0" applyNumberFormat="1" applyFill="1" applyAlignment="1">
      <alignment horizontal="center" vertical="center"/>
    </xf>
    <xf numFmtId="165" fontId="1" fillId="6" borderId="0" xfId="0" applyNumberFormat="1" applyFont="1" applyFill="1"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right" vertical="center"/>
    </xf>
    <xf numFmtId="1" fontId="0" fillId="0" borderId="0" xfId="0" applyNumberFormat="1" applyAlignment="1">
      <alignment horizontal="right" vertical="center"/>
    </xf>
    <xf numFmtId="165" fontId="0" fillId="3" borderId="0" xfId="0" applyNumberFormat="1" applyFill="1" applyAlignment="1">
      <alignment horizontal="right" vertical="center"/>
    </xf>
    <xf numFmtId="1" fontId="0" fillId="3" borderId="0" xfId="0" applyNumberFormat="1" applyFill="1" applyAlignment="1">
      <alignment horizontal="right" vertical="center"/>
    </xf>
    <xf numFmtId="165" fontId="1" fillId="6" borderId="0" xfId="0" applyNumberFormat="1" applyFont="1" applyFill="1" applyAlignment="1">
      <alignment horizontal="right" vertical="center"/>
    </xf>
    <xf numFmtId="1" fontId="1" fillId="6" borderId="0" xfId="0" applyNumberFormat="1" applyFont="1" applyFill="1" applyAlignment="1">
      <alignment horizontal="right" vertical="center"/>
    </xf>
    <xf numFmtId="165" fontId="1" fillId="0" borderId="0" xfId="0" applyNumberFormat="1" applyFont="1" applyAlignment="1">
      <alignment horizontal="right" vertical="center"/>
    </xf>
    <xf numFmtId="1" fontId="1" fillId="0" borderId="0" xfId="0" applyNumberFormat="1" applyFont="1" applyAlignment="1">
      <alignment horizontal="right" vertical="center"/>
    </xf>
    <xf numFmtId="166" fontId="0" fillId="3" borderId="0" xfId="1" applyNumberFormat="1" applyFont="1" applyFill="1" applyAlignment="1">
      <alignment horizontal="center" vertical="center"/>
    </xf>
    <xf numFmtId="166" fontId="1" fillId="6" borderId="0" xfId="1" applyNumberFormat="1" applyFont="1" applyFill="1" applyAlignment="1">
      <alignment horizontal="center" vertical="center"/>
    </xf>
    <xf numFmtId="166" fontId="1" fillId="0" borderId="0" xfId="1" applyNumberFormat="1" applyFont="1" applyAlignment="1">
      <alignment horizontal="center" vertical="center"/>
    </xf>
    <xf numFmtId="166" fontId="0" fillId="3" borderId="0" xfId="1" applyNumberFormat="1" applyFont="1" applyFill="1" applyAlignment="1">
      <alignment horizontal="right" vertical="center"/>
    </xf>
    <xf numFmtId="166" fontId="1" fillId="6" borderId="0" xfId="1" applyNumberFormat="1" applyFont="1" applyFill="1" applyAlignment="1">
      <alignment horizontal="right" vertical="center"/>
    </xf>
    <xf numFmtId="166" fontId="1" fillId="0" borderId="0" xfId="1" applyNumberFormat="1" applyFont="1" applyAlignment="1">
      <alignment horizontal="right" vertical="center"/>
    </xf>
    <xf numFmtId="9" fontId="0" fillId="0" borderId="0" xfId="0" applyNumberFormat="1" applyAlignment="1">
      <alignment horizontal="center" vertical="center"/>
    </xf>
    <xf numFmtId="10" fontId="0" fillId="0" borderId="0" xfId="2" applyNumberFormat="1" applyFont="1" applyAlignment="1">
      <alignment horizontal="center" vertical="center"/>
    </xf>
    <xf numFmtId="166" fontId="0" fillId="0" borderId="0" xfId="0" applyNumberFormat="1" applyAlignment="1">
      <alignment vertical="center"/>
    </xf>
    <xf numFmtId="9" fontId="0" fillId="3" borderId="0" xfId="0" applyNumberFormat="1" applyFill="1" applyAlignment="1">
      <alignment horizontal="center" vertical="center"/>
    </xf>
    <xf numFmtId="10" fontId="0" fillId="3" borderId="0" xfId="2" applyNumberFormat="1" applyFont="1" applyFill="1" applyAlignment="1">
      <alignment horizontal="center" vertical="center"/>
    </xf>
    <xf numFmtId="166" fontId="0" fillId="3" borderId="0" xfId="0" applyNumberFormat="1" applyFill="1" applyAlignment="1">
      <alignment vertical="center"/>
    </xf>
    <xf numFmtId="9" fontId="1" fillId="6" borderId="0" xfId="0" applyNumberFormat="1" applyFont="1" applyFill="1" applyAlignment="1">
      <alignment horizontal="center" vertical="center"/>
    </xf>
    <xf numFmtId="10" fontId="1" fillId="6" borderId="0" xfId="2" applyNumberFormat="1" applyFont="1" applyFill="1" applyAlignment="1">
      <alignment horizontal="center" vertical="center"/>
    </xf>
    <xf numFmtId="9" fontId="1" fillId="0" borderId="0" xfId="0" applyNumberFormat="1" applyFont="1" applyAlignment="1">
      <alignment horizontal="center" vertical="center"/>
    </xf>
    <xf numFmtId="165" fontId="1" fillId="0" borderId="0" xfId="0" applyNumberFormat="1" applyFont="1" applyFill="1" applyAlignment="1">
      <alignment horizontal="center" vertical="center"/>
    </xf>
    <xf numFmtId="10" fontId="1" fillId="0" borderId="0" xfId="2" applyNumberFormat="1" applyFont="1" applyFill="1" applyAlignment="1">
      <alignment horizontal="center" vertical="center"/>
    </xf>
    <xf numFmtId="0" fontId="0" fillId="0" borderId="0" xfId="0" applyAlignment="1">
      <alignment vertical="center"/>
    </xf>
    <xf numFmtId="2" fontId="0" fillId="0" borderId="0" xfId="0" applyNumberFormat="1" applyAlignment="1">
      <alignment vertical="center"/>
    </xf>
    <xf numFmtId="166" fontId="0" fillId="0" borderId="0" xfId="1" applyNumberFormat="1" applyFont="1" applyAlignment="1">
      <alignment vertical="center"/>
    </xf>
    <xf numFmtId="169" fontId="1" fillId="0" borderId="0" xfId="0" applyNumberFormat="1" applyFont="1" applyAlignment="1">
      <alignment horizontal="right" vertical="center"/>
    </xf>
    <xf numFmtId="2" fontId="0" fillId="0" borderId="0" xfId="0" applyNumberFormat="1" applyAlignment="1">
      <alignment horizontal="right" vertical="center"/>
    </xf>
    <xf numFmtId="2" fontId="0" fillId="3" borderId="0" xfId="0" applyNumberFormat="1" applyFill="1" applyAlignment="1">
      <alignment horizontal="right" vertical="center"/>
    </xf>
    <xf numFmtId="2" fontId="1" fillId="6" borderId="0" xfId="0" applyNumberFormat="1" applyFont="1" applyFill="1" applyAlignment="1">
      <alignment horizontal="right" vertical="center"/>
    </xf>
    <xf numFmtId="2" fontId="1" fillId="0" borderId="0" xfId="0" applyNumberFormat="1" applyFont="1" applyFill="1" applyAlignment="1">
      <alignment horizontal="right" vertical="center"/>
    </xf>
    <xf numFmtId="0" fontId="0" fillId="0" borderId="0" xfId="0" applyAlignment="1">
      <alignment vertical="top" textRotation="90"/>
    </xf>
    <xf numFmtId="165" fontId="0" fillId="0" borderId="0" xfId="0" applyNumberFormat="1" applyAlignment="1">
      <alignment vertical="top" textRotation="90"/>
    </xf>
    <xf numFmtId="1" fontId="0" fillId="0" borderId="0" xfId="0" applyNumberFormat="1" applyAlignment="1">
      <alignment vertical="top" textRotation="90"/>
    </xf>
    <xf numFmtId="166" fontId="0" fillId="0" borderId="0" xfId="1" applyNumberFormat="1" applyFont="1" applyAlignment="1">
      <alignment vertical="top" textRotation="90"/>
    </xf>
    <xf numFmtId="0" fontId="1" fillId="0" borderId="0" xfId="0" applyFont="1" applyAlignment="1">
      <alignment horizontal="center" textRotation="90" wrapText="1"/>
    </xf>
    <xf numFmtId="1" fontId="1" fillId="0" borderId="0" xfId="0" applyNumberFormat="1" applyFont="1" applyAlignment="1">
      <alignment horizontal="center" textRotation="90" wrapText="1"/>
    </xf>
    <xf numFmtId="0" fontId="1" fillId="2" borderId="0" xfId="0" applyFont="1" applyFill="1" applyAlignment="1">
      <alignment horizontal="center" textRotation="90" wrapText="1"/>
    </xf>
    <xf numFmtId="0" fontId="1" fillId="3" borderId="0" xfId="0" applyFont="1" applyFill="1" applyAlignment="1">
      <alignment horizontal="center" textRotation="90" wrapText="1"/>
    </xf>
    <xf numFmtId="0" fontId="1" fillId="5" borderId="0" xfId="0" applyFont="1" applyFill="1" applyAlignment="1">
      <alignment horizontal="center" textRotation="90"/>
    </xf>
    <xf numFmtId="0" fontId="1" fillId="4" borderId="0" xfId="0" applyFont="1" applyFill="1" applyAlignment="1">
      <alignment horizontal="center" textRotation="90"/>
    </xf>
    <xf numFmtId="1" fontId="1" fillId="0" borderId="0" xfId="0" applyNumberFormat="1" applyFont="1" applyAlignment="1">
      <alignment horizontal="center" textRotation="90"/>
    </xf>
    <xf numFmtId="165" fontId="0" fillId="6" borderId="0" xfId="0" applyNumberFormat="1" applyFill="1"/>
    <xf numFmtId="1" fontId="0" fillId="6" borderId="0" xfId="0" applyNumberFormat="1" applyFill="1"/>
    <xf numFmtId="0" fontId="0" fillId="6" borderId="0" xfId="0" applyFill="1" applyAlignment="1">
      <alignment textRotation="90"/>
    </xf>
    <xf numFmtId="0" fontId="0" fillId="0" borderId="0" xfId="0" applyFont="1" applyFill="1" applyAlignment="1">
      <alignment horizontal="center" vertical="top" textRotation="90"/>
    </xf>
    <xf numFmtId="165" fontId="0" fillId="0" borderId="0" xfId="0" applyNumberFormat="1" applyFont="1" applyFill="1" applyAlignment="1">
      <alignment horizontal="center" vertical="top" textRotation="90"/>
    </xf>
    <xf numFmtId="1" fontId="0" fillId="0" borderId="0" xfId="0" applyNumberFormat="1" applyFont="1" applyFill="1" applyAlignment="1">
      <alignment horizontal="center" vertical="top" textRotation="90"/>
    </xf>
    <xf numFmtId="166" fontId="5" fillId="0" borderId="0" xfId="1" applyNumberFormat="1" applyFont="1" applyFill="1" applyAlignment="1">
      <alignment horizontal="center" vertical="top" textRotation="90"/>
    </xf>
    <xf numFmtId="9" fontId="0" fillId="0" borderId="0" xfId="0" applyNumberFormat="1" applyFont="1" applyFill="1" applyAlignment="1">
      <alignment horizontal="center" vertical="top" textRotation="90"/>
    </xf>
    <xf numFmtId="2" fontId="0" fillId="0" borderId="0" xfId="0" applyNumberFormat="1" applyFont="1" applyFill="1" applyAlignment="1">
      <alignment horizontal="center" vertical="top" textRotation="90"/>
    </xf>
    <xf numFmtId="10" fontId="5" fillId="0" borderId="0" xfId="2" applyNumberFormat="1" applyFont="1" applyFill="1" applyAlignment="1">
      <alignment horizontal="center" vertical="top" textRotation="90"/>
    </xf>
    <xf numFmtId="166" fontId="0" fillId="0" borderId="0" xfId="1" applyNumberFormat="1" applyFont="1" applyFill="1" applyAlignment="1">
      <alignment horizontal="center" vertical="top" textRotation="90"/>
    </xf>
    <xf numFmtId="164" fontId="0" fillId="6" borderId="0" xfId="0" applyNumberFormat="1" applyFill="1"/>
    <xf numFmtId="166" fontId="0" fillId="6" borderId="0" xfId="1" applyNumberFormat="1" applyFont="1" applyFill="1"/>
    <xf numFmtId="0" fontId="2" fillId="6" borderId="0" xfId="0" applyFont="1" applyFill="1"/>
    <xf numFmtId="0" fontId="2" fillId="6" borderId="0" xfId="0" applyFont="1" applyFill="1" applyAlignment="1">
      <alignment horizontal="right"/>
    </xf>
    <xf numFmtId="0" fontId="0" fillId="6" borderId="0" xfId="0" applyFill="1" applyAlignment="1">
      <alignment horizontal="right"/>
    </xf>
    <xf numFmtId="1" fontId="2" fillId="6" borderId="0" xfId="0" applyNumberFormat="1" applyFont="1" applyFill="1"/>
    <xf numFmtId="166" fontId="2" fillId="6" borderId="0" xfId="1" applyNumberFormat="1" applyFont="1" applyFill="1"/>
    <xf numFmtId="21" fontId="0" fillId="6" borderId="0" xfId="0" applyNumberFormat="1" applyFill="1"/>
    <xf numFmtId="2" fontId="0" fillId="6" borderId="0" xfId="0" applyNumberFormat="1" applyFill="1"/>
    <xf numFmtId="0" fontId="9"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File Size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Sheet2!$H$1:$Q$1</c:f>
              <c:strCache>
                <c:ptCount val="10"/>
                <c:pt idx="0">
                  <c:v>fs[0] - 0~1000</c:v>
                </c:pt>
                <c:pt idx="1">
                  <c:v>fs[1] - 1000~2000</c:v>
                </c:pt>
                <c:pt idx="2">
                  <c:v>fs[2] - 2000~3000</c:v>
                </c:pt>
                <c:pt idx="3">
                  <c:v>fs[3] = 3000~4000</c:v>
                </c:pt>
                <c:pt idx="4">
                  <c:v>fs[4] - 4000~5000</c:v>
                </c:pt>
                <c:pt idx="5">
                  <c:v>fs[5] - 5000~6000</c:v>
                </c:pt>
                <c:pt idx="6">
                  <c:v>fs[6] - 6000~7000</c:v>
                </c:pt>
                <c:pt idx="7">
                  <c:v>fs[7] - 7000~8000</c:v>
                </c:pt>
                <c:pt idx="8">
                  <c:v>fs[8] - 8000~9000</c:v>
                </c:pt>
                <c:pt idx="9">
                  <c:v>fs[9] - 9000~10,000</c:v>
                </c:pt>
              </c:strCache>
            </c:strRef>
          </c:cat>
          <c:val>
            <c:numRef>
              <c:f>Sheet2!$H$2:$Q$2</c:f>
              <c:numCache>
                <c:formatCode>General</c:formatCode>
                <c:ptCount val="10"/>
                <c:pt idx="0">
                  <c:v>0</c:v>
                </c:pt>
                <c:pt idx="1">
                  <c:v>20</c:v>
                </c:pt>
                <c:pt idx="2">
                  <c:v>619</c:v>
                </c:pt>
                <c:pt idx="3">
                  <c:v>6062</c:v>
                </c:pt>
                <c:pt idx="4">
                  <c:v>24198</c:v>
                </c:pt>
                <c:pt idx="5">
                  <c:v>38321</c:v>
                </c:pt>
                <c:pt idx="6">
                  <c:v>24159</c:v>
                </c:pt>
                <c:pt idx="7">
                  <c:v>5994</c:v>
                </c:pt>
                <c:pt idx="8">
                  <c:v>607</c:v>
                </c:pt>
                <c:pt idx="9">
                  <c:v>18</c:v>
                </c:pt>
              </c:numCache>
            </c:numRef>
          </c:val>
          <c:extLst>
            <c:ext xmlns:c16="http://schemas.microsoft.com/office/drawing/2014/chart" uri="{C3380CC4-5D6E-409C-BE32-E72D297353CC}">
              <c16:uniqueId val="{00000000-DB61-7942-BA51-AC6E267A889B}"/>
            </c:ext>
          </c:extLst>
        </c:ser>
        <c:dLbls>
          <c:showLegendKey val="0"/>
          <c:showVal val="0"/>
          <c:showCatName val="0"/>
          <c:showSerName val="0"/>
          <c:showPercent val="0"/>
          <c:showBubbleSize val="0"/>
        </c:dLbls>
        <c:gapWidth val="219"/>
        <c:overlap val="-27"/>
        <c:axId val="1831843888"/>
        <c:axId val="1831488928"/>
      </c:barChart>
      <c:catAx>
        <c:axId val="183184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488928"/>
        <c:crosses val="autoZero"/>
        <c:auto val="1"/>
        <c:lblAlgn val="ctr"/>
        <c:lblOffset val="100"/>
        <c:noMultiLvlLbl val="0"/>
      </c:catAx>
      <c:valAx>
        <c:axId val="183148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4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'EXT4'!$H$2:$Q$2</c:f>
              <c:strCache>
                <c:ptCount val="10"/>
                <c:pt idx="0">
                  <c:v>fs[0]</c:v>
                </c:pt>
                <c:pt idx="1">
                  <c:v>fs[1]</c:v>
                </c:pt>
                <c:pt idx="2">
                  <c:v>fs[2]</c:v>
                </c:pt>
                <c:pt idx="3">
                  <c:v>fs[3]</c:v>
                </c:pt>
                <c:pt idx="4">
                  <c:v>fs[4]</c:v>
                </c:pt>
                <c:pt idx="5">
                  <c:v>fs[5]</c:v>
                </c:pt>
                <c:pt idx="6">
                  <c:v>fs[6]</c:v>
                </c:pt>
                <c:pt idx="7">
                  <c:v>fs[7]</c:v>
                </c:pt>
                <c:pt idx="8">
                  <c:v>fs[8]</c:v>
                </c:pt>
                <c:pt idx="9">
                  <c:v>fs[9]</c:v>
                </c:pt>
              </c:strCache>
            </c:strRef>
          </c:cat>
          <c:val>
            <c:numRef>
              <c:f>'EXT4'!$H$8:$Q$8</c:f>
              <c:numCache>
                <c:formatCode>General</c:formatCode>
                <c:ptCount val="10"/>
                <c:pt idx="0">
                  <c:v>30</c:v>
                </c:pt>
                <c:pt idx="1">
                  <c:v>2288</c:v>
                </c:pt>
                <c:pt idx="2">
                  <c:v>59671</c:v>
                </c:pt>
                <c:pt idx="3">
                  <c:v>606646</c:v>
                </c:pt>
                <c:pt idx="4">
                  <c:v>2416372</c:v>
                </c:pt>
                <c:pt idx="5">
                  <c:v>3830250</c:v>
                </c:pt>
                <c:pt idx="6">
                  <c:v>2416413</c:v>
                </c:pt>
                <c:pt idx="7">
                  <c:v>606439</c:v>
                </c:pt>
                <c:pt idx="8">
                  <c:v>59570</c:v>
                </c:pt>
                <c:pt idx="9">
                  <c:v>2276</c:v>
                </c:pt>
              </c:numCache>
            </c:numRef>
          </c:val>
          <c:extLst>
            <c:ext xmlns:c16="http://schemas.microsoft.com/office/drawing/2014/chart" uri="{C3380CC4-5D6E-409C-BE32-E72D297353CC}">
              <c16:uniqueId val="{00000000-FBE1-304C-9C75-4AC93029F4BC}"/>
            </c:ext>
          </c:extLst>
        </c:ser>
        <c:ser>
          <c:idx val="1"/>
          <c:order val="1"/>
          <c:spPr>
            <a:solidFill>
              <a:schemeClr val="accent2"/>
            </a:solidFill>
            <a:ln>
              <a:noFill/>
            </a:ln>
            <a:effectLst/>
          </c:spPr>
          <c:invertIfNegative val="0"/>
          <c:cat>
            <c:strRef>
              <c:f>'EXT4'!$H$2:$Q$2</c:f>
              <c:strCache>
                <c:ptCount val="10"/>
                <c:pt idx="0">
                  <c:v>fs[0]</c:v>
                </c:pt>
                <c:pt idx="1">
                  <c:v>fs[1]</c:v>
                </c:pt>
                <c:pt idx="2">
                  <c:v>fs[2]</c:v>
                </c:pt>
                <c:pt idx="3">
                  <c:v>fs[3]</c:v>
                </c:pt>
                <c:pt idx="4">
                  <c:v>fs[4]</c:v>
                </c:pt>
                <c:pt idx="5">
                  <c:v>fs[5]</c:v>
                </c:pt>
                <c:pt idx="6">
                  <c:v>fs[6]</c:v>
                </c:pt>
                <c:pt idx="7">
                  <c:v>fs[7]</c:v>
                </c:pt>
                <c:pt idx="8">
                  <c:v>fs[8]</c:v>
                </c:pt>
                <c:pt idx="9">
                  <c:v>fs[9]</c:v>
                </c:pt>
              </c:strCache>
            </c:strRef>
          </c:cat>
          <c:val>
            <c:numRef>
              <c:f>'EXT4'!$H$9:$Q$9</c:f>
              <c:numCache>
                <c:formatCode>General</c:formatCode>
                <c:ptCount val="10"/>
                <c:pt idx="0">
                  <c:v>325</c:v>
                </c:pt>
                <c:pt idx="1">
                  <c:v>22693</c:v>
                </c:pt>
                <c:pt idx="2">
                  <c:v>595593</c:v>
                </c:pt>
                <c:pt idx="3">
                  <c:v>6058912</c:v>
                </c:pt>
                <c:pt idx="4">
                  <c:v>24173890</c:v>
                </c:pt>
                <c:pt idx="5">
                  <c:v>38297871</c:v>
                </c:pt>
                <c:pt idx="6">
                  <c:v>24170064</c:v>
                </c:pt>
                <c:pt idx="7">
                  <c:v>6061044</c:v>
                </c:pt>
                <c:pt idx="8">
                  <c:v>596459</c:v>
                </c:pt>
                <c:pt idx="9">
                  <c:v>22802</c:v>
                </c:pt>
              </c:numCache>
            </c:numRef>
          </c:val>
          <c:extLst>
            <c:ext xmlns:c16="http://schemas.microsoft.com/office/drawing/2014/chart" uri="{C3380CC4-5D6E-409C-BE32-E72D297353CC}">
              <c16:uniqueId val="{00000002-FBE1-304C-9C75-4AC93029F4BC}"/>
            </c:ext>
          </c:extLst>
        </c:ser>
        <c:ser>
          <c:idx val="2"/>
          <c:order val="2"/>
          <c:spPr>
            <a:solidFill>
              <a:schemeClr val="accent3"/>
            </a:solidFill>
            <a:ln>
              <a:noFill/>
            </a:ln>
            <a:effectLst/>
          </c:spPr>
          <c:invertIfNegative val="0"/>
          <c:cat>
            <c:strRef>
              <c:f>'EXT4'!$H$2:$Q$2</c:f>
              <c:strCache>
                <c:ptCount val="10"/>
                <c:pt idx="0">
                  <c:v>fs[0]</c:v>
                </c:pt>
                <c:pt idx="1">
                  <c:v>fs[1]</c:v>
                </c:pt>
                <c:pt idx="2">
                  <c:v>fs[2]</c:v>
                </c:pt>
                <c:pt idx="3">
                  <c:v>fs[3]</c:v>
                </c:pt>
                <c:pt idx="4">
                  <c:v>fs[4]</c:v>
                </c:pt>
                <c:pt idx="5">
                  <c:v>fs[5]</c:v>
                </c:pt>
                <c:pt idx="6">
                  <c:v>fs[6]</c:v>
                </c:pt>
                <c:pt idx="7">
                  <c:v>fs[7]</c:v>
                </c:pt>
                <c:pt idx="8">
                  <c:v>fs[8]</c:v>
                </c:pt>
                <c:pt idx="9">
                  <c:v>fs[9]</c:v>
                </c:pt>
              </c:strCache>
            </c:strRef>
          </c:cat>
          <c:val>
            <c:numRef>
              <c:f>'EXT4'!$H$10:$Q$10</c:f>
              <c:numCache>
                <c:formatCode>General</c:formatCode>
                <c:ptCount val="10"/>
                <c:pt idx="0">
                  <c:v>3347</c:v>
                </c:pt>
                <c:pt idx="1">
                  <c:v>229864</c:v>
                </c:pt>
                <c:pt idx="2">
                  <c:v>5978751</c:v>
                </c:pt>
                <c:pt idx="3">
                  <c:v>60592229</c:v>
                </c:pt>
                <c:pt idx="4">
                  <c:v>241723780</c:v>
                </c:pt>
                <c:pt idx="5">
                  <c:v>382914993</c:v>
                </c:pt>
                <c:pt idx="6">
                  <c:v>241735599</c:v>
                </c:pt>
                <c:pt idx="7">
                  <c:v>60606807</c:v>
                </c:pt>
                <c:pt idx="8">
                  <c:v>5982794</c:v>
                </c:pt>
                <c:pt idx="9">
                  <c:v>228295</c:v>
                </c:pt>
              </c:numCache>
            </c:numRef>
          </c:val>
          <c:extLst>
            <c:ext xmlns:c16="http://schemas.microsoft.com/office/drawing/2014/chart" uri="{C3380CC4-5D6E-409C-BE32-E72D297353CC}">
              <c16:uniqueId val="{00000003-FBE1-304C-9C75-4AC93029F4BC}"/>
            </c:ext>
          </c:extLst>
        </c:ser>
        <c:dLbls>
          <c:showLegendKey val="0"/>
          <c:showVal val="0"/>
          <c:showCatName val="0"/>
          <c:showSerName val="0"/>
          <c:showPercent val="0"/>
          <c:showBubbleSize val="0"/>
        </c:dLbls>
        <c:gapWidth val="219"/>
        <c:overlap val="-27"/>
        <c:axId val="2099444000"/>
        <c:axId val="2125001760"/>
      </c:barChart>
      <c:catAx>
        <c:axId val="209944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001760"/>
        <c:crosses val="autoZero"/>
        <c:auto val="1"/>
        <c:lblAlgn val="ctr"/>
        <c:lblOffset val="100"/>
        <c:noMultiLvlLbl val="0"/>
      </c:catAx>
      <c:valAx>
        <c:axId val="212500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4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'EXT4'!$H$18:$Q$18</c:f>
              <c:strCache>
                <c:ptCount val="10"/>
                <c:pt idx="0">
                  <c:v>fs[0]</c:v>
                </c:pt>
                <c:pt idx="1">
                  <c:v>fs[1]</c:v>
                </c:pt>
                <c:pt idx="2">
                  <c:v>fs[2]</c:v>
                </c:pt>
                <c:pt idx="3">
                  <c:v>fs[3]</c:v>
                </c:pt>
                <c:pt idx="4">
                  <c:v>fs[4]</c:v>
                </c:pt>
                <c:pt idx="5">
                  <c:v>fs[5]</c:v>
                </c:pt>
                <c:pt idx="6">
                  <c:v>fs[6]</c:v>
                </c:pt>
                <c:pt idx="7">
                  <c:v>fs[7]</c:v>
                </c:pt>
                <c:pt idx="8">
                  <c:v>fs[8]</c:v>
                </c:pt>
                <c:pt idx="9">
                  <c:v>fs[9]</c:v>
                </c:pt>
              </c:strCache>
            </c:strRef>
          </c:cat>
          <c:val>
            <c:numRef>
              <c:f>'EXT4'!$H$19:$Q$19</c:f>
              <c:numCache>
                <c:formatCode>General</c:formatCode>
                <c:ptCount val="10"/>
                <c:pt idx="0">
                  <c:v>30</c:v>
                </c:pt>
                <c:pt idx="1">
                  <c:v>2288</c:v>
                </c:pt>
                <c:pt idx="2">
                  <c:v>59671</c:v>
                </c:pt>
                <c:pt idx="3">
                  <c:v>606646</c:v>
                </c:pt>
                <c:pt idx="4">
                  <c:v>2416372</c:v>
                </c:pt>
                <c:pt idx="5">
                  <c:v>3830250</c:v>
                </c:pt>
                <c:pt idx="6">
                  <c:v>2416413</c:v>
                </c:pt>
                <c:pt idx="7">
                  <c:v>606439</c:v>
                </c:pt>
                <c:pt idx="8">
                  <c:v>59570</c:v>
                </c:pt>
                <c:pt idx="9">
                  <c:v>2276</c:v>
                </c:pt>
              </c:numCache>
            </c:numRef>
          </c:val>
          <c:extLst>
            <c:ext xmlns:c16="http://schemas.microsoft.com/office/drawing/2014/chart" uri="{C3380CC4-5D6E-409C-BE32-E72D297353CC}">
              <c16:uniqueId val="{00000000-8045-4B42-A678-0D6D4715D889}"/>
            </c:ext>
          </c:extLst>
        </c:ser>
        <c:ser>
          <c:idx val="1"/>
          <c:order val="1"/>
          <c:spPr>
            <a:solidFill>
              <a:schemeClr val="accent2"/>
            </a:solidFill>
            <a:ln>
              <a:noFill/>
            </a:ln>
            <a:effectLst/>
          </c:spPr>
          <c:invertIfNegative val="0"/>
          <c:cat>
            <c:strRef>
              <c:f>'EXT4'!$H$18:$Q$18</c:f>
              <c:strCache>
                <c:ptCount val="10"/>
                <c:pt idx="0">
                  <c:v>fs[0]</c:v>
                </c:pt>
                <c:pt idx="1">
                  <c:v>fs[1]</c:v>
                </c:pt>
                <c:pt idx="2">
                  <c:v>fs[2]</c:v>
                </c:pt>
                <c:pt idx="3">
                  <c:v>fs[3]</c:v>
                </c:pt>
                <c:pt idx="4">
                  <c:v>fs[4]</c:v>
                </c:pt>
                <c:pt idx="5">
                  <c:v>fs[5]</c:v>
                </c:pt>
                <c:pt idx="6">
                  <c:v>fs[6]</c:v>
                </c:pt>
                <c:pt idx="7">
                  <c:v>fs[7]</c:v>
                </c:pt>
                <c:pt idx="8">
                  <c:v>fs[8]</c:v>
                </c:pt>
                <c:pt idx="9">
                  <c:v>fs[9]</c:v>
                </c:pt>
              </c:strCache>
            </c:strRef>
          </c:cat>
          <c:val>
            <c:numRef>
              <c:f>'EXT4'!$H$20:$Q$20</c:f>
              <c:numCache>
                <c:formatCode>General</c:formatCode>
                <c:ptCount val="10"/>
                <c:pt idx="0">
                  <c:v>32.5</c:v>
                </c:pt>
                <c:pt idx="1">
                  <c:v>2269.3000000000002</c:v>
                </c:pt>
                <c:pt idx="2">
                  <c:v>59559.3</c:v>
                </c:pt>
                <c:pt idx="3">
                  <c:v>605891.19999999995</c:v>
                </c:pt>
                <c:pt idx="4">
                  <c:v>2417389</c:v>
                </c:pt>
                <c:pt idx="5">
                  <c:v>3829787.1</c:v>
                </c:pt>
                <c:pt idx="6">
                  <c:v>2417006.4</c:v>
                </c:pt>
                <c:pt idx="7">
                  <c:v>606104.4</c:v>
                </c:pt>
                <c:pt idx="8">
                  <c:v>59645.9</c:v>
                </c:pt>
                <c:pt idx="9">
                  <c:v>2280.1999999999998</c:v>
                </c:pt>
              </c:numCache>
            </c:numRef>
          </c:val>
          <c:extLst>
            <c:ext xmlns:c16="http://schemas.microsoft.com/office/drawing/2014/chart" uri="{C3380CC4-5D6E-409C-BE32-E72D297353CC}">
              <c16:uniqueId val="{00000001-8045-4B42-A678-0D6D4715D889}"/>
            </c:ext>
          </c:extLst>
        </c:ser>
        <c:ser>
          <c:idx val="2"/>
          <c:order val="2"/>
          <c:spPr>
            <a:solidFill>
              <a:schemeClr val="accent3"/>
            </a:solidFill>
            <a:ln>
              <a:noFill/>
            </a:ln>
            <a:effectLst/>
          </c:spPr>
          <c:invertIfNegative val="0"/>
          <c:cat>
            <c:strRef>
              <c:f>'EXT4'!$H$18:$Q$18</c:f>
              <c:strCache>
                <c:ptCount val="10"/>
                <c:pt idx="0">
                  <c:v>fs[0]</c:v>
                </c:pt>
                <c:pt idx="1">
                  <c:v>fs[1]</c:v>
                </c:pt>
                <c:pt idx="2">
                  <c:v>fs[2]</c:v>
                </c:pt>
                <c:pt idx="3">
                  <c:v>fs[3]</c:v>
                </c:pt>
                <c:pt idx="4">
                  <c:v>fs[4]</c:v>
                </c:pt>
                <c:pt idx="5">
                  <c:v>fs[5]</c:v>
                </c:pt>
                <c:pt idx="6">
                  <c:v>fs[6]</c:v>
                </c:pt>
                <c:pt idx="7">
                  <c:v>fs[7]</c:v>
                </c:pt>
                <c:pt idx="8">
                  <c:v>fs[8]</c:v>
                </c:pt>
                <c:pt idx="9">
                  <c:v>fs[9]</c:v>
                </c:pt>
              </c:strCache>
            </c:strRef>
          </c:cat>
          <c:val>
            <c:numRef>
              <c:f>'EXT4'!$H$21:$Q$21</c:f>
              <c:numCache>
                <c:formatCode>General</c:formatCode>
                <c:ptCount val="10"/>
                <c:pt idx="0">
                  <c:v>33.47</c:v>
                </c:pt>
                <c:pt idx="1">
                  <c:v>2298.64</c:v>
                </c:pt>
                <c:pt idx="2">
                  <c:v>59787.51</c:v>
                </c:pt>
                <c:pt idx="3">
                  <c:v>605922.29</c:v>
                </c:pt>
                <c:pt idx="4">
                  <c:v>2417237.7999999998</c:v>
                </c:pt>
                <c:pt idx="5">
                  <c:v>3829149.93</c:v>
                </c:pt>
                <c:pt idx="6">
                  <c:v>2417355.9900000002</c:v>
                </c:pt>
                <c:pt idx="7">
                  <c:v>606068.06999999995</c:v>
                </c:pt>
                <c:pt idx="8">
                  <c:v>59827.94</c:v>
                </c:pt>
                <c:pt idx="9">
                  <c:v>2282.9499999999998</c:v>
                </c:pt>
              </c:numCache>
            </c:numRef>
          </c:val>
          <c:extLst>
            <c:ext xmlns:c16="http://schemas.microsoft.com/office/drawing/2014/chart" uri="{C3380CC4-5D6E-409C-BE32-E72D297353CC}">
              <c16:uniqueId val="{00000002-8045-4B42-A678-0D6D4715D889}"/>
            </c:ext>
          </c:extLst>
        </c:ser>
        <c:dLbls>
          <c:showLegendKey val="0"/>
          <c:showVal val="0"/>
          <c:showCatName val="0"/>
          <c:showSerName val="0"/>
          <c:showPercent val="0"/>
          <c:showBubbleSize val="0"/>
        </c:dLbls>
        <c:gapWidth val="219"/>
        <c:overlap val="-27"/>
        <c:axId val="2004210992"/>
        <c:axId val="1795623616"/>
      </c:barChart>
      <c:catAx>
        <c:axId val="200421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623616"/>
        <c:crosses val="autoZero"/>
        <c:auto val="1"/>
        <c:lblAlgn val="ctr"/>
        <c:lblOffset val="100"/>
        <c:noMultiLvlLbl val="0"/>
      </c:catAx>
      <c:valAx>
        <c:axId val="17956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1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'EXT4'!$R$20:$AA$20</c:f>
              <c:strCache>
                <c:ptCount val="10"/>
                <c:pt idx="0">
                  <c:v>ws[0]</c:v>
                </c:pt>
                <c:pt idx="1">
                  <c:v>ws[1]</c:v>
                </c:pt>
                <c:pt idx="2">
                  <c:v>ws[2]</c:v>
                </c:pt>
                <c:pt idx="3">
                  <c:v>ws[3]</c:v>
                </c:pt>
                <c:pt idx="4">
                  <c:v>ws[4]</c:v>
                </c:pt>
                <c:pt idx="5">
                  <c:v>ws[5]</c:v>
                </c:pt>
                <c:pt idx="6">
                  <c:v>ws[6]</c:v>
                </c:pt>
                <c:pt idx="7">
                  <c:v>ws[7]</c:v>
                </c:pt>
                <c:pt idx="8">
                  <c:v>ws[8]</c:v>
                </c:pt>
                <c:pt idx="9">
                  <c:v>ws[9]</c:v>
                </c:pt>
              </c:strCache>
            </c:strRef>
          </c:cat>
          <c:val>
            <c:numRef>
              <c:f>'EXT4'!$R$21:$AA$21</c:f>
              <c:numCache>
                <c:formatCode>General</c:formatCode>
                <c:ptCount val="10"/>
                <c:pt idx="0">
                  <c:v>0</c:v>
                </c:pt>
                <c:pt idx="1">
                  <c:v>0</c:v>
                </c:pt>
                <c:pt idx="2">
                  <c:v>12102</c:v>
                </c:pt>
                <c:pt idx="3">
                  <c:v>4040800</c:v>
                </c:pt>
                <c:pt idx="4">
                  <c:v>5076715</c:v>
                </c:pt>
                <c:pt idx="5">
                  <c:v>630488</c:v>
                </c:pt>
                <c:pt idx="6">
                  <c:v>94240</c:v>
                </c:pt>
                <c:pt idx="7">
                  <c:v>51306</c:v>
                </c:pt>
                <c:pt idx="8">
                  <c:v>25289</c:v>
                </c:pt>
                <c:pt idx="9">
                  <c:v>17417</c:v>
                </c:pt>
              </c:numCache>
            </c:numRef>
          </c:val>
          <c:extLst>
            <c:ext xmlns:c16="http://schemas.microsoft.com/office/drawing/2014/chart" uri="{C3380CC4-5D6E-409C-BE32-E72D297353CC}">
              <c16:uniqueId val="{00000000-B806-AA4D-8D26-3EE2844341CF}"/>
            </c:ext>
          </c:extLst>
        </c:ser>
        <c:ser>
          <c:idx val="1"/>
          <c:order val="1"/>
          <c:spPr>
            <a:solidFill>
              <a:schemeClr val="accent2"/>
            </a:solidFill>
            <a:ln>
              <a:noFill/>
            </a:ln>
            <a:effectLst/>
          </c:spPr>
          <c:invertIfNegative val="0"/>
          <c:cat>
            <c:strRef>
              <c:f>'EXT4'!$R$20:$AA$20</c:f>
              <c:strCache>
                <c:ptCount val="10"/>
                <c:pt idx="0">
                  <c:v>ws[0]</c:v>
                </c:pt>
                <c:pt idx="1">
                  <c:v>ws[1]</c:v>
                </c:pt>
                <c:pt idx="2">
                  <c:v>ws[2]</c:v>
                </c:pt>
                <c:pt idx="3">
                  <c:v>ws[3]</c:v>
                </c:pt>
                <c:pt idx="4">
                  <c:v>ws[4]</c:v>
                </c:pt>
                <c:pt idx="5">
                  <c:v>ws[5]</c:v>
                </c:pt>
                <c:pt idx="6">
                  <c:v>ws[6]</c:v>
                </c:pt>
                <c:pt idx="7">
                  <c:v>ws[7]</c:v>
                </c:pt>
                <c:pt idx="8">
                  <c:v>ws[8]</c:v>
                </c:pt>
                <c:pt idx="9">
                  <c:v>ws[9]</c:v>
                </c:pt>
              </c:strCache>
            </c:strRef>
          </c:cat>
          <c:val>
            <c:numRef>
              <c:f>'EXT4'!$R$22:$AA$22</c:f>
              <c:numCache>
                <c:formatCode>General</c:formatCode>
                <c:ptCount val="10"/>
                <c:pt idx="0">
                  <c:v>0</c:v>
                </c:pt>
                <c:pt idx="1">
                  <c:v>0</c:v>
                </c:pt>
                <c:pt idx="2">
                  <c:v>16.399999999999999</c:v>
                </c:pt>
                <c:pt idx="3">
                  <c:v>183209.9</c:v>
                </c:pt>
                <c:pt idx="4">
                  <c:v>7326599.0999999996</c:v>
                </c:pt>
                <c:pt idx="5">
                  <c:v>2043755.8</c:v>
                </c:pt>
                <c:pt idx="6">
                  <c:v>175871</c:v>
                </c:pt>
                <c:pt idx="7">
                  <c:v>112282.5</c:v>
                </c:pt>
                <c:pt idx="8">
                  <c:v>46674.1</c:v>
                </c:pt>
                <c:pt idx="9">
                  <c:v>41282.400000000001</c:v>
                </c:pt>
              </c:numCache>
            </c:numRef>
          </c:val>
          <c:extLst>
            <c:ext xmlns:c16="http://schemas.microsoft.com/office/drawing/2014/chart" uri="{C3380CC4-5D6E-409C-BE32-E72D297353CC}">
              <c16:uniqueId val="{00000001-B806-AA4D-8D26-3EE2844341CF}"/>
            </c:ext>
          </c:extLst>
        </c:ser>
        <c:ser>
          <c:idx val="2"/>
          <c:order val="2"/>
          <c:spPr>
            <a:solidFill>
              <a:schemeClr val="accent3"/>
            </a:solidFill>
            <a:ln>
              <a:noFill/>
            </a:ln>
            <a:effectLst/>
          </c:spPr>
          <c:invertIfNegative val="0"/>
          <c:cat>
            <c:strRef>
              <c:f>'EXT4'!$R$20:$AA$20</c:f>
              <c:strCache>
                <c:ptCount val="10"/>
                <c:pt idx="0">
                  <c:v>ws[0]</c:v>
                </c:pt>
                <c:pt idx="1">
                  <c:v>ws[1]</c:v>
                </c:pt>
                <c:pt idx="2">
                  <c:v>ws[2]</c:v>
                </c:pt>
                <c:pt idx="3">
                  <c:v>ws[3]</c:v>
                </c:pt>
                <c:pt idx="4">
                  <c:v>ws[4]</c:v>
                </c:pt>
                <c:pt idx="5">
                  <c:v>ws[5]</c:v>
                </c:pt>
                <c:pt idx="6">
                  <c:v>ws[6]</c:v>
                </c:pt>
                <c:pt idx="7">
                  <c:v>ws[7]</c:v>
                </c:pt>
                <c:pt idx="8">
                  <c:v>ws[8]</c:v>
                </c:pt>
                <c:pt idx="9">
                  <c:v>ws[9]</c:v>
                </c:pt>
              </c:strCache>
            </c:strRef>
          </c:cat>
          <c:val>
            <c:numRef>
              <c:f>'EXT4'!$R$23:$AA$23</c:f>
              <c:numCache>
                <c:formatCode>General</c:formatCode>
                <c:ptCount val="10"/>
                <c:pt idx="0">
                  <c:v>0</c:v>
                </c:pt>
                <c:pt idx="1">
                  <c:v>0</c:v>
                </c:pt>
                <c:pt idx="2">
                  <c:v>1917.36</c:v>
                </c:pt>
                <c:pt idx="3">
                  <c:v>2846047.9</c:v>
                </c:pt>
                <c:pt idx="4">
                  <c:v>5912243.0499999998</c:v>
                </c:pt>
                <c:pt idx="5">
                  <c:v>946868.06</c:v>
                </c:pt>
                <c:pt idx="6">
                  <c:v>108350.85</c:v>
                </c:pt>
                <c:pt idx="7">
                  <c:v>70599.94</c:v>
                </c:pt>
                <c:pt idx="8">
                  <c:v>30215.42</c:v>
                </c:pt>
                <c:pt idx="9">
                  <c:v>25708.65</c:v>
                </c:pt>
              </c:numCache>
            </c:numRef>
          </c:val>
          <c:extLst>
            <c:ext xmlns:c16="http://schemas.microsoft.com/office/drawing/2014/chart" uri="{C3380CC4-5D6E-409C-BE32-E72D297353CC}">
              <c16:uniqueId val="{00000002-B806-AA4D-8D26-3EE2844341CF}"/>
            </c:ext>
          </c:extLst>
        </c:ser>
        <c:dLbls>
          <c:showLegendKey val="0"/>
          <c:showVal val="0"/>
          <c:showCatName val="0"/>
          <c:showSerName val="0"/>
          <c:showPercent val="0"/>
          <c:showBubbleSize val="0"/>
        </c:dLbls>
        <c:gapWidth val="219"/>
        <c:overlap val="-27"/>
        <c:axId val="1767038256"/>
        <c:axId val="1767797248"/>
      </c:barChart>
      <c:catAx>
        <c:axId val="176703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97248"/>
        <c:crosses val="autoZero"/>
        <c:auto val="1"/>
        <c:lblAlgn val="ctr"/>
        <c:lblOffset val="100"/>
        <c:noMultiLvlLbl val="0"/>
      </c:catAx>
      <c:valAx>
        <c:axId val="176779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3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File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'EXT4'!$H$3:$Q$3</c:f>
              <c:numCache>
                <c:formatCode>General</c:formatCode>
                <c:ptCount val="10"/>
                <c:pt idx="0">
                  <c:v>0</c:v>
                </c:pt>
                <c:pt idx="1">
                  <c:v>0</c:v>
                </c:pt>
                <c:pt idx="2">
                  <c:v>1</c:v>
                </c:pt>
                <c:pt idx="3">
                  <c:v>3</c:v>
                </c:pt>
                <c:pt idx="4">
                  <c:v>34</c:v>
                </c:pt>
                <c:pt idx="5">
                  <c:v>33</c:v>
                </c:pt>
                <c:pt idx="6">
                  <c:v>27</c:v>
                </c:pt>
                <c:pt idx="7">
                  <c:v>2</c:v>
                </c:pt>
                <c:pt idx="8">
                  <c:v>0</c:v>
                </c:pt>
                <c:pt idx="9">
                  <c:v>0</c:v>
                </c:pt>
              </c:numCache>
            </c:numRef>
          </c:yVal>
          <c:smooth val="1"/>
          <c:extLst>
            <c:ext xmlns:c16="http://schemas.microsoft.com/office/drawing/2014/chart" uri="{C3380CC4-5D6E-409C-BE32-E72D297353CC}">
              <c16:uniqueId val="{00000000-AA09-EB40-A781-9473821AAEEC}"/>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'EXT4'!$H$4:$Q$4</c:f>
              <c:numCache>
                <c:formatCode>General</c:formatCode>
                <c:ptCount val="10"/>
                <c:pt idx="0">
                  <c:v>0</c:v>
                </c:pt>
                <c:pt idx="1">
                  <c:v>0</c:v>
                </c:pt>
                <c:pt idx="2">
                  <c:v>4</c:v>
                </c:pt>
                <c:pt idx="3">
                  <c:v>63</c:v>
                </c:pt>
                <c:pt idx="4">
                  <c:v>223</c:v>
                </c:pt>
                <c:pt idx="5">
                  <c:v>389</c:v>
                </c:pt>
                <c:pt idx="6">
                  <c:v>239</c:v>
                </c:pt>
                <c:pt idx="7">
                  <c:v>77</c:v>
                </c:pt>
                <c:pt idx="8">
                  <c:v>5</c:v>
                </c:pt>
                <c:pt idx="9">
                  <c:v>0</c:v>
                </c:pt>
              </c:numCache>
            </c:numRef>
          </c:yVal>
          <c:smooth val="1"/>
          <c:extLst>
            <c:ext xmlns:c16="http://schemas.microsoft.com/office/drawing/2014/chart" uri="{C3380CC4-5D6E-409C-BE32-E72D297353CC}">
              <c16:uniqueId val="{00000001-AA09-EB40-A781-9473821AAEEC}"/>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'EXT4'!$H$5:$Q$5</c:f>
              <c:numCache>
                <c:formatCode>General</c:formatCode>
                <c:ptCount val="10"/>
                <c:pt idx="0">
                  <c:v>0</c:v>
                </c:pt>
                <c:pt idx="1">
                  <c:v>3</c:v>
                </c:pt>
                <c:pt idx="2">
                  <c:v>48</c:v>
                </c:pt>
                <c:pt idx="3">
                  <c:v>548</c:v>
                </c:pt>
                <c:pt idx="4">
                  <c:v>2508</c:v>
                </c:pt>
                <c:pt idx="5">
                  <c:v>3756</c:v>
                </c:pt>
                <c:pt idx="6">
                  <c:v>2418</c:v>
                </c:pt>
                <c:pt idx="7">
                  <c:v>648</c:v>
                </c:pt>
                <c:pt idx="8">
                  <c:v>67</c:v>
                </c:pt>
                <c:pt idx="9">
                  <c:v>4</c:v>
                </c:pt>
              </c:numCache>
            </c:numRef>
          </c:yVal>
          <c:smooth val="1"/>
          <c:extLst>
            <c:ext xmlns:c16="http://schemas.microsoft.com/office/drawing/2014/chart" uri="{C3380CC4-5D6E-409C-BE32-E72D297353CC}">
              <c16:uniqueId val="{00000002-AA09-EB40-A781-9473821AAEEC}"/>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'EXT4'!$H$6:$Q$6</c:f>
              <c:numCache>
                <c:formatCode>General</c:formatCode>
                <c:ptCount val="10"/>
                <c:pt idx="0">
                  <c:v>0</c:v>
                </c:pt>
                <c:pt idx="1">
                  <c:v>27</c:v>
                </c:pt>
                <c:pt idx="2">
                  <c:v>603</c:v>
                </c:pt>
                <c:pt idx="3">
                  <c:v>6017</c:v>
                </c:pt>
                <c:pt idx="4">
                  <c:v>24095</c:v>
                </c:pt>
                <c:pt idx="5">
                  <c:v>38484</c:v>
                </c:pt>
                <c:pt idx="6">
                  <c:v>24161</c:v>
                </c:pt>
                <c:pt idx="7">
                  <c:v>5949</c:v>
                </c:pt>
                <c:pt idx="8">
                  <c:v>644</c:v>
                </c:pt>
                <c:pt idx="9">
                  <c:v>20</c:v>
                </c:pt>
              </c:numCache>
            </c:numRef>
          </c:yVal>
          <c:smooth val="1"/>
          <c:extLst>
            <c:ext xmlns:c16="http://schemas.microsoft.com/office/drawing/2014/chart" uri="{C3380CC4-5D6E-409C-BE32-E72D297353CC}">
              <c16:uniqueId val="{00000003-AA09-EB40-A781-9473821AAEEC}"/>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'EXT4'!$H$7:$Q$7</c:f>
              <c:numCache>
                <c:formatCode>General</c:formatCode>
                <c:ptCount val="10"/>
                <c:pt idx="0">
                  <c:v>1</c:v>
                </c:pt>
                <c:pt idx="1">
                  <c:v>242</c:v>
                </c:pt>
                <c:pt idx="2">
                  <c:v>5974</c:v>
                </c:pt>
                <c:pt idx="3">
                  <c:v>60860</c:v>
                </c:pt>
                <c:pt idx="4">
                  <c:v>240810</c:v>
                </c:pt>
                <c:pt idx="5">
                  <c:v>383876</c:v>
                </c:pt>
                <c:pt idx="6">
                  <c:v>241029</c:v>
                </c:pt>
                <c:pt idx="7">
                  <c:v>61012</c:v>
                </c:pt>
                <c:pt idx="8">
                  <c:v>5963</c:v>
                </c:pt>
                <c:pt idx="9">
                  <c:v>228</c:v>
                </c:pt>
              </c:numCache>
            </c:numRef>
          </c:yVal>
          <c:smooth val="1"/>
          <c:extLst>
            <c:ext xmlns:c16="http://schemas.microsoft.com/office/drawing/2014/chart" uri="{C3380CC4-5D6E-409C-BE32-E72D297353CC}">
              <c16:uniqueId val="{00000004-AA09-EB40-A781-9473821AAEEC}"/>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'EXT4'!$H$8:$Q$8</c:f>
              <c:numCache>
                <c:formatCode>General</c:formatCode>
                <c:ptCount val="10"/>
                <c:pt idx="0">
                  <c:v>30</c:v>
                </c:pt>
                <c:pt idx="1">
                  <c:v>2288</c:v>
                </c:pt>
                <c:pt idx="2">
                  <c:v>59671</c:v>
                </c:pt>
                <c:pt idx="3">
                  <c:v>606646</c:v>
                </c:pt>
                <c:pt idx="4">
                  <c:v>2416372</c:v>
                </c:pt>
                <c:pt idx="5">
                  <c:v>3830250</c:v>
                </c:pt>
                <c:pt idx="6">
                  <c:v>2416413</c:v>
                </c:pt>
                <c:pt idx="7">
                  <c:v>606439</c:v>
                </c:pt>
                <c:pt idx="8">
                  <c:v>59570</c:v>
                </c:pt>
                <c:pt idx="9">
                  <c:v>2276</c:v>
                </c:pt>
              </c:numCache>
            </c:numRef>
          </c:yVal>
          <c:smooth val="1"/>
          <c:extLst>
            <c:ext xmlns:c16="http://schemas.microsoft.com/office/drawing/2014/chart" uri="{C3380CC4-5D6E-409C-BE32-E72D297353CC}">
              <c16:uniqueId val="{00000005-AA09-EB40-A781-9473821AAEEC}"/>
            </c:ext>
          </c:extLst>
        </c:ser>
        <c:ser>
          <c:idx val="6"/>
          <c:order val="6"/>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'EXT4'!$H$9:$Q$9</c:f>
              <c:numCache>
                <c:formatCode>General</c:formatCode>
                <c:ptCount val="10"/>
                <c:pt idx="0">
                  <c:v>325</c:v>
                </c:pt>
                <c:pt idx="1">
                  <c:v>22693</c:v>
                </c:pt>
                <c:pt idx="2">
                  <c:v>595593</c:v>
                </c:pt>
                <c:pt idx="3">
                  <c:v>6058912</c:v>
                </c:pt>
                <c:pt idx="4">
                  <c:v>24173890</c:v>
                </c:pt>
                <c:pt idx="5">
                  <c:v>38297871</c:v>
                </c:pt>
                <c:pt idx="6">
                  <c:v>24170064</c:v>
                </c:pt>
                <c:pt idx="7">
                  <c:v>6061044</c:v>
                </c:pt>
                <c:pt idx="8">
                  <c:v>596459</c:v>
                </c:pt>
                <c:pt idx="9">
                  <c:v>22802</c:v>
                </c:pt>
              </c:numCache>
            </c:numRef>
          </c:yVal>
          <c:smooth val="1"/>
          <c:extLst>
            <c:ext xmlns:c16="http://schemas.microsoft.com/office/drawing/2014/chart" uri="{C3380CC4-5D6E-409C-BE32-E72D297353CC}">
              <c16:uniqueId val="{00000006-AA09-EB40-A781-9473821AAEEC}"/>
            </c:ext>
          </c:extLst>
        </c:ser>
        <c:ser>
          <c:idx val="7"/>
          <c:order val="7"/>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'EXT4'!$H$10:$Q$10</c:f>
              <c:numCache>
                <c:formatCode>General</c:formatCode>
                <c:ptCount val="10"/>
                <c:pt idx="0">
                  <c:v>3347</c:v>
                </c:pt>
                <c:pt idx="1">
                  <c:v>229864</c:v>
                </c:pt>
                <c:pt idx="2">
                  <c:v>5978751</c:v>
                </c:pt>
                <c:pt idx="3">
                  <c:v>60592229</c:v>
                </c:pt>
                <c:pt idx="4">
                  <c:v>241723780</c:v>
                </c:pt>
                <c:pt idx="5">
                  <c:v>382914993</c:v>
                </c:pt>
                <c:pt idx="6">
                  <c:v>241735599</c:v>
                </c:pt>
                <c:pt idx="7">
                  <c:v>60606807</c:v>
                </c:pt>
                <c:pt idx="8">
                  <c:v>5982794</c:v>
                </c:pt>
                <c:pt idx="9">
                  <c:v>228295</c:v>
                </c:pt>
              </c:numCache>
            </c:numRef>
          </c:yVal>
          <c:smooth val="1"/>
          <c:extLst>
            <c:ext xmlns:c16="http://schemas.microsoft.com/office/drawing/2014/chart" uri="{C3380CC4-5D6E-409C-BE32-E72D297353CC}">
              <c16:uniqueId val="{00000007-AA09-EB40-A781-9473821AAEEC}"/>
            </c:ext>
          </c:extLst>
        </c:ser>
        <c:dLbls>
          <c:showLegendKey val="0"/>
          <c:showVal val="0"/>
          <c:showCatName val="0"/>
          <c:showSerName val="0"/>
          <c:showPercent val="0"/>
          <c:showBubbleSize val="0"/>
        </c:dLbls>
        <c:axId val="1033135472"/>
        <c:axId val="953833072"/>
      </c:scatterChart>
      <c:valAx>
        <c:axId val="10331354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33072"/>
        <c:crosses val="autoZero"/>
        <c:crossBetween val="midCat"/>
      </c:valAx>
      <c:valAx>
        <c:axId val="95383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35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'EXT4'!$R$3:$AA$3</c:f>
              <c:numCache>
                <c:formatCode>General</c:formatCode>
                <c:ptCount val="10"/>
                <c:pt idx="0">
                  <c:v>0</c:v>
                </c:pt>
                <c:pt idx="1">
                  <c:v>0</c:v>
                </c:pt>
                <c:pt idx="2">
                  <c:v>0</c:v>
                </c:pt>
                <c:pt idx="3">
                  <c:v>0</c:v>
                </c:pt>
                <c:pt idx="4">
                  <c:v>0</c:v>
                </c:pt>
                <c:pt idx="5">
                  <c:v>0</c:v>
                </c:pt>
                <c:pt idx="6">
                  <c:v>0</c:v>
                </c:pt>
                <c:pt idx="7">
                  <c:v>0</c:v>
                </c:pt>
                <c:pt idx="8">
                  <c:v>29</c:v>
                </c:pt>
                <c:pt idx="9">
                  <c:v>33</c:v>
                </c:pt>
              </c:numCache>
            </c:numRef>
          </c:yVal>
          <c:smooth val="1"/>
          <c:extLst>
            <c:ext xmlns:c16="http://schemas.microsoft.com/office/drawing/2014/chart" uri="{C3380CC4-5D6E-409C-BE32-E72D297353CC}">
              <c16:uniqueId val="{00000000-7118-1C4A-AAC3-E84A50724CF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'EXT4'!$R$4:$AA$4</c:f>
              <c:numCache>
                <c:formatCode>General</c:formatCode>
                <c:ptCount val="10"/>
                <c:pt idx="0">
                  <c:v>0</c:v>
                </c:pt>
                <c:pt idx="1">
                  <c:v>0</c:v>
                </c:pt>
                <c:pt idx="2">
                  <c:v>0</c:v>
                </c:pt>
                <c:pt idx="3">
                  <c:v>0</c:v>
                </c:pt>
                <c:pt idx="4">
                  <c:v>0</c:v>
                </c:pt>
                <c:pt idx="5">
                  <c:v>468</c:v>
                </c:pt>
                <c:pt idx="6">
                  <c:v>187</c:v>
                </c:pt>
                <c:pt idx="7">
                  <c:v>96</c:v>
                </c:pt>
                <c:pt idx="8">
                  <c:v>83</c:v>
                </c:pt>
                <c:pt idx="9">
                  <c:v>106</c:v>
                </c:pt>
              </c:numCache>
            </c:numRef>
          </c:yVal>
          <c:smooth val="1"/>
          <c:extLst>
            <c:ext xmlns:c16="http://schemas.microsoft.com/office/drawing/2014/chart" uri="{C3380CC4-5D6E-409C-BE32-E72D297353CC}">
              <c16:uniqueId val="{00000001-7118-1C4A-AAC3-E84A50724CF7}"/>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'EXT4'!$R$5:$AA$5</c:f>
              <c:numCache>
                <c:formatCode>General</c:formatCode>
                <c:ptCount val="10"/>
                <c:pt idx="0">
                  <c:v>0</c:v>
                </c:pt>
                <c:pt idx="1">
                  <c:v>0</c:v>
                </c:pt>
                <c:pt idx="2">
                  <c:v>0</c:v>
                </c:pt>
                <c:pt idx="3">
                  <c:v>4</c:v>
                </c:pt>
                <c:pt idx="4">
                  <c:v>1764</c:v>
                </c:pt>
                <c:pt idx="5">
                  <c:v>5448</c:v>
                </c:pt>
                <c:pt idx="6">
                  <c:v>1370</c:v>
                </c:pt>
                <c:pt idx="7">
                  <c:v>442</c:v>
                </c:pt>
                <c:pt idx="8">
                  <c:v>381</c:v>
                </c:pt>
                <c:pt idx="9">
                  <c:v>319</c:v>
                </c:pt>
              </c:numCache>
            </c:numRef>
          </c:yVal>
          <c:smooth val="1"/>
          <c:extLst>
            <c:ext xmlns:c16="http://schemas.microsoft.com/office/drawing/2014/chart" uri="{C3380CC4-5D6E-409C-BE32-E72D297353CC}">
              <c16:uniqueId val="{00000002-7118-1C4A-AAC3-E84A50724CF7}"/>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'EXT4'!$R$6:$AA$6</c:f>
              <c:numCache>
                <c:formatCode>General</c:formatCode>
                <c:ptCount val="10"/>
                <c:pt idx="0">
                  <c:v>0</c:v>
                </c:pt>
                <c:pt idx="1">
                  <c:v>0</c:v>
                </c:pt>
                <c:pt idx="2">
                  <c:v>0</c:v>
                </c:pt>
                <c:pt idx="3">
                  <c:v>2176</c:v>
                </c:pt>
                <c:pt idx="4">
                  <c:v>70619</c:v>
                </c:pt>
                <c:pt idx="5">
                  <c:v>20563</c:v>
                </c:pt>
                <c:pt idx="6">
                  <c:v>3383</c:v>
                </c:pt>
                <c:pt idx="7">
                  <c:v>1174</c:v>
                </c:pt>
                <c:pt idx="8">
                  <c:v>597</c:v>
                </c:pt>
                <c:pt idx="9">
                  <c:v>548</c:v>
                </c:pt>
              </c:numCache>
            </c:numRef>
          </c:yVal>
          <c:smooth val="1"/>
          <c:extLst>
            <c:ext xmlns:c16="http://schemas.microsoft.com/office/drawing/2014/chart" uri="{C3380CC4-5D6E-409C-BE32-E72D297353CC}">
              <c16:uniqueId val="{00000003-7118-1C4A-AAC3-E84A50724CF7}"/>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'EXT4'!$R$7:$AA$7</c:f>
              <c:numCache>
                <c:formatCode>General</c:formatCode>
                <c:ptCount val="10"/>
                <c:pt idx="0">
                  <c:v>0</c:v>
                </c:pt>
                <c:pt idx="1">
                  <c:v>0</c:v>
                </c:pt>
                <c:pt idx="2">
                  <c:v>783</c:v>
                </c:pt>
                <c:pt idx="3">
                  <c:v>404392</c:v>
                </c:pt>
                <c:pt idx="4">
                  <c:v>509374</c:v>
                </c:pt>
                <c:pt idx="5">
                  <c:v>60474</c:v>
                </c:pt>
                <c:pt idx="6">
                  <c:v>9333</c:v>
                </c:pt>
                <c:pt idx="7">
                  <c:v>5514</c:v>
                </c:pt>
                <c:pt idx="8">
                  <c:v>2692</c:v>
                </c:pt>
                <c:pt idx="9">
                  <c:v>2007</c:v>
                </c:pt>
              </c:numCache>
            </c:numRef>
          </c:yVal>
          <c:smooth val="1"/>
          <c:extLst>
            <c:ext xmlns:c16="http://schemas.microsoft.com/office/drawing/2014/chart" uri="{C3380CC4-5D6E-409C-BE32-E72D297353CC}">
              <c16:uniqueId val="{00000004-7118-1C4A-AAC3-E84A50724CF7}"/>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'EXT4'!$R$8:$AA$8</c:f>
              <c:numCache>
                <c:formatCode>General</c:formatCode>
                <c:ptCount val="10"/>
                <c:pt idx="0">
                  <c:v>0</c:v>
                </c:pt>
                <c:pt idx="1">
                  <c:v>0</c:v>
                </c:pt>
                <c:pt idx="2">
                  <c:v>12102</c:v>
                </c:pt>
                <c:pt idx="3">
                  <c:v>4040800</c:v>
                </c:pt>
                <c:pt idx="4">
                  <c:v>5076715</c:v>
                </c:pt>
                <c:pt idx="5">
                  <c:v>630488</c:v>
                </c:pt>
                <c:pt idx="6">
                  <c:v>94240</c:v>
                </c:pt>
                <c:pt idx="7">
                  <c:v>51306</c:v>
                </c:pt>
                <c:pt idx="8">
                  <c:v>25289</c:v>
                </c:pt>
                <c:pt idx="9">
                  <c:v>17417</c:v>
                </c:pt>
              </c:numCache>
            </c:numRef>
          </c:yVal>
          <c:smooth val="1"/>
          <c:extLst>
            <c:ext xmlns:c16="http://schemas.microsoft.com/office/drawing/2014/chart" uri="{C3380CC4-5D6E-409C-BE32-E72D297353CC}">
              <c16:uniqueId val="{00000005-7118-1C4A-AAC3-E84A50724CF7}"/>
            </c:ext>
          </c:extLst>
        </c:ser>
        <c:ser>
          <c:idx val="6"/>
          <c:order val="6"/>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'EXT4'!$R$9:$AA$9</c:f>
              <c:numCache>
                <c:formatCode>General</c:formatCode>
                <c:ptCount val="10"/>
                <c:pt idx="0">
                  <c:v>0</c:v>
                </c:pt>
                <c:pt idx="1">
                  <c:v>0</c:v>
                </c:pt>
                <c:pt idx="2">
                  <c:v>164</c:v>
                </c:pt>
                <c:pt idx="3">
                  <c:v>1832099</c:v>
                </c:pt>
                <c:pt idx="4">
                  <c:v>73265991</c:v>
                </c:pt>
                <c:pt idx="5">
                  <c:v>20437558</c:v>
                </c:pt>
                <c:pt idx="6">
                  <c:v>1758710</c:v>
                </c:pt>
                <c:pt idx="7">
                  <c:v>1122825</c:v>
                </c:pt>
                <c:pt idx="8">
                  <c:v>466741</c:v>
                </c:pt>
                <c:pt idx="9">
                  <c:v>412824</c:v>
                </c:pt>
              </c:numCache>
            </c:numRef>
          </c:yVal>
          <c:smooth val="1"/>
          <c:extLst>
            <c:ext xmlns:c16="http://schemas.microsoft.com/office/drawing/2014/chart" uri="{C3380CC4-5D6E-409C-BE32-E72D297353CC}">
              <c16:uniqueId val="{00000006-7118-1C4A-AAC3-E84A50724CF7}"/>
            </c:ext>
          </c:extLst>
        </c:ser>
        <c:ser>
          <c:idx val="7"/>
          <c:order val="7"/>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strRef>
              <c:f>'EXT4'!$R$2:$AA$2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'EXT4'!$R$10:$AA$10</c:f>
              <c:numCache>
                <c:formatCode>General</c:formatCode>
                <c:ptCount val="10"/>
                <c:pt idx="0">
                  <c:v>0</c:v>
                </c:pt>
                <c:pt idx="1">
                  <c:v>0</c:v>
                </c:pt>
                <c:pt idx="2">
                  <c:v>191736</c:v>
                </c:pt>
                <c:pt idx="3">
                  <c:v>284604790</c:v>
                </c:pt>
                <c:pt idx="4">
                  <c:v>591224305</c:v>
                </c:pt>
                <c:pt idx="5">
                  <c:v>94686806</c:v>
                </c:pt>
                <c:pt idx="6">
                  <c:v>10835085</c:v>
                </c:pt>
                <c:pt idx="7">
                  <c:v>7059994</c:v>
                </c:pt>
                <c:pt idx="8">
                  <c:v>3021542</c:v>
                </c:pt>
                <c:pt idx="9">
                  <c:v>2570865</c:v>
                </c:pt>
              </c:numCache>
            </c:numRef>
          </c:yVal>
          <c:smooth val="1"/>
          <c:extLst>
            <c:ext xmlns:c16="http://schemas.microsoft.com/office/drawing/2014/chart" uri="{C3380CC4-5D6E-409C-BE32-E72D297353CC}">
              <c16:uniqueId val="{00000007-7118-1C4A-AAC3-E84A50724CF7}"/>
            </c:ext>
          </c:extLst>
        </c:ser>
        <c:dLbls>
          <c:showLegendKey val="0"/>
          <c:showVal val="0"/>
          <c:showCatName val="0"/>
          <c:showSerName val="0"/>
          <c:showPercent val="0"/>
          <c:showBubbleSize val="0"/>
        </c:dLbls>
        <c:axId val="1016250752"/>
        <c:axId val="973283216"/>
      </c:scatterChart>
      <c:valAx>
        <c:axId val="10162507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283216"/>
        <c:crosses val="autoZero"/>
        <c:crossBetween val="midCat"/>
      </c:valAx>
      <c:valAx>
        <c:axId val="9732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50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File Sizes vs Count</a:t>
            </a:r>
          </a:p>
        </c:rich>
      </c:tx>
      <c:layout>
        <c:manualLayout>
          <c:xMode val="edge"/>
          <c:yMode val="edge"/>
          <c:x val="0.39439093864789432"/>
          <c:y val="3.859649122807017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465222256948996E-2"/>
          <c:y val="0.13014035087719297"/>
          <c:w val="0.88619113391875948"/>
          <c:h val="0.70547976239812127"/>
        </c:manualLayout>
      </c:layout>
      <c:scatterChart>
        <c:scatterStyle val="smoothMarker"/>
        <c:varyColors val="0"/>
        <c:ser>
          <c:idx val="0"/>
          <c:order val="0"/>
          <c:tx>
            <c:v>1 billion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'EXT4'!$H$9:$Q$9</c:f>
              <c:numCache>
                <c:formatCode>General</c:formatCode>
                <c:ptCount val="10"/>
                <c:pt idx="0">
                  <c:v>325</c:v>
                </c:pt>
                <c:pt idx="1">
                  <c:v>22693</c:v>
                </c:pt>
                <c:pt idx="2">
                  <c:v>595593</c:v>
                </c:pt>
                <c:pt idx="3">
                  <c:v>6058912</c:v>
                </c:pt>
                <c:pt idx="4">
                  <c:v>24173890</c:v>
                </c:pt>
                <c:pt idx="5">
                  <c:v>38297871</c:v>
                </c:pt>
                <c:pt idx="6">
                  <c:v>24170064</c:v>
                </c:pt>
                <c:pt idx="7">
                  <c:v>6061044</c:v>
                </c:pt>
                <c:pt idx="8">
                  <c:v>596459</c:v>
                </c:pt>
                <c:pt idx="9">
                  <c:v>22802</c:v>
                </c:pt>
              </c:numCache>
            </c:numRef>
          </c:yVal>
          <c:smooth val="1"/>
          <c:extLst>
            <c:ext xmlns:c16="http://schemas.microsoft.com/office/drawing/2014/chart" uri="{C3380CC4-5D6E-409C-BE32-E72D297353CC}">
              <c16:uniqueId val="{00000000-B2CC-C440-A259-67472F202C1D}"/>
            </c:ext>
          </c:extLst>
        </c:ser>
        <c:ser>
          <c:idx val="1"/>
          <c:order val="1"/>
          <c:tx>
            <c:v>100 million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'EXT4'!$H$2:$Q$2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'EXT4'!$H$10:$Q$10</c:f>
              <c:numCache>
                <c:formatCode>General</c:formatCode>
                <c:ptCount val="10"/>
                <c:pt idx="0">
                  <c:v>3347</c:v>
                </c:pt>
                <c:pt idx="1">
                  <c:v>229864</c:v>
                </c:pt>
                <c:pt idx="2">
                  <c:v>5978751</c:v>
                </c:pt>
                <c:pt idx="3">
                  <c:v>60592229</c:v>
                </c:pt>
                <c:pt idx="4">
                  <c:v>241723780</c:v>
                </c:pt>
                <c:pt idx="5">
                  <c:v>382914993</c:v>
                </c:pt>
                <c:pt idx="6">
                  <c:v>241735599</c:v>
                </c:pt>
                <c:pt idx="7">
                  <c:v>60606807</c:v>
                </c:pt>
                <c:pt idx="8">
                  <c:v>5982794</c:v>
                </c:pt>
                <c:pt idx="9">
                  <c:v>228295</c:v>
                </c:pt>
              </c:numCache>
            </c:numRef>
          </c:yVal>
          <c:smooth val="1"/>
          <c:extLst>
            <c:ext xmlns:c16="http://schemas.microsoft.com/office/drawing/2014/chart" uri="{C3380CC4-5D6E-409C-BE32-E72D297353CC}">
              <c16:uniqueId val="{00000001-B2CC-C440-A259-67472F202C1D}"/>
            </c:ext>
          </c:extLst>
        </c:ser>
        <c:dLbls>
          <c:showLegendKey val="0"/>
          <c:showVal val="0"/>
          <c:showCatName val="0"/>
          <c:showSerName val="0"/>
          <c:showPercent val="0"/>
          <c:showBubbleSize val="0"/>
        </c:dLbls>
        <c:axId val="1593160928"/>
        <c:axId val="1593162576"/>
      </c:scatterChart>
      <c:valAx>
        <c:axId val="15931609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a:t>File</a:t>
                </a:r>
                <a:r>
                  <a:rPr lang="en-US" sz="1000" b="1" baseline="0"/>
                  <a:t> Size (KB)</a:t>
                </a:r>
                <a:endParaRPr lang="en-US" sz="1000"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62576"/>
        <c:crosses val="autoZero"/>
        <c:crossBetween val="midCat"/>
      </c:valAx>
      <c:valAx>
        <c:axId val="1593162576"/>
        <c:scaling>
          <c:orientation val="minMax"/>
          <c:min val="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a:t>Number</a:t>
                </a:r>
                <a:r>
                  <a:rPr lang="en-US" sz="1000" b="1" baseline="0"/>
                  <a:t> of Files</a:t>
                </a:r>
                <a:endParaRPr lang="en-US" sz="1000"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93160928"/>
        <c:crosses val="autoZero"/>
        <c:crossBetween val="midCat"/>
        <c:majorUnit val="40000000"/>
      </c:valAx>
      <c:spPr>
        <a:noFill/>
        <a:ln>
          <a:noFill/>
        </a:ln>
        <a:effectLst/>
      </c:spPr>
    </c:plotArea>
    <c:legend>
      <c:legendPos val="r"/>
      <c:layout>
        <c:manualLayout>
          <c:xMode val="edge"/>
          <c:yMode val="edge"/>
          <c:x val="0.70471865499151221"/>
          <c:y val="0.35761099599392182"/>
          <c:w val="0.25047020604162734"/>
          <c:h val="0.165790643226448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og"/>
            <c:dispRSqr val="0"/>
            <c:dispEq val="0"/>
          </c:trendline>
          <c:cat>
            <c:strRef>
              <c:f>F2FS!$AT$1:$BM$1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cat>
          <c:val>
            <c:numRef>
              <c:f>F2FS!$AT$2:$BM$2</c:f>
              <c:numCache>
                <c:formatCode>General</c:formatCode>
                <c:ptCount val="20"/>
                <c:pt idx="0">
                  <c:v>25.028445999999999</c:v>
                </c:pt>
                <c:pt idx="1">
                  <c:v>58.365499999999997</c:v>
                </c:pt>
                <c:pt idx="2">
                  <c:v>61.197581999999997</c:v>
                </c:pt>
                <c:pt idx="3">
                  <c:v>62.069274999999998</c:v>
                </c:pt>
                <c:pt idx="4">
                  <c:v>67.218260000000001</c:v>
                </c:pt>
                <c:pt idx="5">
                  <c:v>69.959525999999997</c:v>
                </c:pt>
                <c:pt idx="6">
                  <c:v>67.926079999999999</c:v>
                </c:pt>
                <c:pt idx="7">
                  <c:v>78.032049999999998</c:v>
                </c:pt>
                <c:pt idx="8">
                  <c:v>31.271409999999999</c:v>
                </c:pt>
                <c:pt idx="9">
                  <c:v>56.895879999999998</c:v>
                </c:pt>
                <c:pt idx="10">
                  <c:v>72.665000000000006</c:v>
                </c:pt>
                <c:pt idx="11">
                  <c:v>87.767200000000003</c:v>
                </c:pt>
                <c:pt idx="12">
                  <c:v>90.291854999999998</c:v>
                </c:pt>
                <c:pt idx="13">
                  <c:v>94.285790000000006</c:v>
                </c:pt>
                <c:pt idx="14">
                  <c:v>96.237309999999994</c:v>
                </c:pt>
                <c:pt idx="15">
                  <c:v>96.117459999999994</c:v>
                </c:pt>
                <c:pt idx="16">
                  <c:v>35.753776999999999</c:v>
                </c:pt>
                <c:pt idx="17">
                  <c:v>94.805030000000002</c:v>
                </c:pt>
                <c:pt idx="18">
                  <c:v>94.135993999999997</c:v>
                </c:pt>
                <c:pt idx="19">
                  <c:v>96.272064</c:v>
                </c:pt>
              </c:numCache>
            </c:numRef>
          </c:val>
          <c:extLst>
            <c:ext xmlns:c16="http://schemas.microsoft.com/office/drawing/2014/chart" uri="{C3380CC4-5D6E-409C-BE32-E72D297353CC}">
              <c16:uniqueId val="{00000000-07E2-8E4F-88F7-19AD026A72D3}"/>
            </c:ext>
          </c:extLst>
        </c:ser>
        <c:ser>
          <c:idx val="1"/>
          <c:order val="1"/>
          <c:spPr>
            <a:solidFill>
              <a:schemeClr val="accent2"/>
            </a:solidFill>
            <a:ln>
              <a:noFill/>
            </a:ln>
            <a:effectLst/>
          </c:spPr>
          <c:invertIfNegative val="0"/>
          <c:trendline>
            <c:spPr>
              <a:ln w="19050" cap="rnd">
                <a:solidFill>
                  <a:schemeClr val="accent2"/>
                </a:solidFill>
                <a:prstDash val="sysDot"/>
              </a:ln>
              <a:effectLst/>
            </c:spPr>
            <c:trendlineType val="log"/>
            <c:dispRSqr val="0"/>
            <c:dispEq val="0"/>
          </c:trendline>
          <c:cat>
            <c:strRef>
              <c:f>F2FS!$AT$1:$BM$1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cat>
          <c:val>
            <c:numRef>
              <c:f>F2FS!$AT$3:$BM$3</c:f>
              <c:numCache>
                <c:formatCode>General</c:formatCode>
                <c:ptCount val="20"/>
                <c:pt idx="0">
                  <c:v>80.390366</c:v>
                </c:pt>
                <c:pt idx="1">
                  <c:v>95.899665999999996</c:v>
                </c:pt>
                <c:pt idx="2">
                  <c:v>87.503529999999998</c:v>
                </c:pt>
                <c:pt idx="3">
                  <c:v>22.958894999999998</c:v>
                </c:pt>
                <c:pt idx="4">
                  <c:v>98.207310000000007</c:v>
                </c:pt>
                <c:pt idx="5">
                  <c:v>97.086079999999995</c:v>
                </c:pt>
                <c:pt idx="6">
                  <c:v>98.277405000000002</c:v>
                </c:pt>
                <c:pt idx="7">
                  <c:v>98.645060000000001</c:v>
                </c:pt>
                <c:pt idx="8">
                  <c:v>96.776505</c:v>
                </c:pt>
                <c:pt idx="9">
                  <c:v>100.04134999999999</c:v>
                </c:pt>
                <c:pt idx="10">
                  <c:v>83.023579999999995</c:v>
                </c:pt>
                <c:pt idx="11">
                  <c:v>97.090519999999998</c:v>
                </c:pt>
                <c:pt idx="12">
                  <c:v>98.501589999999993</c:v>
                </c:pt>
                <c:pt idx="13">
                  <c:v>97.690860000000001</c:v>
                </c:pt>
                <c:pt idx="14">
                  <c:v>74.446780000000004</c:v>
                </c:pt>
                <c:pt idx="15">
                  <c:v>99.103949999999998</c:v>
                </c:pt>
                <c:pt idx="16">
                  <c:v>99.416663999999997</c:v>
                </c:pt>
                <c:pt idx="17">
                  <c:v>88.342100000000002</c:v>
                </c:pt>
                <c:pt idx="18">
                  <c:v>97.226944000000003</c:v>
                </c:pt>
                <c:pt idx="19">
                  <c:v>6.1877027</c:v>
                </c:pt>
              </c:numCache>
            </c:numRef>
          </c:val>
          <c:extLst>
            <c:ext xmlns:c16="http://schemas.microsoft.com/office/drawing/2014/chart" uri="{C3380CC4-5D6E-409C-BE32-E72D297353CC}">
              <c16:uniqueId val="{00000001-07E2-8E4F-88F7-19AD026A72D3}"/>
            </c:ext>
          </c:extLst>
        </c:ser>
        <c:ser>
          <c:idx val="2"/>
          <c:order val="2"/>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og"/>
            <c:dispRSqr val="0"/>
            <c:dispEq val="0"/>
          </c:trendline>
          <c:cat>
            <c:strRef>
              <c:f>F2FS!$AT$1:$BM$1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cat>
          <c:val>
            <c:numRef>
              <c:f>F2FS!$AT$4:$BM$4</c:f>
              <c:numCache>
                <c:formatCode>General</c:formatCode>
                <c:ptCount val="20"/>
                <c:pt idx="0">
                  <c:v>87.939269999999993</c:v>
                </c:pt>
                <c:pt idx="1">
                  <c:v>41.358147000000002</c:v>
                </c:pt>
                <c:pt idx="2">
                  <c:v>65.126273999999995</c:v>
                </c:pt>
                <c:pt idx="3">
                  <c:v>64.884429999999995</c:v>
                </c:pt>
                <c:pt idx="4">
                  <c:v>72.913734000000005</c:v>
                </c:pt>
                <c:pt idx="5">
                  <c:v>72.934619999999995</c:v>
                </c:pt>
                <c:pt idx="6">
                  <c:v>69.774720000000002</c:v>
                </c:pt>
                <c:pt idx="7">
                  <c:v>67.795599999999993</c:v>
                </c:pt>
                <c:pt idx="8">
                  <c:v>69.835526000000002</c:v>
                </c:pt>
                <c:pt idx="9">
                  <c:v>43.566017000000002</c:v>
                </c:pt>
                <c:pt idx="10">
                  <c:v>75.173379999999995</c:v>
                </c:pt>
                <c:pt idx="11">
                  <c:v>64.350746000000001</c:v>
                </c:pt>
                <c:pt idx="12">
                  <c:v>74.804760000000002</c:v>
                </c:pt>
                <c:pt idx="13">
                  <c:v>78.979150000000004</c:v>
                </c:pt>
                <c:pt idx="14">
                  <c:v>35.268783999999997</c:v>
                </c:pt>
                <c:pt idx="15">
                  <c:v>75.775810000000007</c:v>
                </c:pt>
                <c:pt idx="16">
                  <c:v>72.402979999999999</c:v>
                </c:pt>
                <c:pt idx="17">
                  <c:v>58.254116000000003</c:v>
                </c:pt>
                <c:pt idx="18">
                  <c:v>74.169910000000002</c:v>
                </c:pt>
                <c:pt idx="19">
                  <c:v>74.324929999999995</c:v>
                </c:pt>
              </c:numCache>
            </c:numRef>
          </c:val>
          <c:extLst>
            <c:ext xmlns:c16="http://schemas.microsoft.com/office/drawing/2014/chart" uri="{C3380CC4-5D6E-409C-BE32-E72D297353CC}">
              <c16:uniqueId val="{00000002-07E2-8E4F-88F7-19AD026A72D3}"/>
            </c:ext>
          </c:extLst>
        </c:ser>
        <c:ser>
          <c:idx val="3"/>
          <c:order val="3"/>
          <c:spPr>
            <a:solidFill>
              <a:schemeClr val="accent4"/>
            </a:solidFill>
            <a:ln>
              <a:noFill/>
            </a:ln>
            <a:effectLst/>
          </c:spPr>
          <c:invertIfNegative val="0"/>
          <c:trendline>
            <c:spPr>
              <a:ln w="19050" cap="rnd">
                <a:solidFill>
                  <a:schemeClr val="accent4"/>
                </a:solidFill>
                <a:prstDash val="sysDot"/>
              </a:ln>
              <a:effectLst/>
            </c:spPr>
            <c:trendlineType val="log"/>
            <c:dispRSqr val="0"/>
            <c:dispEq val="0"/>
          </c:trendline>
          <c:cat>
            <c:strRef>
              <c:f>F2FS!$AT$1:$BM$1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cat>
          <c:val>
            <c:numRef>
              <c:f>F2FS!$AT$5:$BM$5</c:f>
              <c:numCache>
                <c:formatCode>General</c:formatCode>
                <c:ptCount val="20"/>
                <c:pt idx="0">
                  <c:v>73.631870000000006</c:v>
                </c:pt>
                <c:pt idx="1">
                  <c:v>73.271079999999998</c:v>
                </c:pt>
                <c:pt idx="2">
                  <c:v>72.919960000000003</c:v>
                </c:pt>
                <c:pt idx="3">
                  <c:v>63.305042</c:v>
                </c:pt>
                <c:pt idx="4">
                  <c:v>63.737139999999997</c:v>
                </c:pt>
                <c:pt idx="5">
                  <c:v>74.716729999999998</c:v>
                </c:pt>
                <c:pt idx="6">
                  <c:v>76.760009999999994</c:v>
                </c:pt>
                <c:pt idx="7">
                  <c:v>77.545280000000005</c:v>
                </c:pt>
                <c:pt idx="8">
                  <c:v>54.176169999999999</c:v>
                </c:pt>
                <c:pt idx="9">
                  <c:v>78.342129999999997</c:v>
                </c:pt>
                <c:pt idx="10">
                  <c:v>48.132874000000001</c:v>
                </c:pt>
                <c:pt idx="11">
                  <c:v>76.60848</c:v>
                </c:pt>
                <c:pt idx="12">
                  <c:v>57.149901999999997</c:v>
                </c:pt>
                <c:pt idx="13">
                  <c:v>75.111350000000002</c:v>
                </c:pt>
                <c:pt idx="14">
                  <c:v>57.025866999999998</c:v>
                </c:pt>
                <c:pt idx="15">
                  <c:v>74.971119999999999</c:v>
                </c:pt>
                <c:pt idx="16">
                  <c:v>50.977290000000004</c:v>
                </c:pt>
                <c:pt idx="17">
                  <c:v>76.779660000000007</c:v>
                </c:pt>
                <c:pt idx="18">
                  <c:v>58.317646000000003</c:v>
                </c:pt>
                <c:pt idx="19">
                  <c:v>75.589410000000001</c:v>
                </c:pt>
              </c:numCache>
            </c:numRef>
          </c:val>
          <c:extLst>
            <c:ext xmlns:c16="http://schemas.microsoft.com/office/drawing/2014/chart" uri="{C3380CC4-5D6E-409C-BE32-E72D297353CC}">
              <c16:uniqueId val="{00000003-07E2-8E4F-88F7-19AD026A72D3}"/>
            </c:ext>
          </c:extLst>
        </c:ser>
        <c:dLbls>
          <c:showLegendKey val="0"/>
          <c:showVal val="0"/>
          <c:showCatName val="0"/>
          <c:showSerName val="0"/>
          <c:showPercent val="0"/>
          <c:showBubbleSize val="0"/>
        </c:dLbls>
        <c:gapWidth val="219"/>
        <c:overlap val="-27"/>
        <c:axId val="1016338224"/>
        <c:axId val="1016526400"/>
      </c:barChart>
      <c:catAx>
        <c:axId val="101633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26400"/>
        <c:crosses val="autoZero"/>
        <c:auto val="1"/>
        <c:lblAlgn val="ctr"/>
        <c:lblOffset val="100"/>
        <c:noMultiLvlLbl val="0"/>
      </c:catAx>
      <c:valAx>
        <c:axId val="101652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33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cat>
          <c:val>
            <c:numRef>
              <c:f>F2FS!$R$2:$AK$2</c:f>
              <c:numCache>
                <c:formatCode>General</c:formatCode>
                <c:ptCount val="20"/>
                <c:pt idx="0">
                  <c:v>0</c:v>
                </c:pt>
                <c:pt idx="1">
                  <c:v>237</c:v>
                </c:pt>
                <c:pt idx="2">
                  <c:v>5673</c:v>
                </c:pt>
                <c:pt idx="3">
                  <c:v>3111</c:v>
                </c:pt>
                <c:pt idx="4">
                  <c:v>528</c:v>
                </c:pt>
                <c:pt idx="5">
                  <c:v>162</c:v>
                </c:pt>
                <c:pt idx="6">
                  <c:v>147</c:v>
                </c:pt>
                <c:pt idx="7">
                  <c:v>60</c:v>
                </c:pt>
                <c:pt idx="8">
                  <c:v>22</c:v>
                </c:pt>
                <c:pt idx="9">
                  <c:v>24</c:v>
                </c:pt>
                <c:pt idx="10">
                  <c:v>19</c:v>
                </c:pt>
                <c:pt idx="11">
                  <c:v>4</c:v>
                </c:pt>
                <c:pt idx="12">
                  <c:v>2</c:v>
                </c:pt>
                <c:pt idx="13">
                  <c:v>0</c:v>
                </c:pt>
                <c:pt idx="14">
                  <c:v>1</c:v>
                </c:pt>
                <c:pt idx="15">
                  <c:v>4</c:v>
                </c:pt>
                <c:pt idx="16">
                  <c:v>0</c:v>
                </c:pt>
                <c:pt idx="17">
                  <c:v>0</c:v>
                </c:pt>
                <c:pt idx="18">
                  <c:v>0</c:v>
                </c:pt>
                <c:pt idx="19">
                  <c:v>0</c:v>
                </c:pt>
              </c:numCache>
            </c:numRef>
          </c:val>
          <c:extLst>
            <c:ext xmlns:c16="http://schemas.microsoft.com/office/drawing/2014/chart" uri="{C3380CC4-5D6E-409C-BE32-E72D297353CC}">
              <c16:uniqueId val="{00000000-A944-A24B-9A55-02F0B844D960}"/>
            </c:ext>
          </c:extLst>
        </c:ser>
        <c:ser>
          <c:idx val="1"/>
          <c:order val="1"/>
          <c:spPr>
            <a:solidFill>
              <a:schemeClr val="accent2"/>
            </a:solidFill>
            <a:ln>
              <a:noFill/>
            </a:ln>
            <a:effectLst/>
          </c:spPr>
          <c:invertIfNegative val="0"/>
          <c:cat>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cat>
          <c:val>
            <c:numRef>
              <c:f>F2FS!$R$3:$AK$3</c:f>
              <c:numCache>
                <c:formatCode>General</c:formatCode>
                <c:ptCount val="20"/>
                <c:pt idx="0">
                  <c:v>0</c:v>
                </c:pt>
                <c:pt idx="1">
                  <c:v>9863</c:v>
                </c:pt>
                <c:pt idx="2">
                  <c:v>81941</c:v>
                </c:pt>
                <c:pt idx="3">
                  <c:v>5789</c:v>
                </c:pt>
                <c:pt idx="4">
                  <c:v>1429</c:v>
                </c:pt>
                <c:pt idx="5">
                  <c:v>334</c:v>
                </c:pt>
                <c:pt idx="6">
                  <c:v>229</c:v>
                </c:pt>
                <c:pt idx="7">
                  <c:v>119</c:v>
                </c:pt>
                <c:pt idx="8">
                  <c:v>90</c:v>
                </c:pt>
                <c:pt idx="9">
                  <c:v>50</c:v>
                </c:pt>
                <c:pt idx="10">
                  <c:v>44</c:v>
                </c:pt>
                <c:pt idx="11">
                  <c:v>24</c:v>
                </c:pt>
                <c:pt idx="12">
                  <c:v>18</c:v>
                </c:pt>
                <c:pt idx="13">
                  <c:v>13</c:v>
                </c:pt>
                <c:pt idx="14">
                  <c:v>8</c:v>
                </c:pt>
                <c:pt idx="15">
                  <c:v>6</c:v>
                </c:pt>
                <c:pt idx="16">
                  <c:v>3</c:v>
                </c:pt>
                <c:pt idx="17">
                  <c:v>2</c:v>
                </c:pt>
                <c:pt idx="18">
                  <c:v>2</c:v>
                </c:pt>
                <c:pt idx="19">
                  <c:v>1</c:v>
                </c:pt>
              </c:numCache>
            </c:numRef>
          </c:val>
          <c:extLst>
            <c:ext xmlns:c16="http://schemas.microsoft.com/office/drawing/2014/chart" uri="{C3380CC4-5D6E-409C-BE32-E72D297353CC}">
              <c16:uniqueId val="{00000001-A944-A24B-9A55-02F0B844D960}"/>
            </c:ext>
          </c:extLst>
        </c:ser>
        <c:ser>
          <c:idx val="2"/>
          <c:order val="2"/>
          <c:spPr>
            <a:solidFill>
              <a:schemeClr val="accent3"/>
            </a:solidFill>
            <a:ln>
              <a:noFill/>
            </a:ln>
            <a:effectLst/>
          </c:spPr>
          <c:invertIfNegative val="0"/>
          <c:cat>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cat>
          <c:val>
            <c:numRef>
              <c:f>F2FS!$R$4:$AK$4</c:f>
              <c:numCache>
                <c:formatCode>General</c:formatCode>
                <c:ptCount val="20"/>
                <c:pt idx="0">
                  <c:v>0</c:v>
                </c:pt>
                <c:pt idx="1">
                  <c:v>32623</c:v>
                </c:pt>
                <c:pt idx="2">
                  <c:v>868458</c:v>
                </c:pt>
                <c:pt idx="3">
                  <c:v>36298</c:v>
                </c:pt>
                <c:pt idx="4">
                  <c:v>33084</c:v>
                </c:pt>
                <c:pt idx="5">
                  <c:v>22107</c:v>
                </c:pt>
                <c:pt idx="6">
                  <c:v>2981</c:v>
                </c:pt>
                <c:pt idx="7">
                  <c:v>1317</c:v>
                </c:pt>
                <c:pt idx="8">
                  <c:v>767</c:v>
                </c:pt>
                <c:pt idx="9">
                  <c:v>477</c:v>
                </c:pt>
                <c:pt idx="10">
                  <c:v>318</c:v>
                </c:pt>
                <c:pt idx="11">
                  <c:v>217</c:v>
                </c:pt>
                <c:pt idx="12">
                  <c:v>187</c:v>
                </c:pt>
                <c:pt idx="13">
                  <c:v>128</c:v>
                </c:pt>
                <c:pt idx="14">
                  <c:v>63</c:v>
                </c:pt>
                <c:pt idx="15">
                  <c:v>47</c:v>
                </c:pt>
                <c:pt idx="16">
                  <c:v>26</c:v>
                </c:pt>
                <c:pt idx="17">
                  <c:v>22</c:v>
                </c:pt>
                <c:pt idx="18">
                  <c:v>17</c:v>
                </c:pt>
                <c:pt idx="19">
                  <c:v>17</c:v>
                </c:pt>
              </c:numCache>
            </c:numRef>
          </c:val>
          <c:extLst>
            <c:ext xmlns:c16="http://schemas.microsoft.com/office/drawing/2014/chart" uri="{C3380CC4-5D6E-409C-BE32-E72D297353CC}">
              <c16:uniqueId val="{00000002-A944-A24B-9A55-02F0B844D960}"/>
            </c:ext>
          </c:extLst>
        </c:ser>
        <c:ser>
          <c:idx val="3"/>
          <c:order val="3"/>
          <c:spPr>
            <a:solidFill>
              <a:schemeClr val="accent4"/>
            </a:solidFill>
            <a:ln>
              <a:noFill/>
            </a:ln>
            <a:effectLst/>
          </c:spPr>
          <c:invertIfNegative val="0"/>
          <c:cat>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cat>
          <c:val>
            <c:numRef>
              <c:f>F2FS!$R$5:$AK$5</c:f>
              <c:numCache>
                <c:formatCode>General</c:formatCode>
                <c:ptCount val="20"/>
                <c:pt idx="0">
                  <c:v>0</c:v>
                </c:pt>
                <c:pt idx="1">
                  <c:v>308181</c:v>
                </c:pt>
                <c:pt idx="2">
                  <c:v>5153707</c:v>
                </c:pt>
                <c:pt idx="3">
                  <c:v>208535</c:v>
                </c:pt>
                <c:pt idx="4">
                  <c:v>190294</c:v>
                </c:pt>
                <c:pt idx="5">
                  <c:v>95805</c:v>
                </c:pt>
                <c:pt idx="6">
                  <c:v>17375</c:v>
                </c:pt>
                <c:pt idx="7">
                  <c:v>8295</c:v>
                </c:pt>
                <c:pt idx="8">
                  <c:v>4507</c:v>
                </c:pt>
                <c:pt idx="9">
                  <c:v>2848</c:v>
                </c:pt>
                <c:pt idx="10">
                  <c:v>1739</c:v>
                </c:pt>
                <c:pt idx="11">
                  <c:v>1094</c:v>
                </c:pt>
                <c:pt idx="12">
                  <c:v>566</c:v>
                </c:pt>
                <c:pt idx="13">
                  <c:v>350</c:v>
                </c:pt>
                <c:pt idx="14">
                  <c:v>238</c:v>
                </c:pt>
                <c:pt idx="15">
                  <c:v>161</c:v>
                </c:pt>
                <c:pt idx="16">
                  <c:v>171</c:v>
                </c:pt>
                <c:pt idx="17">
                  <c:v>127</c:v>
                </c:pt>
                <c:pt idx="18">
                  <c:v>79</c:v>
                </c:pt>
                <c:pt idx="19">
                  <c:v>59</c:v>
                </c:pt>
              </c:numCache>
            </c:numRef>
          </c:val>
          <c:extLst>
            <c:ext xmlns:c16="http://schemas.microsoft.com/office/drawing/2014/chart" uri="{C3380CC4-5D6E-409C-BE32-E72D297353CC}">
              <c16:uniqueId val="{00000003-A944-A24B-9A55-02F0B844D960}"/>
            </c:ext>
          </c:extLst>
        </c:ser>
        <c:dLbls>
          <c:showLegendKey val="0"/>
          <c:showVal val="0"/>
          <c:showCatName val="0"/>
          <c:showSerName val="0"/>
          <c:showPercent val="0"/>
          <c:showBubbleSize val="0"/>
        </c:dLbls>
        <c:gapWidth val="219"/>
        <c:overlap val="-27"/>
        <c:axId val="979043248"/>
        <c:axId val="979040128"/>
      </c:barChart>
      <c:catAx>
        <c:axId val="97904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40128"/>
        <c:crosses val="autoZero"/>
        <c:auto val="1"/>
        <c:lblAlgn val="ctr"/>
        <c:lblOffset val="100"/>
        <c:noMultiLvlLbl val="0"/>
      </c:catAx>
      <c:valAx>
        <c:axId val="9790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4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F2FS!$R$2:$AK$2</c:f>
              <c:numCache>
                <c:formatCode>General</c:formatCode>
                <c:ptCount val="20"/>
                <c:pt idx="0">
                  <c:v>0</c:v>
                </c:pt>
                <c:pt idx="1">
                  <c:v>237</c:v>
                </c:pt>
                <c:pt idx="2">
                  <c:v>5673</c:v>
                </c:pt>
                <c:pt idx="3">
                  <c:v>3111</c:v>
                </c:pt>
                <c:pt idx="4">
                  <c:v>528</c:v>
                </c:pt>
                <c:pt idx="5">
                  <c:v>162</c:v>
                </c:pt>
                <c:pt idx="6">
                  <c:v>147</c:v>
                </c:pt>
                <c:pt idx="7">
                  <c:v>60</c:v>
                </c:pt>
                <c:pt idx="8">
                  <c:v>22</c:v>
                </c:pt>
                <c:pt idx="9">
                  <c:v>24</c:v>
                </c:pt>
                <c:pt idx="10">
                  <c:v>19</c:v>
                </c:pt>
                <c:pt idx="11">
                  <c:v>4</c:v>
                </c:pt>
                <c:pt idx="12">
                  <c:v>2</c:v>
                </c:pt>
                <c:pt idx="13">
                  <c:v>0</c:v>
                </c:pt>
                <c:pt idx="14">
                  <c:v>1</c:v>
                </c:pt>
                <c:pt idx="15">
                  <c:v>4</c:v>
                </c:pt>
                <c:pt idx="16">
                  <c:v>0</c:v>
                </c:pt>
                <c:pt idx="17">
                  <c:v>0</c:v>
                </c:pt>
                <c:pt idx="18">
                  <c:v>0</c:v>
                </c:pt>
                <c:pt idx="19">
                  <c:v>0</c:v>
                </c:pt>
              </c:numCache>
            </c:numRef>
          </c:yVal>
          <c:smooth val="1"/>
          <c:extLst>
            <c:ext xmlns:c16="http://schemas.microsoft.com/office/drawing/2014/chart" uri="{C3380CC4-5D6E-409C-BE32-E72D297353CC}">
              <c16:uniqueId val="{00000000-25D7-D448-BE50-4977AE356E45}"/>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F2FS!$R$3:$AK$3</c:f>
              <c:numCache>
                <c:formatCode>General</c:formatCode>
                <c:ptCount val="20"/>
                <c:pt idx="0">
                  <c:v>0</c:v>
                </c:pt>
                <c:pt idx="1">
                  <c:v>9863</c:v>
                </c:pt>
                <c:pt idx="2">
                  <c:v>81941</c:v>
                </c:pt>
                <c:pt idx="3">
                  <c:v>5789</c:v>
                </c:pt>
                <c:pt idx="4">
                  <c:v>1429</c:v>
                </c:pt>
                <c:pt idx="5">
                  <c:v>334</c:v>
                </c:pt>
                <c:pt idx="6">
                  <c:v>229</c:v>
                </c:pt>
                <c:pt idx="7">
                  <c:v>119</c:v>
                </c:pt>
                <c:pt idx="8">
                  <c:v>90</c:v>
                </c:pt>
                <c:pt idx="9">
                  <c:v>50</c:v>
                </c:pt>
                <c:pt idx="10">
                  <c:v>44</c:v>
                </c:pt>
                <c:pt idx="11">
                  <c:v>24</c:v>
                </c:pt>
                <c:pt idx="12">
                  <c:v>18</c:v>
                </c:pt>
                <c:pt idx="13">
                  <c:v>13</c:v>
                </c:pt>
                <c:pt idx="14">
                  <c:v>8</c:v>
                </c:pt>
                <c:pt idx="15">
                  <c:v>6</c:v>
                </c:pt>
                <c:pt idx="16">
                  <c:v>3</c:v>
                </c:pt>
                <c:pt idx="17">
                  <c:v>2</c:v>
                </c:pt>
                <c:pt idx="18">
                  <c:v>2</c:v>
                </c:pt>
                <c:pt idx="19">
                  <c:v>1</c:v>
                </c:pt>
              </c:numCache>
            </c:numRef>
          </c:yVal>
          <c:smooth val="1"/>
          <c:extLst>
            <c:ext xmlns:c16="http://schemas.microsoft.com/office/drawing/2014/chart" uri="{C3380CC4-5D6E-409C-BE32-E72D297353CC}">
              <c16:uniqueId val="{00000001-25D7-D448-BE50-4977AE356E45}"/>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F2FS!$R$4:$AK$4</c:f>
              <c:numCache>
                <c:formatCode>General</c:formatCode>
                <c:ptCount val="20"/>
                <c:pt idx="0">
                  <c:v>0</c:v>
                </c:pt>
                <c:pt idx="1">
                  <c:v>32623</c:v>
                </c:pt>
                <c:pt idx="2">
                  <c:v>868458</c:v>
                </c:pt>
                <c:pt idx="3">
                  <c:v>36298</c:v>
                </c:pt>
                <c:pt idx="4">
                  <c:v>33084</c:v>
                </c:pt>
                <c:pt idx="5">
                  <c:v>22107</c:v>
                </c:pt>
                <c:pt idx="6">
                  <c:v>2981</c:v>
                </c:pt>
                <c:pt idx="7">
                  <c:v>1317</c:v>
                </c:pt>
                <c:pt idx="8">
                  <c:v>767</c:v>
                </c:pt>
                <c:pt idx="9">
                  <c:v>477</c:v>
                </c:pt>
                <c:pt idx="10">
                  <c:v>318</c:v>
                </c:pt>
                <c:pt idx="11">
                  <c:v>217</c:v>
                </c:pt>
                <c:pt idx="12">
                  <c:v>187</c:v>
                </c:pt>
                <c:pt idx="13">
                  <c:v>128</c:v>
                </c:pt>
                <c:pt idx="14">
                  <c:v>63</c:v>
                </c:pt>
                <c:pt idx="15">
                  <c:v>47</c:v>
                </c:pt>
                <c:pt idx="16">
                  <c:v>26</c:v>
                </c:pt>
                <c:pt idx="17">
                  <c:v>22</c:v>
                </c:pt>
                <c:pt idx="18">
                  <c:v>17</c:v>
                </c:pt>
                <c:pt idx="19">
                  <c:v>17</c:v>
                </c:pt>
              </c:numCache>
            </c:numRef>
          </c:yVal>
          <c:smooth val="1"/>
          <c:extLst>
            <c:ext xmlns:c16="http://schemas.microsoft.com/office/drawing/2014/chart" uri="{C3380CC4-5D6E-409C-BE32-E72D297353CC}">
              <c16:uniqueId val="{00000002-25D7-D448-BE50-4977AE356E45}"/>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F2FS!$R$1:$AK$1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F2FS!$R$5:$AK$5</c:f>
              <c:numCache>
                <c:formatCode>General</c:formatCode>
                <c:ptCount val="20"/>
                <c:pt idx="0">
                  <c:v>0</c:v>
                </c:pt>
                <c:pt idx="1">
                  <c:v>308181</c:v>
                </c:pt>
                <c:pt idx="2">
                  <c:v>5153707</c:v>
                </c:pt>
                <c:pt idx="3">
                  <c:v>208535</c:v>
                </c:pt>
                <c:pt idx="4">
                  <c:v>190294</c:v>
                </c:pt>
                <c:pt idx="5">
                  <c:v>95805</c:v>
                </c:pt>
                <c:pt idx="6">
                  <c:v>17375</c:v>
                </c:pt>
                <c:pt idx="7">
                  <c:v>8295</c:v>
                </c:pt>
                <c:pt idx="8">
                  <c:v>4507</c:v>
                </c:pt>
                <c:pt idx="9">
                  <c:v>2848</c:v>
                </c:pt>
                <c:pt idx="10">
                  <c:v>1739</c:v>
                </c:pt>
                <c:pt idx="11">
                  <c:v>1094</c:v>
                </c:pt>
                <c:pt idx="12">
                  <c:v>566</c:v>
                </c:pt>
                <c:pt idx="13">
                  <c:v>350</c:v>
                </c:pt>
                <c:pt idx="14">
                  <c:v>238</c:v>
                </c:pt>
                <c:pt idx="15">
                  <c:v>161</c:v>
                </c:pt>
                <c:pt idx="16">
                  <c:v>171</c:v>
                </c:pt>
                <c:pt idx="17">
                  <c:v>127</c:v>
                </c:pt>
                <c:pt idx="18">
                  <c:v>79</c:v>
                </c:pt>
                <c:pt idx="19">
                  <c:v>59</c:v>
                </c:pt>
              </c:numCache>
            </c:numRef>
          </c:yVal>
          <c:smooth val="1"/>
          <c:extLst>
            <c:ext xmlns:c16="http://schemas.microsoft.com/office/drawing/2014/chart" uri="{C3380CC4-5D6E-409C-BE32-E72D297353CC}">
              <c16:uniqueId val="{00000003-25D7-D448-BE50-4977AE356E45}"/>
            </c:ext>
          </c:extLst>
        </c:ser>
        <c:dLbls>
          <c:showLegendKey val="0"/>
          <c:showVal val="0"/>
          <c:showCatName val="0"/>
          <c:showSerName val="0"/>
          <c:showPercent val="0"/>
          <c:showBubbleSize val="0"/>
        </c:dLbls>
        <c:axId val="1586866640"/>
        <c:axId val="1586870448"/>
      </c:scatterChart>
      <c:valAx>
        <c:axId val="15868666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70448"/>
        <c:crosses val="autoZero"/>
        <c:crossBetween val="midCat"/>
      </c:valAx>
      <c:valAx>
        <c:axId val="15868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66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'BtrFS-V2'!$H$1:$Q$1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'BtrFS-V2'!$H$2:$Q$2</c:f>
              <c:numCache>
                <c:formatCode>General</c:formatCode>
                <c:ptCount val="10"/>
                <c:pt idx="0">
                  <c:v>0</c:v>
                </c:pt>
                <c:pt idx="1">
                  <c:v>22</c:v>
                </c:pt>
                <c:pt idx="2">
                  <c:v>616</c:v>
                </c:pt>
                <c:pt idx="3">
                  <c:v>6047</c:v>
                </c:pt>
                <c:pt idx="4">
                  <c:v>23975</c:v>
                </c:pt>
                <c:pt idx="5">
                  <c:v>38393</c:v>
                </c:pt>
                <c:pt idx="6">
                  <c:v>24240</c:v>
                </c:pt>
                <c:pt idx="7">
                  <c:v>6074</c:v>
                </c:pt>
                <c:pt idx="8">
                  <c:v>602</c:v>
                </c:pt>
                <c:pt idx="9">
                  <c:v>31</c:v>
                </c:pt>
              </c:numCache>
            </c:numRef>
          </c:yVal>
          <c:smooth val="1"/>
          <c:extLst>
            <c:ext xmlns:c16="http://schemas.microsoft.com/office/drawing/2014/chart" uri="{C3380CC4-5D6E-409C-BE32-E72D297353CC}">
              <c16:uniqueId val="{00000000-7039-7841-8BEF-46CD746C0782}"/>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'BtrFS-V2'!$H$1:$Q$1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'BtrFS-V2'!$H$3:$Q$3</c:f>
              <c:numCache>
                <c:formatCode>General</c:formatCode>
                <c:ptCount val="10"/>
                <c:pt idx="0">
                  <c:v>2</c:v>
                </c:pt>
                <c:pt idx="1">
                  <c:v>242</c:v>
                </c:pt>
                <c:pt idx="2">
                  <c:v>5937</c:v>
                </c:pt>
                <c:pt idx="3">
                  <c:v>60377</c:v>
                </c:pt>
                <c:pt idx="4">
                  <c:v>241133</c:v>
                </c:pt>
                <c:pt idx="5">
                  <c:v>383176</c:v>
                </c:pt>
                <c:pt idx="6">
                  <c:v>242066</c:v>
                </c:pt>
                <c:pt idx="7">
                  <c:v>60938</c:v>
                </c:pt>
                <c:pt idx="8">
                  <c:v>5897</c:v>
                </c:pt>
                <c:pt idx="9">
                  <c:v>228</c:v>
                </c:pt>
              </c:numCache>
            </c:numRef>
          </c:yVal>
          <c:smooth val="1"/>
          <c:extLst>
            <c:ext xmlns:c16="http://schemas.microsoft.com/office/drawing/2014/chart" uri="{C3380CC4-5D6E-409C-BE32-E72D297353CC}">
              <c16:uniqueId val="{00000001-7039-7841-8BEF-46CD746C0782}"/>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'BtrFS-V2'!$H$1:$Q$1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'BtrFS-V2'!$H$4:$Q$4</c:f>
              <c:numCache>
                <c:formatCode>General</c:formatCode>
                <c:ptCount val="10"/>
                <c:pt idx="0">
                  <c:v>36</c:v>
                </c:pt>
                <c:pt idx="1">
                  <c:v>2283</c:v>
                </c:pt>
                <c:pt idx="2">
                  <c:v>59620</c:v>
                </c:pt>
                <c:pt idx="3">
                  <c:v>606295</c:v>
                </c:pt>
                <c:pt idx="4">
                  <c:v>2418179</c:v>
                </c:pt>
                <c:pt idx="5">
                  <c:v>3831847</c:v>
                </c:pt>
                <c:pt idx="6">
                  <c:v>2414744</c:v>
                </c:pt>
                <c:pt idx="7">
                  <c:v>605260</c:v>
                </c:pt>
                <c:pt idx="8">
                  <c:v>59447</c:v>
                </c:pt>
                <c:pt idx="9">
                  <c:v>2253</c:v>
                </c:pt>
              </c:numCache>
            </c:numRef>
          </c:yVal>
          <c:smooth val="1"/>
          <c:extLst>
            <c:ext xmlns:c16="http://schemas.microsoft.com/office/drawing/2014/chart" uri="{C3380CC4-5D6E-409C-BE32-E72D297353CC}">
              <c16:uniqueId val="{00000002-7039-7841-8BEF-46CD746C0782}"/>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'BtrFS-V2'!$H$1:$Q$1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'BtrFS-V2'!$H$5:$Q$5</c:f>
              <c:numCache>
                <c:formatCode>General</c:formatCode>
                <c:ptCount val="10"/>
                <c:pt idx="0">
                  <c:v>322</c:v>
                </c:pt>
                <c:pt idx="1">
                  <c:v>22659</c:v>
                </c:pt>
                <c:pt idx="2">
                  <c:v>598260</c:v>
                </c:pt>
                <c:pt idx="3">
                  <c:v>6063179</c:v>
                </c:pt>
                <c:pt idx="4">
                  <c:v>24164686</c:v>
                </c:pt>
                <c:pt idx="5">
                  <c:v>38298659</c:v>
                </c:pt>
                <c:pt idx="6">
                  <c:v>24169106</c:v>
                </c:pt>
                <c:pt idx="7">
                  <c:v>6061674</c:v>
                </c:pt>
                <c:pt idx="8">
                  <c:v>598275</c:v>
                </c:pt>
                <c:pt idx="9">
                  <c:v>22837</c:v>
                </c:pt>
              </c:numCache>
            </c:numRef>
          </c:yVal>
          <c:smooth val="1"/>
          <c:extLst>
            <c:ext xmlns:c16="http://schemas.microsoft.com/office/drawing/2014/chart" uri="{C3380CC4-5D6E-409C-BE32-E72D297353CC}">
              <c16:uniqueId val="{00000003-7039-7841-8BEF-46CD746C0782}"/>
            </c:ext>
          </c:extLst>
        </c:ser>
        <c:dLbls>
          <c:showLegendKey val="0"/>
          <c:showVal val="0"/>
          <c:showCatName val="0"/>
          <c:showSerName val="0"/>
          <c:showPercent val="0"/>
          <c:showBubbleSize val="0"/>
        </c:dLbls>
        <c:axId val="1412057920"/>
        <c:axId val="1411476912"/>
      </c:scatterChart>
      <c:valAx>
        <c:axId val="14120579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476912"/>
        <c:crosses val="autoZero"/>
        <c:crossBetween val="midCat"/>
      </c:valAx>
      <c:valAx>
        <c:axId val="141147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0579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Write Duration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cat>
          <c:val>
            <c:numRef>
              <c:f>Sheet2!$R$2:$AK$2</c:f>
              <c:numCache>
                <c:formatCode>General</c:formatCode>
                <c:ptCount val="20"/>
                <c:pt idx="0">
                  <c:v>0</c:v>
                </c:pt>
                <c:pt idx="1">
                  <c:v>0</c:v>
                </c:pt>
                <c:pt idx="2">
                  <c:v>696</c:v>
                </c:pt>
                <c:pt idx="3">
                  <c:v>69763</c:v>
                </c:pt>
                <c:pt idx="4">
                  <c:v>21376</c:v>
                </c:pt>
                <c:pt idx="5">
                  <c:v>4932</c:v>
                </c:pt>
                <c:pt idx="6">
                  <c:v>1468</c:v>
                </c:pt>
                <c:pt idx="7">
                  <c:v>751</c:v>
                </c:pt>
                <c:pt idx="8">
                  <c:v>514</c:v>
                </c:pt>
                <c:pt idx="9">
                  <c:v>236</c:v>
                </c:pt>
                <c:pt idx="10">
                  <c:v>115</c:v>
                </c:pt>
                <c:pt idx="11">
                  <c:v>50</c:v>
                </c:pt>
                <c:pt idx="12">
                  <c:v>28</c:v>
                </c:pt>
                <c:pt idx="13">
                  <c:v>17</c:v>
                </c:pt>
                <c:pt idx="14">
                  <c:v>19</c:v>
                </c:pt>
                <c:pt idx="15">
                  <c:v>10</c:v>
                </c:pt>
                <c:pt idx="16">
                  <c:v>3</c:v>
                </c:pt>
                <c:pt idx="17">
                  <c:v>2</c:v>
                </c:pt>
                <c:pt idx="18">
                  <c:v>2</c:v>
                </c:pt>
                <c:pt idx="19">
                  <c:v>0</c:v>
                </c:pt>
              </c:numCache>
            </c:numRef>
          </c:val>
          <c:extLst>
            <c:ext xmlns:c16="http://schemas.microsoft.com/office/drawing/2014/chart" uri="{C3380CC4-5D6E-409C-BE32-E72D297353CC}">
              <c16:uniqueId val="{00000000-264C-0A41-8561-B03F85337750}"/>
            </c:ext>
          </c:extLst>
        </c:ser>
        <c:dLbls>
          <c:showLegendKey val="0"/>
          <c:showVal val="0"/>
          <c:showCatName val="0"/>
          <c:showSerName val="0"/>
          <c:showPercent val="0"/>
          <c:showBubbleSize val="0"/>
        </c:dLbls>
        <c:gapWidth val="219"/>
        <c:overlap val="-27"/>
        <c:axId val="2035739008"/>
        <c:axId val="2139161920"/>
      </c:barChart>
      <c:catAx>
        <c:axId val="203573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61920"/>
        <c:crosses val="autoZero"/>
        <c:auto val="1"/>
        <c:lblAlgn val="ctr"/>
        <c:lblOffset val="100"/>
        <c:noMultiLvlLbl val="0"/>
      </c:catAx>
      <c:valAx>
        <c:axId val="21391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3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'BtrFS-V2'!$R$1:$AK$1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'BtrFS-V2'!$R$2:$AK$2</c:f>
              <c:numCache>
                <c:formatCode>General</c:formatCode>
                <c:ptCount val="20"/>
                <c:pt idx="0">
                  <c:v>0</c:v>
                </c:pt>
                <c:pt idx="1">
                  <c:v>0</c:v>
                </c:pt>
                <c:pt idx="2">
                  <c:v>633</c:v>
                </c:pt>
                <c:pt idx="3">
                  <c:v>66028</c:v>
                </c:pt>
                <c:pt idx="4">
                  <c:v>25484</c:v>
                </c:pt>
                <c:pt idx="5">
                  <c:v>5184</c:v>
                </c:pt>
                <c:pt idx="6">
                  <c:v>1159</c:v>
                </c:pt>
                <c:pt idx="7">
                  <c:v>667</c:v>
                </c:pt>
                <c:pt idx="8">
                  <c:v>402</c:v>
                </c:pt>
                <c:pt idx="9">
                  <c:v>212</c:v>
                </c:pt>
                <c:pt idx="10">
                  <c:v>105</c:v>
                </c:pt>
                <c:pt idx="11">
                  <c:v>48</c:v>
                </c:pt>
                <c:pt idx="12">
                  <c:v>29</c:v>
                </c:pt>
                <c:pt idx="13">
                  <c:v>13</c:v>
                </c:pt>
                <c:pt idx="14">
                  <c:v>9</c:v>
                </c:pt>
                <c:pt idx="15">
                  <c:v>3</c:v>
                </c:pt>
                <c:pt idx="16">
                  <c:v>4</c:v>
                </c:pt>
                <c:pt idx="17">
                  <c:v>2</c:v>
                </c:pt>
                <c:pt idx="18">
                  <c:v>1</c:v>
                </c:pt>
                <c:pt idx="19">
                  <c:v>1</c:v>
                </c:pt>
              </c:numCache>
            </c:numRef>
          </c:yVal>
          <c:smooth val="1"/>
          <c:extLst>
            <c:ext xmlns:c16="http://schemas.microsoft.com/office/drawing/2014/chart" uri="{C3380CC4-5D6E-409C-BE32-E72D297353CC}">
              <c16:uniqueId val="{00000000-AEAA-D14C-801B-6D575AB6B318}"/>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'BtrFS-V2'!$R$1:$AK$1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'BtrFS-V2'!$R$3:$AK$3</c:f>
              <c:numCache>
                <c:formatCode>General</c:formatCode>
                <c:ptCount val="20"/>
                <c:pt idx="0">
                  <c:v>0</c:v>
                </c:pt>
                <c:pt idx="1">
                  <c:v>0</c:v>
                </c:pt>
                <c:pt idx="2">
                  <c:v>13056</c:v>
                </c:pt>
                <c:pt idx="3">
                  <c:v>797916</c:v>
                </c:pt>
                <c:pt idx="4">
                  <c:v>139134</c:v>
                </c:pt>
                <c:pt idx="5">
                  <c:v>20451</c:v>
                </c:pt>
                <c:pt idx="6">
                  <c:v>12665</c:v>
                </c:pt>
                <c:pt idx="7">
                  <c:v>9823</c:v>
                </c:pt>
                <c:pt idx="8">
                  <c:v>4228</c:v>
                </c:pt>
                <c:pt idx="9">
                  <c:v>1612</c:v>
                </c:pt>
                <c:pt idx="10">
                  <c:v>550</c:v>
                </c:pt>
                <c:pt idx="11">
                  <c:v>210</c:v>
                </c:pt>
                <c:pt idx="12">
                  <c:v>104</c:v>
                </c:pt>
                <c:pt idx="13">
                  <c:v>63</c:v>
                </c:pt>
                <c:pt idx="14">
                  <c:v>34</c:v>
                </c:pt>
                <c:pt idx="15">
                  <c:v>25</c:v>
                </c:pt>
                <c:pt idx="16">
                  <c:v>17</c:v>
                </c:pt>
                <c:pt idx="17">
                  <c:v>17</c:v>
                </c:pt>
                <c:pt idx="18">
                  <c:v>7</c:v>
                </c:pt>
                <c:pt idx="19">
                  <c:v>5</c:v>
                </c:pt>
              </c:numCache>
            </c:numRef>
          </c:yVal>
          <c:smooth val="1"/>
          <c:extLst>
            <c:ext xmlns:c16="http://schemas.microsoft.com/office/drawing/2014/chart" uri="{C3380CC4-5D6E-409C-BE32-E72D297353CC}">
              <c16:uniqueId val="{00000001-AEAA-D14C-801B-6D575AB6B318}"/>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'BtrFS-V2'!$R$1:$AK$1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'BtrFS-V2'!$R$4:$AK$4</c:f>
              <c:numCache>
                <c:formatCode>General</c:formatCode>
                <c:ptCount val="20"/>
                <c:pt idx="0">
                  <c:v>0</c:v>
                </c:pt>
                <c:pt idx="1">
                  <c:v>0</c:v>
                </c:pt>
                <c:pt idx="2">
                  <c:v>44716</c:v>
                </c:pt>
                <c:pt idx="3">
                  <c:v>6674456</c:v>
                </c:pt>
                <c:pt idx="4">
                  <c:v>2619968</c:v>
                </c:pt>
                <c:pt idx="5">
                  <c:v>384533</c:v>
                </c:pt>
                <c:pt idx="6">
                  <c:v>108797</c:v>
                </c:pt>
                <c:pt idx="7">
                  <c:v>83021</c:v>
                </c:pt>
                <c:pt idx="8">
                  <c:v>45281</c:v>
                </c:pt>
                <c:pt idx="9">
                  <c:v>20251</c:v>
                </c:pt>
                <c:pt idx="10">
                  <c:v>9843</c:v>
                </c:pt>
                <c:pt idx="11">
                  <c:v>4579</c:v>
                </c:pt>
                <c:pt idx="12">
                  <c:v>1771</c:v>
                </c:pt>
                <c:pt idx="13">
                  <c:v>812</c:v>
                </c:pt>
                <c:pt idx="14">
                  <c:v>439</c:v>
                </c:pt>
                <c:pt idx="15">
                  <c:v>309</c:v>
                </c:pt>
                <c:pt idx="16">
                  <c:v>192</c:v>
                </c:pt>
                <c:pt idx="17">
                  <c:v>147</c:v>
                </c:pt>
                <c:pt idx="18">
                  <c:v>103</c:v>
                </c:pt>
                <c:pt idx="19">
                  <c:v>87</c:v>
                </c:pt>
              </c:numCache>
            </c:numRef>
          </c:yVal>
          <c:smooth val="1"/>
          <c:extLst>
            <c:ext xmlns:c16="http://schemas.microsoft.com/office/drawing/2014/chart" uri="{C3380CC4-5D6E-409C-BE32-E72D297353CC}">
              <c16:uniqueId val="{00000002-AEAA-D14C-801B-6D575AB6B318}"/>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'BtrFS-V2'!$R$1:$AK$1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'BtrFS-V2'!$R$5:$AK$5</c:f>
              <c:numCache>
                <c:formatCode>General</c:formatCode>
                <c:ptCount val="20"/>
                <c:pt idx="0">
                  <c:v>0</c:v>
                </c:pt>
                <c:pt idx="1">
                  <c:v>0</c:v>
                </c:pt>
                <c:pt idx="2">
                  <c:v>45313</c:v>
                </c:pt>
                <c:pt idx="3">
                  <c:v>8938187</c:v>
                </c:pt>
                <c:pt idx="4">
                  <c:v>24196977</c:v>
                </c:pt>
                <c:pt idx="5">
                  <c:v>28717898</c:v>
                </c:pt>
                <c:pt idx="6">
                  <c:v>27733313</c:v>
                </c:pt>
                <c:pt idx="7">
                  <c:v>7338919</c:v>
                </c:pt>
                <c:pt idx="8">
                  <c:v>1148670</c:v>
                </c:pt>
                <c:pt idx="9">
                  <c:v>521737</c:v>
                </c:pt>
                <c:pt idx="10">
                  <c:v>370327</c:v>
                </c:pt>
                <c:pt idx="11">
                  <c:v>283487</c:v>
                </c:pt>
                <c:pt idx="12">
                  <c:v>227834</c:v>
                </c:pt>
                <c:pt idx="13">
                  <c:v>185333</c:v>
                </c:pt>
                <c:pt idx="14">
                  <c:v>142106</c:v>
                </c:pt>
                <c:pt idx="15">
                  <c:v>88225</c:v>
                </c:pt>
                <c:pt idx="16">
                  <c:v>35777</c:v>
                </c:pt>
                <c:pt idx="17">
                  <c:v>11034</c:v>
                </c:pt>
                <c:pt idx="18">
                  <c:v>3640</c:v>
                </c:pt>
                <c:pt idx="19">
                  <c:v>1542</c:v>
                </c:pt>
              </c:numCache>
            </c:numRef>
          </c:yVal>
          <c:smooth val="1"/>
          <c:extLst>
            <c:ext xmlns:c16="http://schemas.microsoft.com/office/drawing/2014/chart" uri="{C3380CC4-5D6E-409C-BE32-E72D297353CC}">
              <c16:uniqueId val="{00000003-AEAA-D14C-801B-6D575AB6B318}"/>
            </c:ext>
          </c:extLst>
        </c:ser>
        <c:dLbls>
          <c:showLegendKey val="0"/>
          <c:showVal val="0"/>
          <c:showCatName val="0"/>
          <c:showSerName val="0"/>
          <c:showPercent val="0"/>
          <c:showBubbleSize val="0"/>
        </c:dLbls>
        <c:axId val="916972464"/>
        <c:axId val="954472512"/>
      </c:scatterChart>
      <c:valAx>
        <c:axId val="9169724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72512"/>
        <c:crosses val="autoZero"/>
        <c:crossBetween val="midCat"/>
      </c:valAx>
      <c:valAx>
        <c:axId val="95447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72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'BtrFS-V2'!$AT$1:$BM$1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'BtrFS-V2'!$AT$2:$BM$2</c:f>
              <c:numCache>
                <c:formatCode>General</c:formatCode>
                <c:ptCount val="20"/>
                <c:pt idx="0">
                  <c:v>53.480476000000003</c:v>
                </c:pt>
                <c:pt idx="1">
                  <c:v>60.154446</c:v>
                </c:pt>
                <c:pt idx="2">
                  <c:v>60.631923999999998</c:v>
                </c:pt>
                <c:pt idx="3">
                  <c:v>54.105643999999998</c:v>
                </c:pt>
                <c:pt idx="4">
                  <c:v>55.959263</c:v>
                </c:pt>
                <c:pt idx="5">
                  <c:v>56.75027</c:v>
                </c:pt>
                <c:pt idx="6">
                  <c:v>58.332794</c:v>
                </c:pt>
                <c:pt idx="7">
                  <c:v>58.873309999999996</c:v>
                </c:pt>
                <c:pt idx="8">
                  <c:v>57.742268000000003</c:v>
                </c:pt>
                <c:pt idx="9">
                  <c:v>61.524883000000003</c:v>
                </c:pt>
                <c:pt idx="10">
                  <c:v>55.366084999999998</c:v>
                </c:pt>
                <c:pt idx="11">
                  <c:v>53.483246000000001</c:v>
                </c:pt>
                <c:pt idx="12">
                  <c:v>51.162660000000002</c:v>
                </c:pt>
                <c:pt idx="13">
                  <c:v>55.172027999999997</c:v>
                </c:pt>
                <c:pt idx="14">
                  <c:v>55.209567999999997</c:v>
                </c:pt>
                <c:pt idx="15">
                  <c:v>60.827556999999999</c:v>
                </c:pt>
                <c:pt idx="16">
                  <c:v>52.255398</c:v>
                </c:pt>
                <c:pt idx="17">
                  <c:v>57.684669999999997</c:v>
                </c:pt>
                <c:pt idx="18">
                  <c:v>59.790030000000002</c:v>
                </c:pt>
                <c:pt idx="19">
                  <c:v>53.839170000000003</c:v>
                </c:pt>
              </c:numCache>
            </c:numRef>
          </c:yVal>
          <c:smooth val="1"/>
          <c:extLst>
            <c:ext xmlns:c16="http://schemas.microsoft.com/office/drawing/2014/chart" uri="{C3380CC4-5D6E-409C-BE32-E72D297353CC}">
              <c16:uniqueId val="{00000000-9794-AA47-B7BE-74CABDC7E99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'BtrFS-V2'!$AT$1:$BM$1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'BtrFS-V2'!$AT$3:$BM$3</c:f>
              <c:numCache>
                <c:formatCode>General</c:formatCode>
                <c:ptCount val="20"/>
                <c:pt idx="0">
                  <c:v>58.718525</c:v>
                </c:pt>
                <c:pt idx="1">
                  <c:v>57.691924999999998</c:v>
                </c:pt>
                <c:pt idx="2">
                  <c:v>56.766689999999997</c:v>
                </c:pt>
                <c:pt idx="3">
                  <c:v>59.763226000000003</c:v>
                </c:pt>
                <c:pt idx="4">
                  <c:v>59.992294000000001</c:v>
                </c:pt>
                <c:pt idx="5">
                  <c:v>58.108592999999999</c:v>
                </c:pt>
                <c:pt idx="6">
                  <c:v>60.722385000000003</c:v>
                </c:pt>
                <c:pt idx="7">
                  <c:v>57.913882999999998</c:v>
                </c:pt>
                <c:pt idx="8">
                  <c:v>57.803882999999999</c:v>
                </c:pt>
                <c:pt idx="9">
                  <c:v>58.294759999999997</c:v>
                </c:pt>
                <c:pt idx="10">
                  <c:v>59.533394000000001</c:v>
                </c:pt>
                <c:pt idx="11">
                  <c:v>59.791514999999997</c:v>
                </c:pt>
                <c:pt idx="12">
                  <c:v>58.193080000000002</c:v>
                </c:pt>
                <c:pt idx="13">
                  <c:v>58.32687</c:v>
                </c:pt>
                <c:pt idx="14">
                  <c:v>58.114629999999998</c:v>
                </c:pt>
                <c:pt idx="15">
                  <c:v>61.012062</c:v>
                </c:pt>
                <c:pt idx="16">
                  <c:v>61.538623999999999</c:v>
                </c:pt>
                <c:pt idx="17">
                  <c:v>57.682105999999997</c:v>
                </c:pt>
                <c:pt idx="18">
                  <c:v>57.914319999999996</c:v>
                </c:pt>
                <c:pt idx="19">
                  <c:v>58.086086000000002</c:v>
                </c:pt>
              </c:numCache>
            </c:numRef>
          </c:yVal>
          <c:smooth val="1"/>
          <c:extLst>
            <c:ext xmlns:c16="http://schemas.microsoft.com/office/drawing/2014/chart" uri="{C3380CC4-5D6E-409C-BE32-E72D297353CC}">
              <c16:uniqueId val="{00000001-9794-AA47-B7BE-74CABDC7E996}"/>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'BtrFS-V2'!$AT$1:$BM$1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'BtrFS-V2'!$AT$4:$BM$4</c:f>
              <c:numCache>
                <c:formatCode>General</c:formatCode>
                <c:ptCount val="20"/>
                <c:pt idx="0">
                  <c:v>59.781610000000001</c:v>
                </c:pt>
                <c:pt idx="1">
                  <c:v>56.463740000000001</c:v>
                </c:pt>
                <c:pt idx="2">
                  <c:v>57.97936</c:v>
                </c:pt>
                <c:pt idx="3">
                  <c:v>57.118347</c:v>
                </c:pt>
                <c:pt idx="4">
                  <c:v>53.619427000000002</c:v>
                </c:pt>
                <c:pt idx="5">
                  <c:v>54.148586000000002</c:v>
                </c:pt>
                <c:pt idx="6">
                  <c:v>58.861156000000001</c:v>
                </c:pt>
                <c:pt idx="7">
                  <c:v>57.577914999999997</c:v>
                </c:pt>
                <c:pt idx="8">
                  <c:v>53.860709999999997</c:v>
                </c:pt>
                <c:pt idx="9">
                  <c:v>56.721752000000002</c:v>
                </c:pt>
                <c:pt idx="10">
                  <c:v>56.475949999999997</c:v>
                </c:pt>
                <c:pt idx="11">
                  <c:v>55.427452000000002</c:v>
                </c:pt>
                <c:pt idx="12">
                  <c:v>52.901913</c:v>
                </c:pt>
                <c:pt idx="13">
                  <c:v>56.417476999999998</c:v>
                </c:pt>
                <c:pt idx="14">
                  <c:v>54.482017999999997</c:v>
                </c:pt>
                <c:pt idx="15">
                  <c:v>54.721310000000003</c:v>
                </c:pt>
                <c:pt idx="16">
                  <c:v>54.296474000000003</c:v>
                </c:pt>
                <c:pt idx="17">
                  <c:v>49.825069999999997</c:v>
                </c:pt>
                <c:pt idx="18">
                  <c:v>50.404710000000001</c:v>
                </c:pt>
                <c:pt idx="19">
                  <c:v>52.1374</c:v>
                </c:pt>
              </c:numCache>
            </c:numRef>
          </c:yVal>
          <c:smooth val="1"/>
          <c:extLst>
            <c:ext xmlns:c16="http://schemas.microsoft.com/office/drawing/2014/chart" uri="{C3380CC4-5D6E-409C-BE32-E72D297353CC}">
              <c16:uniqueId val="{00000002-9794-AA47-B7BE-74CABDC7E996}"/>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'BtrFS-V2'!$AT$1:$BM$1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'BtrFS-V2'!$AT$5:$BM$5</c:f>
              <c:numCache>
                <c:formatCode>General</c:formatCode>
                <c:ptCount val="20"/>
                <c:pt idx="0">
                  <c:v>54.900272000000001</c:v>
                </c:pt>
                <c:pt idx="1">
                  <c:v>51.275615999999999</c:v>
                </c:pt>
                <c:pt idx="2">
                  <c:v>48.68927</c:v>
                </c:pt>
                <c:pt idx="3">
                  <c:v>46.132959999999997</c:v>
                </c:pt>
                <c:pt idx="4">
                  <c:v>44.635309999999997</c:v>
                </c:pt>
                <c:pt idx="5">
                  <c:v>43.419764999999998</c:v>
                </c:pt>
                <c:pt idx="6">
                  <c:v>42.097329999999999</c:v>
                </c:pt>
                <c:pt idx="7">
                  <c:v>40.244197999999997</c:v>
                </c:pt>
                <c:pt idx="8">
                  <c:v>40.104526999999997</c:v>
                </c:pt>
                <c:pt idx="9">
                  <c:v>38.055366999999997</c:v>
                </c:pt>
                <c:pt idx="10">
                  <c:v>37.169314999999997</c:v>
                </c:pt>
                <c:pt idx="11">
                  <c:v>36.993459999999999</c:v>
                </c:pt>
                <c:pt idx="12">
                  <c:v>35.510886999999997</c:v>
                </c:pt>
                <c:pt idx="13">
                  <c:v>34.841679999999997</c:v>
                </c:pt>
                <c:pt idx="14">
                  <c:v>34.214188</c:v>
                </c:pt>
                <c:pt idx="15">
                  <c:v>32.620907000000003</c:v>
                </c:pt>
                <c:pt idx="16">
                  <c:v>32.178789999999999</c:v>
                </c:pt>
                <c:pt idx="17">
                  <c:v>30.730387</c:v>
                </c:pt>
                <c:pt idx="18">
                  <c:v>31.116637999999998</c:v>
                </c:pt>
                <c:pt idx="19">
                  <c:v>30.297922</c:v>
                </c:pt>
              </c:numCache>
            </c:numRef>
          </c:yVal>
          <c:smooth val="1"/>
          <c:extLst>
            <c:ext xmlns:c16="http://schemas.microsoft.com/office/drawing/2014/chart" uri="{C3380CC4-5D6E-409C-BE32-E72D297353CC}">
              <c16:uniqueId val="{00000003-9794-AA47-B7BE-74CABDC7E996}"/>
            </c:ext>
          </c:extLst>
        </c:ser>
        <c:dLbls>
          <c:showLegendKey val="0"/>
          <c:showVal val="0"/>
          <c:showCatName val="0"/>
          <c:showSerName val="0"/>
          <c:showPercent val="0"/>
          <c:showBubbleSize val="0"/>
        </c:dLbls>
        <c:axId val="928745280"/>
        <c:axId val="1018898928"/>
      </c:scatterChart>
      <c:valAx>
        <c:axId val="9287452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98928"/>
        <c:crosses val="autoZero"/>
        <c:crossBetween val="midCat"/>
      </c:valAx>
      <c:valAx>
        <c:axId val="101889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45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'BtrFS-V2'!$AM$1</c:f>
              <c:strCache>
                <c:ptCount val="1"/>
                <c:pt idx="0">
                  <c:v>Files Create Time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'BtrFS-V2'!$AM$2:$AM$5</c:f>
              <c:numCache>
                <c:formatCode>0</c:formatCode>
                <c:ptCount val="4"/>
                <c:pt idx="0">
                  <c:v>9961384584</c:v>
                </c:pt>
                <c:pt idx="1">
                  <c:v>94362329781</c:v>
                </c:pt>
                <c:pt idx="2">
                  <c:v>995587229945</c:v>
                </c:pt>
                <c:pt idx="3">
                  <c:v>14187347204955</c:v>
                </c:pt>
              </c:numCache>
            </c:numRef>
          </c:yVal>
          <c:smooth val="1"/>
          <c:extLst>
            <c:ext xmlns:c16="http://schemas.microsoft.com/office/drawing/2014/chart" uri="{C3380CC4-5D6E-409C-BE32-E72D297353CC}">
              <c16:uniqueId val="{00000000-AF79-3544-8A89-BF1CCED6F72F}"/>
            </c:ext>
          </c:extLst>
        </c:ser>
        <c:dLbls>
          <c:showLegendKey val="0"/>
          <c:showVal val="0"/>
          <c:showCatName val="0"/>
          <c:showSerName val="0"/>
          <c:showPercent val="0"/>
          <c:showBubbleSize val="0"/>
        </c:dLbls>
        <c:axId val="974747312"/>
        <c:axId val="1074125392"/>
      </c:scatterChart>
      <c:valAx>
        <c:axId val="97474731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125392"/>
        <c:crosses val="autoZero"/>
        <c:crossBetween val="midCat"/>
      </c:valAx>
      <c:valAx>
        <c:axId val="1074125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47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'BtrFS-V2'!$AL$41</c:f>
              <c:strCache>
                <c:ptCount val="1"/>
                <c:pt idx="0">
                  <c:v>Files</c:v>
                </c:pt>
              </c:strCache>
            </c:strRef>
          </c:tx>
          <c:spPr>
            <a:solidFill>
              <a:schemeClr val="accent1"/>
            </a:solidFill>
            <a:ln>
              <a:noFill/>
            </a:ln>
            <a:effectLst/>
          </c:spPr>
          <c:invertIfNegative val="0"/>
          <c:val>
            <c:numRef>
              <c:f>'BtrFS-V2'!$AL$42:$AL$45</c:f>
              <c:numCache>
                <c:formatCode>_(* #,##0_);_(* \(#,##0\);_(* "-"??_);_(@_)</c:formatCode>
                <c:ptCount val="4"/>
                <c:pt idx="0">
                  <c:v>100000</c:v>
                </c:pt>
                <c:pt idx="1">
                  <c:v>1000000</c:v>
                </c:pt>
                <c:pt idx="2">
                  <c:v>10000000</c:v>
                </c:pt>
                <c:pt idx="3">
                  <c:v>100000000</c:v>
                </c:pt>
              </c:numCache>
            </c:numRef>
          </c:val>
          <c:extLst>
            <c:ext xmlns:c16="http://schemas.microsoft.com/office/drawing/2014/chart" uri="{C3380CC4-5D6E-409C-BE32-E72D297353CC}">
              <c16:uniqueId val="{00000000-3430-374A-865C-84986C8CCFB9}"/>
            </c:ext>
          </c:extLst>
        </c:ser>
        <c:ser>
          <c:idx val="1"/>
          <c:order val="1"/>
          <c:tx>
            <c:strRef>
              <c:f>'BtrFS-V2'!$AM$41</c:f>
              <c:strCache>
                <c:ptCount val="1"/>
                <c:pt idx="0">
                  <c:v>Files Create Time</c:v>
                </c:pt>
              </c:strCache>
            </c:strRef>
          </c:tx>
          <c:spPr>
            <a:solidFill>
              <a:schemeClr val="accent2"/>
            </a:solidFill>
            <a:ln>
              <a:noFill/>
            </a:ln>
            <a:effectLst/>
          </c:spPr>
          <c:invertIfNegative val="0"/>
          <c:val>
            <c:numRef>
              <c:f>'BtrFS-V2'!$AM$42:$AM$45</c:f>
              <c:numCache>
                <c:formatCode>0</c:formatCode>
                <c:ptCount val="4"/>
                <c:pt idx="0">
                  <c:v>9961384584</c:v>
                </c:pt>
                <c:pt idx="1">
                  <c:v>94362329781</c:v>
                </c:pt>
                <c:pt idx="2">
                  <c:v>995587229945</c:v>
                </c:pt>
                <c:pt idx="3">
                  <c:v>14187347204955</c:v>
                </c:pt>
              </c:numCache>
            </c:numRef>
          </c:val>
          <c:extLst>
            <c:ext xmlns:c16="http://schemas.microsoft.com/office/drawing/2014/chart" uri="{C3380CC4-5D6E-409C-BE32-E72D297353CC}">
              <c16:uniqueId val="{00000001-3430-374A-865C-84986C8CCFB9}"/>
            </c:ext>
          </c:extLst>
        </c:ser>
        <c:dLbls>
          <c:showLegendKey val="0"/>
          <c:showVal val="0"/>
          <c:showCatName val="0"/>
          <c:showSerName val="0"/>
          <c:showPercent val="0"/>
          <c:showBubbleSize val="0"/>
        </c:dLbls>
        <c:gapWidth val="219"/>
        <c:overlap val="-27"/>
        <c:axId val="1075462448"/>
        <c:axId val="1075553584"/>
      </c:barChart>
      <c:catAx>
        <c:axId val="1075462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53584"/>
        <c:crosses val="autoZero"/>
        <c:auto val="1"/>
        <c:lblAlgn val="ctr"/>
        <c:lblOffset val="100"/>
        <c:noMultiLvlLbl val="0"/>
      </c:catAx>
      <c:valAx>
        <c:axId val="10755535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62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'BtrFS-V2'!$AN$41</c:f>
              <c:strCache>
                <c:ptCount val="1"/>
                <c:pt idx="0">
                  <c:v>File Create Ave Time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'BtrFS-V2'!$AN$42:$AN$45</c:f>
              <c:numCache>
                <c:formatCode>_(* #,##0.00_);_(* \(#,##0.00\);_(* "-"??_);_(@_)</c:formatCode>
                <c:ptCount val="4"/>
                <c:pt idx="0">
                  <c:v>99613.845839999994</c:v>
                </c:pt>
                <c:pt idx="1">
                  <c:v>94362.329780999993</c:v>
                </c:pt>
                <c:pt idx="2">
                  <c:v>99558.7229945</c:v>
                </c:pt>
                <c:pt idx="3">
                  <c:v>141873.47204955001</c:v>
                </c:pt>
              </c:numCache>
            </c:numRef>
          </c:yVal>
          <c:smooth val="1"/>
          <c:extLst>
            <c:ext xmlns:c16="http://schemas.microsoft.com/office/drawing/2014/chart" uri="{C3380CC4-5D6E-409C-BE32-E72D297353CC}">
              <c16:uniqueId val="{00000000-C682-2D46-A4B0-1B69537D4EB3}"/>
            </c:ext>
          </c:extLst>
        </c:ser>
        <c:dLbls>
          <c:showLegendKey val="0"/>
          <c:showVal val="0"/>
          <c:showCatName val="0"/>
          <c:showSerName val="0"/>
          <c:showPercent val="0"/>
          <c:showBubbleSize val="0"/>
        </c:dLbls>
        <c:axId val="1035956144"/>
        <c:axId val="1035251840"/>
      </c:scatterChart>
      <c:valAx>
        <c:axId val="10359561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51840"/>
        <c:crosses val="autoZero"/>
        <c:crossBetween val="midCat"/>
      </c:valAx>
      <c:valAx>
        <c:axId val="10352518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56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File Size Distribution</a:t>
            </a:r>
          </a:p>
        </c:rich>
      </c:tx>
      <c:layout>
        <c:manualLayout>
          <c:xMode val="edge"/>
          <c:yMode val="edge"/>
          <c:x val="0.3898888888888889"/>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148381452318459"/>
          <c:y val="0.17171296296296296"/>
          <c:w val="0.73987620297462842"/>
          <c:h val="0.68487922849254113"/>
        </c:manualLayout>
      </c:layout>
      <c:scatterChart>
        <c:scatterStyle val="smoothMarker"/>
        <c:varyColors val="0"/>
        <c:ser>
          <c:idx val="0"/>
          <c:order val="0"/>
          <c:tx>
            <c:v>100 million files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'EXT4-V2-write'!$H$1:$Q$1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'EXT4-V2-write'!$H$2:$Q$2</c:f>
              <c:numCache>
                <c:formatCode>General</c:formatCode>
                <c:ptCount val="10"/>
                <c:pt idx="0">
                  <c:v>318</c:v>
                </c:pt>
                <c:pt idx="1">
                  <c:v>23158</c:v>
                </c:pt>
                <c:pt idx="2">
                  <c:v>597833</c:v>
                </c:pt>
                <c:pt idx="3">
                  <c:v>6058592</c:v>
                </c:pt>
                <c:pt idx="4">
                  <c:v>24172878</c:v>
                </c:pt>
                <c:pt idx="5">
                  <c:v>38287341</c:v>
                </c:pt>
                <c:pt idx="6">
                  <c:v>24178338</c:v>
                </c:pt>
                <c:pt idx="7">
                  <c:v>6060553</c:v>
                </c:pt>
                <c:pt idx="8">
                  <c:v>597969</c:v>
                </c:pt>
                <c:pt idx="9">
                  <c:v>22684</c:v>
                </c:pt>
              </c:numCache>
            </c:numRef>
          </c:yVal>
          <c:smooth val="1"/>
          <c:extLst>
            <c:ext xmlns:c16="http://schemas.microsoft.com/office/drawing/2014/chart" uri="{C3380CC4-5D6E-409C-BE32-E72D297353CC}">
              <c16:uniqueId val="{00000000-BB3C-424E-B23C-86A9753827AD}"/>
            </c:ext>
          </c:extLst>
        </c:ser>
        <c:dLbls>
          <c:showLegendKey val="0"/>
          <c:showVal val="0"/>
          <c:showCatName val="0"/>
          <c:showSerName val="0"/>
          <c:showPercent val="0"/>
          <c:showBubbleSize val="0"/>
        </c:dLbls>
        <c:axId val="1826978080"/>
        <c:axId val="1826954128"/>
      </c:scatterChart>
      <c:valAx>
        <c:axId val="18269780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File</a:t>
                </a:r>
                <a:r>
                  <a:rPr lang="en-US" b="1" baseline="0"/>
                  <a:t> Size (KB)</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54128"/>
        <c:crosses val="autoZero"/>
        <c:crossBetween val="midCat"/>
      </c:valAx>
      <c:valAx>
        <c:axId val="1826954128"/>
        <c:scaling>
          <c:orientation val="minMax"/>
          <c:max val="4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Files</a:t>
                </a:r>
              </a:p>
            </c:rich>
          </c:tx>
          <c:layout>
            <c:manualLayout>
              <c:xMode val="edge"/>
              <c:yMode val="edge"/>
              <c:x val="2.2222222222222223E-2"/>
              <c:y val="0.3618627879848352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78080"/>
        <c:crosses val="autoZero"/>
        <c:crossBetween val="midCat"/>
      </c:valAx>
      <c:spPr>
        <a:noFill/>
        <a:ln>
          <a:noFill/>
        </a:ln>
        <a:effectLst/>
      </c:spPr>
    </c:plotArea>
    <c:legend>
      <c:legendPos val="r"/>
      <c:layout>
        <c:manualLayout>
          <c:xMode val="edge"/>
          <c:yMode val="edge"/>
          <c:x val="0.66513779527559058"/>
          <c:y val="0.27133056284631085"/>
          <c:w val="0.28401567274251882"/>
          <c:h val="9.175791194384766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lumMod val="65000"/>
                    <a:lumOff val="35000"/>
                  </a:sysClr>
                </a:solidFill>
                <a:effectLst/>
                <a:uLnTx/>
                <a:uFillTx/>
                <a:latin typeface="Calibri" panose="020F0502020204030204"/>
              </a:rPr>
              <a:t>File Write Speed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147222222222222"/>
          <c:y val="0.17171296296296296"/>
          <c:w val="0.75530555555555556"/>
          <c:h val="0.64590259550889484"/>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2"/>
              <c:delete val="1"/>
              <c:extLst>
                <c:ext xmlns:c15="http://schemas.microsoft.com/office/drawing/2012/chart" uri="{CE6537A1-D6FC-4f65-9D91-7224C49458BB}"/>
                <c:ext xmlns:c16="http://schemas.microsoft.com/office/drawing/2014/chart" uri="{C3380CC4-5D6E-409C-BE32-E72D297353CC}">
                  <c16:uniqueId val="{00000013-F379-0549-A875-560DD2840365}"/>
                </c:ext>
              </c:extLst>
            </c:dLbl>
            <c:dLbl>
              <c:idx val="3"/>
              <c:layout>
                <c:manualLayout>
                  <c:x val="-0.17492173427124172"/>
                  <c:y val="-1.1034027376551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79-0549-A875-560DD2840365}"/>
                </c:ext>
              </c:extLst>
            </c:dLbl>
            <c:dLbl>
              <c:idx val="4"/>
              <c:layout>
                <c:manualLayout>
                  <c:x val="-6.0553915752338296E-3"/>
                  <c:y val="4.661511842075319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79-0549-A875-560DD2840365}"/>
                </c:ext>
              </c:extLst>
            </c:dLbl>
            <c:dLbl>
              <c:idx val="5"/>
              <c:delete val="1"/>
              <c:extLst>
                <c:ext xmlns:c15="http://schemas.microsoft.com/office/drawing/2012/chart" uri="{CE6537A1-D6FC-4f65-9D91-7224C49458BB}"/>
                <c:ext xmlns:c16="http://schemas.microsoft.com/office/drawing/2014/chart" uri="{C3380CC4-5D6E-409C-BE32-E72D297353CC}">
                  <c16:uniqueId val="{00000012-F379-0549-A875-560DD2840365}"/>
                </c:ext>
              </c:extLst>
            </c:dLbl>
            <c:dLbl>
              <c:idx val="6"/>
              <c:delete val="1"/>
              <c:extLst>
                <c:ext xmlns:c15="http://schemas.microsoft.com/office/drawing/2012/chart" uri="{CE6537A1-D6FC-4f65-9D91-7224C49458BB}"/>
                <c:ext xmlns:c16="http://schemas.microsoft.com/office/drawing/2014/chart" uri="{C3380CC4-5D6E-409C-BE32-E72D297353CC}">
                  <c16:uniqueId val="{00000011-F379-0549-A875-560DD2840365}"/>
                </c:ext>
              </c:extLst>
            </c:dLbl>
            <c:dLbl>
              <c:idx val="7"/>
              <c:delete val="1"/>
              <c:extLst>
                <c:ext xmlns:c15="http://schemas.microsoft.com/office/drawing/2012/chart" uri="{CE6537A1-D6FC-4f65-9D91-7224C49458BB}"/>
                <c:ext xmlns:c16="http://schemas.microsoft.com/office/drawing/2014/chart" uri="{C3380CC4-5D6E-409C-BE32-E72D297353CC}">
                  <c16:uniqueId val="{00000010-F379-0549-A875-560DD2840365}"/>
                </c:ext>
              </c:extLst>
            </c:dLbl>
            <c:dLbl>
              <c:idx val="8"/>
              <c:delete val="1"/>
              <c:extLst>
                <c:ext xmlns:c15="http://schemas.microsoft.com/office/drawing/2012/chart" uri="{CE6537A1-D6FC-4f65-9D91-7224C49458BB}"/>
                <c:ext xmlns:c16="http://schemas.microsoft.com/office/drawing/2014/chart" uri="{C3380CC4-5D6E-409C-BE32-E72D297353CC}">
                  <c16:uniqueId val="{0000000F-F379-0549-A875-560DD2840365}"/>
                </c:ext>
              </c:extLst>
            </c:dLbl>
            <c:dLbl>
              <c:idx val="9"/>
              <c:delete val="1"/>
              <c:extLst>
                <c:ext xmlns:c15="http://schemas.microsoft.com/office/drawing/2012/chart" uri="{CE6537A1-D6FC-4f65-9D91-7224C49458BB}"/>
                <c:ext xmlns:c16="http://schemas.microsoft.com/office/drawing/2014/chart" uri="{C3380CC4-5D6E-409C-BE32-E72D297353CC}">
                  <c16:uniqueId val="{0000000E-F379-0549-A875-560DD2840365}"/>
                </c:ext>
              </c:extLst>
            </c:dLbl>
            <c:dLbl>
              <c:idx val="10"/>
              <c:delete val="1"/>
              <c:extLst>
                <c:ext xmlns:c15="http://schemas.microsoft.com/office/drawing/2012/chart" uri="{CE6537A1-D6FC-4f65-9D91-7224C49458BB}"/>
                <c:ext xmlns:c16="http://schemas.microsoft.com/office/drawing/2014/chart" uri="{C3380CC4-5D6E-409C-BE32-E72D297353CC}">
                  <c16:uniqueId val="{0000000D-F379-0549-A875-560DD2840365}"/>
                </c:ext>
              </c:extLst>
            </c:dLbl>
            <c:dLbl>
              <c:idx val="11"/>
              <c:delete val="1"/>
              <c:extLst>
                <c:ext xmlns:c15="http://schemas.microsoft.com/office/drawing/2012/chart" uri="{CE6537A1-D6FC-4f65-9D91-7224C49458BB}"/>
                <c:ext xmlns:c16="http://schemas.microsoft.com/office/drawing/2014/chart" uri="{C3380CC4-5D6E-409C-BE32-E72D297353CC}">
                  <c16:uniqueId val="{0000000C-F379-0549-A875-560DD2840365}"/>
                </c:ext>
              </c:extLst>
            </c:dLbl>
            <c:dLbl>
              <c:idx val="12"/>
              <c:delete val="1"/>
              <c:extLst>
                <c:ext xmlns:c15="http://schemas.microsoft.com/office/drawing/2012/chart" uri="{CE6537A1-D6FC-4f65-9D91-7224C49458BB}"/>
                <c:ext xmlns:c16="http://schemas.microsoft.com/office/drawing/2014/chart" uri="{C3380CC4-5D6E-409C-BE32-E72D297353CC}">
                  <c16:uniqueId val="{0000000B-F379-0549-A875-560DD2840365}"/>
                </c:ext>
              </c:extLst>
            </c:dLbl>
            <c:dLbl>
              <c:idx val="13"/>
              <c:delete val="1"/>
              <c:extLst>
                <c:ext xmlns:c15="http://schemas.microsoft.com/office/drawing/2012/chart" uri="{CE6537A1-D6FC-4f65-9D91-7224C49458BB}"/>
                <c:ext xmlns:c16="http://schemas.microsoft.com/office/drawing/2014/chart" uri="{C3380CC4-5D6E-409C-BE32-E72D297353CC}">
                  <c16:uniqueId val="{0000000A-F379-0549-A875-560DD2840365}"/>
                </c:ext>
              </c:extLst>
            </c:dLbl>
            <c:dLbl>
              <c:idx val="14"/>
              <c:delete val="1"/>
              <c:extLst>
                <c:ext xmlns:c15="http://schemas.microsoft.com/office/drawing/2012/chart" uri="{CE6537A1-D6FC-4f65-9D91-7224C49458BB}"/>
                <c:ext xmlns:c16="http://schemas.microsoft.com/office/drawing/2014/chart" uri="{C3380CC4-5D6E-409C-BE32-E72D297353CC}">
                  <c16:uniqueId val="{00000009-F379-0549-A875-560DD2840365}"/>
                </c:ext>
              </c:extLst>
            </c:dLbl>
            <c:dLbl>
              <c:idx val="15"/>
              <c:delete val="1"/>
              <c:extLst>
                <c:ext xmlns:c15="http://schemas.microsoft.com/office/drawing/2012/chart" uri="{CE6537A1-D6FC-4f65-9D91-7224C49458BB}"/>
                <c:ext xmlns:c16="http://schemas.microsoft.com/office/drawing/2014/chart" uri="{C3380CC4-5D6E-409C-BE32-E72D297353CC}">
                  <c16:uniqueId val="{00000008-F379-0549-A875-560DD2840365}"/>
                </c:ext>
              </c:extLst>
            </c:dLbl>
            <c:dLbl>
              <c:idx val="16"/>
              <c:delete val="1"/>
              <c:extLst>
                <c:ext xmlns:c15="http://schemas.microsoft.com/office/drawing/2012/chart" uri="{CE6537A1-D6FC-4f65-9D91-7224C49458BB}"/>
                <c:ext xmlns:c16="http://schemas.microsoft.com/office/drawing/2014/chart" uri="{C3380CC4-5D6E-409C-BE32-E72D297353CC}">
                  <c16:uniqueId val="{00000007-F379-0549-A875-560DD2840365}"/>
                </c:ext>
              </c:extLst>
            </c:dLbl>
            <c:dLbl>
              <c:idx val="17"/>
              <c:delete val="1"/>
              <c:extLst>
                <c:ext xmlns:c15="http://schemas.microsoft.com/office/drawing/2012/chart" uri="{CE6537A1-D6FC-4f65-9D91-7224C49458BB}"/>
                <c:ext xmlns:c16="http://schemas.microsoft.com/office/drawing/2014/chart" uri="{C3380CC4-5D6E-409C-BE32-E72D297353CC}">
                  <c16:uniqueId val="{00000005-F379-0549-A875-560DD2840365}"/>
                </c:ext>
              </c:extLst>
            </c:dLbl>
            <c:dLbl>
              <c:idx val="18"/>
              <c:delete val="1"/>
              <c:extLst>
                <c:ext xmlns:c15="http://schemas.microsoft.com/office/drawing/2012/chart" uri="{CE6537A1-D6FC-4f65-9D91-7224C49458BB}"/>
                <c:ext xmlns:c16="http://schemas.microsoft.com/office/drawing/2014/chart" uri="{C3380CC4-5D6E-409C-BE32-E72D297353CC}">
                  <c16:uniqueId val="{00000006-F379-0549-A875-560DD2840365}"/>
                </c:ext>
              </c:extLst>
            </c:dLbl>
            <c:dLbl>
              <c:idx val="19"/>
              <c:delete val="1"/>
              <c:extLst>
                <c:ext xmlns:c15="http://schemas.microsoft.com/office/drawing/2012/chart" uri="{CE6537A1-D6FC-4f65-9D91-7224C49458BB}"/>
                <c:ext xmlns:c16="http://schemas.microsoft.com/office/drawing/2014/chart" uri="{C3380CC4-5D6E-409C-BE32-E72D297353CC}">
                  <c16:uniqueId val="{00000004-F379-0549-A875-560DD28403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'EXT4-V2-write'!$R$1:$AK$1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'EXT4-V2-write'!$R$2:$AK$2</c:f>
              <c:numCache>
                <c:formatCode>General</c:formatCode>
                <c:ptCount val="20"/>
                <c:pt idx="0">
                  <c:v>0</c:v>
                </c:pt>
                <c:pt idx="1">
                  <c:v>0</c:v>
                </c:pt>
                <c:pt idx="2">
                  <c:v>123236</c:v>
                </c:pt>
                <c:pt idx="3">
                  <c:v>48780483</c:v>
                </c:pt>
                <c:pt idx="4">
                  <c:v>46509302</c:v>
                </c:pt>
                <c:pt idx="5">
                  <c:v>2012060</c:v>
                </c:pt>
                <c:pt idx="6">
                  <c:v>1034229</c:v>
                </c:pt>
                <c:pt idx="7">
                  <c:v>567475</c:v>
                </c:pt>
                <c:pt idx="8">
                  <c:v>364510</c:v>
                </c:pt>
                <c:pt idx="9">
                  <c:v>113806</c:v>
                </c:pt>
                <c:pt idx="10">
                  <c:v>32967</c:v>
                </c:pt>
                <c:pt idx="11">
                  <c:v>13827</c:v>
                </c:pt>
                <c:pt idx="12">
                  <c:v>9312</c:v>
                </c:pt>
                <c:pt idx="13">
                  <c:v>4086</c:v>
                </c:pt>
                <c:pt idx="14">
                  <c:v>1590</c:v>
                </c:pt>
                <c:pt idx="15">
                  <c:v>631</c:v>
                </c:pt>
                <c:pt idx="16">
                  <c:v>247</c:v>
                </c:pt>
                <c:pt idx="17">
                  <c:v>126</c:v>
                </c:pt>
                <c:pt idx="18">
                  <c:v>62</c:v>
                </c:pt>
                <c:pt idx="19">
                  <c:v>54</c:v>
                </c:pt>
              </c:numCache>
            </c:numRef>
          </c:yVal>
          <c:smooth val="1"/>
          <c:extLst>
            <c:ext xmlns:c16="http://schemas.microsoft.com/office/drawing/2014/chart" uri="{C3380CC4-5D6E-409C-BE32-E72D297353CC}">
              <c16:uniqueId val="{00000000-F379-0549-A875-560DD2840365}"/>
            </c:ext>
          </c:extLst>
        </c:ser>
        <c:dLbls>
          <c:showLegendKey val="0"/>
          <c:showVal val="0"/>
          <c:showCatName val="0"/>
          <c:showSerName val="0"/>
          <c:showPercent val="0"/>
          <c:showBubbleSize val="0"/>
        </c:dLbls>
        <c:axId val="1675788288"/>
        <c:axId val="1675744112"/>
      </c:scatterChart>
      <c:valAx>
        <c:axId val="1675788288"/>
        <c:scaling>
          <c:orientation val="minMax"/>
          <c:max val="2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Write Speed</a:t>
                </a:r>
                <a:r>
                  <a:rPr lang="en-US" b="1" baseline="0"/>
                  <a:t> Buckets</a:t>
                </a:r>
                <a:endParaRPr lang="en-US" b="1"/>
              </a:p>
            </c:rich>
          </c:tx>
          <c:layout>
            <c:manualLayout>
              <c:xMode val="edge"/>
              <c:yMode val="edge"/>
              <c:x val="0.43736811023622041"/>
              <c:y val="0.8971988918051909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44112"/>
        <c:crosses val="autoZero"/>
        <c:crossBetween val="midCat"/>
      </c:valAx>
      <c:valAx>
        <c:axId val="16757441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a:t>
                </a:r>
                <a:r>
                  <a:rPr lang="en-US" b="1" baseline="0"/>
                  <a:t> Writes</a:t>
                </a:r>
                <a:endParaRPr lang="en-US" b="1"/>
              </a:p>
            </c:rich>
          </c:tx>
          <c:layout>
            <c:manualLayout>
              <c:xMode val="edge"/>
              <c:yMode val="edge"/>
              <c:x val="2.2222222222222223E-2"/>
              <c:y val="0.3079396325459318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8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Write Throughput</a:t>
            </a:r>
            <a:r>
              <a:rPr lang="en-US" b="1" baseline="0"/>
              <a:t> </a:t>
            </a:r>
            <a:endParaRPr lang="en-US" b="1"/>
          </a:p>
        </c:rich>
      </c:tx>
      <c:layout>
        <c:manualLayout>
          <c:xMode val="edge"/>
          <c:yMode val="edge"/>
          <c:x val="0.37485959403559121"/>
          <c:y val="3.76057736410768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'EXT4-V2-write'!$AT$1:$BM$1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'EXT4-V2-write'!$AT$2:$BM$2</c:f>
              <c:numCache>
                <c:formatCode>General</c:formatCode>
                <c:ptCount val="20"/>
                <c:pt idx="0">
                  <c:v>38.273384</c:v>
                </c:pt>
                <c:pt idx="1">
                  <c:v>37.453220000000002</c:v>
                </c:pt>
                <c:pt idx="2">
                  <c:v>37.932549999999999</c:v>
                </c:pt>
                <c:pt idx="3">
                  <c:v>38.799187000000003</c:v>
                </c:pt>
                <c:pt idx="4">
                  <c:v>38.044040000000003</c:v>
                </c:pt>
                <c:pt idx="5">
                  <c:v>37.204239999999999</c:v>
                </c:pt>
                <c:pt idx="6">
                  <c:v>38.570309999999999</c:v>
                </c:pt>
                <c:pt idx="7">
                  <c:v>38.717025999999997</c:v>
                </c:pt>
                <c:pt idx="8">
                  <c:v>38.660167999999999</c:v>
                </c:pt>
                <c:pt idx="9">
                  <c:v>38.243935</c:v>
                </c:pt>
                <c:pt idx="10">
                  <c:v>37.850273000000001</c:v>
                </c:pt>
                <c:pt idx="11">
                  <c:v>37.729385000000001</c:v>
                </c:pt>
                <c:pt idx="12">
                  <c:v>37.273229999999998</c:v>
                </c:pt>
                <c:pt idx="13">
                  <c:v>38.271538</c:v>
                </c:pt>
                <c:pt idx="14">
                  <c:v>37.827489999999997</c:v>
                </c:pt>
                <c:pt idx="15">
                  <c:v>36.599800000000002</c:v>
                </c:pt>
                <c:pt idx="16">
                  <c:v>36.627490000000002</c:v>
                </c:pt>
                <c:pt idx="17">
                  <c:v>38.769060000000003</c:v>
                </c:pt>
                <c:pt idx="18">
                  <c:v>38.56682</c:v>
                </c:pt>
                <c:pt idx="19">
                  <c:v>37.380294999999997</c:v>
                </c:pt>
              </c:numCache>
            </c:numRef>
          </c:yVal>
          <c:smooth val="1"/>
          <c:extLst>
            <c:ext xmlns:c16="http://schemas.microsoft.com/office/drawing/2014/chart" uri="{C3380CC4-5D6E-409C-BE32-E72D297353CC}">
              <c16:uniqueId val="{00000000-E90E-5E42-8731-D5029A3BEDC1}"/>
            </c:ext>
          </c:extLst>
        </c:ser>
        <c:dLbls>
          <c:showLegendKey val="0"/>
          <c:showVal val="0"/>
          <c:showCatName val="0"/>
          <c:showSerName val="0"/>
          <c:showPercent val="0"/>
          <c:showBubbleSize val="0"/>
        </c:dLbls>
        <c:axId val="1565218256"/>
        <c:axId val="1564540672"/>
      </c:scatterChart>
      <c:valAx>
        <c:axId val="1565218256"/>
        <c:scaling>
          <c:orientation val="minMax"/>
          <c:max val="2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Folder Files</a:t>
                </a:r>
                <a:r>
                  <a:rPr lang="en-US" b="1" baseline="0"/>
                  <a:t> Throughput Buckets</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40672"/>
        <c:crosses val="autoZero"/>
        <c:crossBetween val="midCat"/>
      </c:valAx>
      <c:valAx>
        <c:axId val="156454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Throughput (MB/sec)</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1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'EXT4-V2-write'!$H$1:$Q$1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'EXT4-V2-write'!$H$9:$Q$9</c:f>
              <c:numCache>
                <c:formatCode>General</c:formatCode>
                <c:ptCount val="10"/>
                <c:pt idx="0">
                  <c:v>41</c:v>
                </c:pt>
                <c:pt idx="1">
                  <c:v>2288</c:v>
                </c:pt>
                <c:pt idx="2">
                  <c:v>59706</c:v>
                </c:pt>
                <c:pt idx="3">
                  <c:v>607851</c:v>
                </c:pt>
                <c:pt idx="4">
                  <c:v>2415185</c:v>
                </c:pt>
                <c:pt idx="5">
                  <c:v>3829551</c:v>
                </c:pt>
                <c:pt idx="6">
                  <c:v>2418057</c:v>
                </c:pt>
                <c:pt idx="7">
                  <c:v>605170</c:v>
                </c:pt>
                <c:pt idx="8">
                  <c:v>59867</c:v>
                </c:pt>
                <c:pt idx="9">
                  <c:v>2257</c:v>
                </c:pt>
              </c:numCache>
            </c:numRef>
          </c:yVal>
          <c:smooth val="1"/>
          <c:extLst>
            <c:ext xmlns:c16="http://schemas.microsoft.com/office/drawing/2014/chart" uri="{C3380CC4-5D6E-409C-BE32-E72D297353CC}">
              <c16:uniqueId val="{00000000-EAF6-974E-BF4F-8B1E7A23B0EC}"/>
            </c:ext>
          </c:extLst>
        </c:ser>
        <c:dLbls>
          <c:showLegendKey val="0"/>
          <c:showVal val="0"/>
          <c:showCatName val="0"/>
          <c:showSerName val="0"/>
          <c:showPercent val="0"/>
          <c:showBubbleSize val="0"/>
        </c:dLbls>
        <c:axId val="1587251520"/>
        <c:axId val="1590894512"/>
      </c:scatterChart>
      <c:valAx>
        <c:axId val="15872515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94512"/>
        <c:crosses val="autoZero"/>
        <c:crossBetween val="midCat"/>
      </c:valAx>
      <c:valAx>
        <c:axId val="159089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51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'EXT4-V2-write'!$R$1:$AK$1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'EXT4-V2-write'!$R$9:$AK$9</c:f>
              <c:numCache>
                <c:formatCode>General</c:formatCode>
                <c:ptCount val="20"/>
                <c:pt idx="0">
                  <c:v>0</c:v>
                </c:pt>
                <c:pt idx="1">
                  <c:v>0</c:v>
                </c:pt>
                <c:pt idx="2">
                  <c:v>1377</c:v>
                </c:pt>
                <c:pt idx="3">
                  <c:v>6141749</c:v>
                </c:pt>
                <c:pt idx="4">
                  <c:v>3357721</c:v>
                </c:pt>
                <c:pt idx="5">
                  <c:v>244683</c:v>
                </c:pt>
                <c:pt idx="6">
                  <c:v>109947</c:v>
                </c:pt>
                <c:pt idx="7">
                  <c:v>50349</c:v>
                </c:pt>
                <c:pt idx="8">
                  <c:v>27243</c:v>
                </c:pt>
                <c:pt idx="9">
                  <c:v>11511</c:v>
                </c:pt>
                <c:pt idx="10">
                  <c:v>5932</c:v>
                </c:pt>
                <c:pt idx="11">
                  <c:v>3131</c:v>
                </c:pt>
                <c:pt idx="12">
                  <c:v>1232</c:v>
                </c:pt>
                <c:pt idx="13">
                  <c:v>474</c:v>
                </c:pt>
                <c:pt idx="14">
                  <c:v>209</c:v>
                </c:pt>
                <c:pt idx="15">
                  <c:v>88</c:v>
                </c:pt>
                <c:pt idx="16">
                  <c:v>71</c:v>
                </c:pt>
                <c:pt idx="17">
                  <c:v>47</c:v>
                </c:pt>
                <c:pt idx="18">
                  <c:v>23</c:v>
                </c:pt>
                <c:pt idx="19">
                  <c:v>16</c:v>
                </c:pt>
              </c:numCache>
            </c:numRef>
          </c:yVal>
          <c:smooth val="1"/>
          <c:extLst>
            <c:ext xmlns:c16="http://schemas.microsoft.com/office/drawing/2014/chart" uri="{C3380CC4-5D6E-409C-BE32-E72D297353CC}">
              <c16:uniqueId val="{00000000-49A0-B042-A2FC-CD28AAAAA108}"/>
            </c:ext>
          </c:extLst>
        </c:ser>
        <c:dLbls>
          <c:showLegendKey val="0"/>
          <c:showVal val="0"/>
          <c:showCatName val="0"/>
          <c:showSerName val="0"/>
          <c:showPercent val="0"/>
          <c:showBubbleSize val="0"/>
        </c:dLbls>
        <c:axId val="1542521072"/>
        <c:axId val="1542604384"/>
      </c:scatterChart>
      <c:valAx>
        <c:axId val="15425210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04384"/>
        <c:crosses val="autoZero"/>
        <c:crossBetween val="midCat"/>
      </c:valAx>
      <c:valAx>
        <c:axId val="154260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21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Throughput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Sheet2!$AT$1:$BM$1</c:f>
              <c:strCache>
                <c:ptCount val="20"/>
                <c:pt idx="0">
                  <c:v>TP[1]</c:v>
                </c:pt>
                <c:pt idx="1">
                  <c:v>TP[2]</c:v>
                </c:pt>
                <c:pt idx="2">
                  <c:v>TP[3]</c:v>
                </c:pt>
                <c:pt idx="3">
                  <c:v>TP[4]</c:v>
                </c:pt>
                <c:pt idx="4">
                  <c:v>TP[5]</c:v>
                </c:pt>
                <c:pt idx="5">
                  <c:v>TP[6]</c:v>
                </c:pt>
                <c:pt idx="6">
                  <c:v>TP[7]</c:v>
                </c:pt>
                <c:pt idx="7">
                  <c:v>TP[8]</c:v>
                </c:pt>
                <c:pt idx="8">
                  <c:v>TP[9]</c:v>
                </c:pt>
                <c:pt idx="9">
                  <c:v>TP[10]</c:v>
                </c:pt>
                <c:pt idx="10">
                  <c:v>TP[11]</c:v>
                </c:pt>
                <c:pt idx="11">
                  <c:v>TP[12]</c:v>
                </c:pt>
                <c:pt idx="12">
                  <c:v>TP[13]</c:v>
                </c:pt>
                <c:pt idx="13">
                  <c:v>TP[14]</c:v>
                </c:pt>
                <c:pt idx="14">
                  <c:v>TP[15]</c:v>
                </c:pt>
                <c:pt idx="15">
                  <c:v>TP[16]</c:v>
                </c:pt>
                <c:pt idx="16">
                  <c:v>TP[17]</c:v>
                </c:pt>
                <c:pt idx="17">
                  <c:v>TP[18]</c:v>
                </c:pt>
                <c:pt idx="18">
                  <c:v>TP[19]</c:v>
                </c:pt>
                <c:pt idx="19">
                  <c:v>TP[20]</c:v>
                </c:pt>
              </c:strCache>
            </c:strRef>
          </c:cat>
          <c:val>
            <c:numRef>
              <c:f>Sheet2!$AT$2:$BM$2</c:f>
              <c:numCache>
                <c:formatCode>General</c:formatCode>
                <c:ptCount val="20"/>
                <c:pt idx="0">
                  <c:v>53.464176000000002</c:v>
                </c:pt>
                <c:pt idx="1">
                  <c:v>58.270766999999999</c:v>
                </c:pt>
                <c:pt idx="2">
                  <c:v>58.761271999999998</c:v>
                </c:pt>
                <c:pt idx="3">
                  <c:v>53.025996999999997</c:v>
                </c:pt>
                <c:pt idx="4">
                  <c:v>53.963673</c:v>
                </c:pt>
                <c:pt idx="5">
                  <c:v>57.455559999999998</c:v>
                </c:pt>
                <c:pt idx="6">
                  <c:v>54.733226999999999</c:v>
                </c:pt>
                <c:pt idx="7">
                  <c:v>44.221960000000003</c:v>
                </c:pt>
                <c:pt idx="8">
                  <c:v>58.765810000000002</c:v>
                </c:pt>
                <c:pt idx="9">
                  <c:v>57.094070000000002</c:v>
                </c:pt>
                <c:pt idx="10">
                  <c:v>55.43956</c:v>
                </c:pt>
                <c:pt idx="11">
                  <c:v>60.806007000000001</c:v>
                </c:pt>
                <c:pt idx="12">
                  <c:v>55.576149999999998</c:v>
                </c:pt>
                <c:pt idx="13">
                  <c:v>60.465088000000002</c:v>
                </c:pt>
                <c:pt idx="14">
                  <c:v>58.648769999999999</c:v>
                </c:pt>
                <c:pt idx="15">
                  <c:v>55.100439999999999</c:v>
                </c:pt>
                <c:pt idx="16">
                  <c:v>61.042458000000003</c:v>
                </c:pt>
                <c:pt idx="17">
                  <c:v>56.898784999999997</c:v>
                </c:pt>
                <c:pt idx="18">
                  <c:v>55.868682999999997</c:v>
                </c:pt>
                <c:pt idx="19">
                  <c:v>56.909644999999998</c:v>
                </c:pt>
              </c:numCache>
            </c:numRef>
          </c:val>
          <c:extLst>
            <c:ext xmlns:c16="http://schemas.microsoft.com/office/drawing/2014/chart" uri="{C3380CC4-5D6E-409C-BE32-E72D297353CC}">
              <c16:uniqueId val="{00000000-E7CC-154C-8C72-0105053D432E}"/>
            </c:ext>
          </c:extLst>
        </c:ser>
        <c:dLbls>
          <c:showLegendKey val="0"/>
          <c:showVal val="0"/>
          <c:showCatName val="0"/>
          <c:showSerName val="0"/>
          <c:showPercent val="0"/>
          <c:showBubbleSize val="0"/>
        </c:dLbls>
        <c:gapWidth val="219"/>
        <c:overlap val="-27"/>
        <c:axId val="1803432000"/>
        <c:axId val="1834968288"/>
      </c:barChart>
      <c:catAx>
        <c:axId val="180343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68288"/>
        <c:crosses val="autoZero"/>
        <c:auto val="1"/>
        <c:lblAlgn val="ctr"/>
        <c:lblOffset val="100"/>
        <c:noMultiLvlLbl val="0"/>
      </c:catAx>
      <c:valAx>
        <c:axId val="183496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43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'EXT4-V2-write'!$AT$1:$BM$1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'EXT4-V2-write'!$AT$9:$BM$9</c:f>
              <c:numCache>
                <c:formatCode>General</c:formatCode>
                <c:ptCount val="20"/>
                <c:pt idx="0">
                  <c:v>37.815502000000002</c:v>
                </c:pt>
                <c:pt idx="1">
                  <c:v>38.959583000000002</c:v>
                </c:pt>
                <c:pt idx="2">
                  <c:v>37.334479999999999</c:v>
                </c:pt>
                <c:pt idx="3">
                  <c:v>37.260550000000002</c:v>
                </c:pt>
                <c:pt idx="4">
                  <c:v>41.362087000000002</c:v>
                </c:pt>
                <c:pt idx="5">
                  <c:v>39.344765000000002</c:v>
                </c:pt>
                <c:pt idx="6">
                  <c:v>36.203761999999998</c:v>
                </c:pt>
                <c:pt idx="7">
                  <c:v>38.856133</c:v>
                </c:pt>
                <c:pt idx="8">
                  <c:v>40.10754</c:v>
                </c:pt>
                <c:pt idx="9">
                  <c:v>31.93242</c:v>
                </c:pt>
                <c:pt idx="10">
                  <c:v>42.188225000000003</c:v>
                </c:pt>
                <c:pt idx="11">
                  <c:v>39.94276</c:v>
                </c:pt>
                <c:pt idx="12">
                  <c:v>38.550179999999997</c:v>
                </c:pt>
                <c:pt idx="13">
                  <c:v>38.088659999999997</c:v>
                </c:pt>
                <c:pt idx="14">
                  <c:v>39.608443999999999</c:v>
                </c:pt>
                <c:pt idx="15">
                  <c:v>36.927044000000002</c:v>
                </c:pt>
                <c:pt idx="16">
                  <c:v>37.647624999999998</c:v>
                </c:pt>
                <c:pt idx="17">
                  <c:v>42.499940000000002</c:v>
                </c:pt>
                <c:pt idx="18">
                  <c:v>37.451103000000003</c:v>
                </c:pt>
                <c:pt idx="19">
                  <c:v>40.736289999999997</c:v>
                </c:pt>
              </c:numCache>
            </c:numRef>
          </c:yVal>
          <c:smooth val="1"/>
          <c:extLst>
            <c:ext xmlns:c16="http://schemas.microsoft.com/office/drawing/2014/chart" uri="{C3380CC4-5D6E-409C-BE32-E72D297353CC}">
              <c16:uniqueId val="{00000000-E308-3E4C-85EC-BFDD81019694}"/>
            </c:ext>
          </c:extLst>
        </c:ser>
        <c:dLbls>
          <c:showLegendKey val="0"/>
          <c:showVal val="0"/>
          <c:showCatName val="0"/>
          <c:showSerName val="0"/>
          <c:showPercent val="0"/>
          <c:showBubbleSize val="0"/>
        </c:dLbls>
        <c:axId val="2057071248"/>
        <c:axId val="1592691456"/>
      </c:scatterChart>
      <c:valAx>
        <c:axId val="2057071248"/>
        <c:scaling>
          <c:orientation val="minMax"/>
          <c:max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91456"/>
        <c:crosses val="autoZero"/>
        <c:crossBetween val="midCat"/>
      </c:valAx>
      <c:valAx>
        <c:axId val="1592691456"/>
        <c:scaling>
          <c:orientation val="minMax"/>
          <c:max val="45"/>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71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'XFS-V2'!$H$1:$Q$1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'XFS-V2'!$H$2:$Q$2</c:f>
              <c:numCache>
                <c:formatCode>General</c:formatCode>
                <c:ptCount val="10"/>
                <c:pt idx="0">
                  <c:v>0</c:v>
                </c:pt>
                <c:pt idx="1">
                  <c:v>3</c:v>
                </c:pt>
                <c:pt idx="2">
                  <c:v>61</c:v>
                </c:pt>
                <c:pt idx="3">
                  <c:v>634</c:v>
                </c:pt>
                <c:pt idx="4">
                  <c:v>2430</c:v>
                </c:pt>
                <c:pt idx="5">
                  <c:v>3850</c:v>
                </c:pt>
                <c:pt idx="6">
                  <c:v>2368</c:v>
                </c:pt>
                <c:pt idx="7">
                  <c:v>599</c:v>
                </c:pt>
                <c:pt idx="8">
                  <c:v>54</c:v>
                </c:pt>
                <c:pt idx="9">
                  <c:v>1</c:v>
                </c:pt>
              </c:numCache>
            </c:numRef>
          </c:yVal>
          <c:smooth val="1"/>
          <c:extLst>
            <c:ext xmlns:c16="http://schemas.microsoft.com/office/drawing/2014/chart" uri="{C3380CC4-5D6E-409C-BE32-E72D297353CC}">
              <c16:uniqueId val="{00000000-E682-2645-8810-EFD1E17EFB74}"/>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'XFS-V2'!$H$1:$Q$1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'XFS-V2'!$H$3:$Q$3</c:f>
              <c:numCache>
                <c:formatCode>General</c:formatCode>
                <c:ptCount val="10"/>
                <c:pt idx="0">
                  <c:v>0</c:v>
                </c:pt>
                <c:pt idx="1">
                  <c:v>27</c:v>
                </c:pt>
                <c:pt idx="2">
                  <c:v>570</c:v>
                </c:pt>
                <c:pt idx="3">
                  <c:v>6178</c:v>
                </c:pt>
                <c:pt idx="4">
                  <c:v>24081</c:v>
                </c:pt>
                <c:pt idx="5">
                  <c:v>38401</c:v>
                </c:pt>
                <c:pt idx="6">
                  <c:v>24097</c:v>
                </c:pt>
                <c:pt idx="7">
                  <c:v>6064</c:v>
                </c:pt>
                <c:pt idx="8">
                  <c:v>558</c:v>
                </c:pt>
                <c:pt idx="9">
                  <c:v>24</c:v>
                </c:pt>
              </c:numCache>
            </c:numRef>
          </c:yVal>
          <c:smooth val="1"/>
          <c:extLst>
            <c:ext xmlns:c16="http://schemas.microsoft.com/office/drawing/2014/chart" uri="{C3380CC4-5D6E-409C-BE32-E72D297353CC}">
              <c16:uniqueId val="{00000001-E682-2645-8810-EFD1E17EFB74}"/>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'XFS-V2'!$H$1:$Q$1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'XFS-V2'!$H$4:$Q$4</c:f>
              <c:numCache>
                <c:formatCode>General</c:formatCode>
                <c:ptCount val="10"/>
                <c:pt idx="0">
                  <c:v>7</c:v>
                </c:pt>
                <c:pt idx="1">
                  <c:v>217</c:v>
                </c:pt>
                <c:pt idx="2">
                  <c:v>6019</c:v>
                </c:pt>
                <c:pt idx="3">
                  <c:v>60698</c:v>
                </c:pt>
                <c:pt idx="4">
                  <c:v>241368</c:v>
                </c:pt>
                <c:pt idx="5">
                  <c:v>383437</c:v>
                </c:pt>
                <c:pt idx="6">
                  <c:v>241437</c:v>
                </c:pt>
                <c:pt idx="7">
                  <c:v>60463</c:v>
                </c:pt>
                <c:pt idx="8">
                  <c:v>6094</c:v>
                </c:pt>
                <c:pt idx="9">
                  <c:v>258</c:v>
                </c:pt>
              </c:numCache>
            </c:numRef>
          </c:yVal>
          <c:smooth val="1"/>
          <c:extLst>
            <c:ext xmlns:c16="http://schemas.microsoft.com/office/drawing/2014/chart" uri="{C3380CC4-5D6E-409C-BE32-E72D297353CC}">
              <c16:uniqueId val="{00000002-E682-2645-8810-EFD1E17EFB74}"/>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'XFS-V2'!$H$1:$Q$1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'XFS-V2'!$H$5:$Q$5</c:f>
              <c:numCache>
                <c:formatCode>General</c:formatCode>
                <c:ptCount val="10"/>
                <c:pt idx="0">
                  <c:v>37</c:v>
                </c:pt>
                <c:pt idx="1">
                  <c:v>2299</c:v>
                </c:pt>
                <c:pt idx="2">
                  <c:v>60254</c:v>
                </c:pt>
                <c:pt idx="3">
                  <c:v>605938</c:v>
                </c:pt>
                <c:pt idx="4">
                  <c:v>2417696</c:v>
                </c:pt>
                <c:pt idx="5">
                  <c:v>3829345</c:v>
                </c:pt>
                <c:pt idx="6">
                  <c:v>2416547</c:v>
                </c:pt>
                <c:pt idx="7">
                  <c:v>606151</c:v>
                </c:pt>
                <c:pt idx="8">
                  <c:v>59360</c:v>
                </c:pt>
                <c:pt idx="9">
                  <c:v>2335</c:v>
                </c:pt>
              </c:numCache>
            </c:numRef>
          </c:yVal>
          <c:smooth val="1"/>
          <c:extLst>
            <c:ext xmlns:c16="http://schemas.microsoft.com/office/drawing/2014/chart" uri="{C3380CC4-5D6E-409C-BE32-E72D297353CC}">
              <c16:uniqueId val="{00000003-E682-2645-8810-EFD1E17EFB74}"/>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'XFS-V2'!$H$1:$Q$1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'XFS-V2'!$H$6:$Q$6</c:f>
              <c:numCache>
                <c:formatCode>General</c:formatCode>
                <c:ptCount val="10"/>
                <c:pt idx="0">
                  <c:v>340</c:v>
                </c:pt>
                <c:pt idx="1">
                  <c:v>23103</c:v>
                </c:pt>
                <c:pt idx="2">
                  <c:v>598523</c:v>
                </c:pt>
                <c:pt idx="3">
                  <c:v>6057983</c:v>
                </c:pt>
                <c:pt idx="4">
                  <c:v>24172428</c:v>
                </c:pt>
                <c:pt idx="5">
                  <c:v>38286795</c:v>
                </c:pt>
                <c:pt idx="6">
                  <c:v>24177972</c:v>
                </c:pt>
                <c:pt idx="7">
                  <c:v>6061629</c:v>
                </c:pt>
                <c:pt idx="8">
                  <c:v>597888</c:v>
                </c:pt>
                <c:pt idx="9">
                  <c:v>22998</c:v>
                </c:pt>
              </c:numCache>
            </c:numRef>
          </c:yVal>
          <c:smooth val="1"/>
          <c:extLst>
            <c:ext xmlns:c16="http://schemas.microsoft.com/office/drawing/2014/chart" uri="{C3380CC4-5D6E-409C-BE32-E72D297353CC}">
              <c16:uniqueId val="{00000004-E682-2645-8810-EFD1E17EFB74}"/>
            </c:ext>
          </c:extLst>
        </c:ser>
        <c:dLbls>
          <c:showLegendKey val="0"/>
          <c:showVal val="0"/>
          <c:showCatName val="0"/>
          <c:showSerName val="0"/>
          <c:showPercent val="0"/>
          <c:showBubbleSize val="0"/>
        </c:dLbls>
        <c:axId val="1293782416"/>
        <c:axId val="1420540320"/>
      </c:scatterChart>
      <c:valAx>
        <c:axId val="12937824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40320"/>
        <c:crosses val="autoZero"/>
        <c:crossBetween val="midCat"/>
      </c:valAx>
      <c:valAx>
        <c:axId val="14205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824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'XFS-V2'!$R$1:$AK$1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'XFS-V2'!$R$2:$AK$2</c:f>
              <c:numCache>
                <c:formatCode>General</c:formatCode>
                <c:ptCount val="20"/>
                <c:pt idx="0">
                  <c:v>0</c:v>
                </c:pt>
                <c:pt idx="1">
                  <c:v>0</c:v>
                </c:pt>
                <c:pt idx="2">
                  <c:v>4411</c:v>
                </c:pt>
                <c:pt idx="3">
                  <c:v>3617</c:v>
                </c:pt>
                <c:pt idx="4">
                  <c:v>1211</c:v>
                </c:pt>
                <c:pt idx="5">
                  <c:v>377</c:v>
                </c:pt>
                <c:pt idx="6">
                  <c:v>179</c:v>
                </c:pt>
                <c:pt idx="7">
                  <c:v>116</c:v>
                </c:pt>
                <c:pt idx="8">
                  <c:v>46</c:v>
                </c:pt>
                <c:pt idx="9">
                  <c:v>16</c:v>
                </c:pt>
                <c:pt idx="10">
                  <c:v>10</c:v>
                </c:pt>
                <c:pt idx="11">
                  <c:v>5</c:v>
                </c:pt>
                <c:pt idx="12">
                  <c:v>3</c:v>
                </c:pt>
                <c:pt idx="13">
                  <c:v>2</c:v>
                </c:pt>
                <c:pt idx="14">
                  <c:v>2</c:v>
                </c:pt>
                <c:pt idx="15">
                  <c:v>0</c:v>
                </c:pt>
                <c:pt idx="16">
                  <c:v>0</c:v>
                </c:pt>
                <c:pt idx="17">
                  <c:v>1</c:v>
                </c:pt>
                <c:pt idx="18">
                  <c:v>0</c:v>
                </c:pt>
                <c:pt idx="19">
                  <c:v>1</c:v>
                </c:pt>
              </c:numCache>
            </c:numRef>
          </c:yVal>
          <c:smooth val="1"/>
          <c:extLst>
            <c:ext xmlns:c16="http://schemas.microsoft.com/office/drawing/2014/chart" uri="{C3380CC4-5D6E-409C-BE32-E72D297353CC}">
              <c16:uniqueId val="{00000000-1B95-E344-A6B0-E9EE5D7533B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'XFS-V2'!$R$1:$AK$1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'XFS-V2'!$R$3:$AK$3</c:f>
              <c:numCache>
                <c:formatCode>General</c:formatCode>
                <c:ptCount val="20"/>
                <c:pt idx="0">
                  <c:v>0</c:v>
                </c:pt>
                <c:pt idx="1">
                  <c:v>30</c:v>
                </c:pt>
                <c:pt idx="2">
                  <c:v>80860</c:v>
                </c:pt>
                <c:pt idx="3">
                  <c:v>10895</c:v>
                </c:pt>
                <c:pt idx="4">
                  <c:v>4417</c:v>
                </c:pt>
                <c:pt idx="5">
                  <c:v>2502</c:v>
                </c:pt>
                <c:pt idx="6">
                  <c:v>759</c:v>
                </c:pt>
                <c:pt idx="7">
                  <c:v>251</c:v>
                </c:pt>
                <c:pt idx="8">
                  <c:v>137</c:v>
                </c:pt>
                <c:pt idx="9">
                  <c:v>68</c:v>
                </c:pt>
                <c:pt idx="10">
                  <c:v>31</c:v>
                </c:pt>
                <c:pt idx="11">
                  <c:v>17</c:v>
                </c:pt>
                <c:pt idx="12">
                  <c:v>5</c:v>
                </c:pt>
                <c:pt idx="13">
                  <c:v>7</c:v>
                </c:pt>
                <c:pt idx="14">
                  <c:v>4</c:v>
                </c:pt>
                <c:pt idx="15">
                  <c:v>0</c:v>
                </c:pt>
                <c:pt idx="16">
                  <c:v>3</c:v>
                </c:pt>
                <c:pt idx="17">
                  <c:v>0</c:v>
                </c:pt>
                <c:pt idx="18">
                  <c:v>0</c:v>
                </c:pt>
                <c:pt idx="19">
                  <c:v>0</c:v>
                </c:pt>
              </c:numCache>
            </c:numRef>
          </c:yVal>
          <c:smooth val="1"/>
          <c:extLst>
            <c:ext xmlns:c16="http://schemas.microsoft.com/office/drawing/2014/chart" uri="{C3380CC4-5D6E-409C-BE32-E72D297353CC}">
              <c16:uniqueId val="{00000001-1B95-E344-A6B0-E9EE5D7533BF}"/>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'XFS-V2'!$R$1:$AK$1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'XFS-V2'!$R$4:$AK$4</c:f>
              <c:numCache>
                <c:formatCode>General</c:formatCode>
                <c:ptCount val="20"/>
                <c:pt idx="0">
                  <c:v>0</c:v>
                </c:pt>
                <c:pt idx="1">
                  <c:v>317</c:v>
                </c:pt>
                <c:pt idx="2">
                  <c:v>864560</c:v>
                </c:pt>
                <c:pt idx="3">
                  <c:v>73662</c:v>
                </c:pt>
                <c:pt idx="4">
                  <c:v>27033</c:v>
                </c:pt>
                <c:pt idx="5">
                  <c:v>25030</c:v>
                </c:pt>
                <c:pt idx="6">
                  <c:v>4839</c:v>
                </c:pt>
                <c:pt idx="7">
                  <c:v>1938</c:v>
                </c:pt>
                <c:pt idx="8">
                  <c:v>1270</c:v>
                </c:pt>
                <c:pt idx="9">
                  <c:v>667</c:v>
                </c:pt>
                <c:pt idx="10">
                  <c:v>260</c:v>
                </c:pt>
                <c:pt idx="11">
                  <c:v>115</c:v>
                </c:pt>
                <c:pt idx="12">
                  <c:v>53</c:v>
                </c:pt>
                <c:pt idx="13">
                  <c:v>37</c:v>
                </c:pt>
                <c:pt idx="14">
                  <c:v>22</c:v>
                </c:pt>
                <c:pt idx="15">
                  <c:v>13</c:v>
                </c:pt>
                <c:pt idx="16">
                  <c:v>18</c:v>
                </c:pt>
                <c:pt idx="17">
                  <c:v>5</c:v>
                </c:pt>
                <c:pt idx="18">
                  <c:v>8</c:v>
                </c:pt>
                <c:pt idx="19">
                  <c:v>7</c:v>
                </c:pt>
              </c:numCache>
            </c:numRef>
          </c:yVal>
          <c:smooth val="1"/>
          <c:extLst>
            <c:ext xmlns:c16="http://schemas.microsoft.com/office/drawing/2014/chart" uri="{C3380CC4-5D6E-409C-BE32-E72D297353CC}">
              <c16:uniqueId val="{00000002-1B95-E344-A6B0-E9EE5D7533BF}"/>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'XFS-V2'!$R$1:$AK$1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'XFS-V2'!$R$5:$AK$5</c:f>
              <c:numCache>
                <c:formatCode>General</c:formatCode>
                <c:ptCount val="20"/>
                <c:pt idx="0">
                  <c:v>0</c:v>
                </c:pt>
                <c:pt idx="1">
                  <c:v>46041</c:v>
                </c:pt>
                <c:pt idx="2">
                  <c:v>8821328</c:v>
                </c:pt>
                <c:pt idx="3">
                  <c:v>632569</c:v>
                </c:pt>
                <c:pt idx="4">
                  <c:v>230740</c:v>
                </c:pt>
                <c:pt idx="5">
                  <c:v>196815</c:v>
                </c:pt>
                <c:pt idx="6">
                  <c:v>30570</c:v>
                </c:pt>
                <c:pt idx="7">
                  <c:v>13294</c:v>
                </c:pt>
                <c:pt idx="8">
                  <c:v>10361</c:v>
                </c:pt>
                <c:pt idx="9">
                  <c:v>6538</c:v>
                </c:pt>
                <c:pt idx="10">
                  <c:v>3971</c:v>
                </c:pt>
                <c:pt idx="11">
                  <c:v>1741</c:v>
                </c:pt>
                <c:pt idx="12">
                  <c:v>762</c:v>
                </c:pt>
                <c:pt idx="13">
                  <c:v>309</c:v>
                </c:pt>
                <c:pt idx="14">
                  <c:v>183</c:v>
                </c:pt>
                <c:pt idx="15">
                  <c:v>96</c:v>
                </c:pt>
                <c:pt idx="16">
                  <c:v>78</c:v>
                </c:pt>
                <c:pt idx="17">
                  <c:v>52</c:v>
                </c:pt>
                <c:pt idx="18">
                  <c:v>46</c:v>
                </c:pt>
                <c:pt idx="19">
                  <c:v>52</c:v>
                </c:pt>
              </c:numCache>
            </c:numRef>
          </c:yVal>
          <c:smooth val="1"/>
          <c:extLst>
            <c:ext xmlns:c16="http://schemas.microsoft.com/office/drawing/2014/chart" uri="{C3380CC4-5D6E-409C-BE32-E72D297353CC}">
              <c16:uniqueId val="{00000003-1B95-E344-A6B0-E9EE5D7533BF}"/>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'XFS-V2'!$R$1:$AK$1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'XFS-V2'!$R$6:$AK$6</c:f>
              <c:numCache>
                <c:formatCode>General</c:formatCode>
                <c:ptCount val="20"/>
                <c:pt idx="0">
                  <c:v>0</c:v>
                </c:pt>
                <c:pt idx="1">
                  <c:v>19517266</c:v>
                </c:pt>
                <c:pt idx="2">
                  <c:v>71659237</c:v>
                </c:pt>
                <c:pt idx="3">
                  <c:v>5034034</c:v>
                </c:pt>
                <c:pt idx="4">
                  <c:v>1517802</c:v>
                </c:pt>
                <c:pt idx="5">
                  <c:v>1671784</c:v>
                </c:pt>
                <c:pt idx="6">
                  <c:v>225633</c:v>
                </c:pt>
                <c:pt idx="7">
                  <c:v>112489</c:v>
                </c:pt>
                <c:pt idx="8">
                  <c:v>76548</c:v>
                </c:pt>
                <c:pt idx="9">
                  <c:v>39558</c:v>
                </c:pt>
                <c:pt idx="10">
                  <c:v>20665</c:v>
                </c:pt>
                <c:pt idx="11">
                  <c:v>10788</c:v>
                </c:pt>
                <c:pt idx="12">
                  <c:v>5586</c:v>
                </c:pt>
                <c:pt idx="13">
                  <c:v>3010</c:v>
                </c:pt>
                <c:pt idx="14">
                  <c:v>1860</c:v>
                </c:pt>
                <c:pt idx="15">
                  <c:v>1310</c:v>
                </c:pt>
                <c:pt idx="16">
                  <c:v>1109</c:v>
                </c:pt>
                <c:pt idx="17">
                  <c:v>872</c:v>
                </c:pt>
                <c:pt idx="18">
                  <c:v>627</c:v>
                </c:pt>
                <c:pt idx="19">
                  <c:v>645</c:v>
                </c:pt>
              </c:numCache>
            </c:numRef>
          </c:yVal>
          <c:smooth val="1"/>
          <c:extLst>
            <c:ext xmlns:c16="http://schemas.microsoft.com/office/drawing/2014/chart" uri="{C3380CC4-5D6E-409C-BE32-E72D297353CC}">
              <c16:uniqueId val="{00000004-1B95-E344-A6B0-E9EE5D7533BF}"/>
            </c:ext>
          </c:extLst>
        </c:ser>
        <c:dLbls>
          <c:showLegendKey val="0"/>
          <c:showVal val="0"/>
          <c:showCatName val="0"/>
          <c:showSerName val="0"/>
          <c:showPercent val="0"/>
          <c:showBubbleSize val="0"/>
        </c:dLbls>
        <c:axId val="930116544"/>
        <c:axId val="923035392"/>
      </c:scatterChart>
      <c:valAx>
        <c:axId val="9301165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035392"/>
        <c:crosses val="autoZero"/>
        <c:crossBetween val="midCat"/>
      </c:valAx>
      <c:valAx>
        <c:axId val="9230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16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'XFS-V2'!$AP$1</c:f>
              <c:strCache>
                <c:ptCount val="1"/>
                <c:pt idx="0">
                  <c:v>Files Create Avg.</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'XFS-V2'!$AP$2:$AP$6</c:f>
              <c:numCache>
                <c:formatCode>_(* #,##0_);_(* \(#,##0\);_(* "-"??_);_(@_)</c:formatCode>
                <c:ptCount val="5"/>
                <c:pt idx="0">
                  <c:v>86682</c:v>
                </c:pt>
                <c:pt idx="1">
                  <c:v>71687</c:v>
                </c:pt>
                <c:pt idx="2">
                  <c:v>76965</c:v>
                </c:pt>
                <c:pt idx="3">
                  <c:v>100846</c:v>
                </c:pt>
                <c:pt idx="4">
                  <c:v>108792</c:v>
                </c:pt>
              </c:numCache>
            </c:numRef>
          </c:yVal>
          <c:smooth val="1"/>
          <c:extLst>
            <c:ext xmlns:c16="http://schemas.microsoft.com/office/drawing/2014/chart" uri="{C3380CC4-5D6E-409C-BE32-E72D297353CC}">
              <c16:uniqueId val="{00000000-7FFE-0147-B808-68659F266087}"/>
            </c:ext>
          </c:extLst>
        </c:ser>
        <c:dLbls>
          <c:showLegendKey val="0"/>
          <c:showVal val="0"/>
          <c:showCatName val="0"/>
          <c:showSerName val="0"/>
          <c:showPercent val="0"/>
          <c:showBubbleSize val="0"/>
        </c:dLbls>
        <c:axId val="921749056"/>
        <c:axId val="928034368"/>
      </c:scatterChart>
      <c:valAx>
        <c:axId val="9217490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34368"/>
        <c:crosses val="autoZero"/>
        <c:crossBetween val="midCat"/>
      </c:valAx>
      <c:valAx>
        <c:axId val="928034368"/>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749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'XFS-V2'!$AL$1</c:f>
              <c:strCache>
                <c:ptCount val="1"/>
                <c:pt idx="0">
                  <c:v>Folders Create Time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'XFS-V2'!$AL$2:$AL$6</c:f>
              <c:numCache>
                <c:formatCode>_(* #,##0_);_(* \(#,##0\);_(* "-"??_);_(@_)</c:formatCode>
                <c:ptCount val="5"/>
                <c:pt idx="0">
                  <c:v>9840921</c:v>
                </c:pt>
                <c:pt idx="1">
                  <c:v>13157132</c:v>
                </c:pt>
                <c:pt idx="2">
                  <c:v>20003058</c:v>
                </c:pt>
                <c:pt idx="3">
                  <c:v>365101690</c:v>
                </c:pt>
                <c:pt idx="4">
                  <c:v>833862063</c:v>
                </c:pt>
              </c:numCache>
            </c:numRef>
          </c:yVal>
          <c:smooth val="1"/>
          <c:extLst>
            <c:ext xmlns:c16="http://schemas.microsoft.com/office/drawing/2014/chart" uri="{C3380CC4-5D6E-409C-BE32-E72D297353CC}">
              <c16:uniqueId val="{00000000-417B-384C-B23C-C6E0E9A17C35}"/>
            </c:ext>
          </c:extLst>
        </c:ser>
        <c:dLbls>
          <c:showLegendKey val="0"/>
          <c:showVal val="0"/>
          <c:showCatName val="0"/>
          <c:showSerName val="0"/>
          <c:showPercent val="0"/>
          <c:showBubbleSize val="0"/>
        </c:dLbls>
        <c:axId val="978340496"/>
        <c:axId val="1016143264"/>
      </c:scatterChart>
      <c:valAx>
        <c:axId val="9783404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43264"/>
        <c:crosses val="autoZero"/>
        <c:crossBetween val="midCat"/>
      </c:valAx>
      <c:valAx>
        <c:axId val="10161432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340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'XFS-V2'!$AN$49</c:f>
              <c:strCache>
                <c:ptCount val="1"/>
                <c:pt idx="0">
                  <c:v>Folder Create Ave. Time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'XFS-V2'!$AN$50:$AN$54</c:f>
              <c:numCache>
                <c:formatCode>_(* #,##0.00_);_(* \(#,##0.00\);_(* "-"??_);_(@_)</c:formatCode>
                <c:ptCount val="5"/>
                <c:pt idx="0">
                  <c:v>492046.05</c:v>
                </c:pt>
                <c:pt idx="1">
                  <c:v>131571.32</c:v>
                </c:pt>
                <c:pt idx="2">
                  <c:v>200030.58</c:v>
                </c:pt>
                <c:pt idx="3">
                  <c:v>730203.38</c:v>
                </c:pt>
                <c:pt idx="4">
                  <c:v>833862.06299999997</c:v>
                </c:pt>
              </c:numCache>
            </c:numRef>
          </c:yVal>
          <c:smooth val="1"/>
          <c:extLst>
            <c:ext xmlns:c16="http://schemas.microsoft.com/office/drawing/2014/chart" uri="{C3380CC4-5D6E-409C-BE32-E72D297353CC}">
              <c16:uniqueId val="{00000000-F519-9047-B8D4-5D4ED675C16D}"/>
            </c:ext>
          </c:extLst>
        </c:ser>
        <c:dLbls>
          <c:showLegendKey val="0"/>
          <c:showVal val="0"/>
          <c:showCatName val="0"/>
          <c:showSerName val="0"/>
          <c:showPercent val="0"/>
          <c:showBubbleSize val="0"/>
        </c:dLbls>
        <c:axId val="1043476064"/>
        <c:axId val="1043400176"/>
      </c:scatterChart>
      <c:valAx>
        <c:axId val="1043476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00176"/>
        <c:crosses val="autoZero"/>
        <c:crossBetween val="midCat"/>
      </c:valAx>
      <c:valAx>
        <c:axId val="104340017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6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'XFS-V2'!$AT$1:$BM$1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'XFS-V2'!$AT$2:$BM$2</c:f>
              <c:numCache>
                <c:formatCode>General</c:formatCode>
                <c:ptCount val="20"/>
                <c:pt idx="0">
                  <c:v>34.829749999999997</c:v>
                </c:pt>
                <c:pt idx="1">
                  <c:v>51.276560000000003</c:v>
                </c:pt>
                <c:pt idx="2">
                  <c:v>51.839733000000003</c:v>
                </c:pt>
                <c:pt idx="3">
                  <c:v>46.122154000000002</c:v>
                </c:pt>
                <c:pt idx="4">
                  <c:v>57.063020000000002</c:v>
                </c:pt>
                <c:pt idx="5">
                  <c:v>61.259666000000003</c:v>
                </c:pt>
                <c:pt idx="6">
                  <c:v>62.269416999999997</c:v>
                </c:pt>
                <c:pt idx="7">
                  <c:v>68.677430000000001</c:v>
                </c:pt>
                <c:pt idx="8">
                  <c:v>71.407240000000002</c:v>
                </c:pt>
                <c:pt idx="9">
                  <c:v>71.593890000000002</c:v>
                </c:pt>
                <c:pt idx="10">
                  <c:v>66.454123999999993</c:v>
                </c:pt>
                <c:pt idx="11">
                  <c:v>78.444659999999999</c:v>
                </c:pt>
                <c:pt idx="12">
                  <c:v>71.403564000000003</c:v>
                </c:pt>
                <c:pt idx="13">
                  <c:v>82.350710000000007</c:v>
                </c:pt>
                <c:pt idx="14">
                  <c:v>79.376649999999998</c:v>
                </c:pt>
                <c:pt idx="15">
                  <c:v>70.837074000000001</c:v>
                </c:pt>
                <c:pt idx="16">
                  <c:v>82.374709999999993</c:v>
                </c:pt>
                <c:pt idx="17">
                  <c:v>74.366259999999997</c:v>
                </c:pt>
                <c:pt idx="18">
                  <c:v>68.869895999999997</c:v>
                </c:pt>
                <c:pt idx="19">
                  <c:v>73.427986000000004</c:v>
                </c:pt>
              </c:numCache>
            </c:numRef>
          </c:yVal>
          <c:smooth val="1"/>
          <c:extLst>
            <c:ext xmlns:c16="http://schemas.microsoft.com/office/drawing/2014/chart" uri="{C3380CC4-5D6E-409C-BE32-E72D297353CC}">
              <c16:uniqueId val="{00000000-D8EE-CC4E-9124-95DFE39D977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'XFS-V2'!$AT$1:$BM$1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'XFS-V2'!$AT$3:$BM$3</c:f>
              <c:numCache>
                <c:formatCode>General</c:formatCode>
                <c:ptCount val="20"/>
                <c:pt idx="0">
                  <c:v>68.784800000000004</c:v>
                </c:pt>
                <c:pt idx="1">
                  <c:v>82.864109999999997</c:v>
                </c:pt>
                <c:pt idx="2">
                  <c:v>83.807625000000002</c:v>
                </c:pt>
                <c:pt idx="3">
                  <c:v>85.413920000000005</c:v>
                </c:pt>
                <c:pt idx="4">
                  <c:v>91.539090000000002</c:v>
                </c:pt>
                <c:pt idx="5">
                  <c:v>80.806309999999996</c:v>
                </c:pt>
                <c:pt idx="6">
                  <c:v>81.945949999999996</c:v>
                </c:pt>
                <c:pt idx="7">
                  <c:v>85.563190000000006</c:v>
                </c:pt>
                <c:pt idx="8">
                  <c:v>84.933530000000005</c:v>
                </c:pt>
                <c:pt idx="9">
                  <c:v>67.605095000000006</c:v>
                </c:pt>
                <c:pt idx="10">
                  <c:v>84.882355000000004</c:v>
                </c:pt>
                <c:pt idx="11">
                  <c:v>75.896834999999996</c:v>
                </c:pt>
                <c:pt idx="12">
                  <c:v>77.852000000000004</c:v>
                </c:pt>
                <c:pt idx="13">
                  <c:v>76.806076000000004</c:v>
                </c:pt>
                <c:pt idx="14">
                  <c:v>80.170689999999993</c:v>
                </c:pt>
                <c:pt idx="15">
                  <c:v>83.696174999999997</c:v>
                </c:pt>
                <c:pt idx="16">
                  <c:v>84.155199999999994</c:v>
                </c:pt>
                <c:pt idx="17">
                  <c:v>77.007744000000002</c:v>
                </c:pt>
                <c:pt idx="18">
                  <c:v>75.010059999999996</c:v>
                </c:pt>
                <c:pt idx="19">
                  <c:v>67.201965000000001</c:v>
                </c:pt>
              </c:numCache>
            </c:numRef>
          </c:yVal>
          <c:smooth val="1"/>
          <c:extLst>
            <c:ext xmlns:c16="http://schemas.microsoft.com/office/drawing/2014/chart" uri="{C3380CC4-5D6E-409C-BE32-E72D297353CC}">
              <c16:uniqueId val="{00000001-D8EE-CC4E-9124-95DFE39D977A}"/>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'XFS-V2'!$AT$1:$BM$1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'XFS-V2'!$AT$4:$BM$4</c:f>
              <c:numCache>
                <c:formatCode>General</c:formatCode>
                <c:ptCount val="20"/>
                <c:pt idx="0">
                  <c:v>78.312939999999998</c:v>
                </c:pt>
                <c:pt idx="1">
                  <c:v>77.230959999999996</c:v>
                </c:pt>
                <c:pt idx="2">
                  <c:v>74.310569999999998</c:v>
                </c:pt>
                <c:pt idx="3">
                  <c:v>81.584159999999997</c:v>
                </c:pt>
                <c:pt idx="4">
                  <c:v>75.667119999999997</c:v>
                </c:pt>
                <c:pt idx="5">
                  <c:v>78.406720000000007</c:v>
                </c:pt>
                <c:pt idx="6">
                  <c:v>79.263400000000004</c:v>
                </c:pt>
                <c:pt idx="7">
                  <c:v>79.882164000000003</c:v>
                </c:pt>
                <c:pt idx="8">
                  <c:v>78.254459999999995</c:v>
                </c:pt>
                <c:pt idx="9">
                  <c:v>82.470129999999997</c:v>
                </c:pt>
                <c:pt idx="10">
                  <c:v>78.945815999999994</c:v>
                </c:pt>
                <c:pt idx="11">
                  <c:v>78.180139999999994</c:v>
                </c:pt>
                <c:pt idx="12">
                  <c:v>86.001959999999997</c:v>
                </c:pt>
                <c:pt idx="13">
                  <c:v>81.69838</c:v>
                </c:pt>
                <c:pt idx="14">
                  <c:v>84.342309999999998</c:v>
                </c:pt>
                <c:pt idx="15">
                  <c:v>82.40361</c:v>
                </c:pt>
                <c:pt idx="16">
                  <c:v>81.93741</c:v>
                </c:pt>
                <c:pt idx="17">
                  <c:v>13.305527</c:v>
                </c:pt>
                <c:pt idx="18">
                  <c:v>78.642030000000005</c:v>
                </c:pt>
                <c:pt idx="19">
                  <c:v>79.203530000000001</c:v>
                </c:pt>
              </c:numCache>
            </c:numRef>
          </c:yVal>
          <c:smooth val="1"/>
          <c:extLst>
            <c:ext xmlns:c16="http://schemas.microsoft.com/office/drawing/2014/chart" uri="{C3380CC4-5D6E-409C-BE32-E72D297353CC}">
              <c16:uniqueId val="{00000002-D8EE-CC4E-9124-95DFE39D977A}"/>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'XFS-V2'!$AT$1:$BM$1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'XFS-V2'!$AT$5:$BM$5</c:f>
              <c:numCache>
                <c:formatCode>General</c:formatCode>
                <c:ptCount val="20"/>
                <c:pt idx="0">
                  <c:v>77.106064000000003</c:v>
                </c:pt>
                <c:pt idx="1">
                  <c:v>77.568359999999998</c:v>
                </c:pt>
                <c:pt idx="2">
                  <c:v>82.532393999999996</c:v>
                </c:pt>
                <c:pt idx="3">
                  <c:v>80.232253999999998</c:v>
                </c:pt>
                <c:pt idx="4">
                  <c:v>84.715540000000004</c:v>
                </c:pt>
                <c:pt idx="5">
                  <c:v>86.162689999999998</c:v>
                </c:pt>
                <c:pt idx="6">
                  <c:v>81.858509999999995</c:v>
                </c:pt>
                <c:pt idx="7">
                  <c:v>83.544039999999995</c:v>
                </c:pt>
                <c:pt idx="8">
                  <c:v>84.840339999999998</c:v>
                </c:pt>
                <c:pt idx="9">
                  <c:v>85.208340000000007</c:v>
                </c:pt>
                <c:pt idx="10">
                  <c:v>81.990610000000004</c:v>
                </c:pt>
                <c:pt idx="11">
                  <c:v>85.035020000000003</c:v>
                </c:pt>
                <c:pt idx="12">
                  <c:v>18.628399000000002</c:v>
                </c:pt>
                <c:pt idx="13">
                  <c:v>80.601169999999996</c:v>
                </c:pt>
                <c:pt idx="14">
                  <c:v>78.861779999999996</c:v>
                </c:pt>
                <c:pt idx="15">
                  <c:v>80.073654000000005</c:v>
                </c:pt>
                <c:pt idx="16">
                  <c:v>78.032989999999998</c:v>
                </c:pt>
                <c:pt idx="17">
                  <c:v>18.265519999999999</c:v>
                </c:pt>
                <c:pt idx="18">
                  <c:v>15.011697</c:v>
                </c:pt>
                <c:pt idx="19">
                  <c:v>19.682390000000002</c:v>
                </c:pt>
              </c:numCache>
            </c:numRef>
          </c:yVal>
          <c:smooth val="1"/>
          <c:extLst>
            <c:ext xmlns:c16="http://schemas.microsoft.com/office/drawing/2014/chart" uri="{C3380CC4-5D6E-409C-BE32-E72D297353CC}">
              <c16:uniqueId val="{00000003-D8EE-CC4E-9124-95DFE39D977A}"/>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'XFS-V2'!$AT$1:$BM$1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'XFS-V2'!$AT$6:$BM$6</c:f>
              <c:numCache>
                <c:formatCode>General</c:formatCode>
                <c:ptCount val="20"/>
                <c:pt idx="0">
                  <c:v>53.190685000000002</c:v>
                </c:pt>
                <c:pt idx="1">
                  <c:v>42.895780000000002</c:v>
                </c:pt>
                <c:pt idx="2">
                  <c:v>46.717326999999997</c:v>
                </c:pt>
                <c:pt idx="3">
                  <c:v>81.684460000000001</c:v>
                </c:pt>
                <c:pt idx="4">
                  <c:v>81.636985999999993</c:v>
                </c:pt>
                <c:pt idx="5">
                  <c:v>45.267066999999997</c:v>
                </c:pt>
                <c:pt idx="6">
                  <c:v>80.405209999999997</c:v>
                </c:pt>
                <c:pt idx="7">
                  <c:v>70.699759999999998</c:v>
                </c:pt>
                <c:pt idx="8">
                  <c:v>53.979903999999998</c:v>
                </c:pt>
                <c:pt idx="9">
                  <c:v>36.236781999999998</c:v>
                </c:pt>
                <c:pt idx="10">
                  <c:v>49.025739999999999</c:v>
                </c:pt>
                <c:pt idx="11">
                  <c:v>38.822409999999998</c:v>
                </c:pt>
                <c:pt idx="12">
                  <c:v>49.044719999999998</c:v>
                </c:pt>
                <c:pt idx="13">
                  <c:v>47.185279999999999</c:v>
                </c:pt>
                <c:pt idx="14">
                  <c:v>48.769745</c:v>
                </c:pt>
                <c:pt idx="15">
                  <c:v>47.310093000000002</c:v>
                </c:pt>
                <c:pt idx="16">
                  <c:v>49.424280000000003</c:v>
                </c:pt>
                <c:pt idx="17">
                  <c:v>50.782744999999998</c:v>
                </c:pt>
                <c:pt idx="18">
                  <c:v>50.475166000000002</c:v>
                </c:pt>
                <c:pt idx="19">
                  <c:v>49.143120000000003</c:v>
                </c:pt>
              </c:numCache>
            </c:numRef>
          </c:yVal>
          <c:smooth val="1"/>
          <c:extLst>
            <c:ext xmlns:c16="http://schemas.microsoft.com/office/drawing/2014/chart" uri="{C3380CC4-5D6E-409C-BE32-E72D297353CC}">
              <c16:uniqueId val="{00000004-D8EE-CC4E-9124-95DFE39D977A}"/>
            </c:ext>
          </c:extLst>
        </c:ser>
        <c:dLbls>
          <c:showLegendKey val="0"/>
          <c:showVal val="0"/>
          <c:showCatName val="0"/>
          <c:showSerName val="0"/>
          <c:showPercent val="0"/>
          <c:showBubbleSize val="0"/>
        </c:dLbls>
        <c:axId val="1047572480"/>
        <c:axId val="977714944"/>
      </c:scatterChart>
      <c:valAx>
        <c:axId val="10475724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14944"/>
        <c:crosses val="autoZero"/>
        <c:crossBetween val="midCat"/>
      </c:valAx>
      <c:valAx>
        <c:axId val="9777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24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'XFS-read'!$M$2:$AF$2</c:f>
              <c:numCache>
                <c:formatCode>0</c:formatCode>
                <c:ptCount val="20"/>
                <c:pt idx="0" formatCode="General">
                  <c:v>0</c:v>
                </c:pt>
                <c:pt idx="1">
                  <c:v>0</c:v>
                </c:pt>
                <c:pt idx="2">
                  <c:v>49154</c:v>
                </c:pt>
                <c:pt idx="3">
                  <c:v>6988398</c:v>
                </c:pt>
                <c:pt idx="4">
                  <c:v>684573</c:v>
                </c:pt>
                <c:pt idx="5">
                  <c:v>181539</c:v>
                </c:pt>
                <c:pt idx="6">
                  <c:v>148601</c:v>
                </c:pt>
                <c:pt idx="7">
                  <c:v>53408</c:v>
                </c:pt>
                <c:pt idx="8">
                  <c:v>17030</c:v>
                </c:pt>
                <c:pt idx="9">
                  <c:v>6613</c:v>
                </c:pt>
                <c:pt idx="10">
                  <c:v>2441</c:v>
                </c:pt>
                <c:pt idx="11">
                  <c:v>7204</c:v>
                </c:pt>
                <c:pt idx="12">
                  <c:v>42726</c:v>
                </c:pt>
                <c:pt idx="13">
                  <c:v>113272</c:v>
                </c:pt>
                <c:pt idx="14">
                  <c:v>424683</c:v>
                </c:pt>
                <c:pt idx="15">
                  <c:v>342202</c:v>
                </c:pt>
                <c:pt idx="16">
                  <c:v>127224</c:v>
                </c:pt>
                <c:pt idx="17">
                  <c:v>75382</c:v>
                </c:pt>
                <c:pt idx="18">
                  <c:v>58254</c:v>
                </c:pt>
                <c:pt idx="19">
                  <c:v>58299</c:v>
                </c:pt>
              </c:numCache>
            </c:numRef>
          </c:yVal>
          <c:smooth val="1"/>
          <c:extLst>
            <c:ext xmlns:c16="http://schemas.microsoft.com/office/drawing/2014/chart" uri="{C3380CC4-5D6E-409C-BE32-E72D297353CC}">
              <c16:uniqueId val="{00000000-F6CD-5842-A65F-408CB241A90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'XFS-read'!$M$3:$AF$3</c:f>
              <c:numCache>
                <c:formatCode>0</c:formatCode>
                <c:ptCount val="20"/>
                <c:pt idx="0" formatCode="General">
                  <c:v>0</c:v>
                </c:pt>
                <c:pt idx="1">
                  <c:v>2665</c:v>
                </c:pt>
                <c:pt idx="2">
                  <c:v>8129569</c:v>
                </c:pt>
                <c:pt idx="3">
                  <c:v>1392707</c:v>
                </c:pt>
                <c:pt idx="4">
                  <c:v>310048</c:v>
                </c:pt>
                <c:pt idx="5">
                  <c:v>105308</c:v>
                </c:pt>
                <c:pt idx="6">
                  <c:v>29206</c:v>
                </c:pt>
                <c:pt idx="7">
                  <c:v>11288</c:v>
                </c:pt>
                <c:pt idx="8">
                  <c:v>3630</c:v>
                </c:pt>
                <c:pt idx="9">
                  <c:v>1594</c:v>
                </c:pt>
                <c:pt idx="10">
                  <c:v>779</c:v>
                </c:pt>
                <c:pt idx="11">
                  <c:v>545</c:v>
                </c:pt>
                <c:pt idx="12">
                  <c:v>622</c:v>
                </c:pt>
                <c:pt idx="13">
                  <c:v>569</c:v>
                </c:pt>
                <c:pt idx="14">
                  <c:v>523</c:v>
                </c:pt>
                <c:pt idx="15">
                  <c:v>390</c:v>
                </c:pt>
                <c:pt idx="16">
                  <c:v>267</c:v>
                </c:pt>
                <c:pt idx="17">
                  <c:v>206</c:v>
                </c:pt>
                <c:pt idx="18">
                  <c:v>154</c:v>
                </c:pt>
                <c:pt idx="19">
                  <c:v>152</c:v>
                </c:pt>
              </c:numCache>
            </c:numRef>
          </c:yVal>
          <c:smooth val="1"/>
          <c:extLst>
            <c:ext xmlns:c16="http://schemas.microsoft.com/office/drawing/2014/chart" uri="{C3380CC4-5D6E-409C-BE32-E72D297353CC}">
              <c16:uniqueId val="{00000001-F6CD-5842-A65F-408CB241A90D}"/>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'XFS-read'!$M$4:$AF$4</c:f>
              <c:numCache>
                <c:formatCode>0</c:formatCode>
                <c:ptCount val="20"/>
                <c:pt idx="0" formatCode="General">
                  <c:v>0</c:v>
                </c:pt>
                <c:pt idx="1">
                  <c:v>0</c:v>
                </c:pt>
                <c:pt idx="2">
                  <c:v>24358</c:v>
                </c:pt>
                <c:pt idx="3">
                  <c:v>11533</c:v>
                </c:pt>
                <c:pt idx="4">
                  <c:v>1510</c:v>
                </c:pt>
                <c:pt idx="5">
                  <c:v>611</c:v>
                </c:pt>
                <c:pt idx="6">
                  <c:v>204</c:v>
                </c:pt>
                <c:pt idx="7">
                  <c:v>118</c:v>
                </c:pt>
                <c:pt idx="8">
                  <c:v>48</c:v>
                </c:pt>
                <c:pt idx="9">
                  <c:v>17</c:v>
                </c:pt>
                <c:pt idx="10">
                  <c:v>108</c:v>
                </c:pt>
                <c:pt idx="11">
                  <c:v>15526</c:v>
                </c:pt>
                <c:pt idx="12">
                  <c:v>100852</c:v>
                </c:pt>
                <c:pt idx="13">
                  <c:v>827972</c:v>
                </c:pt>
                <c:pt idx="14">
                  <c:v>3164865</c:v>
                </c:pt>
                <c:pt idx="15">
                  <c:v>7180724</c:v>
                </c:pt>
                <c:pt idx="16">
                  <c:v>21423655</c:v>
                </c:pt>
                <c:pt idx="17">
                  <c:v>12456216</c:v>
                </c:pt>
                <c:pt idx="18">
                  <c:v>4507655</c:v>
                </c:pt>
                <c:pt idx="19">
                  <c:v>3580162</c:v>
                </c:pt>
              </c:numCache>
            </c:numRef>
          </c:yVal>
          <c:smooth val="1"/>
          <c:extLst>
            <c:ext xmlns:c16="http://schemas.microsoft.com/office/drawing/2014/chart" uri="{C3380CC4-5D6E-409C-BE32-E72D297353CC}">
              <c16:uniqueId val="{00000002-F6CD-5842-A65F-408CB241A90D}"/>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'XFS-read'!$M$5:$AF$5</c:f>
              <c:numCache>
                <c:formatCode>0</c:formatCode>
                <c:ptCount val="20"/>
                <c:pt idx="0" formatCode="General">
                  <c:v>0</c:v>
                </c:pt>
                <c:pt idx="1">
                  <c:v>485</c:v>
                </c:pt>
                <c:pt idx="2">
                  <c:v>155271</c:v>
                </c:pt>
                <c:pt idx="3">
                  <c:v>317728</c:v>
                </c:pt>
                <c:pt idx="4">
                  <c:v>281333</c:v>
                </c:pt>
                <c:pt idx="5">
                  <c:v>41228</c:v>
                </c:pt>
                <c:pt idx="6">
                  <c:v>17565</c:v>
                </c:pt>
                <c:pt idx="7">
                  <c:v>10000</c:v>
                </c:pt>
                <c:pt idx="8">
                  <c:v>7601</c:v>
                </c:pt>
                <c:pt idx="9">
                  <c:v>3199</c:v>
                </c:pt>
                <c:pt idx="10">
                  <c:v>4105</c:v>
                </c:pt>
                <c:pt idx="11">
                  <c:v>71154</c:v>
                </c:pt>
                <c:pt idx="12">
                  <c:v>692628</c:v>
                </c:pt>
                <c:pt idx="13">
                  <c:v>2879241</c:v>
                </c:pt>
                <c:pt idx="14">
                  <c:v>8654376</c:v>
                </c:pt>
                <c:pt idx="15">
                  <c:v>16724402</c:v>
                </c:pt>
                <c:pt idx="16">
                  <c:v>8115594</c:v>
                </c:pt>
                <c:pt idx="17">
                  <c:v>4412250</c:v>
                </c:pt>
                <c:pt idx="18">
                  <c:v>4722447</c:v>
                </c:pt>
                <c:pt idx="19">
                  <c:v>9455322</c:v>
                </c:pt>
              </c:numCache>
            </c:numRef>
          </c:yVal>
          <c:smooth val="1"/>
          <c:extLst>
            <c:ext xmlns:c16="http://schemas.microsoft.com/office/drawing/2014/chart" uri="{C3380CC4-5D6E-409C-BE32-E72D297353CC}">
              <c16:uniqueId val="{00000003-F6CD-5842-A65F-408CB241A90D}"/>
            </c:ext>
          </c:extLst>
        </c:ser>
        <c:dLbls>
          <c:showLegendKey val="0"/>
          <c:showVal val="0"/>
          <c:showCatName val="0"/>
          <c:showSerName val="0"/>
          <c:showPercent val="0"/>
          <c:showBubbleSize val="0"/>
        </c:dLbls>
        <c:axId val="1699594688"/>
        <c:axId val="1716616736"/>
      </c:scatterChart>
      <c:valAx>
        <c:axId val="1699594688"/>
        <c:scaling>
          <c:orientation val="minMax"/>
          <c:max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616736"/>
        <c:crosses val="autoZero"/>
        <c:crossBetween val="midCat"/>
      </c:valAx>
      <c:valAx>
        <c:axId val="171661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5946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584877257989809E-2"/>
          <c:y val="0.11700315457413249"/>
          <c:w val="0.93927527211672068"/>
          <c:h val="0.82791226806428386"/>
        </c:manualLayout>
      </c:layout>
      <c:scatterChart>
        <c:scatterStyle val="smoothMarker"/>
        <c:varyColors val="0"/>
        <c:ser>
          <c:idx val="0"/>
          <c:order val="0"/>
          <c:spPr>
            <a:ln w="19050" cap="rnd">
              <a:solidFill>
                <a:schemeClr val="accent1"/>
              </a:solidFill>
              <a:round/>
            </a:ln>
            <a:effectLst/>
          </c:spPr>
          <c:marker>
            <c:symbol val="none"/>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'XFS-read'!$M$6:$AF$6</c:f>
              <c:numCache>
                <c:formatCode>General</c:formatCode>
                <c:ptCount val="20"/>
                <c:pt idx="0">
                  <c:v>0</c:v>
                </c:pt>
                <c:pt idx="1">
                  <c:v>0</c:v>
                </c:pt>
                <c:pt idx="2">
                  <c:v>49154</c:v>
                </c:pt>
                <c:pt idx="3">
                  <c:v>6988398</c:v>
                </c:pt>
                <c:pt idx="4">
                  <c:v>684573</c:v>
                </c:pt>
                <c:pt idx="5">
                  <c:v>181539</c:v>
                </c:pt>
                <c:pt idx="6">
                  <c:v>148601</c:v>
                </c:pt>
                <c:pt idx="7">
                  <c:v>53408</c:v>
                </c:pt>
                <c:pt idx="8">
                  <c:v>17030</c:v>
                </c:pt>
                <c:pt idx="9">
                  <c:v>6613</c:v>
                </c:pt>
                <c:pt idx="10">
                  <c:v>2441</c:v>
                </c:pt>
                <c:pt idx="11">
                  <c:v>7204</c:v>
                </c:pt>
                <c:pt idx="12">
                  <c:v>42726</c:v>
                </c:pt>
                <c:pt idx="13">
                  <c:v>113272</c:v>
                </c:pt>
                <c:pt idx="14">
                  <c:v>424683</c:v>
                </c:pt>
                <c:pt idx="15">
                  <c:v>342202</c:v>
                </c:pt>
                <c:pt idx="16">
                  <c:v>127224</c:v>
                </c:pt>
                <c:pt idx="17">
                  <c:v>75382</c:v>
                </c:pt>
                <c:pt idx="18">
                  <c:v>58254</c:v>
                </c:pt>
                <c:pt idx="19">
                  <c:v>58299</c:v>
                </c:pt>
              </c:numCache>
            </c:numRef>
          </c:yVal>
          <c:smooth val="1"/>
          <c:extLst>
            <c:ext xmlns:c16="http://schemas.microsoft.com/office/drawing/2014/chart" uri="{C3380CC4-5D6E-409C-BE32-E72D297353CC}">
              <c16:uniqueId val="{00000000-7557-B64A-95CE-A6EFC0C5F089}"/>
            </c:ext>
          </c:extLst>
        </c:ser>
        <c:ser>
          <c:idx val="1"/>
          <c:order val="1"/>
          <c:spPr>
            <a:ln w="19050" cap="rnd">
              <a:solidFill>
                <a:schemeClr val="accent2"/>
              </a:solidFill>
              <a:round/>
            </a:ln>
            <a:effectLst/>
          </c:spPr>
          <c:marker>
            <c:symbol val="none"/>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'XFS-read'!$M$7:$AF$7</c:f>
              <c:numCache>
                <c:formatCode>General</c:formatCode>
                <c:ptCount val="20"/>
                <c:pt idx="0">
                  <c:v>0</c:v>
                </c:pt>
                <c:pt idx="1">
                  <c:v>2665</c:v>
                </c:pt>
                <c:pt idx="2">
                  <c:v>8129569</c:v>
                </c:pt>
                <c:pt idx="3">
                  <c:v>1392707</c:v>
                </c:pt>
                <c:pt idx="4">
                  <c:v>310048</c:v>
                </c:pt>
                <c:pt idx="5">
                  <c:v>105308</c:v>
                </c:pt>
                <c:pt idx="6">
                  <c:v>29206</c:v>
                </c:pt>
                <c:pt idx="7">
                  <c:v>11288</c:v>
                </c:pt>
                <c:pt idx="8">
                  <c:v>3630</c:v>
                </c:pt>
                <c:pt idx="9">
                  <c:v>1594</c:v>
                </c:pt>
                <c:pt idx="10">
                  <c:v>779</c:v>
                </c:pt>
                <c:pt idx="11">
                  <c:v>545</c:v>
                </c:pt>
                <c:pt idx="12">
                  <c:v>622</c:v>
                </c:pt>
                <c:pt idx="13">
                  <c:v>569</c:v>
                </c:pt>
                <c:pt idx="14">
                  <c:v>523</c:v>
                </c:pt>
                <c:pt idx="15">
                  <c:v>390</c:v>
                </c:pt>
                <c:pt idx="16">
                  <c:v>267</c:v>
                </c:pt>
                <c:pt idx="17">
                  <c:v>206</c:v>
                </c:pt>
                <c:pt idx="18">
                  <c:v>154</c:v>
                </c:pt>
                <c:pt idx="19">
                  <c:v>152</c:v>
                </c:pt>
              </c:numCache>
            </c:numRef>
          </c:yVal>
          <c:smooth val="1"/>
          <c:extLst>
            <c:ext xmlns:c16="http://schemas.microsoft.com/office/drawing/2014/chart" uri="{C3380CC4-5D6E-409C-BE32-E72D297353CC}">
              <c16:uniqueId val="{00000001-7557-B64A-95CE-A6EFC0C5F089}"/>
            </c:ext>
          </c:extLst>
        </c:ser>
        <c:ser>
          <c:idx val="2"/>
          <c:order val="2"/>
          <c:spPr>
            <a:ln w="19050" cap="rnd">
              <a:solidFill>
                <a:schemeClr val="accent3"/>
              </a:solidFill>
              <a:round/>
            </a:ln>
            <a:effectLst/>
          </c:spPr>
          <c:marker>
            <c:symbol val="none"/>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'XFS-read'!$M$8:$AF$8</c:f>
              <c:numCache>
                <c:formatCode>General</c:formatCode>
                <c:ptCount val="20"/>
                <c:pt idx="0">
                  <c:v>0</c:v>
                </c:pt>
                <c:pt idx="1">
                  <c:v>0</c:v>
                </c:pt>
                <c:pt idx="2">
                  <c:v>24358</c:v>
                </c:pt>
                <c:pt idx="3">
                  <c:v>11533</c:v>
                </c:pt>
                <c:pt idx="4">
                  <c:v>1510</c:v>
                </c:pt>
                <c:pt idx="5">
                  <c:v>611</c:v>
                </c:pt>
                <c:pt idx="6">
                  <c:v>204</c:v>
                </c:pt>
                <c:pt idx="7">
                  <c:v>118</c:v>
                </c:pt>
                <c:pt idx="8">
                  <c:v>48</c:v>
                </c:pt>
                <c:pt idx="9">
                  <c:v>17</c:v>
                </c:pt>
                <c:pt idx="10">
                  <c:v>108</c:v>
                </c:pt>
                <c:pt idx="11">
                  <c:v>15526</c:v>
                </c:pt>
                <c:pt idx="12">
                  <c:v>100852</c:v>
                </c:pt>
                <c:pt idx="13">
                  <c:v>827972</c:v>
                </c:pt>
                <c:pt idx="14">
                  <c:v>3164865</c:v>
                </c:pt>
                <c:pt idx="15">
                  <c:v>7180724</c:v>
                </c:pt>
                <c:pt idx="16">
                  <c:v>21423655</c:v>
                </c:pt>
                <c:pt idx="17">
                  <c:v>12456216</c:v>
                </c:pt>
                <c:pt idx="18">
                  <c:v>4507655</c:v>
                </c:pt>
                <c:pt idx="19">
                  <c:v>3580162</c:v>
                </c:pt>
              </c:numCache>
            </c:numRef>
          </c:yVal>
          <c:smooth val="1"/>
          <c:extLst>
            <c:ext xmlns:c16="http://schemas.microsoft.com/office/drawing/2014/chart" uri="{C3380CC4-5D6E-409C-BE32-E72D297353CC}">
              <c16:uniqueId val="{00000002-7557-B64A-95CE-A6EFC0C5F089}"/>
            </c:ext>
          </c:extLst>
        </c:ser>
        <c:ser>
          <c:idx val="3"/>
          <c:order val="3"/>
          <c:spPr>
            <a:ln w="19050" cap="rnd">
              <a:solidFill>
                <a:schemeClr val="accent4"/>
              </a:solidFill>
              <a:round/>
            </a:ln>
            <a:effectLst/>
          </c:spPr>
          <c:marker>
            <c:symbol val="none"/>
          </c:marker>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'XFS-read'!$M$9:$AF$9</c:f>
              <c:numCache>
                <c:formatCode>General</c:formatCode>
                <c:ptCount val="20"/>
                <c:pt idx="0">
                  <c:v>0</c:v>
                </c:pt>
                <c:pt idx="1">
                  <c:v>485</c:v>
                </c:pt>
                <c:pt idx="2">
                  <c:v>155271</c:v>
                </c:pt>
                <c:pt idx="3">
                  <c:v>317728</c:v>
                </c:pt>
                <c:pt idx="4">
                  <c:v>281333</c:v>
                </c:pt>
                <c:pt idx="5">
                  <c:v>41228</c:v>
                </c:pt>
                <c:pt idx="6">
                  <c:v>17565</c:v>
                </c:pt>
                <c:pt idx="7">
                  <c:v>10000</c:v>
                </c:pt>
                <c:pt idx="8">
                  <c:v>7601</c:v>
                </c:pt>
                <c:pt idx="9">
                  <c:v>3199</c:v>
                </c:pt>
                <c:pt idx="10">
                  <c:v>4105</c:v>
                </c:pt>
                <c:pt idx="11">
                  <c:v>71154</c:v>
                </c:pt>
                <c:pt idx="12">
                  <c:v>692628</c:v>
                </c:pt>
                <c:pt idx="13">
                  <c:v>2879241</c:v>
                </c:pt>
                <c:pt idx="14">
                  <c:v>8654376</c:v>
                </c:pt>
                <c:pt idx="15">
                  <c:v>16724402</c:v>
                </c:pt>
                <c:pt idx="16">
                  <c:v>8115594</c:v>
                </c:pt>
                <c:pt idx="17">
                  <c:v>4412250</c:v>
                </c:pt>
                <c:pt idx="18">
                  <c:v>4722447</c:v>
                </c:pt>
                <c:pt idx="19">
                  <c:v>9455322</c:v>
                </c:pt>
              </c:numCache>
            </c:numRef>
          </c:yVal>
          <c:smooth val="1"/>
          <c:extLst>
            <c:ext xmlns:c16="http://schemas.microsoft.com/office/drawing/2014/chart" uri="{C3380CC4-5D6E-409C-BE32-E72D297353CC}">
              <c16:uniqueId val="{00000003-7557-B64A-95CE-A6EFC0C5F089}"/>
            </c:ext>
          </c:extLst>
        </c:ser>
        <c:ser>
          <c:idx val="4"/>
          <c:order val="4"/>
          <c:spPr>
            <a:ln w="19050" cap="rnd">
              <a:solidFill>
                <a:schemeClr val="accent5"/>
              </a:solidFill>
              <a:round/>
            </a:ln>
            <a:effectLst/>
          </c:spPr>
          <c:marker>
            <c:symbol val="none"/>
          </c:marker>
          <c:dLbls>
            <c:dLbl>
              <c:idx val="1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57-B64A-95CE-A6EFC0C5F0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'XFS-read'!$M$1:$AF$1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'XFS-read'!$M$10:$AF$10</c:f>
              <c:numCache>
                <c:formatCode>General</c:formatCode>
                <c:ptCount val="20"/>
                <c:pt idx="0">
                  <c:v>0</c:v>
                </c:pt>
                <c:pt idx="1">
                  <c:v>0</c:v>
                </c:pt>
                <c:pt idx="2">
                  <c:v>0</c:v>
                </c:pt>
                <c:pt idx="3">
                  <c:v>0</c:v>
                </c:pt>
                <c:pt idx="4">
                  <c:v>0</c:v>
                </c:pt>
                <c:pt idx="5">
                  <c:v>0</c:v>
                </c:pt>
                <c:pt idx="6">
                  <c:v>0</c:v>
                </c:pt>
                <c:pt idx="7">
                  <c:v>0</c:v>
                </c:pt>
                <c:pt idx="8">
                  <c:v>0</c:v>
                </c:pt>
                <c:pt idx="9">
                  <c:v>3691</c:v>
                </c:pt>
                <c:pt idx="10">
                  <c:v>8637695</c:v>
                </c:pt>
                <c:pt idx="11">
                  <c:v>13724280</c:v>
                </c:pt>
                <c:pt idx="12">
                  <c:v>131702581</c:v>
                </c:pt>
                <c:pt idx="13">
                  <c:v>143990621</c:v>
                </c:pt>
                <c:pt idx="14">
                  <c:v>215826045</c:v>
                </c:pt>
                <c:pt idx="15">
                  <c:v>107991690</c:v>
                </c:pt>
                <c:pt idx="16">
                  <c:v>30308493</c:v>
                </c:pt>
                <c:pt idx="17">
                  <c:v>15993939</c:v>
                </c:pt>
                <c:pt idx="18">
                  <c:v>14245431</c:v>
                </c:pt>
                <c:pt idx="19">
                  <c:v>30951816</c:v>
                </c:pt>
              </c:numCache>
            </c:numRef>
          </c:yVal>
          <c:smooth val="1"/>
          <c:extLst>
            <c:ext xmlns:c16="http://schemas.microsoft.com/office/drawing/2014/chart" uri="{C3380CC4-5D6E-409C-BE32-E72D297353CC}">
              <c16:uniqueId val="{00000004-7557-B64A-95CE-A6EFC0C5F089}"/>
            </c:ext>
          </c:extLst>
        </c:ser>
        <c:dLbls>
          <c:showLegendKey val="0"/>
          <c:showVal val="0"/>
          <c:showCatName val="0"/>
          <c:showSerName val="0"/>
          <c:showPercent val="0"/>
          <c:showBubbleSize val="0"/>
        </c:dLbls>
        <c:axId val="1651782768"/>
        <c:axId val="1651963456"/>
      </c:scatterChart>
      <c:valAx>
        <c:axId val="1651782768"/>
        <c:scaling>
          <c:orientation val="minMax"/>
          <c:max val="20"/>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3456"/>
        <c:crosses val="autoZero"/>
        <c:crossBetween val="midCat"/>
      </c:valAx>
      <c:valAx>
        <c:axId val="1651963456"/>
        <c:scaling>
          <c:orientation val="minMax"/>
          <c:max val="220000000.00000003"/>
          <c:min val="-100000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1782768"/>
        <c:crosses val="autoZero"/>
        <c:crossBetween val="midCat"/>
      </c:valAx>
      <c:spPr>
        <a:noFill/>
        <a:ln>
          <a:noFill/>
        </a:ln>
        <a:effectLst/>
      </c:spPr>
    </c:plotArea>
    <c:legend>
      <c:legendPos val="r"/>
      <c:layout>
        <c:manualLayout>
          <c:xMode val="edge"/>
          <c:yMode val="edge"/>
          <c:x val="0.83876997452524316"/>
          <c:y val="0.27581112297871285"/>
          <c:w val="0.11869490261085786"/>
          <c:h val="0.26616905536650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strRef>
              <c:f>'XFS-read'!$M$1:$S$1</c:f>
              <c:strCache>
                <c:ptCount val="7"/>
                <c:pt idx="0">
                  <c:v>rb-0</c:v>
                </c:pt>
                <c:pt idx="1">
                  <c:v>rb-1</c:v>
                </c:pt>
                <c:pt idx="2">
                  <c:v>rb-2</c:v>
                </c:pt>
                <c:pt idx="3">
                  <c:v>rb-3</c:v>
                </c:pt>
                <c:pt idx="4">
                  <c:v>rb-4</c:v>
                </c:pt>
                <c:pt idx="5">
                  <c:v>rb-5</c:v>
                </c:pt>
                <c:pt idx="6">
                  <c:v>rb-6</c:v>
                </c:pt>
              </c:strCache>
            </c:strRef>
          </c:xVal>
          <c:yVal>
            <c:numRef>
              <c:f>'XFS-read'!$M$6:$S$6</c:f>
              <c:numCache>
                <c:formatCode>General</c:formatCode>
                <c:ptCount val="7"/>
                <c:pt idx="0">
                  <c:v>0</c:v>
                </c:pt>
                <c:pt idx="1">
                  <c:v>0</c:v>
                </c:pt>
                <c:pt idx="2">
                  <c:v>49154</c:v>
                </c:pt>
                <c:pt idx="3">
                  <c:v>6988398</c:v>
                </c:pt>
                <c:pt idx="4">
                  <c:v>684573</c:v>
                </c:pt>
                <c:pt idx="5">
                  <c:v>181539</c:v>
                </c:pt>
                <c:pt idx="6">
                  <c:v>148601</c:v>
                </c:pt>
              </c:numCache>
            </c:numRef>
          </c:yVal>
          <c:smooth val="1"/>
          <c:extLst>
            <c:ext xmlns:c16="http://schemas.microsoft.com/office/drawing/2014/chart" uri="{C3380CC4-5D6E-409C-BE32-E72D297353CC}">
              <c16:uniqueId val="{00000000-BDAA-7446-817B-FC688049B73D}"/>
            </c:ext>
          </c:extLst>
        </c:ser>
        <c:ser>
          <c:idx val="1"/>
          <c:order val="1"/>
          <c:spPr>
            <a:ln w="19050" cap="rnd">
              <a:solidFill>
                <a:schemeClr val="accent2"/>
              </a:solidFill>
              <a:round/>
            </a:ln>
            <a:effectLst/>
          </c:spPr>
          <c:marker>
            <c:symbol val="none"/>
          </c:marker>
          <c:xVal>
            <c:strRef>
              <c:f>'XFS-read'!$M$1:$S$1</c:f>
              <c:strCache>
                <c:ptCount val="7"/>
                <c:pt idx="0">
                  <c:v>rb-0</c:v>
                </c:pt>
                <c:pt idx="1">
                  <c:v>rb-1</c:v>
                </c:pt>
                <c:pt idx="2">
                  <c:v>rb-2</c:v>
                </c:pt>
                <c:pt idx="3">
                  <c:v>rb-3</c:v>
                </c:pt>
                <c:pt idx="4">
                  <c:v>rb-4</c:v>
                </c:pt>
                <c:pt idx="5">
                  <c:v>rb-5</c:v>
                </c:pt>
                <c:pt idx="6">
                  <c:v>rb-6</c:v>
                </c:pt>
              </c:strCache>
            </c:strRef>
          </c:xVal>
          <c:yVal>
            <c:numRef>
              <c:f>'XFS-read'!$M$7:$S$7</c:f>
              <c:numCache>
                <c:formatCode>General</c:formatCode>
                <c:ptCount val="7"/>
                <c:pt idx="0">
                  <c:v>0</c:v>
                </c:pt>
                <c:pt idx="1">
                  <c:v>2665</c:v>
                </c:pt>
                <c:pt idx="2">
                  <c:v>8129569</c:v>
                </c:pt>
                <c:pt idx="3">
                  <c:v>1392707</c:v>
                </c:pt>
                <c:pt idx="4">
                  <c:v>310048</c:v>
                </c:pt>
                <c:pt idx="5">
                  <c:v>105308</c:v>
                </c:pt>
                <c:pt idx="6">
                  <c:v>29206</c:v>
                </c:pt>
              </c:numCache>
            </c:numRef>
          </c:yVal>
          <c:smooth val="1"/>
          <c:extLst>
            <c:ext xmlns:c16="http://schemas.microsoft.com/office/drawing/2014/chart" uri="{C3380CC4-5D6E-409C-BE32-E72D297353CC}">
              <c16:uniqueId val="{00000001-BDAA-7446-817B-FC688049B73D}"/>
            </c:ext>
          </c:extLst>
        </c:ser>
        <c:ser>
          <c:idx val="2"/>
          <c:order val="2"/>
          <c:spPr>
            <a:ln w="19050" cap="rnd">
              <a:solidFill>
                <a:schemeClr val="accent3"/>
              </a:solidFill>
              <a:round/>
            </a:ln>
            <a:effectLst/>
          </c:spPr>
          <c:marker>
            <c:symbol val="none"/>
          </c:marker>
          <c:xVal>
            <c:strRef>
              <c:f>'XFS-read'!$M$1:$S$1</c:f>
              <c:strCache>
                <c:ptCount val="7"/>
                <c:pt idx="0">
                  <c:v>rb-0</c:v>
                </c:pt>
                <c:pt idx="1">
                  <c:v>rb-1</c:v>
                </c:pt>
                <c:pt idx="2">
                  <c:v>rb-2</c:v>
                </c:pt>
                <c:pt idx="3">
                  <c:v>rb-3</c:v>
                </c:pt>
                <c:pt idx="4">
                  <c:v>rb-4</c:v>
                </c:pt>
                <c:pt idx="5">
                  <c:v>rb-5</c:v>
                </c:pt>
                <c:pt idx="6">
                  <c:v>rb-6</c:v>
                </c:pt>
              </c:strCache>
            </c:strRef>
          </c:xVal>
          <c:yVal>
            <c:numRef>
              <c:f>'XFS-read'!$M$8:$S$8</c:f>
              <c:numCache>
                <c:formatCode>General</c:formatCode>
                <c:ptCount val="7"/>
                <c:pt idx="0">
                  <c:v>0</c:v>
                </c:pt>
                <c:pt idx="1">
                  <c:v>0</c:v>
                </c:pt>
                <c:pt idx="2">
                  <c:v>24358</c:v>
                </c:pt>
                <c:pt idx="3">
                  <c:v>11533</c:v>
                </c:pt>
                <c:pt idx="4">
                  <c:v>1510</c:v>
                </c:pt>
                <c:pt idx="5">
                  <c:v>611</c:v>
                </c:pt>
                <c:pt idx="6">
                  <c:v>204</c:v>
                </c:pt>
              </c:numCache>
            </c:numRef>
          </c:yVal>
          <c:smooth val="1"/>
          <c:extLst>
            <c:ext xmlns:c16="http://schemas.microsoft.com/office/drawing/2014/chart" uri="{C3380CC4-5D6E-409C-BE32-E72D297353CC}">
              <c16:uniqueId val="{00000002-BDAA-7446-817B-FC688049B73D}"/>
            </c:ext>
          </c:extLst>
        </c:ser>
        <c:ser>
          <c:idx val="3"/>
          <c:order val="3"/>
          <c:spPr>
            <a:ln w="19050" cap="rnd">
              <a:solidFill>
                <a:schemeClr val="accent4"/>
              </a:solidFill>
              <a:round/>
            </a:ln>
            <a:effectLst/>
          </c:spPr>
          <c:marker>
            <c:symbol val="none"/>
          </c:marker>
          <c:xVal>
            <c:strRef>
              <c:f>'XFS-read'!$M$1:$S$1</c:f>
              <c:strCache>
                <c:ptCount val="7"/>
                <c:pt idx="0">
                  <c:v>rb-0</c:v>
                </c:pt>
                <c:pt idx="1">
                  <c:v>rb-1</c:v>
                </c:pt>
                <c:pt idx="2">
                  <c:v>rb-2</c:v>
                </c:pt>
                <c:pt idx="3">
                  <c:v>rb-3</c:v>
                </c:pt>
                <c:pt idx="4">
                  <c:v>rb-4</c:v>
                </c:pt>
                <c:pt idx="5">
                  <c:v>rb-5</c:v>
                </c:pt>
                <c:pt idx="6">
                  <c:v>rb-6</c:v>
                </c:pt>
              </c:strCache>
            </c:strRef>
          </c:xVal>
          <c:yVal>
            <c:numRef>
              <c:f>'XFS-read'!$M$9:$S$9</c:f>
              <c:numCache>
                <c:formatCode>General</c:formatCode>
                <c:ptCount val="7"/>
                <c:pt idx="0">
                  <c:v>0</c:v>
                </c:pt>
                <c:pt idx="1">
                  <c:v>485</c:v>
                </c:pt>
                <c:pt idx="2">
                  <c:v>155271</c:v>
                </c:pt>
                <c:pt idx="3">
                  <c:v>317728</c:v>
                </c:pt>
                <c:pt idx="4">
                  <c:v>281333</c:v>
                </c:pt>
                <c:pt idx="5">
                  <c:v>41228</c:v>
                </c:pt>
                <c:pt idx="6">
                  <c:v>17565</c:v>
                </c:pt>
              </c:numCache>
            </c:numRef>
          </c:yVal>
          <c:smooth val="1"/>
          <c:extLst>
            <c:ext xmlns:c16="http://schemas.microsoft.com/office/drawing/2014/chart" uri="{C3380CC4-5D6E-409C-BE32-E72D297353CC}">
              <c16:uniqueId val="{00000003-BDAA-7446-817B-FC688049B73D}"/>
            </c:ext>
          </c:extLst>
        </c:ser>
        <c:ser>
          <c:idx val="4"/>
          <c:order val="4"/>
          <c:spPr>
            <a:ln w="19050" cap="rnd">
              <a:solidFill>
                <a:schemeClr val="accent5"/>
              </a:solidFill>
              <a:round/>
            </a:ln>
            <a:effectLst/>
          </c:spPr>
          <c:marker>
            <c:symbol val="none"/>
          </c:marker>
          <c:xVal>
            <c:strRef>
              <c:f>'XFS-read'!$M$1:$S$1</c:f>
              <c:strCache>
                <c:ptCount val="7"/>
                <c:pt idx="0">
                  <c:v>rb-0</c:v>
                </c:pt>
                <c:pt idx="1">
                  <c:v>rb-1</c:v>
                </c:pt>
                <c:pt idx="2">
                  <c:v>rb-2</c:v>
                </c:pt>
                <c:pt idx="3">
                  <c:v>rb-3</c:v>
                </c:pt>
                <c:pt idx="4">
                  <c:v>rb-4</c:v>
                </c:pt>
                <c:pt idx="5">
                  <c:v>rb-5</c:v>
                </c:pt>
                <c:pt idx="6">
                  <c:v>rb-6</c:v>
                </c:pt>
              </c:strCache>
            </c:strRef>
          </c:xVal>
          <c:yVal>
            <c:numRef>
              <c:f>'XFS-read'!$M$10:$S$10</c:f>
              <c:numCache>
                <c:formatCode>General</c:formatCode>
                <c:ptCount val="7"/>
                <c:pt idx="0">
                  <c:v>0</c:v>
                </c:pt>
                <c:pt idx="1">
                  <c:v>0</c:v>
                </c:pt>
                <c:pt idx="2">
                  <c:v>0</c:v>
                </c:pt>
                <c:pt idx="3">
                  <c:v>0</c:v>
                </c:pt>
                <c:pt idx="4">
                  <c:v>0</c:v>
                </c:pt>
                <c:pt idx="5">
                  <c:v>0</c:v>
                </c:pt>
                <c:pt idx="6">
                  <c:v>0</c:v>
                </c:pt>
              </c:numCache>
            </c:numRef>
          </c:yVal>
          <c:smooth val="1"/>
          <c:extLst>
            <c:ext xmlns:c16="http://schemas.microsoft.com/office/drawing/2014/chart" uri="{C3380CC4-5D6E-409C-BE32-E72D297353CC}">
              <c16:uniqueId val="{00000004-BDAA-7446-817B-FC688049B73D}"/>
            </c:ext>
          </c:extLst>
        </c:ser>
        <c:dLbls>
          <c:showLegendKey val="0"/>
          <c:showVal val="0"/>
          <c:showCatName val="0"/>
          <c:showSerName val="0"/>
          <c:showPercent val="0"/>
          <c:showBubbleSize val="0"/>
        </c:dLbls>
        <c:axId val="1933452208"/>
        <c:axId val="1933193536"/>
      </c:scatterChart>
      <c:valAx>
        <c:axId val="1933452208"/>
        <c:scaling>
          <c:orientation val="minMax"/>
          <c:max val="7"/>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93536"/>
        <c:crosses val="autoZero"/>
        <c:crossBetween val="midCat"/>
      </c:valAx>
      <c:valAx>
        <c:axId val="1933193536"/>
        <c:scaling>
          <c:orientation val="minMax"/>
          <c:max val="9000000"/>
          <c:min val="-10000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33452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File Size Distribution</a:t>
            </a:r>
          </a:p>
        </c:rich>
      </c:tx>
      <c:layout>
        <c:manualLayout>
          <c:xMode val="edge"/>
          <c:yMode val="edge"/>
          <c:x val="0.37366956521739131"/>
          <c:y val="8.684863523573201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Sheet3!$C$9</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Sheet3!$B$10:$B$19</c:f>
              <c:strCache>
                <c:ptCount val="10"/>
                <c:pt idx="0">
                  <c:v>0-1K</c:v>
                </c:pt>
                <c:pt idx="1">
                  <c:v>1K-2K</c:v>
                </c:pt>
                <c:pt idx="2">
                  <c:v>2K-3K</c:v>
                </c:pt>
                <c:pt idx="3">
                  <c:v>3K-4K</c:v>
                </c:pt>
                <c:pt idx="4">
                  <c:v>4K-5K</c:v>
                </c:pt>
                <c:pt idx="5">
                  <c:v>5K-6K</c:v>
                </c:pt>
                <c:pt idx="6">
                  <c:v>6K-7K</c:v>
                </c:pt>
                <c:pt idx="7">
                  <c:v>7K-8K</c:v>
                </c:pt>
                <c:pt idx="8">
                  <c:v>8K-9K</c:v>
                </c:pt>
                <c:pt idx="9">
                  <c:v>9K-10K</c:v>
                </c:pt>
              </c:strCache>
            </c:strRef>
          </c:cat>
          <c:val>
            <c:numRef>
              <c:f>Sheet3!$C$10:$C$19</c:f>
              <c:numCache>
                <c:formatCode>General</c:formatCode>
                <c:ptCount val="10"/>
                <c:pt idx="0">
                  <c:v>334</c:v>
                </c:pt>
                <c:pt idx="1">
                  <c:v>22705</c:v>
                </c:pt>
                <c:pt idx="2">
                  <c:v>598393</c:v>
                </c:pt>
                <c:pt idx="3">
                  <c:v>6057638</c:v>
                </c:pt>
                <c:pt idx="4">
                  <c:v>24171206</c:v>
                </c:pt>
                <c:pt idx="5">
                  <c:v>38297816</c:v>
                </c:pt>
                <c:pt idx="6">
                  <c:v>24173312</c:v>
                </c:pt>
                <c:pt idx="7">
                  <c:v>6057805</c:v>
                </c:pt>
                <c:pt idx="8">
                  <c:v>597347</c:v>
                </c:pt>
                <c:pt idx="9">
                  <c:v>23139</c:v>
                </c:pt>
              </c:numCache>
            </c:numRef>
          </c:val>
          <c:extLst>
            <c:ext xmlns:c16="http://schemas.microsoft.com/office/drawing/2014/chart" uri="{C3380CC4-5D6E-409C-BE32-E72D297353CC}">
              <c16:uniqueId val="{00000000-9CB7-C143-9333-BC107A1D2CDE}"/>
            </c:ext>
          </c:extLst>
        </c:ser>
        <c:dLbls>
          <c:showLegendKey val="0"/>
          <c:showVal val="1"/>
          <c:showCatName val="0"/>
          <c:showSerName val="0"/>
          <c:showPercent val="0"/>
          <c:showBubbleSize val="0"/>
        </c:dLbls>
        <c:gapWidth val="150"/>
        <c:overlap val="-25"/>
        <c:axId val="2046252384"/>
        <c:axId val="2125933904"/>
      </c:barChart>
      <c:catAx>
        <c:axId val="204625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33904"/>
        <c:crosses val="autoZero"/>
        <c:auto val="1"/>
        <c:lblAlgn val="ctr"/>
        <c:lblOffset val="100"/>
        <c:noMultiLvlLbl val="0"/>
      </c:catAx>
      <c:valAx>
        <c:axId val="2125933904"/>
        <c:scaling>
          <c:orientation val="minMax"/>
        </c:scaling>
        <c:delete val="1"/>
        <c:axPos val="l"/>
        <c:numFmt formatCode="General" sourceLinked="1"/>
        <c:majorTickMark val="none"/>
        <c:minorTickMark val="none"/>
        <c:tickLblPos val="nextTo"/>
        <c:crossAx val="204625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strRef>
              <c:f>'XFS-read'!$V$1:$AF$1</c:f>
              <c:strCache>
                <c:ptCount val="11"/>
                <c:pt idx="0">
                  <c:v>rb-9</c:v>
                </c:pt>
                <c:pt idx="1">
                  <c:v>rb-10</c:v>
                </c:pt>
                <c:pt idx="2">
                  <c:v>rb-11</c:v>
                </c:pt>
                <c:pt idx="3">
                  <c:v>rb-12</c:v>
                </c:pt>
                <c:pt idx="4">
                  <c:v>rb-13</c:v>
                </c:pt>
                <c:pt idx="5">
                  <c:v>rb-14</c:v>
                </c:pt>
                <c:pt idx="6">
                  <c:v>rb-15</c:v>
                </c:pt>
                <c:pt idx="7">
                  <c:v>rb-16</c:v>
                </c:pt>
                <c:pt idx="8">
                  <c:v>rb-17</c:v>
                </c:pt>
                <c:pt idx="9">
                  <c:v>rb-18</c:v>
                </c:pt>
                <c:pt idx="10">
                  <c:v>rb-19</c:v>
                </c:pt>
              </c:strCache>
            </c:strRef>
          </c:xVal>
          <c:yVal>
            <c:numRef>
              <c:f>'XFS-read'!$V$6:$AF$6</c:f>
              <c:numCache>
                <c:formatCode>General</c:formatCode>
                <c:ptCount val="11"/>
                <c:pt idx="0">
                  <c:v>6613</c:v>
                </c:pt>
                <c:pt idx="1">
                  <c:v>2441</c:v>
                </c:pt>
                <c:pt idx="2">
                  <c:v>7204</c:v>
                </c:pt>
                <c:pt idx="3">
                  <c:v>42726</c:v>
                </c:pt>
                <c:pt idx="4">
                  <c:v>113272</c:v>
                </c:pt>
                <c:pt idx="5">
                  <c:v>424683</c:v>
                </c:pt>
                <c:pt idx="6">
                  <c:v>342202</c:v>
                </c:pt>
                <c:pt idx="7">
                  <c:v>127224</c:v>
                </c:pt>
                <c:pt idx="8">
                  <c:v>75382</c:v>
                </c:pt>
                <c:pt idx="9">
                  <c:v>58254</c:v>
                </c:pt>
                <c:pt idx="10">
                  <c:v>58299</c:v>
                </c:pt>
              </c:numCache>
            </c:numRef>
          </c:yVal>
          <c:smooth val="1"/>
          <c:extLst>
            <c:ext xmlns:c16="http://schemas.microsoft.com/office/drawing/2014/chart" uri="{C3380CC4-5D6E-409C-BE32-E72D297353CC}">
              <c16:uniqueId val="{00000000-0C09-B742-A03C-5B40C34A0728}"/>
            </c:ext>
          </c:extLst>
        </c:ser>
        <c:ser>
          <c:idx val="1"/>
          <c:order val="1"/>
          <c:spPr>
            <a:ln w="19050" cap="rnd">
              <a:solidFill>
                <a:schemeClr val="accent2"/>
              </a:solidFill>
              <a:round/>
            </a:ln>
            <a:effectLst/>
          </c:spPr>
          <c:marker>
            <c:symbol val="none"/>
          </c:marker>
          <c:xVal>
            <c:strRef>
              <c:f>'XFS-read'!$V$1:$AF$1</c:f>
              <c:strCache>
                <c:ptCount val="11"/>
                <c:pt idx="0">
                  <c:v>rb-9</c:v>
                </c:pt>
                <c:pt idx="1">
                  <c:v>rb-10</c:v>
                </c:pt>
                <c:pt idx="2">
                  <c:v>rb-11</c:v>
                </c:pt>
                <c:pt idx="3">
                  <c:v>rb-12</c:v>
                </c:pt>
                <c:pt idx="4">
                  <c:v>rb-13</c:v>
                </c:pt>
                <c:pt idx="5">
                  <c:v>rb-14</c:v>
                </c:pt>
                <c:pt idx="6">
                  <c:v>rb-15</c:v>
                </c:pt>
                <c:pt idx="7">
                  <c:v>rb-16</c:v>
                </c:pt>
                <c:pt idx="8">
                  <c:v>rb-17</c:v>
                </c:pt>
                <c:pt idx="9">
                  <c:v>rb-18</c:v>
                </c:pt>
                <c:pt idx="10">
                  <c:v>rb-19</c:v>
                </c:pt>
              </c:strCache>
            </c:strRef>
          </c:xVal>
          <c:yVal>
            <c:numRef>
              <c:f>'XFS-read'!$V$7:$AF$7</c:f>
              <c:numCache>
                <c:formatCode>General</c:formatCode>
                <c:ptCount val="11"/>
                <c:pt idx="0">
                  <c:v>1594</c:v>
                </c:pt>
                <c:pt idx="1">
                  <c:v>779</c:v>
                </c:pt>
                <c:pt idx="2">
                  <c:v>545</c:v>
                </c:pt>
                <c:pt idx="3">
                  <c:v>622</c:v>
                </c:pt>
                <c:pt idx="4">
                  <c:v>569</c:v>
                </c:pt>
                <c:pt idx="5">
                  <c:v>523</c:v>
                </c:pt>
                <c:pt idx="6">
                  <c:v>390</c:v>
                </c:pt>
                <c:pt idx="7">
                  <c:v>267</c:v>
                </c:pt>
                <c:pt idx="8">
                  <c:v>206</c:v>
                </c:pt>
                <c:pt idx="9">
                  <c:v>154</c:v>
                </c:pt>
                <c:pt idx="10">
                  <c:v>152</c:v>
                </c:pt>
              </c:numCache>
            </c:numRef>
          </c:yVal>
          <c:smooth val="1"/>
          <c:extLst>
            <c:ext xmlns:c16="http://schemas.microsoft.com/office/drawing/2014/chart" uri="{C3380CC4-5D6E-409C-BE32-E72D297353CC}">
              <c16:uniqueId val="{00000001-0C09-B742-A03C-5B40C34A0728}"/>
            </c:ext>
          </c:extLst>
        </c:ser>
        <c:ser>
          <c:idx val="2"/>
          <c:order val="2"/>
          <c:spPr>
            <a:ln w="19050" cap="rnd">
              <a:solidFill>
                <a:schemeClr val="accent3"/>
              </a:solidFill>
              <a:round/>
            </a:ln>
            <a:effectLst/>
          </c:spPr>
          <c:marker>
            <c:symbol val="none"/>
          </c:marker>
          <c:xVal>
            <c:strRef>
              <c:f>'XFS-read'!$V$1:$AF$1</c:f>
              <c:strCache>
                <c:ptCount val="11"/>
                <c:pt idx="0">
                  <c:v>rb-9</c:v>
                </c:pt>
                <c:pt idx="1">
                  <c:v>rb-10</c:v>
                </c:pt>
                <c:pt idx="2">
                  <c:v>rb-11</c:v>
                </c:pt>
                <c:pt idx="3">
                  <c:v>rb-12</c:v>
                </c:pt>
                <c:pt idx="4">
                  <c:v>rb-13</c:v>
                </c:pt>
                <c:pt idx="5">
                  <c:v>rb-14</c:v>
                </c:pt>
                <c:pt idx="6">
                  <c:v>rb-15</c:v>
                </c:pt>
                <c:pt idx="7">
                  <c:v>rb-16</c:v>
                </c:pt>
                <c:pt idx="8">
                  <c:v>rb-17</c:v>
                </c:pt>
                <c:pt idx="9">
                  <c:v>rb-18</c:v>
                </c:pt>
                <c:pt idx="10">
                  <c:v>rb-19</c:v>
                </c:pt>
              </c:strCache>
            </c:strRef>
          </c:xVal>
          <c:yVal>
            <c:numRef>
              <c:f>'XFS-read'!$V$8:$AF$8</c:f>
              <c:numCache>
                <c:formatCode>General</c:formatCode>
                <c:ptCount val="11"/>
                <c:pt idx="0">
                  <c:v>17</c:v>
                </c:pt>
                <c:pt idx="1">
                  <c:v>108</c:v>
                </c:pt>
                <c:pt idx="2">
                  <c:v>15526</c:v>
                </c:pt>
                <c:pt idx="3">
                  <c:v>100852</c:v>
                </c:pt>
                <c:pt idx="4">
                  <c:v>827972</c:v>
                </c:pt>
                <c:pt idx="5">
                  <c:v>3164865</c:v>
                </c:pt>
                <c:pt idx="6">
                  <c:v>7180724</c:v>
                </c:pt>
                <c:pt idx="7">
                  <c:v>21423655</c:v>
                </c:pt>
                <c:pt idx="8">
                  <c:v>12456216</c:v>
                </c:pt>
                <c:pt idx="9">
                  <c:v>4507655</c:v>
                </c:pt>
                <c:pt idx="10">
                  <c:v>3580162</c:v>
                </c:pt>
              </c:numCache>
            </c:numRef>
          </c:yVal>
          <c:smooth val="1"/>
          <c:extLst>
            <c:ext xmlns:c16="http://schemas.microsoft.com/office/drawing/2014/chart" uri="{C3380CC4-5D6E-409C-BE32-E72D297353CC}">
              <c16:uniqueId val="{00000002-0C09-B742-A03C-5B40C34A0728}"/>
            </c:ext>
          </c:extLst>
        </c:ser>
        <c:ser>
          <c:idx val="3"/>
          <c:order val="3"/>
          <c:spPr>
            <a:ln w="19050" cap="rnd">
              <a:solidFill>
                <a:schemeClr val="accent4"/>
              </a:solidFill>
              <a:round/>
            </a:ln>
            <a:effectLst/>
          </c:spPr>
          <c:marker>
            <c:symbol val="none"/>
          </c:marker>
          <c:xVal>
            <c:strRef>
              <c:f>'XFS-read'!$V$1:$AF$1</c:f>
              <c:strCache>
                <c:ptCount val="11"/>
                <c:pt idx="0">
                  <c:v>rb-9</c:v>
                </c:pt>
                <c:pt idx="1">
                  <c:v>rb-10</c:v>
                </c:pt>
                <c:pt idx="2">
                  <c:v>rb-11</c:v>
                </c:pt>
                <c:pt idx="3">
                  <c:v>rb-12</c:v>
                </c:pt>
                <c:pt idx="4">
                  <c:v>rb-13</c:v>
                </c:pt>
                <c:pt idx="5">
                  <c:v>rb-14</c:v>
                </c:pt>
                <c:pt idx="6">
                  <c:v>rb-15</c:v>
                </c:pt>
                <c:pt idx="7">
                  <c:v>rb-16</c:v>
                </c:pt>
                <c:pt idx="8">
                  <c:v>rb-17</c:v>
                </c:pt>
                <c:pt idx="9">
                  <c:v>rb-18</c:v>
                </c:pt>
                <c:pt idx="10">
                  <c:v>rb-19</c:v>
                </c:pt>
              </c:strCache>
            </c:strRef>
          </c:xVal>
          <c:yVal>
            <c:numRef>
              <c:f>'XFS-read'!$V$9:$AF$9</c:f>
              <c:numCache>
                <c:formatCode>General</c:formatCode>
                <c:ptCount val="11"/>
                <c:pt idx="0">
                  <c:v>3199</c:v>
                </c:pt>
                <c:pt idx="1">
                  <c:v>4105</c:v>
                </c:pt>
                <c:pt idx="2">
                  <c:v>71154</c:v>
                </c:pt>
                <c:pt idx="3">
                  <c:v>692628</c:v>
                </c:pt>
                <c:pt idx="4">
                  <c:v>2879241</c:v>
                </c:pt>
                <c:pt idx="5">
                  <c:v>8654376</c:v>
                </c:pt>
                <c:pt idx="6">
                  <c:v>16724402</c:v>
                </c:pt>
                <c:pt idx="7">
                  <c:v>8115594</c:v>
                </c:pt>
                <c:pt idx="8">
                  <c:v>4412250</c:v>
                </c:pt>
                <c:pt idx="9">
                  <c:v>4722447</c:v>
                </c:pt>
                <c:pt idx="10">
                  <c:v>9455322</c:v>
                </c:pt>
              </c:numCache>
            </c:numRef>
          </c:yVal>
          <c:smooth val="1"/>
          <c:extLst>
            <c:ext xmlns:c16="http://schemas.microsoft.com/office/drawing/2014/chart" uri="{C3380CC4-5D6E-409C-BE32-E72D297353CC}">
              <c16:uniqueId val="{00000003-0C09-B742-A03C-5B40C34A0728}"/>
            </c:ext>
          </c:extLst>
        </c:ser>
        <c:ser>
          <c:idx val="4"/>
          <c:order val="4"/>
          <c:spPr>
            <a:ln w="19050" cap="rnd">
              <a:solidFill>
                <a:schemeClr val="accent5"/>
              </a:solidFill>
              <a:round/>
            </a:ln>
            <a:effectLst/>
          </c:spPr>
          <c:marker>
            <c:symbol val="none"/>
          </c:marker>
          <c:xVal>
            <c:strRef>
              <c:f>'XFS-read'!$V$1:$AF$1</c:f>
              <c:strCache>
                <c:ptCount val="11"/>
                <c:pt idx="0">
                  <c:v>rb-9</c:v>
                </c:pt>
                <c:pt idx="1">
                  <c:v>rb-10</c:v>
                </c:pt>
                <c:pt idx="2">
                  <c:v>rb-11</c:v>
                </c:pt>
                <c:pt idx="3">
                  <c:v>rb-12</c:v>
                </c:pt>
                <c:pt idx="4">
                  <c:v>rb-13</c:v>
                </c:pt>
                <c:pt idx="5">
                  <c:v>rb-14</c:v>
                </c:pt>
                <c:pt idx="6">
                  <c:v>rb-15</c:v>
                </c:pt>
                <c:pt idx="7">
                  <c:v>rb-16</c:v>
                </c:pt>
                <c:pt idx="8">
                  <c:v>rb-17</c:v>
                </c:pt>
                <c:pt idx="9">
                  <c:v>rb-18</c:v>
                </c:pt>
                <c:pt idx="10">
                  <c:v>rb-19</c:v>
                </c:pt>
              </c:strCache>
            </c:strRef>
          </c:xVal>
          <c:yVal>
            <c:numRef>
              <c:f>'XFS-read'!$V$10:$AF$10</c:f>
              <c:numCache>
                <c:formatCode>General</c:formatCode>
                <c:ptCount val="11"/>
                <c:pt idx="0">
                  <c:v>3691</c:v>
                </c:pt>
                <c:pt idx="1">
                  <c:v>8637695</c:v>
                </c:pt>
                <c:pt idx="2">
                  <c:v>13724280</c:v>
                </c:pt>
                <c:pt idx="3">
                  <c:v>131702581</c:v>
                </c:pt>
                <c:pt idx="4">
                  <c:v>143990621</c:v>
                </c:pt>
                <c:pt idx="5">
                  <c:v>215826045</c:v>
                </c:pt>
                <c:pt idx="6">
                  <c:v>107991690</c:v>
                </c:pt>
                <c:pt idx="7">
                  <c:v>30308493</c:v>
                </c:pt>
                <c:pt idx="8">
                  <c:v>15993939</c:v>
                </c:pt>
                <c:pt idx="9">
                  <c:v>14245431</c:v>
                </c:pt>
                <c:pt idx="10">
                  <c:v>30951816</c:v>
                </c:pt>
              </c:numCache>
            </c:numRef>
          </c:yVal>
          <c:smooth val="1"/>
          <c:extLst>
            <c:ext xmlns:c16="http://schemas.microsoft.com/office/drawing/2014/chart" uri="{C3380CC4-5D6E-409C-BE32-E72D297353CC}">
              <c16:uniqueId val="{00000004-0C09-B742-A03C-5B40C34A0728}"/>
            </c:ext>
          </c:extLst>
        </c:ser>
        <c:dLbls>
          <c:showLegendKey val="0"/>
          <c:showVal val="0"/>
          <c:showCatName val="0"/>
          <c:showSerName val="0"/>
          <c:showPercent val="0"/>
          <c:showBubbleSize val="0"/>
        </c:dLbls>
        <c:axId val="1932427376"/>
        <c:axId val="1181630480"/>
      </c:scatterChart>
      <c:valAx>
        <c:axId val="1932427376"/>
        <c:scaling>
          <c:orientation val="minMax"/>
          <c:max val="11"/>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630480"/>
        <c:crosses val="autoZero"/>
        <c:crossBetween val="midCat"/>
      </c:valAx>
      <c:valAx>
        <c:axId val="1181630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32427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File Size Distribution</a:t>
            </a:r>
          </a:p>
        </c:rich>
      </c:tx>
      <c:layout>
        <c:manualLayout>
          <c:xMode val="edge"/>
          <c:yMode val="edge"/>
          <c:x val="0.39560411198600182"/>
          <c:y val="4.05679513184584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147222222222222"/>
          <c:y val="0.1252370989123317"/>
          <c:w val="0.75424978127734033"/>
          <c:h val="0.72974141923943081"/>
        </c:manualLayout>
      </c:layout>
      <c:scatterChart>
        <c:scatterStyle val="smoothMarker"/>
        <c:varyColors val="0"/>
        <c:ser>
          <c:idx val="0"/>
          <c:order val="0"/>
          <c:tx>
            <c:v>10M files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'EXT4-write'!$H$2:$Q$2</c:f>
              <c:numCache>
                <c:formatCode>General</c:formatCode>
                <c:ptCount val="10"/>
                <c:pt idx="0">
                  <c:v>39</c:v>
                </c:pt>
                <c:pt idx="1">
                  <c:v>2326</c:v>
                </c:pt>
                <c:pt idx="2">
                  <c:v>59639</c:v>
                </c:pt>
                <c:pt idx="3">
                  <c:v>606858</c:v>
                </c:pt>
                <c:pt idx="4">
                  <c:v>2415419</c:v>
                </c:pt>
                <c:pt idx="5">
                  <c:v>3833682</c:v>
                </c:pt>
                <c:pt idx="6">
                  <c:v>2414922</c:v>
                </c:pt>
                <c:pt idx="7">
                  <c:v>605293</c:v>
                </c:pt>
                <c:pt idx="8">
                  <c:v>59524</c:v>
                </c:pt>
                <c:pt idx="9">
                  <c:v>2267</c:v>
                </c:pt>
              </c:numCache>
            </c:numRef>
          </c:yVal>
          <c:smooth val="1"/>
          <c:extLst>
            <c:ext xmlns:c16="http://schemas.microsoft.com/office/drawing/2014/chart" uri="{C3380CC4-5D6E-409C-BE32-E72D297353CC}">
              <c16:uniqueId val="{00000000-DD62-1A49-AD27-52910717DE51}"/>
            </c:ext>
          </c:extLst>
        </c:ser>
        <c:ser>
          <c:idx val="1"/>
          <c:order val="1"/>
          <c:tx>
            <c:v>100M files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'EXT4-write'!$H$1:$Q$1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'EXT4-write'!$H$3:$Q$3</c:f>
              <c:numCache>
                <c:formatCode>General</c:formatCode>
                <c:ptCount val="10"/>
                <c:pt idx="0">
                  <c:v>334</c:v>
                </c:pt>
                <c:pt idx="1">
                  <c:v>22921</c:v>
                </c:pt>
                <c:pt idx="2">
                  <c:v>598633</c:v>
                </c:pt>
                <c:pt idx="3">
                  <c:v>6062379</c:v>
                </c:pt>
                <c:pt idx="4">
                  <c:v>24181653</c:v>
                </c:pt>
                <c:pt idx="5">
                  <c:v>38282347</c:v>
                </c:pt>
                <c:pt idx="6">
                  <c:v>24169224</c:v>
                </c:pt>
                <c:pt idx="7">
                  <c:v>6061047</c:v>
                </c:pt>
                <c:pt idx="8">
                  <c:v>597990</c:v>
                </c:pt>
                <c:pt idx="9">
                  <c:v>23151</c:v>
                </c:pt>
              </c:numCache>
            </c:numRef>
          </c:yVal>
          <c:smooth val="1"/>
          <c:extLst>
            <c:ext xmlns:c16="http://schemas.microsoft.com/office/drawing/2014/chart" uri="{C3380CC4-5D6E-409C-BE32-E72D297353CC}">
              <c16:uniqueId val="{00000001-DD62-1A49-AD27-52910717DE51}"/>
            </c:ext>
          </c:extLst>
        </c:ser>
        <c:dLbls>
          <c:showLegendKey val="0"/>
          <c:showVal val="0"/>
          <c:showCatName val="0"/>
          <c:showSerName val="0"/>
          <c:showPercent val="0"/>
          <c:showBubbleSize val="0"/>
        </c:dLbls>
        <c:axId val="1362496496"/>
        <c:axId val="1357904352"/>
      </c:scatterChart>
      <c:valAx>
        <c:axId val="136249649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Buckets</a:t>
                </a:r>
              </a:p>
            </c:rich>
          </c:tx>
          <c:layout>
            <c:manualLayout>
              <c:xMode val="edge"/>
              <c:yMode val="edge"/>
              <c:x val="0.5280831146106737"/>
              <c:y val="0.9099187043810192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04352"/>
        <c:crosses val="autoZero"/>
        <c:crossBetween val="midCat"/>
      </c:valAx>
      <c:valAx>
        <c:axId val="1357904352"/>
        <c:scaling>
          <c:orientation val="minMax"/>
          <c:max val="40000000"/>
          <c:min val="-1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Probably Density</a:t>
                </a:r>
              </a:p>
            </c:rich>
          </c:tx>
          <c:layout>
            <c:manualLayout>
              <c:xMode val="edge"/>
              <c:yMode val="edge"/>
              <c:x val="1.6666666666666666E-2"/>
              <c:y val="0.3311421315743239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496496"/>
        <c:crosses val="autoZero"/>
        <c:crossBetween val="midCat"/>
      </c:valAx>
      <c:spPr>
        <a:noFill/>
        <a:ln>
          <a:noFill/>
        </a:ln>
        <a:effectLst/>
      </c:spPr>
    </c:plotArea>
    <c:legend>
      <c:legendPos val="r"/>
      <c:layout>
        <c:manualLayout>
          <c:xMode val="edge"/>
          <c:yMode val="edge"/>
          <c:x val="0.72394422572178474"/>
          <c:y val="0.51637503229357384"/>
          <c:w val="0.18968110236220473"/>
          <c:h val="0.12028688927253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File Write Performance Distribution</a:t>
            </a:r>
          </a:p>
        </c:rich>
      </c:tx>
      <c:layout>
        <c:manualLayout>
          <c:xMode val="edge"/>
          <c:yMode val="edge"/>
          <c:x val="0.24802077865266842"/>
          <c:y val="3.16105662230817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912510936132983"/>
          <c:y val="8.4669039657714024E-2"/>
          <c:w val="0.73826356080489941"/>
          <c:h val="0.80081595063774924"/>
        </c:manualLayout>
      </c:layout>
      <c:scatterChart>
        <c:scatterStyle val="smoothMarker"/>
        <c:varyColors val="0"/>
        <c:ser>
          <c:idx val="0"/>
          <c:order val="0"/>
          <c:tx>
            <c:v>10M files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'EXT4-write'!$R$2:$AK$2</c:f>
              <c:numCache>
                <c:formatCode>General</c:formatCode>
                <c:ptCount val="20"/>
                <c:pt idx="0">
                  <c:v>0</c:v>
                </c:pt>
                <c:pt idx="1">
                  <c:v>0</c:v>
                </c:pt>
                <c:pt idx="2">
                  <c:v>1010</c:v>
                </c:pt>
                <c:pt idx="3">
                  <c:v>5620647</c:v>
                </c:pt>
                <c:pt idx="4">
                  <c:v>3878101</c:v>
                </c:pt>
                <c:pt idx="5">
                  <c:v>218641</c:v>
                </c:pt>
                <c:pt idx="6">
                  <c:v>103873</c:v>
                </c:pt>
                <c:pt idx="7">
                  <c:v>64497</c:v>
                </c:pt>
                <c:pt idx="8">
                  <c:v>38336</c:v>
                </c:pt>
                <c:pt idx="9">
                  <c:v>15260</c:v>
                </c:pt>
                <c:pt idx="10">
                  <c:v>7228</c:v>
                </c:pt>
                <c:pt idx="11">
                  <c:v>3902</c:v>
                </c:pt>
                <c:pt idx="12">
                  <c:v>1664</c:v>
                </c:pt>
                <c:pt idx="13">
                  <c:v>631</c:v>
                </c:pt>
                <c:pt idx="14">
                  <c:v>284</c:v>
                </c:pt>
                <c:pt idx="15">
                  <c:v>131</c:v>
                </c:pt>
                <c:pt idx="16">
                  <c:v>90</c:v>
                </c:pt>
                <c:pt idx="17">
                  <c:v>81</c:v>
                </c:pt>
                <c:pt idx="18">
                  <c:v>44</c:v>
                </c:pt>
                <c:pt idx="19">
                  <c:v>31</c:v>
                </c:pt>
              </c:numCache>
            </c:numRef>
          </c:yVal>
          <c:smooth val="1"/>
          <c:extLst>
            <c:ext xmlns:c16="http://schemas.microsoft.com/office/drawing/2014/chart" uri="{C3380CC4-5D6E-409C-BE32-E72D297353CC}">
              <c16:uniqueId val="{00000000-C59F-BF4D-9A5E-58EE5D09E13F}"/>
            </c:ext>
          </c:extLst>
        </c:ser>
        <c:ser>
          <c:idx val="1"/>
          <c:order val="1"/>
          <c:tx>
            <c:v>100M files</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2"/>
              <c:layout>
                <c:manualLayout>
                  <c:x val="-0.13055555555555556"/>
                  <c:y val="-3.118908382066291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7.7894736842105253E-2"/>
                    </c:manualLayout>
                  </c15:layout>
                </c:ext>
                <c:ext xmlns:c16="http://schemas.microsoft.com/office/drawing/2014/chart" uri="{C3380CC4-5D6E-409C-BE32-E72D297353CC}">
                  <c16:uniqueId val="{00000005-C59F-BF4D-9A5E-58EE5D09E13F}"/>
                </c:ext>
              </c:extLst>
            </c:dLbl>
            <c:dLbl>
              <c:idx val="3"/>
              <c:layout>
                <c:manualLayout>
                  <c:x val="1.3888888888888888E-2"/>
                  <c:y val="1.55945419103313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9F-BF4D-9A5E-58EE5D09E13F}"/>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9F-BF4D-9A5E-58EE5D09E1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'EXT4-write'!$R$1:$AK$1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'EXT4-write'!$R$3:$AK$3</c:f>
              <c:numCache>
                <c:formatCode>General</c:formatCode>
                <c:ptCount val="20"/>
                <c:pt idx="0">
                  <c:v>0</c:v>
                </c:pt>
                <c:pt idx="1">
                  <c:v>0</c:v>
                </c:pt>
                <c:pt idx="2">
                  <c:v>4654670</c:v>
                </c:pt>
                <c:pt idx="3">
                  <c:v>56410596</c:v>
                </c:pt>
                <c:pt idx="4">
                  <c:v>34917501</c:v>
                </c:pt>
                <c:pt idx="5">
                  <c:v>1777402</c:v>
                </c:pt>
                <c:pt idx="6">
                  <c:v>823726</c:v>
                </c:pt>
                <c:pt idx="7">
                  <c:v>474070</c:v>
                </c:pt>
                <c:pt idx="8">
                  <c:v>340726</c:v>
                </c:pt>
                <c:pt idx="9">
                  <c:v>102859</c:v>
                </c:pt>
                <c:pt idx="10">
                  <c:v>28650</c:v>
                </c:pt>
                <c:pt idx="11">
                  <c:v>12196</c:v>
                </c:pt>
                <c:pt idx="12">
                  <c:v>8818</c:v>
                </c:pt>
                <c:pt idx="13">
                  <c:v>4006</c:v>
                </c:pt>
                <c:pt idx="14">
                  <c:v>1509</c:v>
                </c:pt>
                <c:pt idx="15">
                  <c:v>573</c:v>
                </c:pt>
                <c:pt idx="16">
                  <c:v>226</c:v>
                </c:pt>
                <c:pt idx="17">
                  <c:v>117</c:v>
                </c:pt>
                <c:pt idx="18">
                  <c:v>57</c:v>
                </c:pt>
                <c:pt idx="19">
                  <c:v>51</c:v>
                </c:pt>
              </c:numCache>
            </c:numRef>
          </c:yVal>
          <c:smooth val="1"/>
          <c:extLst>
            <c:ext xmlns:c16="http://schemas.microsoft.com/office/drawing/2014/chart" uri="{C3380CC4-5D6E-409C-BE32-E72D297353CC}">
              <c16:uniqueId val="{00000001-C59F-BF4D-9A5E-58EE5D09E13F}"/>
            </c:ext>
          </c:extLst>
        </c:ser>
        <c:dLbls>
          <c:showLegendKey val="0"/>
          <c:showVal val="0"/>
          <c:showCatName val="0"/>
          <c:showSerName val="0"/>
          <c:showPercent val="0"/>
          <c:showBubbleSize val="0"/>
        </c:dLbls>
        <c:axId val="1669781216"/>
        <c:axId val="1670370928"/>
      </c:scatterChart>
      <c:valAx>
        <c:axId val="1669781216"/>
        <c:scaling>
          <c:orientation val="minMax"/>
          <c:max val="2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Bucket - Write Speeds</a:t>
                </a:r>
                <a:r>
                  <a:rPr lang="en-US" sz="1200" b="1" baseline="0"/>
                  <a:t> (microseconds)</a:t>
                </a:r>
                <a:endParaRPr lang="en-US" sz="1200" b="1"/>
              </a:p>
            </c:rich>
          </c:tx>
          <c:layout>
            <c:manualLayout>
              <c:xMode val="edge"/>
              <c:yMode val="edge"/>
              <c:x val="0.28410411198600177"/>
              <c:y val="0.9114055041365443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70928"/>
        <c:crosses val="autoZero"/>
        <c:crossBetween val="midCat"/>
      </c:valAx>
      <c:valAx>
        <c:axId val="1670370928"/>
        <c:scaling>
          <c:orientation val="minMax"/>
          <c:max val="60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File Write Counts</a:t>
                </a:r>
              </a:p>
            </c:rich>
          </c:tx>
          <c:layout>
            <c:manualLayout>
              <c:xMode val="edge"/>
              <c:yMode val="edge"/>
              <c:x val="2.709733158355206E-2"/>
              <c:y val="0.4042335995340554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81216"/>
        <c:crosses val="autoZero"/>
        <c:crossBetween val="midCat"/>
      </c:valAx>
      <c:spPr>
        <a:noFill/>
        <a:ln>
          <a:noFill/>
        </a:ln>
        <a:effectLst/>
      </c:spPr>
    </c:plotArea>
    <c:legend>
      <c:legendPos val="r"/>
      <c:layout>
        <c:manualLayout>
          <c:xMode val="edge"/>
          <c:yMode val="edge"/>
          <c:x val="0.49894422572178487"/>
          <c:y val="0.45417046553391355"/>
          <c:w val="0.18968110236220473"/>
          <c:h val="0.116146204615989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File</a:t>
            </a:r>
            <a:r>
              <a:rPr lang="en-US" b="1" baseline="0"/>
              <a:t> Write Thruput by Folders</a:t>
            </a:r>
            <a:endParaRPr lang="en-US" b="1"/>
          </a:p>
        </c:rich>
      </c:tx>
      <c:layout>
        <c:manualLayout>
          <c:xMode val="edge"/>
          <c:yMode val="edge"/>
          <c:x val="0.31836417779564102"/>
          <c:y val="3.12989045383411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80278422273782"/>
          <c:y val="0.11283797271819895"/>
          <c:w val="0.8512527175402379"/>
          <c:h val="0.76702401636415163"/>
        </c:manualLayout>
      </c:layout>
      <c:scatterChart>
        <c:scatterStyle val="smoothMarker"/>
        <c:varyColors val="0"/>
        <c:ser>
          <c:idx val="0"/>
          <c:order val="0"/>
          <c:tx>
            <c:v>10M files</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strRef>
              <c:f>'EXT4-write'!$AT$1:$BM$1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'EXT4-write'!$AT$2:$BM$2</c:f>
              <c:numCache>
                <c:formatCode>General</c:formatCode>
                <c:ptCount val="20"/>
                <c:pt idx="0">
                  <c:v>35.91319</c:v>
                </c:pt>
                <c:pt idx="1">
                  <c:v>40.700436000000003</c:v>
                </c:pt>
                <c:pt idx="2">
                  <c:v>38.073616000000001</c:v>
                </c:pt>
                <c:pt idx="3">
                  <c:v>40.213017000000001</c:v>
                </c:pt>
                <c:pt idx="4">
                  <c:v>36.868651999999997</c:v>
                </c:pt>
                <c:pt idx="5">
                  <c:v>37.630245000000002</c:v>
                </c:pt>
                <c:pt idx="6">
                  <c:v>34.791218000000001</c:v>
                </c:pt>
                <c:pt idx="7">
                  <c:v>35.048319999999997</c:v>
                </c:pt>
                <c:pt idx="8">
                  <c:v>39.038654000000001</c:v>
                </c:pt>
                <c:pt idx="9">
                  <c:v>41.883614000000001</c:v>
                </c:pt>
                <c:pt idx="10">
                  <c:v>39.544795999999998</c:v>
                </c:pt>
                <c:pt idx="11">
                  <c:v>40.909633999999997</c:v>
                </c:pt>
                <c:pt idx="12">
                  <c:v>39.301929999999999</c:v>
                </c:pt>
                <c:pt idx="13">
                  <c:v>41.012782999999999</c:v>
                </c:pt>
                <c:pt idx="14">
                  <c:v>36.602997000000002</c:v>
                </c:pt>
                <c:pt idx="15">
                  <c:v>35.549050000000001</c:v>
                </c:pt>
                <c:pt idx="16">
                  <c:v>31.685438000000001</c:v>
                </c:pt>
                <c:pt idx="17">
                  <c:v>37.871299999999998</c:v>
                </c:pt>
                <c:pt idx="18">
                  <c:v>35.317352</c:v>
                </c:pt>
                <c:pt idx="19">
                  <c:v>37.682960000000001</c:v>
                </c:pt>
              </c:numCache>
            </c:numRef>
          </c:yVal>
          <c:smooth val="1"/>
          <c:extLst>
            <c:ext xmlns:c16="http://schemas.microsoft.com/office/drawing/2014/chart" uri="{C3380CC4-5D6E-409C-BE32-E72D297353CC}">
              <c16:uniqueId val="{00000000-C51A-A448-9EA2-B06229C19CBB}"/>
            </c:ext>
          </c:extLst>
        </c:ser>
        <c:ser>
          <c:idx val="1"/>
          <c:order val="1"/>
          <c:tx>
            <c:v>100M files</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0"/>
          </c:trendline>
          <c:xVal>
            <c:strRef>
              <c:f>'EXT4-write'!$AT$1:$BM$1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'EXT4-write'!$AT$3:$BM$3</c:f>
              <c:numCache>
                <c:formatCode>General</c:formatCode>
                <c:ptCount val="20"/>
                <c:pt idx="0">
                  <c:v>36.109139999999996</c:v>
                </c:pt>
                <c:pt idx="1">
                  <c:v>36.839157</c:v>
                </c:pt>
                <c:pt idx="2">
                  <c:v>35.926789999999997</c:v>
                </c:pt>
                <c:pt idx="3">
                  <c:v>37.097459999999998</c:v>
                </c:pt>
                <c:pt idx="4">
                  <c:v>39.002505999999997</c:v>
                </c:pt>
                <c:pt idx="5">
                  <c:v>39.592599999999997</c:v>
                </c:pt>
                <c:pt idx="6">
                  <c:v>38.254240000000003</c:v>
                </c:pt>
                <c:pt idx="7">
                  <c:v>38.830418000000002</c:v>
                </c:pt>
                <c:pt idx="8">
                  <c:v>37.802334000000002</c:v>
                </c:pt>
                <c:pt idx="9">
                  <c:v>42.551067000000003</c:v>
                </c:pt>
                <c:pt idx="10">
                  <c:v>39.075090000000003</c:v>
                </c:pt>
                <c:pt idx="11">
                  <c:v>42.328560000000003</c:v>
                </c:pt>
                <c:pt idx="12">
                  <c:v>44.516719999999999</c:v>
                </c:pt>
                <c:pt idx="13">
                  <c:v>40.696423000000003</c:v>
                </c:pt>
                <c:pt idx="14">
                  <c:v>42.038853000000003</c:v>
                </c:pt>
                <c:pt idx="15">
                  <c:v>43.141747000000002</c:v>
                </c:pt>
                <c:pt idx="16">
                  <c:v>37.4754</c:v>
                </c:pt>
                <c:pt idx="17">
                  <c:v>38.162394999999997</c:v>
                </c:pt>
                <c:pt idx="18">
                  <c:v>39.658065999999998</c:v>
                </c:pt>
                <c:pt idx="19">
                  <c:v>38.040264000000001</c:v>
                </c:pt>
              </c:numCache>
            </c:numRef>
          </c:yVal>
          <c:smooth val="1"/>
          <c:extLst>
            <c:ext xmlns:c16="http://schemas.microsoft.com/office/drawing/2014/chart" uri="{C3380CC4-5D6E-409C-BE32-E72D297353CC}">
              <c16:uniqueId val="{00000001-C51A-A448-9EA2-B06229C19CBB}"/>
            </c:ext>
          </c:extLst>
        </c:ser>
        <c:dLbls>
          <c:showLegendKey val="0"/>
          <c:showVal val="0"/>
          <c:showCatName val="0"/>
          <c:showSerName val="0"/>
          <c:showPercent val="0"/>
          <c:showBubbleSize val="0"/>
        </c:dLbls>
        <c:axId val="1385695808"/>
        <c:axId val="1386057536"/>
      </c:scatterChart>
      <c:valAx>
        <c:axId val="1385695808"/>
        <c:scaling>
          <c:orientation val="minMax"/>
          <c:max val="2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Buckets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57536"/>
        <c:crosses val="autoZero"/>
        <c:crossBetween val="midCat"/>
      </c:valAx>
      <c:valAx>
        <c:axId val="1386057536"/>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File Write Throught MB/s</a:t>
                </a:r>
              </a:p>
            </c:rich>
          </c:tx>
          <c:layout>
            <c:manualLayout>
              <c:xMode val="edge"/>
              <c:yMode val="edge"/>
              <c:x val="1.8561484918793503E-2"/>
              <c:y val="0.32865821349796065"/>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95808"/>
        <c:crosses val="autoZero"/>
        <c:crossBetween val="midCat"/>
      </c:valAx>
      <c:spPr>
        <a:noFill/>
        <a:ln>
          <a:noFill/>
        </a:ln>
        <a:effectLst/>
      </c:spPr>
    </c:plotArea>
    <c:legend>
      <c:legendPos val="r"/>
      <c:layout>
        <c:manualLayout>
          <c:xMode val="edge"/>
          <c:yMode val="edge"/>
          <c:x val="0.50563403182490818"/>
          <c:y val="0.64265325989180933"/>
          <c:w val="0.19113707364305682"/>
          <c:h val="0.13377299668527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'EXT4-read'!$M$2:$AF$2</c:f>
              <c:numCache>
                <c:formatCode>General</c:formatCode>
                <c:ptCount val="20"/>
                <c:pt idx="0">
                  <c:v>0</c:v>
                </c:pt>
                <c:pt idx="1">
                  <c:v>0</c:v>
                </c:pt>
                <c:pt idx="2">
                  <c:v>1888641</c:v>
                </c:pt>
                <c:pt idx="3">
                  <c:v>7121598</c:v>
                </c:pt>
                <c:pt idx="4">
                  <c:v>606362</c:v>
                </c:pt>
                <c:pt idx="5">
                  <c:v>215008</c:v>
                </c:pt>
                <c:pt idx="6">
                  <c:v>101429</c:v>
                </c:pt>
                <c:pt idx="7">
                  <c:v>30033</c:v>
                </c:pt>
                <c:pt idx="8">
                  <c:v>12268</c:v>
                </c:pt>
                <c:pt idx="9">
                  <c:v>3863</c:v>
                </c:pt>
                <c:pt idx="10">
                  <c:v>1700</c:v>
                </c:pt>
                <c:pt idx="11">
                  <c:v>944</c:v>
                </c:pt>
                <c:pt idx="12">
                  <c:v>804</c:v>
                </c:pt>
                <c:pt idx="13">
                  <c:v>867</c:v>
                </c:pt>
                <c:pt idx="14">
                  <c:v>857</c:v>
                </c:pt>
                <c:pt idx="15">
                  <c:v>775</c:v>
                </c:pt>
                <c:pt idx="16">
                  <c:v>604</c:v>
                </c:pt>
                <c:pt idx="17">
                  <c:v>451</c:v>
                </c:pt>
                <c:pt idx="18">
                  <c:v>330</c:v>
                </c:pt>
                <c:pt idx="19">
                  <c:v>315</c:v>
                </c:pt>
              </c:numCache>
            </c:numRef>
          </c:yVal>
          <c:smooth val="1"/>
          <c:extLst>
            <c:ext xmlns:c16="http://schemas.microsoft.com/office/drawing/2014/chart" uri="{C3380CC4-5D6E-409C-BE32-E72D297353CC}">
              <c16:uniqueId val="{00000000-FCC9-7A42-B8B0-72D86A6333E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'EXT4-read'!$M$3:$AF$3</c:f>
              <c:numCache>
                <c:formatCode>General</c:formatCode>
                <c:ptCount val="20"/>
                <c:pt idx="0">
                  <c:v>0</c:v>
                </c:pt>
                <c:pt idx="1">
                  <c:v>4186</c:v>
                </c:pt>
                <c:pt idx="2">
                  <c:v>6791404</c:v>
                </c:pt>
                <c:pt idx="3">
                  <c:v>2665379</c:v>
                </c:pt>
                <c:pt idx="4">
                  <c:v>332201</c:v>
                </c:pt>
                <c:pt idx="5">
                  <c:v>123928</c:v>
                </c:pt>
                <c:pt idx="6">
                  <c:v>45637</c:v>
                </c:pt>
                <c:pt idx="7">
                  <c:v>15056</c:v>
                </c:pt>
                <c:pt idx="8">
                  <c:v>5090</c:v>
                </c:pt>
                <c:pt idx="9">
                  <c:v>1851</c:v>
                </c:pt>
                <c:pt idx="10">
                  <c:v>953</c:v>
                </c:pt>
                <c:pt idx="11">
                  <c:v>778</c:v>
                </c:pt>
                <c:pt idx="12">
                  <c:v>611</c:v>
                </c:pt>
                <c:pt idx="13">
                  <c:v>652</c:v>
                </c:pt>
                <c:pt idx="14">
                  <c:v>597</c:v>
                </c:pt>
                <c:pt idx="15">
                  <c:v>446</c:v>
                </c:pt>
                <c:pt idx="16">
                  <c:v>314</c:v>
                </c:pt>
                <c:pt idx="17">
                  <c:v>255</c:v>
                </c:pt>
                <c:pt idx="18">
                  <c:v>188</c:v>
                </c:pt>
                <c:pt idx="19">
                  <c:v>156</c:v>
                </c:pt>
              </c:numCache>
            </c:numRef>
          </c:yVal>
          <c:smooth val="1"/>
          <c:extLst>
            <c:ext xmlns:c16="http://schemas.microsoft.com/office/drawing/2014/chart" uri="{C3380CC4-5D6E-409C-BE32-E72D297353CC}">
              <c16:uniqueId val="{00000001-FCC9-7A42-B8B0-72D86A6333E6}"/>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'EXT4-read'!$M$4:$AF$4</c:f>
              <c:numCache>
                <c:formatCode>General</c:formatCode>
                <c:ptCount val="20"/>
                <c:pt idx="0">
                  <c:v>0</c:v>
                </c:pt>
                <c:pt idx="1">
                  <c:v>4</c:v>
                </c:pt>
                <c:pt idx="2">
                  <c:v>136409</c:v>
                </c:pt>
                <c:pt idx="3">
                  <c:v>401414</c:v>
                </c:pt>
                <c:pt idx="4">
                  <c:v>133214</c:v>
                </c:pt>
                <c:pt idx="5">
                  <c:v>46338</c:v>
                </c:pt>
                <c:pt idx="6">
                  <c:v>24782</c:v>
                </c:pt>
                <c:pt idx="7">
                  <c:v>10993</c:v>
                </c:pt>
                <c:pt idx="8">
                  <c:v>3550</c:v>
                </c:pt>
                <c:pt idx="9">
                  <c:v>46294</c:v>
                </c:pt>
                <c:pt idx="10">
                  <c:v>431194</c:v>
                </c:pt>
                <c:pt idx="11">
                  <c:v>2760088</c:v>
                </c:pt>
                <c:pt idx="12">
                  <c:v>7946280</c:v>
                </c:pt>
                <c:pt idx="13">
                  <c:v>19476286</c:v>
                </c:pt>
                <c:pt idx="14">
                  <c:v>22530490</c:v>
                </c:pt>
                <c:pt idx="15">
                  <c:v>9638744</c:v>
                </c:pt>
                <c:pt idx="16">
                  <c:v>4327306</c:v>
                </c:pt>
                <c:pt idx="17">
                  <c:v>3864343</c:v>
                </c:pt>
                <c:pt idx="18">
                  <c:v>4714239</c:v>
                </c:pt>
                <c:pt idx="19">
                  <c:v>3751564</c:v>
                </c:pt>
              </c:numCache>
            </c:numRef>
          </c:yVal>
          <c:smooth val="1"/>
          <c:extLst>
            <c:ext xmlns:c16="http://schemas.microsoft.com/office/drawing/2014/chart" uri="{C3380CC4-5D6E-409C-BE32-E72D297353CC}">
              <c16:uniqueId val="{00000002-FCC9-7A42-B8B0-72D86A6333E6}"/>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'EXT4-read'!#REF!</c:f>
              <c:numCache>
                <c:formatCode>General</c:formatCode>
                <c:ptCount val="1"/>
                <c:pt idx="0">
                  <c:v>1</c:v>
                </c:pt>
              </c:numCache>
            </c:numRef>
          </c:yVal>
          <c:smooth val="1"/>
          <c:extLst>
            <c:ext xmlns:c16="http://schemas.microsoft.com/office/drawing/2014/chart" uri="{C3380CC4-5D6E-409C-BE32-E72D297353CC}">
              <c16:uniqueId val="{00000003-FCC9-7A42-B8B0-72D86A6333E6}"/>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'EXT4-read'!#REF!</c:f>
              <c:numCache>
                <c:formatCode>General</c:formatCode>
                <c:ptCount val="1"/>
                <c:pt idx="0">
                  <c:v>1</c:v>
                </c:pt>
              </c:numCache>
            </c:numRef>
          </c:yVal>
          <c:smooth val="1"/>
          <c:extLst>
            <c:ext xmlns:c16="http://schemas.microsoft.com/office/drawing/2014/chart" uri="{C3380CC4-5D6E-409C-BE32-E72D297353CC}">
              <c16:uniqueId val="{00000004-FCC9-7A42-B8B0-72D86A6333E6}"/>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'EXT4-read'!#REF!</c:f>
              <c:numCache>
                <c:formatCode>General</c:formatCode>
                <c:ptCount val="1"/>
                <c:pt idx="0">
                  <c:v>1</c:v>
                </c:pt>
              </c:numCache>
            </c:numRef>
          </c:yVal>
          <c:smooth val="1"/>
          <c:extLst>
            <c:ext xmlns:c16="http://schemas.microsoft.com/office/drawing/2014/chart" uri="{C3380CC4-5D6E-409C-BE32-E72D297353CC}">
              <c16:uniqueId val="{00000005-FCC9-7A42-B8B0-72D86A6333E6}"/>
            </c:ext>
          </c:extLst>
        </c:ser>
        <c:ser>
          <c:idx val="6"/>
          <c:order val="6"/>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'EXT4-read'!#REF!</c:f>
              <c:numCache>
                <c:formatCode>General</c:formatCode>
                <c:ptCount val="1"/>
                <c:pt idx="0">
                  <c:v>1</c:v>
                </c:pt>
              </c:numCache>
            </c:numRef>
          </c:yVal>
          <c:smooth val="1"/>
          <c:extLst>
            <c:ext xmlns:c16="http://schemas.microsoft.com/office/drawing/2014/chart" uri="{C3380CC4-5D6E-409C-BE32-E72D297353CC}">
              <c16:uniqueId val="{00000006-FCC9-7A42-B8B0-72D86A6333E6}"/>
            </c:ext>
          </c:extLst>
        </c:ser>
        <c:dLbls>
          <c:showLegendKey val="0"/>
          <c:showVal val="0"/>
          <c:showCatName val="0"/>
          <c:showSerName val="0"/>
          <c:showPercent val="0"/>
          <c:showBubbleSize val="0"/>
        </c:dLbls>
        <c:axId val="1431769632"/>
        <c:axId val="1758736800"/>
      </c:scatterChart>
      <c:valAx>
        <c:axId val="1431769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36800"/>
        <c:crosses val="autoZero"/>
        <c:crossBetween val="midCat"/>
      </c:valAx>
      <c:valAx>
        <c:axId val="175873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69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'EXT4-read'!$M$2:$AF$2</c:f>
              <c:numCache>
                <c:formatCode>General</c:formatCode>
                <c:ptCount val="20"/>
                <c:pt idx="0">
                  <c:v>0</c:v>
                </c:pt>
                <c:pt idx="1">
                  <c:v>0</c:v>
                </c:pt>
                <c:pt idx="2">
                  <c:v>1888641</c:v>
                </c:pt>
                <c:pt idx="3">
                  <c:v>7121598</c:v>
                </c:pt>
                <c:pt idx="4">
                  <c:v>606362</c:v>
                </c:pt>
                <c:pt idx="5">
                  <c:v>215008</c:v>
                </c:pt>
                <c:pt idx="6">
                  <c:v>101429</c:v>
                </c:pt>
                <c:pt idx="7">
                  <c:v>30033</c:v>
                </c:pt>
                <c:pt idx="8">
                  <c:v>12268</c:v>
                </c:pt>
                <c:pt idx="9">
                  <c:v>3863</c:v>
                </c:pt>
                <c:pt idx="10">
                  <c:v>1700</c:v>
                </c:pt>
                <c:pt idx="11">
                  <c:v>944</c:v>
                </c:pt>
                <c:pt idx="12">
                  <c:v>804</c:v>
                </c:pt>
                <c:pt idx="13">
                  <c:v>867</c:v>
                </c:pt>
                <c:pt idx="14">
                  <c:v>857</c:v>
                </c:pt>
                <c:pt idx="15">
                  <c:v>775</c:v>
                </c:pt>
                <c:pt idx="16">
                  <c:v>604</c:v>
                </c:pt>
                <c:pt idx="17">
                  <c:v>451</c:v>
                </c:pt>
                <c:pt idx="18">
                  <c:v>330</c:v>
                </c:pt>
                <c:pt idx="19">
                  <c:v>315</c:v>
                </c:pt>
              </c:numCache>
            </c:numRef>
          </c:yVal>
          <c:smooth val="1"/>
          <c:extLst>
            <c:ext xmlns:c16="http://schemas.microsoft.com/office/drawing/2014/chart" uri="{C3380CC4-5D6E-409C-BE32-E72D297353CC}">
              <c16:uniqueId val="{00000000-7598-0747-A83F-0BEBB5987DB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'EXT4-read'!$M$3:$AF$3</c:f>
              <c:numCache>
                <c:formatCode>General</c:formatCode>
                <c:ptCount val="20"/>
                <c:pt idx="0">
                  <c:v>0</c:v>
                </c:pt>
                <c:pt idx="1">
                  <c:v>4186</c:v>
                </c:pt>
                <c:pt idx="2">
                  <c:v>6791404</c:v>
                </c:pt>
                <c:pt idx="3">
                  <c:v>2665379</c:v>
                </c:pt>
                <c:pt idx="4">
                  <c:v>332201</c:v>
                </c:pt>
                <c:pt idx="5">
                  <c:v>123928</c:v>
                </c:pt>
                <c:pt idx="6">
                  <c:v>45637</c:v>
                </c:pt>
                <c:pt idx="7">
                  <c:v>15056</c:v>
                </c:pt>
                <c:pt idx="8">
                  <c:v>5090</c:v>
                </c:pt>
                <c:pt idx="9">
                  <c:v>1851</c:v>
                </c:pt>
                <c:pt idx="10">
                  <c:v>953</c:v>
                </c:pt>
                <c:pt idx="11">
                  <c:v>778</c:v>
                </c:pt>
                <c:pt idx="12">
                  <c:v>611</c:v>
                </c:pt>
                <c:pt idx="13">
                  <c:v>652</c:v>
                </c:pt>
                <c:pt idx="14">
                  <c:v>597</c:v>
                </c:pt>
                <c:pt idx="15">
                  <c:v>446</c:v>
                </c:pt>
                <c:pt idx="16">
                  <c:v>314</c:v>
                </c:pt>
                <c:pt idx="17">
                  <c:v>255</c:v>
                </c:pt>
                <c:pt idx="18">
                  <c:v>188</c:v>
                </c:pt>
                <c:pt idx="19">
                  <c:v>156</c:v>
                </c:pt>
              </c:numCache>
            </c:numRef>
          </c:yVal>
          <c:smooth val="1"/>
          <c:extLst>
            <c:ext xmlns:c16="http://schemas.microsoft.com/office/drawing/2014/chart" uri="{C3380CC4-5D6E-409C-BE32-E72D297353CC}">
              <c16:uniqueId val="{00000001-7598-0747-A83F-0BEBB5987DB6}"/>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'EXT4-read'!$M$4:$AF$4</c:f>
              <c:numCache>
                <c:formatCode>General</c:formatCode>
                <c:ptCount val="20"/>
                <c:pt idx="0">
                  <c:v>0</c:v>
                </c:pt>
                <c:pt idx="1">
                  <c:v>4</c:v>
                </c:pt>
                <c:pt idx="2">
                  <c:v>136409</c:v>
                </c:pt>
                <c:pt idx="3">
                  <c:v>401414</c:v>
                </c:pt>
                <c:pt idx="4">
                  <c:v>133214</c:v>
                </c:pt>
                <c:pt idx="5">
                  <c:v>46338</c:v>
                </c:pt>
                <c:pt idx="6">
                  <c:v>24782</c:v>
                </c:pt>
                <c:pt idx="7">
                  <c:v>10993</c:v>
                </c:pt>
                <c:pt idx="8">
                  <c:v>3550</c:v>
                </c:pt>
                <c:pt idx="9">
                  <c:v>46294</c:v>
                </c:pt>
                <c:pt idx="10">
                  <c:v>431194</c:v>
                </c:pt>
                <c:pt idx="11">
                  <c:v>2760088</c:v>
                </c:pt>
                <c:pt idx="12">
                  <c:v>7946280</c:v>
                </c:pt>
                <c:pt idx="13">
                  <c:v>19476286</c:v>
                </c:pt>
                <c:pt idx="14">
                  <c:v>22530490</c:v>
                </c:pt>
                <c:pt idx="15">
                  <c:v>9638744</c:v>
                </c:pt>
                <c:pt idx="16">
                  <c:v>4327306</c:v>
                </c:pt>
                <c:pt idx="17">
                  <c:v>3864343</c:v>
                </c:pt>
                <c:pt idx="18">
                  <c:v>4714239</c:v>
                </c:pt>
                <c:pt idx="19">
                  <c:v>3751564</c:v>
                </c:pt>
              </c:numCache>
            </c:numRef>
          </c:yVal>
          <c:smooth val="1"/>
          <c:extLst>
            <c:ext xmlns:c16="http://schemas.microsoft.com/office/drawing/2014/chart" uri="{C3380CC4-5D6E-409C-BE32-E72D297353CC}">
              <c16:uniqueId val="{00000002-7598-0747-A83F-0BEBB5987DB6}"/>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'EXT4-read'!$M$1:$AF$1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'EXT4-read'!$M$5:$AF$5</c:f>
              <c:numCache>
                <c:formatCode>General</c:formatCode>
                <c:ptCount val="20"/>
                <c:pt idx="0">
                  <c:v>0</c:v>
                </c:pt>
                <c:pt idx="1">
                  <c:v>2</c:v>
                </c:pt>
                <c:pt idx="2">
                  <c:v>22607</c:v>
                </c:pt>
                <c:pt idx="3">
                  <c:v>35452</c:v>
                </c:pt>
                <c:pt idx="4">
                  <c:v>22807</c:v>
                </c:pt>
                <c:pt idx="5">
                  <c:v>8334</c:v>
                </c:pt>
                <c:pt idx="6">
                  <c:v>1882</c:v>
                </c:pt>
                <c:pt idx="7">
                  <c:v>585</c:v>
                </c:pt>
                <c:pt idx="8">
                  <c:v>354</c:v>
                </c:pt>
                <c:pt idx="9">
                  <c:v>17112</c:v>
                </c:pt>
                <c:pt idx="10">
                  <c:v>536025</c:v>
                </c:pt>
                <c:pt idx="11">
                  <c:v>4533562</c:v>
                </c:pt>
                <c:pt idx="12">
                  <c:v>7188526</c:v>
                </c:pt>
                <c:pt idx="13">
                  <c:v>27055557</c:v>
                </c:pt>
                <c:pt idx="14">
                  <c:v>17434939</c:v>
                </c:pt>
                <c:pt idx="15">
                  <c:v>5521198</c:v>
                </c:pt>
                <c:pt idx="16">
                  <c:v>3278218</c:v>
                </c:pt>
                <c:pt idx="17">
                  <c:v>3444307</c:v>
                </c:pt>
                <c:pt idx="18">
                  <c:v>4912674</c:v>
                </c:pt>
                <c:pt idx="19">
                  <c:v>3534474</c:v>
                </c:pt>
              </c:numCache>
            </c:numRef>
          </c:yVal>
          <c:smooth val="1"/>
          <c:extLst>
            <c:ext xmlns:c16="http://schemas.microsoft.com/office/drawing/2014/chart" uri="{C3380CC4-5D6E-409C-BE32-E72D297353CC}">
              <c16:uniqueId val="{00000003-7598-0747-A83F-0BEBB5987DB6}"/>
            </c:ext>
          </c:extLst>
        </c:ser>
        <c:dLbls>
          <c:showLegendKey val="0"/>
          <c:showVal val="0"/>
          <c:showCatName val="0"/>
          <c:showSerName val="0"/>
          <c:showPercent val="0"/>
          <c:showBubbleSize val="0"/>
        </c:dLbls>
        <c:axId val="1369375536"/>
        <c:axId val="1397500320"/>
      </c:scatterChart>
      <c:valAx>
        <c:axId val="1369375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00320"/>
        <c:crosses val="autoZero"/>
        <c:crossBetween val="midCat"/>
      </c:valAx>
      <c:valAx>
        <c:axId val="139750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755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'BtrFS-write'!$H$1:$Q$1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'BtrFS-write'!$H$2:$Q$2</c:f>
              <c:numCache>
                <c:formatCode>General</c:formatCode>
                <c:ptCount val="10"/>
                <c:pt idx="0">
                  <c:v>38</c:v>
                </c:pt>
                <c:pt idx="1">
                  <c:v>2305</c:v>
                </c:pt>
                <c:pt idx="2">
                  <c:v>59524</c:v>
                </c:pt>
                <c:pt idx="3">
                  <c:v>606117</c:v>
                </c:pt>
                <c:pt idx="4">
                  <c:v>2415620</c:v>
                </c:pt>
                <c:pt idx="5">
                  <c:v>3830367</c:v>
                </c:pt>
                <c:pt idx="6">
                  <c:v>2418652</c:v>
                </c:pt>
                <c:pt idx="7">
                  <c:v>605286</c:v>
                </c:pt>
                <c:pt idx="8">
                  <c:v>59738</c:v>
                </c:pt>
                <c:pt idx="9">
                  <c:v>2316</c:v>
                </c:pt>
              </c:numCache>
            </c:numRef>
          </c:yVal>
          <c:smooth val="1"/>
          <c:extLst>
            <c:ext xmlns:c16="http://schemas.microsoft.com/office/drawing/2014/chart" uri="{C3380CC4-5D6E-409C-BE32-E72D297353CC}">
              <c16:uniqueId val="{00000000-19BF-5141-AB50-80F7B45E02D8}"/>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'BtrFS-write'!$H$1:$Q$1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'BtrFS-write'!$H$3:$Q$3</c:f>
              <c:numCache>
                <c:formatCode>General</c:formatCode>
                <c:ptCount val="10"/>
                <c:pt idx="0">
                  <c:v>342</c:v>
                </c:pt>
                <c:pt idx="1">
                  <c:v>22650</c:v>
                </c:pt>
                <c:pt idx="2">
                  <c:v>598126</c:v>
                </c:pt>
                <c:pt idx="3">
                  <c:v>6056049</c:v>
                </c:pt>
                <c:pt idx="4">
                  <c:v>24144756</c:v>
                </c:pt>
                <c:pt idx="5">
                  <c:v>38254067</c:v>
                </c:pt>
                <c:pt idx="6">
                  <c:v>24145490</c:v>
                </c:pt>
                <c:pt idx="7">
                  <c:v>6057346</c:v>
                </c:pt>
                <c:pt idx="8">
                  <c:v>597897</c:v>
                </c:pt>
                <c:pt idx="9">
                  <c:v>22923</c:v>
                </c:pt>
              </c:numCache>
            </c:numRef>
          </c:yVal>
          <c:smooth val="1"/>
          <c:extLst>
            <c:ext xmlns:c16="http://schemas.microsoft.com/office/drawing/2014/chart" uri="{C3380CC4-5D6E-409C-BE32-E72D297353CC}">
              <c16:uniqueId val="{00000001-19BF-5141-AB50-80F7B45E02D8}"/>
            </c:ext>
          </c:extLst>
        </c:ser>
        <c:dLbls>
          <c:showLegendKey val="0"/>
          <c:showVal val="0"/>
          <c:showCatName val="0"/>
          <c:showSerName val="0"/>
          <c:showPercent val="0"/>
          <c:showBubbleSize val="0"/>
        </c:dLbls>
        <c:axId val="1446320576"/>
        <c:axId val="1446463728"/>
      </c:scatterChart>
      <c:valAx>
        <c:axId val="14463205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63728"/>
        <c:crosses val="autoZero"/>
        <c:crossBetween val="midCat"/>
      </c:valAx>
      <c:valAx>
        <c:axId val="144646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205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'BtrFS-write'!$R$1:$AK$1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'BtrFS-write'!$R$2:$AK$2</c:f>
              <c:numCache>
                <c:formatCode>General</c:formatCode>
                <c:ptCount val="20"/>
                <c:pt idx="0">
                  <c:v>0</c:v>
                </c:pt>
                <c:pt idx="1">
                  <c:v>0</c:v>
                </c:pt>
                <c:pt idx="2">
                  <c:v>43194</c:v>
                </c:pt>
                <c:pt idx="3">
                  <c:v>7092295</c:v>
                </c:pt>
                <c:pt idx="4">
                  <c:v>2312792</c:v>
                </c:pt>
                <c:pt idx="5">
                  <c:v>246026</c:v>
                </c:pt>
                <c:pt idx="6">
                  <c:v>106544</c:v>
                </c:pt>
                <c:pt idx="7">
                  <c:v>98360</c:v>
                </c:pt>
                <c:pt idx="8">
                  <c:v>51151</c:v>
                </c:pt>
                <c:pt idx="9">
                  <c:v>23257</c:v>
                </c:pt>
                <c:pt idx="10">
                  <c:v>9525</c:v>
                </c:pt>
                <c:pt idx="11">
                  <c:v>3428</c:v>
                </c:pt>
                <c:pt idx="12">
                  <c:v>1588</c:v>
                </c:pt>
                <c:pt idx="13">
                  <c:v>953</c:v>
                </c:pt>
                <c:pt idx="14">
                  <c:v>824</c:v>
                </c:pt>
                <c:pt idx="15">
                  <c:v>1919</c:v>
                </c:pt>
                <c:pt idx="16">
                  <c:v>2205</c:v>
                </c:pt>
                <c:pt idx="17">
                  <c:v>1407</c:v>
                </c:pt>
                <c:pt idx="18">
                  <c:v>868</c:v>
                </c:pt>
                <c:pt idx="19">
                  <c:v>593</c:v>
                </c:pt>
              </c:numCache>
            </c:numRef>
          </c:yVal>
          <c:smooth val="1"/>
          <c:extLst>
            <c:ext xmlns:c16="http://schemas.microsoft.com/office/drawing/2014/chart" uri="{C3380CC4-5D6E-409C-BE32-E72D297353CC}">
              <c16:uniqueId val="{00000000-F884-3E41-A2BE-20E39E3F9063}"/>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'BtrFS-write'!$R$1:$AK$1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'BtrFS-write'!$R$3:$AK$3</c:f>
              <c:numCache>
                <c:formatCode>General</c:formatCode>
                <c:ptCount val="20"/>
                <c:pt idx="0">
                  <c:v>0</c:v>
                </c:pt>
                <c:pt idx="1">
                  <c:v>0</c:v>
                </c:pt>
                <c:pt idx="2">
                  <c:v>16340</c:v>
                </c:pt>
                <c:pt idx="3">
                  <c:v>8704611</c:v>
                </c:pt>
                <c:pt idx="4">
                  <c:v>24110306</c:v>
                </c:pt>
                <c:pt idx="5">
                  <c:v>29475535</c:v>
                </c:pt>
                <c:pt idx="6">
                  <c:v>28116508</c:v>
                </c:pt>
                <c:pt idx="7">
                  <c:v>6461554</c:v>
                </c:pt>
                <c:pt idx="8">
                  <c:v>999511</c:v>
                </c:pt>
                <c:pt idx="9">
                  <c:v>540411</c:v>
                </c:pt>
                <c:pt idx="10">
                  <c:v>429245</c:v>
                </c:pt>
                <c:pt idx="11">
                  <c:v>329371</c:v>
                </c:pt>
                <c:pt idx="12">
                  <c:v>249782</c:v>
                </c:pt>
                <c:pt idx="13">
                  <c:v>192697</c:v>
                </c:pt>
                <c:pt idx="14">
                  <c:v>144045</c:v>
                </c:pt>
                <c:pt idx="15">
                  <c:v>80071</c:v>
                </c:pt>
                <c:pt idx="16">
                  <c:v>28972</c:v>
                </c:pt>
                <c:pt idx="17">
                  <c:v>8771</c:v>
                </c:pt>
                <c:pt idx="18">
                  <c:v>2890</c:v>
                </c:pt>
                <c:pt idx="19">
                  <c:v>1118</c:v>
                </c:pt>
              </c:numCache>
            </c:numRef>
          </c:yVal>
          <c:smooth val="1"/>
          <c:extLst>
            <c:ext xmlns:c16="http://schemas.microsoft.com/office/drawing/2014/chart" uri="{C3380CC4-5D6E-409C-BE32-E72D297353CC}">
              <c16:uniqueId val="{00000001-F884-3E41-A2BE-20E39E3F9063}"/>
            </c:ext>
          </c:extLst>
        </c:ser>
        <c:dLbls>
          <c:showLegendKey val="0"/>
          <c:showVal val="0"/>
          <c:showCatName val="0"/>
          <c:showSerName val="0"/>
          <c:showPercent val="0"/>
          <c:showBubbleSize val="0"/>
        </c:dLbls>
        <c:axId val="1583623504"/>
        <c:axId val="1449149040"/>
      </c:scatterChart>
      <c:valAx>
        <c:axId val="1583623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149040"/>
        <c:crosses val="autoZero"/>
        <c:crossBetween val="midCat"/>
      </c:valAx>
      <c:valAx>
        <c:axId val="144914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623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'BtrFS-write'!$AT$1:$BM$1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'BtrFS-write'!$AT$2:$BM$2</c:f>
              <c:numCache>
                <c:formatCode>General</c:formatCode>
                <c:ptCount val="20"/>
                <c:pt idx="0">
                  <c:v>62.732979999999998</c:v>
                </c:pt>
                <c:pt idx="1">
                  <c:v>58.807630000000003</c:v>
                </c:pt>
                <c:pt idx="2">
                  <c:v>58.373905000000001</c:v>
                </c:pt>
                <c:pt idx="3">
                  <c:v>60.864502000000002</c:v>
                </c:pt>
                <c:pt idx="4">
                  <c:v>57.041137999999997</c:v>
                </c:pt>
                <c:pt idx="5">
                  <c:v>57.913944000000001</c:v>
                </c:pt>
                <c:pt idx="6">
                  <c:v>55.996986</c:v>
                </c:pt>
                <c:pt idx="7">
                  <c:v>59.048430000000003</c:v>
                </c:pt>
                <c:pt idx="8">
                  <c:v>58.635689999999997</c:v>
                </c:pt>
                <c:pt idx="9">
                  <c:v>56.871009999999998</c:v>
                </c:pt>
                <c:pt idx="10">
                  <c:v>54.703144000000002</c:v>
                </c:pt>
                <c:pt idx="11">
                  <c:v>55.950496999999999</c:v>
                </c:pt>
                <c:pt idx="12">
                  <c:v>54.095576999999999</c:v>
                </c:pt>
                <c:pt idx="13">
                  <c:v>53.793869999999998</c:v>
                </c:pt>
                <c:pt idx="14">
                  <c:v>54.445155999999997</c:v>
                </c:pt>
                <c:pt idx="15">
                  <c:v>54.753487</c:v>
                </c:pt>
                <c:pt idx="16">
                  <c:v>54.279376999999997</c:v>
                </c:pt>
                <c:pt idx="17">
                  <c:v>55.0852</c:v>
                </c:pt>
                <c:pt idx="18">
                  <c:v>53.684719999999999</c:v>
                </c:pt>
                <c:pt idx="19">
                  <c:v>53.356299999999997</c:v>
                </c:pt>
              </c:numCache>
            </c:numRef>
          </c:yVal>
          <c:smooth val="1"/>
          <c:extLst>
            <c:ext xmlns:c16="http://schemas.microsoft.com/office/drawing/2014/chart" uri="{C3380CC4-5D6E-409C-BE32-E72D297353CC}">
              <c16:uniqueId val="{00000000-BD34-9746-9AFC-AB4429DE4E2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'BtrFS-write'!$AT$1:$BM$1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'BtrFS-write'!$AT$3:$BM$3</c:f>
              <c:numCache>
                <c:formatCode>General</c:formatCode>
                <c:ptCount val="20"/>
                <c:pt idx="0">
                  <c:v>57.427019999999999</c:v>
                </c:pt>
                <c:pt idx="1">
                  <c:v>49.656154999999998</c:v>
                </c:pt>
                <c:pt idx="2">
                  <c:v>49.620759999999997</c:v>
                </c:pt>
                <c:pt idx="3">
                  <c:v>46.900753000000002</c:v>
                </c:pt>
                <c:pt idx="4">
                  <c:v>44.457016000000003</c:v>
                </c:pt>
                <c:pt idx="5">
                  <c:v>43.27704</c:v>
                </c:pt>
                <c:pt idx="6">
                  <c:v>41.215687000000003</c:v>
                </c:pt>
                <c:pt idx="7">
                  <c:v>40.295757000000002</c:v>
                </c:pt>
                <c:pt idx="8">
                  <c:v>39.243639999999999</c:v>
                </c:pt>
                <c:pt idx="9">
                  <c:v>38.326976999999999</c:v>
                </c:pt>
                <c:pt idx="10">
                  <c:v>37.222526999999999</c:v>
                </c:pt>
                <c:pt idx="11">
                  <c:v>36.964973000000001</c:v>
                </c:pt>
                <c:pt idx="12">
                  <c:v>35.456535000000002</c:v>
                </c:pt>
                <c:pt idx="13">
                  <c:v>34.753695999999998</c:v>
                </c:pt>
                <c:pt idx="14">
                  <c:v>34.061424000000002</c:v>
                </c:pt>
                <c:pt idx="15">
                  <c:v>33.791224999999997</c:v>
                </c:pt>
                <c:pt idx="16">
                  <c:v>31.916094000000001</c:v>
                </c:pt>
                <c:pt idx="17">
                  <c:v>31.929110000000001</c:v>
                </c:pt>
                <c:pt idx="18">
                  <c:v>31.173023000000001</c:v>
                </c:pt>
                <c:pt idx="19">
                  <c:v>30.163329999999998</c:v>
                </c:pt>
              </c:numCache>
            </c:numRef>
          </c:yVal>
          <c:smooth val="1"/>
          <c:extLst>
            <c:ext xmlns:c16="http://schemas.microsoft.com/office/drawing/2014/chart" uri="{C3380CC4-5D6E-409C-BE32-E72D297353CC}">
              <c16:uniqueId val="{00000001-BD34-9746-9AFC-AB4429DE4E27}"/>
            </c:ext>
          </c:extLst>
        </c:ser>
        <c:dLbls>
          <c:showLegendKey val="0"/>
          <c:showVal val="0"/>
          <c:showCatName val="0"/>
          <c:showSerName val="0"/>
          <c:showPercent val="0"/>
          <c:showBubbleSize val="0"/>
        </c:dLbls>
        <c:axId val="1396309520"/>
        <c:axId val="1449886480"/>
      </c:scatterChart>
      <c:valAx>
        <c:axId val="13963095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886480"/>
        <c:crosses val="autoZero"/>
        <c:crossBetween val="midCat"/>
      </c:valAx>
      <c:valAx>
        <c:axId val="144988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09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'BtrFS-read'!$M$1:$AF$1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'BtrFS-read'!$M$2:$AF$2</c:f>
              <c:numCache>
                <c:formatCode>General</c:formatCode>
                <c:ptCount val="20"/>
                <c:pt idx="0">
                  <c:v>0</c:v>
                </c:pt>
                <c:pt idx="1">
                  <c:v>0</c:v>
                </c:pt>
                <c:pt idx="2">
                  <c:v>474145</c:v>
                </c:pt>
                <c:pt idx="3">
                  <c:v>7548533</c:v>
                </c:pt>
                <c:pt idx="4">
                  <c:v>1088702</c:v>
                </c:pt>
                <c:pt idx="5">
                  <c:v>354753</c:v>
                </c:pt>
                <c:pt idx="6">
                  <c:v>293253</c:v>
                </c:pt>
                <c:pt idx="7">
                  <c:v>139880</c:v>
                </c:pt>
                <c:pt idx="8">
                  <c:v>42582</c:v>
                </c:pt>
                <c:pt idx="9">
                  <c:v>21839</c:v>
                </c:pt>
                <c:pt idx="10">
                  <c:v>9800</c:v>
                </c:pt>
                <c:pt idx="11">
                  <c:v>3339</c:v>
                </c:pt>
                <c:pt idx="12">
                  <c:v>2046</c:v>
                </c:pt>
                <c:pt idx="13">
                  <c:v>1662</c:v>
                </c:pt>
                <c:pt idx="14">
                  <c:v>1255</c:v>
                </c:pt>
                <c:pt idx="15">
                  <c:v>1132</c:v>
                </c:pt>
                <c:pt idx="16">
                  <c:v>932</c:v>
                </c:pt>
                <c:pt idx="17">
                  <c:v>735</c:v>
                </c:pt>
                <c:pt idx="18">
                  <c:v>593</c:v>
                </c:pt>
                <c:pt idx="19">
                  <c:v>479</c:v>
                </c:pt>
              </c:numCache>
            </c:numRef>
          </c:yVal>
          <c:smooth val="1"/>
          <c:extLst>
            <c:ext xmlns:c16="http://schemas.microsoft.com/office/drawing/2014/chart" uri="{C3380CC4-5D6E-409C-BE32-E72D297353CC}">
              <c16:uniqueId val="{00000000-D70A-564C-8D44-DA5F619DE113}"/>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'BtrFS-read'!$M$1:$AF$1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'BtrFS-read'!$M$3:$AF$3</c:f>
              <c:numCache>
                <c:formatCode>General</c:formatCode>
                <c:ptCount val="20"/>
                <c:pt idx="0">
                  <c:v>0</c:v>
                </c:pt>
                <c:pt idx="1">
                  <c:v>68893</c:v>
                </c:pt>
                <c:pt idx="2">
                  <c:v>8219108</c:v>
                </c:pt>
                <c:pt idx="3">
                  <c:v>1311173</c:v>
                </c:pt>
                <c:pt idx="4">
                  <c:v>241310</c:v>
                </c:pt>
                <c:pt idx="5">
                  <c:v>103698</c:v>
                </c:pt>
                <c:pt idx="6">
                  <c:v>25597</c:v>
                </c:pt>
                <c:pt idx="7">
                  <c:v>6739</c:v>
                </c:pt>
                <c:pt idx="8">
                  <c:v>5595</c:v>
                </c:pt>
                <c:pt idx="9">
                  <c:v>1746</c:v>
                </c:pt>
                <c:pt idx="10">
                  <c:v>674</c:v>
                </c:pt>
                <c:pt idx="11">
                  <c:v>506</c:v>
                </c:pt>
                <c:pt idx="12">
                  <c:v>330</c:v>
                </c:pt>
                <c:pt idx="13">
                  <c:v>318</c:v>
                </c:pt>
                <c:pt idx="14">
                  <c:v>312</c:v>
                </c:pt>
                <c:pt idx="15">
                  <c:v>308</c:v>
                </c:pt>
                <c:pt idx="16">
                  <c:v>291</c:v>
                </c:pt>
                <c:pt idx="17">
                  <c:v>322</c:v>
                </c:pt>
                <c:pt idx="18">
                  <c:v>432</c:v>
                </c:pt>
                <c:pt idx="19">
                  <c:v>525</c:v>
                </c:pt>
              </c:numCache>
            </c:numRef>
          </c:yVal>
          <c:smooth val="1"/>
          <c:extLst>
            <c:ext xmlns:c16="http://schemas.microsoft.com/office/drawing/2014/chart" uri="{C3380CC4-5D6E-409C-BE32-E72D297353CC}">
              <c16:uniqueId val="{00000001-D70A-564C-8D44-DA5F619DE113}"/>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'BtrFS-read'!$M$1:$AF$1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'BtrFS-read'!$M$4:$AF$4</c:f>
              <c:numCache>
                <c:formatCode>General</c:formatCode>
                <c:ptCount val="20"/>
                <c:pt idx="0">
                  <c:v>0</c:v>
                </c:pt>
                <c:pt idx="1">
                  <c:v>0</c:v>
                </c:pt>
                <c:pt idx="2">
                  <c:v>0</c:v>
                </c:pt>
                <c:pt idx="3">
                  <c:v>0</c:v>
                </c:pt>
                <c:pt idx="4">
                  <c:v>0</c:v>
                </c:pt>
                <c:pt idx="5">
                  <c:v>16457</c:v>
                </c:pt>
                <c:pt idx="6">
                  <c:v>7615</c:v>
                </c:pt>
                <c:pt idx="7">
                  <c:v>1580</c:v>
                </c:pt>
                <c:pt idx="8">
                  <c:v>478</c:v>
                </c:pt>
                <c:pt idx="9">
                  <c:v>262</c:v>
                </c:pt>
                <c:pt idx="10">
                  <c:v>248</c:v>
                </c:pt>
                <c:pt idx="11">
                  <c:v>433</c:v>
                </c:pt>
                <c:pt idx="12">
                  <c:v>21466</c:v>
                </c:pt>
                <c:pt idx="13">
                  <c:v>3330725</c:v>
                </c:pt>
                <c:pt idx="14">
                  <c:v>6033215</c:v>
                </c:pt>
                <c:pt idx="15">
                  <c:v>38592325</c:v>
                </c:pt>
                <c:pt idx="16">
                  <c:v>21896393</c:v>
                </c:pt>
                <c:pt idx="17">
                  <c:v>7407931</c:v>
                </c:pt>
                <c:pt idx="18">
                  <c:v>2982762</c:v>
                </c:pt>
                <c:pt idx="19">
                  <c:v>2003370</c:v>
                </c:pt>
              </c:numCache>
            </c:numRef>
          </c:yVal>
          <c:smooth val="1"/>
          <c:extLst>
            <c:ext xmlns:c16="http://schemas.microsoft.com/office/drawing/2014/chart" uri="{C3380CC4-5D6E-409C-BE32-E72D297353CC}">
              <c16:uniqueId val="{00000002-D70A-564C-8D44-DA5F619DE113}"/>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'BtrFS-read'!$M$1:$AF$1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'BtrFS-read'!$M$5:$AF$5</c:f>
              <c:numCache>
                <c:formatCode>General</c:formatCode>
                <c:ptCount val="20"/>
                <c:pt idx="0">
                  <c:v>0</c:v>
                </c:pt>
                <c:pt idx="1">
                  <c:v>2</c:v>
                </c:pt>
                <c:pt idx="2">
                  <c:v>75015</c:v>
                </c:pt>
                <c:pt idx="3">
                  <c:v>21657</c:v>
                </c:pt>
                <c:pt idx="4">
                  <c:v>2132</c:v>
                </c:pt>
                <c:pt idx="5">
                  <c:v>15986</c:v>
                </c:pt>
                <c:pt idx="6">
                  <c:v>9651</c:v>
                </c:pt>
                <c:pt idx="7">
                  <c:v>1316</c:v>
                </c:pt>
                <c:pt idx="8">
                  <c:v>330</c:v>
                </c:pt>
                <c:pt idx="9">
                  <c:v>181</c:v>
                </c:pt>
                <c:pt idx="10">
                  <c:v>194</c:v>
                </c:pt>
                <c:pt idx="11">
                  <c:v>4243</c:v>
                </c:pt>
                <c:pt idx="12">
                  <c:v>99371</c:v>
                </c:pt>
                <c:pt idx="13">
                  <c:v>4348720</c:v>
                </c:pt>
                <c:pt idx="14">
                  <c:v>5914254</c:v>
                </c:pt>
                <c:pt idx="15">
                  <c:v>49021670</c:v>
                </c:pt>
                <c:pt idx="16">
                  <c:v>20549517</c:v>
                </c:pt>
                <c:pt idx="17">
                  <c:v>8255282</c:v>
                </c:pt>
                <c:pt idx="18">
                  <c:v>2111758</c:v>
                </c:pt>
                <c:pt idx="19">
                  <c:v>1113585</c:v>
                </c:pt>
              </c:numCache>
            </c:numRef>
          </c:yVal>
          <c:smooth val="1"/>
          <c:extLst>
            <c:ext xmlns:c16="http://schemas.microsoft.com/office/drawing/2014/chart" uri="{C3380CC4-5D6E-409C-BE32-E72D297353CC}">
              <c16:uniqueId val="{00000003-D70A-564C-8D44-DA5F619DE113}"/>
            </c:ext>
          </c:extLst>
        </c:ser>
        <c:dLbls>
          <c:showLegendKey val="0"/>
          <c:showVal val="0"/>
          <c:showCatName val="0"/>
          <c:showSerName val="0"/>
          <c:showPercent val="0"/>
          <c:showBubbleSize val="0"/>
        </c:dLbls>
        <c:axId val="1432530912"/>
        <c:axId val="1453960064"/>
      </c:scatterChart>
      <c:valAx>
        <c:axId val="143253091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960064"/>
        <c:crosses val="autoZero"/>
        <c:crossBetween val="midCat"/>
      </c:valAx>
      <c:valAx>
        <c:axId val="145396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09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Sheet3!$B$24</c:f>
              <c:strCache>
                <c:ptCount val="1"/>
                <c:pt idx="0">
                  <c:v>Write Speed</c:v>
                </c:pt>
              </c:strCache>
            </c:strRef>
          </c:tx>
          <c:spPr>
            <a:solidFill>
              <a:schemeClr val="accent1"/>
            </a:solidFill>
            <a:ln>
              <a:noFill/>
            </a:ln>
            <a:effectLst/>
          </c:spPr>
          <c:invertIfNegative val="0"/>
          <c:val>
            <c:numRef>
              <c:f>Sheet3!$B$25:$B$34</c:f>
              <c:numCache>
                <c:formatCode>General</c:formatCode>
                <c:ptCount val="10"/>
                <c:pt idx="0">
                  <c:v>0</c:v>
                </c:pt>
                <c:pt idx="1">
                  <c:v>1</c:v>
                </c:pt>
                <c:pt idx="2">
                  <c:v>2</c:v>
                </c:pt>
                <c:pt idx="3">
                  <c:v>3</c:v>
                </c:pt>
                <c:pt idx="4">
                  <c:v>4</c:v>
                </c:pt>
                <c:pt idx="5">
                  <c:v>5</c:v>
                </c:pt>
                <c:pt idx="6">
                  <c:v>6</c:v>
                </c:pt>
                <c:pt idx="7">
                  <c:v>7</c:v>
                </c:pt>
                <c:pt idx="8">
                  <c:v>8</c:v>
                </c:pt>
                <c:pt idx="9">
                  <c:v>9</c:v>
                </c:pt>
              </c:numCache>
            </c:numRef>
          </c:val>
          <c:extLst>
            <c:ext xmlns:c16="http://schemas.microsoft.com/office/drawing/2014/chart" uri="{C3380CC4-5D6E-409C-BE32-E72D297353CC}">
              <c16:uniqueId val="{00000000-AB88-2C45-B5C6-608A92F33AFB}"/>
            </c:ext>
          </c:extLst>
        </c:ser>
        <c:ser>
          <c:idx val="1"/>
          <c:order val="1"/>
          <c:tx>
            <c:strRef>
              <c:f>Sheet3!$C$24</c:f>
              <c:strCache>
                <c:ptCount val="1"/>
                <c:pt idx="0">
                  <c:v>Count-3t</c:v>
                </c:pt>
              </c:strCache>
            </c:strRef>
          </c:tx>
          <c:spPr>
            <a:solidFill>
              <a:schemeClr val="accent2"/>
            </a:solidFill>
            <a:ln>
              <a:noFill/>
            </a:ln>
            <a:effectLst/>
          </c:spPr>
          <c:invertIfNegative val="0"/>
          <c:trendline>
            <c:spPr>
              <a:ln w="19050" cap="rnd">
                <a:solidFill>
                  <a:schemeClr val="accent2"/>
                </a:solidFill>
                <a:prstDash val="sysDot"/>
              </a:ln>
              <a:effectLst/>
            </c:spPr>
            <c:trendlineType val="poly"/>
            <c:order val="6"/>
            <c:dispRSqr val="0"/>
            <c:dispEq val="0"/>
          </c:trendline>
          <c:val>
            <c:numRef>
              <c:f>Sheet3!$C$25:$C$34</c:f>
              <c:numCache>
                <c:formatCode>General</c:formatCode>
                <c:ptCount val="10"/>
                <c:pt idx="0">
                  <c:v>0</c:v>
                </c:pt>
                <c:pt idx="1">
                  <c:v>0</c:v>
                </c:pt>
                <c:pt idx="2">
                  <c:v>0</c:v>
                </c:pt>
                <c:pt idx="3">
                  <c:v>54601</c:v>
                </c:pt>
                <c:pt idx="4">
                  <c:v>1863133</c:v>
                </c:pt>
                <c:pt idx="5">
                  <c:v>3970441</c:v>
                </c:pt>
                <c:pt idx="6">
                  <c:v>5805703</c:v>
                </c:pt>
                <c:pt idx="7">
                  <c:v>7339798</c:v>
                </c:pt>
                <c:pt idx="8">
                  <c:v>7462048</c:v>
                </c:pt>
                <c:pt idx="9">
                  <c:v>6956366</c:v>
                </c:pt>
              </c:numCache>
            </c:numRef>
          </c:val>
          <c:extLst>
            <c:ext xmlns:c16="http://schemas.microsoft.com/office/drawing/2014/chart" uri="{C3380CC4-5D6E-409C-BE32-E72D297353CC}">
              <c16:uniqueId val="{00000001-AB88-2C45-B5C6-608A92F33AFB}"/>
            </c:ext>
          </c:extLst>
        </c:ser>
        <c:dLbls>
          <c:showLegendKey val="0"/>
          <c:showVal val="0"/>
          <c:showCatName val="0"/>
          <c:showSerName val="0"/>
          <c:showPercent val="0"/>
          <c:showBubbleSize val="0"/>
        </c:dLbls>
        <c:gapWidth val="219"/>
        <c:overlap val="-27"/>
        <c:axId val="2139891520"/>
        <c:axId val="2140008432"/>
      </c:barChart>
      <c:catAx>
        <c:axId val="2139891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08432"/>
        <c:crosses val="autoZero"/>
        <c:auto val="1"/>
        <c:lblAlgn val="ctr"/>
        <c:lblOffset val="100"/>
        <c:noMultiLvlLbl val="0"/>
      </c:catAx>
      <c:valAx>
        <c:axId val="214000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89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'F2FS-write'!$H$1:$Q$1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'F2FS-write'!$H$2:$Q$2</c:f>
              <c:numCache>
                <c:formatCode>General</c:formatCode>
                <c:ptCount val="10"/>
                <c:pt idx="0">
                  <c:v>6</c:v>
                </c:pt>
                <c:pt idx="1">
                  <c:v>218</c:v>
                </c:pt>
                <c:pt idx="2">
                  <c:v>5888</c:v>
                </c:pt>
                <c:pt idx="3">
                  <c:v>60593</c:v>
                </c:pt>
                <c:pt idx="4">
                  <c:v>241921</c:v>
                </c:pt>
                <c:pt idx="5">
                  <c:v>383117</c:v>
                </c:pt>
                <c:pt idx="6">
                  <c:v>241787</c:v>
                </c:pt>
                <c:pt idx="7">
                  <c:v>60336</c:v>
                </c:pt>
                <c:pt idx="8">
                  <c:v>5898</c:v>
                </c:pt>
                <c:pt idx="9">
                  <c:v>231</c:v>
                </c:pt>
              </c:numCache>
            </c:numRef>
          </c:yVal>
          <c:smooth val="1"/>
          <c:extLst>
            <c:ext xmlns:c16="http://schemas.microsoft.com/office/drawing/2014/chart" uri="{C3380CC4-5D6E-409C-BE32-E72D297353CC}">
              <c16:uniqueId val="{00000000-EEC2-F142-9D84-3CAF0F40266C}"/>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'F2FS-write'!$H$1:$Q$1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'F2FS-write'!$H$3:$Q$3</c:f>
              <c:numCache>
                <c:formatCode>General</c:formatCode>
                <c:ptCount val="10"/>
                <c:pt idx="0">
                  <c:v>20</c:v>
                </c:pt>
                <c:pt idx="1">
                  <c:v>1419</c:v>
                </c:pt>
                <c:pt idx="2">
                  <c:v>35780</c:v>
                </c:pt>
                <c:pt idx="3">
                  <c:v>362248</c:v>
                </c:pt>
                <c:pt idx="4">
                  <c:v>1450760</c:v>
                </c:pt>
                <c:pt idx="5">
                  <c:v>2297252</c:v>
                </c:pt>
                <c:pt idx="6">
                  <c:v>1451902</c:v>
                </c:pt>
                <c:pt idx="7">
                  <c:v>363118</c:v>
                </c:pt>
                <c:pt idx="8">
                  <c:v>36011</c:v>
                </c:pt>
                <c:pt idx="9">
                  <c:v>1460</c:v>
                </c:pt>
              </c:numCache>
            </c:numRef>
          </c:yVal>
          <c:smooth val="1"/>
          <c:extLst>
            <c:ext xmlns:c16="http://schemas.microsoft.com/office/drawing/2014/chart" uri="{C3380CC4-5D6E-409C-BE32-E72D297353CC}">
              <c16:uniqueId val="{00000001-EEC2-F142-9D84-3CAF0F40266C}"/>
            </c:ext>
          </c:extLst>
        </c:ser>
        <c:dLbls>
          <c:showLegendKey val="0"/>
          <c:showVal val="0"/>
          <c:showCatName val="0"/>
          <c:showSerName val="0"/>
          <c:showPercent val="0"/>
          <c:showBubbleSize val="0"/>
        </c:dLbls>
        <c:axId val="1399961776"/>
        <c:axId val="1400593008"/>
      </c:scatterChart>
      <c:valAx>
        <c:axId val="13999617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593008"/>
        <c:crosses val="autoZero"/>
        <c:crossBetween val="midCat"/>
      </c:valAx>
      <c:valAx>
        <c:axId val="140059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61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'F2FS-write'!$R$1:$AK$1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'F2FS-write'!$R$2:$AK$2</c:f>
              <c:numCache>
                <c:formatCode>General</c:formatCode>
                <c:ptCount val="20"/>
                <c:pt idx="0">
                  <c:v>0</c:v>
                </c:pt>
                <c:pt idx="1">
                  <c:v>7696</c:v>
                </c:pt>
                <c:pt idx="2">
                  <c:v>844315</c:v>
                </c:pt>
                <c:pt idx="3">
                  <c:v>80347</c:v>
                </c:pt>
                <c:pt idx="4">
                  <c:v>30535</c:v>
                </c:pt>
                <c:pt idx="5">
                  <c:v>26346</c:v>
                </c:pt>
                <c:pt idx="6">
                  <c:v>5575</c:v>
                </c:pt>
                <c:pt idx="7">
                  <c:v>1770</c:v>
                </c:pt>
                <c:pt idx="8">
                  <c:v>1026</c:v>
                </c:pt>
                <c:pt idx="9">
                  <c:v>687</c:v>
                </c:pt>
                <c:pt idx="10">
                  <c:v>404</c:v>
                </c:pt>
                <c:pt idx="11">
                  <c:v>196</c:v>
                </c:pt>
                <c:pt idx="12">
                  <c:v>137</c:v>
                </c:pt>
                <c:pt idx="13">
                  <c:v>71</c:v>
                </c:pt>
                <c:pt idx="14">
                  <c:v>32</c:v>
                </c:pt>
                <c:pt idx="15">
                  <c:v>37</c:v>
                </c:pt>
                <c:pt idx="16">
                  <c:v>20</c:v>
                </c:pt>
                <c:pt idx="17">
                  <c:v>19</c:v>
                </c:pt>
                <c:pt idx="18">
                  <c:v>9</c:v>
                </c:pt>
                <c:pt idx="19">
                  <c:v>12</c:v>
                </c:pt>
              </c:numCache>
            </c:numRef>
          </c:yVal>
          <c:smooth val="1"/>
          <c:extLst>
            <c:ext xmlns:c16="http://schemas.microsoft.com/office/drawing/2014/chart" uri="{C3380CC4-5D6E-409C-BE32-E72D297353CC}">
              <c16:uniqueId val="{00000000-0052-ED4D-8243-424E6015D54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'F2FS-write'!$R$1:$AK$1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'F2FS-write'!$R$3:$AK$3</c:f>
              <c:numCache>
                <c:formatCode>General</c:formatCode>
                <c:ptCount val="20"/>
                <c:pt idx="0">
                  <c:v>0</c:v>
                </c:pt>
                <c:pt idx="1">
                  <c:v>126914</c:v>
                </c:pt>
                <c:pt idx="2">
                  <c:v>5206681</c:v>
                </c:pt>
                <c:pt idx="3">
                  <c:v>296680</c:v>
                </c:pt>
                <c:pt idx="4">
                  <c:v>171787</c:v>
                </c:pt>
                <c:pt idx="5">
                  <c:v>146274</c:v>
                </c:pt>
                <c:pt idx="6">
                  <c:v>22922</c:v>
                </c:pt>
                <c:pt idx="7">
                  <c:v>9716</c:v>
                </c:pt>
                <c:pt idx="8">
                  <c:v>5263</c:v>
                </c:pt>
                <c:pt idx="9">
                  <c:v>3020</c:v>
                </c:pt>
                <c:pt idx="10">
                  <c:v>1948</c:v>
                </c:pt>
                <c:pt idx="11">
                  <c:v>1278</c:v>
                </c:pt>
                <c:pt idx="12">
                  <c:v>709</c:v>
                </c:pt>
                <c:pt idx="13">
                  <c:v>453</c:v>
                </c:pt>
                <c:pt idx="14">
                  <c:v>284</c:v>
                </c:pt>
                <c:pt idx="15">
                  <c:v>212</c:v>
                </c:pt>
                <c:pt idx="16">
                  <c:v>151</c:v>
                </c:pt>
                <c:pt idx="17">
                  <c:v>118</c:v>
                </c:pt>
                <c:pt idx="18">
                  <c:v>82</c:v>
                </c:pt>
                <c:pt idx="19">
                  <c:v>58</c:v>
                </c:pt>
              </c:numCache>
            </c:numRef>
          </c:yVal>
          <c:smooth val="1"/>
          <c:extLst>
            <c:ext xmlns:c16="http://schemas.microsoft.com/office/drawing/2014/chart" uri="{C3380CC4-5D6E-409C-BE32-E72D297353CC}">
              <c16:uniqueId val="{00000001-0052-ED4D-8243-424E6015D54E}"/>
            </c:ext>
          </c:extLst>
        </c:ser>
        <c:dLbls>
          <c:showLegendKey val="0"/>
          <c:showVal val="0"/>
          <c:showCatName val="0"/>
          <c:showSerName val="0"/>
          <c:showPercent val="0"/>
          <c:showBubbleSize val="0"/>
        </c:dLbls>
        <c:axId val="1447015648"/>
        <c:axId val="1446830176"/>
      </c:scatterChart>
      <c:valAx>
        <c:axId val="14470156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30176"/>
        <c:crosses val="autoZero"/>
        <c:crossBetween val="midCat"/>
      </c:valAx>
      <c:valAx>
        <c:axId val="144683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015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'F2FS-write'!$AT$1:$BM$1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'F2FS-write'!$AT$2:$BM$2</c:f>
              <c:numCache>
                <c:formatCode>General</c:formatCode>
                <c:ptCount val="20"/>
                <c:pt idx="0">
                  <c:v>79.044700000000006</c:v>
                </c:pt>
                <c:pt idx="1">
                  <c:v>32.9559</c:v>
                </c:pt>
                <c:pt idx="2">
                  <c:v>70.449160000000006</c:v>
                </c:pt>
                <c:pt idx="3">
                  <c:v>68.328149999999994</c:v>
                </c:pt>
                <c:pt idx="4">
                  <c:v>73.485309999999998</c:v>
                </c:pt>
                <c:pt idx="5">
                  <c:v>65.899109999999993</c:v>
                </c:pt>
                <c:pt idx="6">
                  <c:v>76.067115999999999</c:v>
                </c:pt>
                <c:pt idx="7">
                  <c:v>70.059719999999999</c:v>
                </c:pt>
                <c:pt idx="8">
                  <c:v>62.900894000000001</c:v>
                </c:pt>
                <c:pt idx="9">
                  <c:v>67.353369999999998</c:v>
                </c:pt>
                <c:pt idx="10">
                  <c:v>65.997020000000006</c:v>
                </c:pt>
                <c:pt idx="11">
                  <c:v>75.888159999999999</c:v>
                </c:pt>
                <c:pt idx="12">
                  <c:v>50.111660000000001</c:v>
                </c:pt>
                <c:pt idx="13">
                  <c:v>70.093990000000005</c:v>
                </c:pt>
                <c:pt idx="14">
                  <c:v>69.979879999999994</c:v>
                </c:pt>
                <c:pt idx="15">
                  <c:v>42.643810000000002</c:v>
                </c:pt>
                <c:pt idx="16">
                  <c:v>69.052440000000004</c:v>
                </c:pt>
                <c:pt idx="17">
                  <c:v>66.827079999999995</c:v>
                </c:pt>
                <c:pt idx="18">
                  <c:v>72.730969999999999</c:v>
                </c:pt>
                <c:pt idx="19">
                  <c:v>76.060929999999999</c:v>
                </c:pt>
              </c:numCache>
            </c:numRef>
          </c:yVal>
          <c:smooth val="1"/>
          <c:extLst>
            <c:ext xmlns:c16="http://schemas.microsoft.com/office/drawing/2014/chart" uri="{C3380CC4-5D6E-409C-BE32-E72D297353CC}">
              <c16:uniqueId val="{00000000-2882-9A4B-B228-36E006114AA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'F2FS-write'!$AT$1:$BM$1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'F2FS-write'!$AT$3:$BM$3</c:f>
              <c:numCache>
                <c:formatCode>General</c:formatCode>
                <c:ptCount val="20"/>
                <c:pt idx="0">
                  <c:v>72.03246</c:v>
                </c:pt>
                <c:pt idx="1">
                  <c:v>48.011257000000001</c:v>
                </c:pt>
                <c:pt idx="2">
                  <c:v>63.059947999999999</c:v>
                </c:pt>
                <c:pt idx="3">
                  <c:v>72.281580000000005</c:v>
                </c:pt>
                <c:pt idx="4">
                  <c:v>72.104470000000006</c:v>
                </c:pt>
                <c:pt idx="5">
                  <c:v>49.598089999999999</c:v>
                </c:pt>
                <c:pt idx="6">
                  <c:v>69.483270000000005</c:v>
                </c:pt>
                <c:pt idx="7">
                  <c:v>71.620154999999997</c:v>
                </c:pt>
                <c:pt idx="8">
                  <c:v>71.140110000000007</c:v>
                </c:pt>
                <c:pt idx="9">
                  <c:v>43.346393999999997</c:v>
                </c:pt>
                <c:pt idx="10">
                  <c:v>72.511319999999998</c:v>
                </c:pt>
                <c:pt idx="11">
                  <c:v>42.983370000000001</c:v>
                </c:pt>
                <c:pt idx="12">
                  <c:v>71.265820000000005</c:v>
                </c:pt>
                <c:pt idx="13">
                  <c:v>76.576300000000003</c:v>
                </c:pt>
                <c:pt idx="14">
                  <c:v>54.206394000000003</c:v>
                </c:pt>
                <c:pt idx="15">
                  <c:v>73.993269999999995</c:v>
                </c:pt>
                <c:pt idx="16">
                  <c:v>48.958199999999998</c:v>
                </c:pt>
                <c:pt idx="17">
                  <c:v>57.153748</c:v>
                </c:pt>
                <c:pt idx="18">
                  <c:v>41.646434999999997</c:v>
                </c:pt>
                <c:pt idx="19">
                  <c:v>45.669013999999997</c:v>
                </c:pt>
              </c:numCache>
            </c:numRef>
          </c:yVal>
          <c:smooth val="1"/>
          <c:extLst>
            <c:ext xmlns:c16="http://schemas.microsoft.com/office/drawing/2014/chart" uri="{C3380CC4-5D6E-409C-BE32-E72D297353CC}">
              <c16:uniqueId val="{00000001-2882-9A4B-B228-36E006114AA0}"/>
            </c:ext>
          </c:extLst>
        </c:ser>
        <c:dLbls>
          <c:showLegendKey val="0"/>
          <c:showVal val="0"/>
          <c:showCatName val="0"/>
          <c:showSerName val="0"/>
          <c:showPercent val="0"/>
          <c:showBubbleSize val="0"/>
        </c:dLbls>
        <c:axId val="1432148896"/>
        <c:axId val="1453905504"/>
      </c:scatterChart>
      <c:valAx>
        <c:axId val="14321488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905504"/>
        <c:crosses val="autoZero"/>
        <c:crossBetween val="midCat"/>
      </c:valAx>
      <c:valAx>
        <c:axId val="145390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148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'F2FS-read'!$M$1:$AF$1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'F2FS-read'!$M$2:$AF$2</c:f>
              <c:numCache>
                <c:formatCode>General</c:formatCode>
                <c:ptCount val="20"/>
                <c:pt idx="0">
                  <c:v>0</c:v>
                </c:pt>
                <c:pt idx="1">
                  <c:v>0</c:v>
                </c:pt>
                <c:pt idx="2">
                  <c:v>160325</c:v>
                </c:pt>
                <c:pt idx="3">
                  <c:v>505698</c:v>
                </c:pt>
                <c:pt idx="4">
                  <c:v>246327</c:v>
                </c:pt>
                <c:pt idx="5">
                  <c:v>58139</c:v>
                </c:pt>
                <c:pt idx="6">
                  <c:v>15748</c:v>
                </c:pt>
                <c:pt idx="7">
                  <c:v>5439</c:v>
                </c:pt>
                <c:pt idx="8">
                  <c:v>3391</c:v>
                </c:pt>
                <c:pt idx="9">
                  <c:v>1696</c:v>
                </c:pt>
                <c:pt idx="10">
                  <c:v>513</c:v>
                </c:pt>
                <c:pt idx="11">
                  <c:v>239</c:v>
                </c:pt>
                <c:pt idx="12">
                  <c:v>111</c:v>
                </c:pt>
                <c:pt idx="13">
                  <c:v>92</c:v>
                </c:pt>
                <c:pt idx="14">
                  <c:v>78</c:v>
                </c:pt>
                <c:pt idx="15">
                  <c:v>64</c:v>
                </c:pt>
                <c:pt idx="16">
                  <c:v>70</c:v>
                </c:pt>
                <c:pt idx="17">
                  <c:v>85</c:v>
                </c:pt>
                <c:pt idx="18">
                  <c:v>98</c:v>
                </c:pt>
                <c:pt idx="19">
                  <c:v>102</c:v>
                </c:pt>
              </c:numCache>
            </c:numRef>
          </c:yVal>
          <c:smooth val="1"/>
          <c:extLst>
            <c:ext xmlns:c16="http://schemas.microsoft.com/office/drawing/2014/chart" uri="{C3380CC4-5D6E-409C-BE32-E72D297353CC}">
              <c16:uniqueId val="{00000000-4C4A-9F4D-9DF8-812A0B0FB2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'F2FS-read'!$M$1:$AF$1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'F2FS-read'!$M$3:$AF$3</c:f>
              <c:numCache>
                <c:formatCode>General</c:formatCode>
                <c:ptCount val="20"/>
                <c:pt idx="0">
                  <c:v>0</c:v>
                </c:pt>
                <c:pt idx="1">
                  <c:v>0</c:v>
                </c:pt>
                <c:pt idx="2">
                  <c:v>346046</c:v>
                </c:pt>
                <c:pt idx="3">
                  <c:v>423596</c:v>
                </c:pt>
                <c:pt idx="4">
                  <c:v>171562</c:v>
                </c:pt>
                <c:pt idx="5">
                  <c:v>37721</c:v>
                </c:pt>
                <c:pt idx="6">
                  <c:v>9839</c:v>
                </c:pt>
                <c:pt idx="7">
                  <c:v>5245</c:v>
                </c:pt>
                <c:pt idx="8">
                  <c:v>2145</c:v>
                </c:pt>
                <c:pt idx="9">
                  <c:v>802</c:v>
                </c:pt>
                <c:pt idx="10">
                  <c:v>420</c:v>
                </c:pt>
                <c:pt idx="11">
                  <c:v>307</c:v>
                </c:pt>
                <c:pt idx="12">
                  <c:v>140</c:v>
                </c:pt>
                <c:pt idx="13">
                  <c:v>94</c:v>
                </c:pt>
                <c:pt idx="14">
                  <c:v>71</c:v>
                </c:pt>
                <c:pt idx="15">
                  <c:v>68</c:v>
                </c:pt>
                <c:pt idx="16">
                  <c:v>77</c:v>
                </c:pt>
                <c:pt idx="17">
                  <c:v>50</c:v>
                </c:pt>
                <c:pt idx="18">
                  <c:v>53</c:v>
                </c:pt>
                <c:pt idx="19">
                  <c:v>68</c:v>
                </c:pt>
              </c:numCache>
            </c:numRef>
          </c:yVal>
          <c:smooth val="1"/>
          <c:extLst>
            <c:ext xmlns:c16="http://schemas.microsoft.com/office/drawing/2014/chart" uri="{C3380CC4-5D6E-409C-BE32-E72D297353CC}">
              <c16:uniqueId val="{00000001-4C4A-9F4D-9DF8-812A0B0FB2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'F2FS-read'!$M$1:$AF$1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'F2FS-read'!$M$4:$AF$4</c:f>
              <c:numCache>
                <c:formatCode>General</c:formatCode>
                <c:ptCount val="20"/>
                <c:pt idx="0">
                  <c:v>0</c:v>
                </c:pt>
                <c:pt idx="1">
                  <c:v>597</c:v>
                </c:pt>
                <c:pt idx="2">
                  <c:v>2302763</c:v>
                </c:pt>
                <c:pt idx="3">
                  <c:v>1070797</c:v>
                </c:pt>
                <c:pt idx="4">
                  <c:v>169405</c:v>
                </c:pt>
                <c:pt idx="5">
                  <c:v>45738</c:v>
                </c:pt>
                <c:pt idx="6">
                  <c:v>32386</c:v>
                </c:pt>
                <c:pt idx="7">
                  <c:v>5677</c:v>
                </c:pt>
                <c:pt idx="8">
                  <c:v>3609</c:v>
                </c:pt>
                <c:pt idx="9">
                  <c:v>1963</c:v>
                </c:pt>
                <c:pt idx="10">
                  <c:v>5280</c:v>
                </c:pt>
                <c:pt idx="11">
                  <c:v>6804</c:v>
                </c:pt>
                <c:pt idx="12">
                  <c:v>12559</c:v>
                </c:pt>
                <c:pt idx="13">
                  <c:v>6018</c:v>
                </c:pt>
                <c:pt idx="14">
                  <c:v>24022</c:v>
                </c:pt>
                <c:pt idx="15">
                  <c:v>15449</c:v>
                </c:pt>
                <c:pt idx="16">
                  <c:v>56241</c:v>
                </c:pt>
                <c:pt idx="17">
                  <c:v>49237</c:v>
                </c:pt>
                <c:pt idx="18">
                  <c:v>344060</c:v>
                </c:pt>
                <c:pt idx="19">
                  <c:v>302166</c:v>
                </c:pt>
              </c:numCache>
            </c:numRef>
          </c:yVal>
          <c:smooth val="1"/>
          <c:extLst>
            <c:ext xmlns:c16="http://schemas.microsoft.com/office/drawing/2014/chart" uri="{C3380CC4-5D6E-409C-BE32-E72D297353CC}">
              <c16:uniqueId val="{00000002-4C4A-9F4D-9DF8-812A0B0FB2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'F2FS-read'!$M$1:$AF$1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'F2FS-read'!$M$5:$AF$5</c:f>
              <c:numCache>
                <c:formatCode>General</c:formatCode>
                <c:ptCount val="20"/>
                <c:pt idx="0">
                  <c:v>0</c:v>
                </c:pt>
                <c:pt idx="1">
                  <c:v>7015</c:v>
                </c:pt>
                <c:pt idx="2">
                  <c:v>3244975</c:v>
                </c:pt>
                <c:pt idx="3">
                  <c:v>2029146</c:v>
                </c:pt>
                <c:pt idx="4">
                  <c:v>499745</c:v>
                </c:pt>
                <c:pt idx="5">
                  <c:v>91519</c:v>
                </c:pt>
                <c:pt idx="6">
                  <c:v>32648</c:v>
                </c:pt>
                <c:pt idx="7">
                  <c:v>13774</c:v>
                </c:pt>
                <c:pt idx="8">
                  <c:v>19798</c:v>
                </c:pt>
                <c:pt idx="9">
                  <c:v>7741</c:v>
                </c:pt>
                <c:pt idx="10">
                  <c:v>2067</c:v>
                </c:pt>
                <c:pt idx="11">
                  <c:v>972</c:v>
                </c:pt>
                <c:pt idx="12">
                  <c:v>1953</c:v>
                </c:pt>
                <c:pt idx="13">
                  <c:v>1890</c:v>
                </c:pt>
                <c:pt idx="14">
                  <c:v>10046</c:v>
                </c:pt>
                <c:pt idx="15">
                  <c:v>4110</c:v>
                </c:pt>
                <c:pt idx="16">
                  <c:v>2706</c:v>
                </c:pt>
                <c:pt idx="17">
                  <c:v>2910</c:v>
                </c:pt>
                <c:pt idx="18">
                  <c:v>7965</c:v>
                </c:pt>
                <c:pt idx="19">
                  <c:v>3834</c:v>
                </c:pt>
              </c:numCache>
            </c:numRef>
          </c:yVal>
          <c:smooth val="1"/>
          <c:extLst>
            <c:ext xmlns:c16="http://schemas.microsoft.com/office/drawing/2014/chart" uri="{C3380CC4-5D6E-409C-BE32-E72D297353CC}">
              <c16:uniqueId val="{00000003-4C4A-9F4D-9DF8-812A0B0FB229}"/>
            </c:ext>
          </c:extLst>
        </c:ser>
        <c:dLbls>
          <c:showLegendKey val="0"/>
          <c:showVal val="0"/>
          <c:showCatName val="0"/>
          <c:showSerName val="0"/>
          <c:showPercent val="0"/>
          <c:showBubbleSize val="0"/>
        </c:dLbls>
        <c:axId val="1443488944"/>
        <c:axId val="1364360336"/>
      </c:scatterChart>
      <c:valAx>
        <c:axId val="1443488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60336"/>
        <c:crosses val="autoZero"/>
        <c:crossBetween val="midCat"/>
      </c:valAx>
      <c:valAx>
        <c:axId val="136436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889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453608247422681E-2"/>
          <c:y val="5.931672192291753E-2"/>
          <c:w val="0.93525773195876294"/>
          <c:h val="0.80252952755905516"/>
        </c:manualLayout>
      </c:layout>
      <c:scatterChart>
        <c:scatterStyle val="smoothMarker"/>
        <c:varyColors val="0"/>
        <c:ser>
          <c:idx val="0"/>
          <c:order val="0"/>
          <c:tx>
            <c:v>EXT4 10M</c:v>
          </c:tx>
          <c:spPr>
            <a:ln w="19050" cap="rnd">
              <a:solidFill>
                <a:schemeClr val="accent1"/>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'Combined-write'!$H$2:$Q$2</c:f>
              <c:numCache>
                <c:formatCode>General</c:formatCode>
                <c:ptCount val="10"/>
                <c:pt idx="0">
                  <c:v>39</c:v>
                </c:pt>
                <c:pt idx="1">
                  <c:v>2326</c:v>
                </c:pt>
                <c:pt idx="2">
                  <c:v>59639</c:v>
                </c:pt>
                <c:pt idx="3">
                  <c:v>606858</c:v>
                </c:pt>
                <c:pt idx="4">
                  <c:v>2415419</c:v>
                </c:pt>
                <c:pt idx="5">
                  <c:v>3833682</c:v>
                </c:pt>
                <c:pt idx="6">
                  <c:v>2414922</c:v>
                </c:pt>
                <c:pt idx="7">
                  <c:v>605293</c:v>
                </c:pt>
                <c:pt idx="8">
                  <c:v>59524</c:v>
                </c:pt>
                <c:pt idx="9">
                  <c:v>2267</c:v>
                </c:pt>
              </c:numCache>
            </c:numRef>
          </c:yVal>
          <c:smooth val="1"/>
          <c:extLst>
            <c:ext xmlns:c16="http://schemas.microsoft.com/office/drawing/2014/chart" uri="{C3380CC4-5D6E-409C-BE32-E72D297353CC}">
              <c16:uniqueId val="{00000000-E5DA-6F4B-94F5-2EA771448764}"/>
            </c:ext>
          </c:extLst>
        </c:ser>
        <c:ser>
          <c:idx val="1"/>
          <c:order val="1"/>
          <c:tx>
            <c:v>EXT4 100M</c:v>
          </c:tx>
          <c:spPr>
            <a:ln w="19050" cap="rnd">
              <a:solidFill>
                <a:schemeClr val="accent2"/>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'Combined-write'!$H$3:$Q$3</c:f>
              <c:numCache>
                <c:formatCode>General</c:formatCode>
                <c:ptCount val="10"/>
                <c:pt idx="0">
                  <c:v>334</c:v>
                </c:pt>
                <c:pt idx="1">
                  <c:v>22921</c:v>
                </c:pt>
                <c:pt idx="2">
                  <c:v>598633</c:v>
                </c:pt>
                <c:pt idx="3">
                  <c:v>6062379</c:v>
                </c:pt>
                <c:pt idx="4">
                  <c:v>24181653</c:v>
                </c:pt>
                <c:pt idx="5">
                  <c:v>38282347</c:v>
                </c:pt>
                <c:pt idx="6">
                  <c:v>24169224</c:v>
                </c:pt>
                <c:pt idx="7">
                  <c:v>6061047</c:v>
                </c:pt>
                <c:pt idx="8">
                  <c:v>597990</c:v>
                </c:pt>
                <c:pt idx="9">
                  <c:v>23151</c:v>
                </c:pt>
              </c:numCache>
            </c:numRef>
          </c:yVal>
          <c:smooth val="1"/>
          <c:extLst>
            <c:ext xmlns:c16="http://schemas.microsoft.com/office/drawing/2014/chart" uri="{C3380CC4-5D6E-409C-BE32-E72D297353CC}">
              <c16:uniqueId val="{00000001-E5DA-6F4B-94F5-2EA771448764}"/>
            </c:ext>
          </c:extLst>
        </c:ser>
        <c:ser>
          <c:idx val="2"/>
          <c:order val="2"/>
          <c:tx>
            <c:v>XFS 10M</c:v>
          </c:tx>
          <c:spPr>
            <a:ln w="19050" cap="rnd">
              <a:solidFill>
                <a:schemeClr val="accent3"/>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'Combined-write'!$H$4:$Q$4</c:f>
              <c:numCache>
                <c:formatCode>General</c:formatCode>
                <c:ptCount val="10"/>
                <c:pt idx="0">
                  <c:v>28</c:v>
                </c:pt>
                <c:pt idx="1">
                  <c:v>2320</c:v>
                </c:pt>
                <c:pt idx="2">
                  <c:v>59866</c:v>
                </c:pt>
                <c:pt idx="3">
                  <c:v>606648</c:v>
                </c:pt>
                <c:pt idx="4">
                  <c:v>2415088</c:v>
                </c:pt>
                <c:pt idx="5">
                  <c:v>3830154</c:v>
                </c:pt>
                <c:pt idx="6">
                  <c:v>2417166</c:v>
                </c:pt>
                <c:pt idx="7">
                  <c:v>606761</c:v>
                </c:pt>
                <c:pt idx="8">
                  <c:v>59587</c:v>
                </c:pt>
                <c:pt idx="9">
                  <c:v>2341</c:v>
                </c:pt>
              </c:numCache>
            </c:numRef>
          </c:yVal>
          <c:smooth val="1"/>
          <c:extLst>
            <c:ext xmlns:c16="http://schemas.microsoft.com/office/drawing/2014/chart" uri="{C3380CC4-5D6E-409C-BE32-E72D297353CC}">
              <c16:uniqueId val="{00000002-E5DA-6F4B-94F5-2EA771448764}"/>
            </c:ext>
          </c:extLst>
        </c:ser>
        <c:ser>
          <c:idx val="3"/>
          <c:order val="3"/>
          <c:tx>
            <c:v>XFS 100M</c:v>
          </c:tx>
          <c:spPr>
            <a:ln w="19050" cap="rnd">
              <a:solidFill>
                <a:schemeClr val="accent4"/>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'Combined-write'!$H$5:$Q$5</c:f>
              <c:numCache>
                <c:formatCode>General</c:formatCode>
                <c:ptCount val="10"/>
                <c:pt idx="0">
                  <c:v>327</c:v>
                </c:pt>
                <c:pt idx="1">
                  <c:v>23110</c:v>
                </c:pt>
                <c:pt idx="2">
                  <c:v>599178</c:v>
                </c:pt>
                <c:pt idx="3">
                  <c:v>6058210</c:v>
                </c:pt>
                <c:pt idx="4">
                  <c:v>24176454</c:v>
                </c:pt>
                <c:pt idx="5">
                  <c:v>38291431</c:v>
                </c:pt>
                <c:pt idx="6">
                  <c:v>24172220</c:v>
                </c:pt>
                <c:pt idx="7">
                  <c:v>6059210</c:v>
                </c:pt>
                <c:pt idx="8">
                  <c:v>596580</c:v>
                </c:pt>
                <c:pt idx="9">
                  <c:v>22945</c:v>
                </c:pt>
              </c:numCache>
            </c:numRef>
          </c:yVal>
          <c:smooth val="1"/>
          <c:extLst>
            <c:ext xmlns:c16="http://schemas.microsoft.com/office/drawing/2014/chart" uri="{C3380CC4-5D6E-409C-BE32-E72D297353CC}">
              <c16:uniqueId val="{00000003-E5DA-6F4B-94F5-2EA771448764}"/>
            </c:ext>
          </c:extLst>
        </c:ser>
        <c:ser>
          <c:idx val="4"/>
          <c:order val="4"/>
          <c:tx>
            <c:v>BTRFS 10M</c:v>
          </c:tx>
          <c:spPr>
            <a:ln w="19050" cap="rnd">
              <a:solidFill>
                <a:schemeClr val="accent5"/>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'Combined-write'!$H$6:$Q$6</c:f>
              <c:numCache>
                <c:formatCode>General</c:formatCode>
                <c:ptCount val="10"/>
                <c:pt idx="0">
                  <c:v>38</c:v>
                </c:pt>
                <c:pt idx="1">
                  <c:v>2305</c:v>
                </c:pt>
                <c:pt idx="2">
                  <c:v>59524</c:v>
                </c:pt>
                <c:pt idx="3">
                  <c:v>606117</c:v>
                </c:pt>
                <c:pt idx="4">
                  <c:v>2415620</c:v>
                </c:pt>
                <c:pt idx="5">
                  <c:v>3830367</c:v>
                </c:pt>
                <c:pt idx="6">
                  <c:v>2418652</c:v>
                </c:pt>
                <c:pt idx="7">
                  <c:v>605286</c:v>
                </c:pt>
                <c:pt idx="8">
                  <c:v>59738</c:v>
                </c:pt>
                <c:pt idx="9">
                  <c:v>2316</c:v>
                </c:pt>
              </c:numCache>
            </c:numRef>
          </c:yVal>
          <c:smooth val="1"/>
          <c:extLst>
            <c:ext xmlns:c16="http://schemas.microsoft.com/office/drawing/2014/chart" uri="{C3380CC4-5D6E-409C-BE32-E72D297353CC}">
              <c16:uniqueId val="{00000004-E5DA-6F4B-94F5-2EA771448764}"/>
            </c:ext>
          </c:extLst>
        </c:ser>
        <c:ser>
          <c:idx val="5"/>
          <c:order val="5"/>
          <c:tx>
            <c:v>BTRFS 100M</c:v>
          </c:tx>
          <c:spPr>
            <a:ln w="22225" cap="rnd">
              <a:solidFill>
                <a:schemeClr val="accent6"/>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'Combined-write'!$H$7:$Q$7</c:f>
              <c:numCache>
                <c:formatCode>General</c:formatCode>
                <c:ptCount val="10"/>
                <c:pt idx="0">
                  <c:v>342</c:v>
                </c:pt>
                <c:pt idx="1">
                  <c:v>22650</c:v>
                </c:pt>
                <c:pt idx="2">
                  <c:v>598126</c:v>
                </c:pt>
                <c:pt idx="3">
                  <c:v>6056049</c:v>
                </c:pt>
                <c:pt idx="4">
                  <c:v>24144756</c:v>
                </c:pt>
                <c:pt idx="5">
                  <c:v>38254067</c:v>
                </c:pt>
                <c:pt idx="6">
                  <c:v>24145490</c:v>
                </c:pt>
                <c:pt idx="7">
                  <c:v>6057346</c:v>
                </c:pt>
                <c:pt idx="8">
                  <c:v>597897</c:v>
                </c:pt>
                <c:pt idx="9">
                  <c:v>22923</c:v>
                </c:pt>
              </c:numCache>
            </c:numRef>
          </c:yVal>
          <c:smooth val="1"/>
          <c:extLst>
            <c:ext xmlns:c16="http://schemas.microsoft.com/office/drawing/2014/chart" uri="{C3380CC4-5D6E-409C-BE32-E72D297353CC}">
              <c16:uniqueId val="{00000005-E5DA-6F4B-94F5-2EA771448764}"/>
            </c:ext>
          </c:extLst>
        </c:ser>
        <c:ser>
          <c:idx val="6"/>
          <c:order val="6"/>
          <c:tx>
            <c:v>F2FS 1M</c:v>
          </c:tx>
          <c:spPr>
            <a:ln w="19050" cap="rnd">
              <a:solidFill>
                <a:schemeClr val="accent1">
                  <a:lumMod val="60000"/>
                </a:schemeClr>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'Combined-write'!$H$8:$Q$8</c:f>
              <c:numCache>
                <c:formatCode>General</c:formatCode>
                <c:ptCount val="10"/>
                <c:pt idx="0">
                  <c:v>6</c:v>
                </c:pt>
                <c:pt idx="1">
                  <c:v>218</c:v>
                </c:pt>
                <c:pt idx="2">
                  <c:v>5888</c:v>
                </c:pt>
                <c:pt idx="3">
                  <c:v>60593</c:v>
                </c:pt>
                <c:pt idx="4">
                  <c:v>241921</c:v>
                </c:pt>
                <c:pt idx="5">
                  <c:v>383117</c:v>
                </c:pt>
                <c:pt idx="6">
                  <c:v>241787</c:v>
                </c:pt>
                <c:pt idx="7">
                  <c:v>60336</c:v>
                </c:pt>
                <c:pt idx="8">
                  <c:v>5898</c:v>
                </c:pt>
                <c:pt idx="9">
                  <c:v>231</c:v>
                </c:pt>
              </c:numCache>
            </c:numRef>
          </c:yVal>
          <c:smooth val="1"/>
          <c:extLst>
            <c:ext xmlns:c16="http://schemas.microsoft.com/office/drawing/2014/chart" uri="{C3380CC4-5D6E-409C-BE32-E72D297353CC}">
              <c16:uniqueId val="{00000006-E5DA-6F4B-94F5-2EA771448764}"/>
            </c:ext>
          </c:extLst>
        </c:ser>
        <c:ser>
          <c:idx val="7"/>
          <c:order val="7"/>
          <c:tx>
            <c:v>F2FS 6M</c:v>
          </c:tx>
          <c:spPr>
            <a:ln w="19050" cap="rnd">
              <a:solidFill>
                <a:schemeClr val="accent2">
                  <a:lumMod val="60000"/>
                </a:schemeClr>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'Combined-write'!$H$9:$Q$9</c:f>
              <c:numCache>
                <c:formatCode>General</c:formatCode>
                <c:ptCount val="10"/>
                <c:pt idx="0">
                  <c:v>20</c:v>
                </c:pt>
                <c:pt idx="1">
                  <c:v>1419</c:v>
                </c:pt>
                <c:pt idx="2">
                  <c:v>35780</c:v>
                </c:pt>
                <c:pt idx="3">
                  <c:v>362248</c:v>
                </c:pt>
                <c:pt idx="4">
                  <c:v>1450760</c:v>
                </c:pt>
                <c:pt idx="5">
                  <c:v>2297252</c:v>
                </c:pt>
                <c:pt idx="6">
                  <c:v>1451902</c:v>
                </c:pt>
                <c:pt idx="7">
                  <c:v>363118</c:v>
                </c:pt>
                <c:pt idx="8">
                  <c:v>36011</c:v>
                </c:pt>
                <c:pt idx="9">
                  <c:v>1460</c:v>
                </c:pt>
              </c:numCache>
            </c:numRef>
          </c:yVal>
          <c:smooth val="1"/>
          <c:extLst>
            <c:ext xmlns:c16="http://schemas.microsoft.com/office/drawing/2014/chart" uri="{C3380CC4-5D6E-409C-BE32-E72D297353CC}">
              <c16:uniqueId val="{00000007-E5DA-6F4B-94F5-2EA771448764}"/>
            </c:ext>
          </c:extLst>
        </c:ser>
        <c:ser>
          <c:idx val="8"/>
          <c:order val="8"/>
          <c:tx>
            <c:v>EXT4 1B</c:v>
          </c:tx>
          <c:spPr>
            <a:ln w="22225" cap="rnd">
              <a:solidFill>
                <a:schemeClr val="accent3">
                  <a:lumMod val="60000"/>
                </a:schemeClr>
              </a:solidFill>
              <a:round/>
            </a:ln>
            <a:effectLst/>
          </c:spPr>
          <c:marker>
            <c:symbol val="none"/>
          </c:marker>
          <c:xVal>
            <c:strRef>
              <c:f>'Combined-write'!$H$1:$Q$1</c:f>
              <c:strCache>
                <c:ptCount val="10"/>
                <c:pt idx="0">
                  <c:v>fs-0</c:v>
                </c:pt>
                <c:pt idx="1">
                  <c:v>fs-1</c:v>
                </c:pt>
                <c:pt idx="2">
                  <c:v>fs-2</c:v>
                </c:pt>
                <c:pt idx="3">
                  <c:v>fs-3</c:v>
                </c:pt>
                <c:pt idx="4">
                  <c:v>fs-4</c:v>
                </c:pt>
                <c:pt idx="5">
                  <c:v>fs-5</c:v>
                </c:pt>
                <c:pt idx="6">
                  <c:v>fs-6</c:v>
                </c:pt>
                <c:pt idx="7">
                  <c:v>fs-7</c:v>
                </c:pt>
                <c:pt idx="8">
                  <c:v>fs-8</c:v>
                </c:pt>
                <c:pt idx="9">
                  <c:v>fs-9</c:v>
                </c:pt>
              </c:strCache>
            </c:strRef>
          </c:xVal>
          <c:yVal>
            <c:numRef>
              <c:f>'Combined-write'!$H$10:$Q$10</c:f>
              <c:numCache>
                <c:formatCode>General</c:formatCode>
                <c:ptCount val="10"/>
                <c:pt idx="0">
                  <c:v>3392</c:v>
                </c:pt>
                <c:pt idx="1">
                  <c:v>227890</c:v>
                </c:pt>
                <c:pt idx="2">
                  <c:v>5973966</c:v>
                </c:pt>
                <c:pt idx="3">
                  <c:v>60570919</c:v>
                </c:pt>
                <c:pt idx="4">
                  <c:v>241570984</c:v>
                </c:pt>
                <c:pt idx="5">
                  <c:v>382697718</c:v>
                </c:pt>
                <c:pt idx="6">
                  <c:v>241574194</c:v>
                </c:pt>
                <c:pt idx="7">
                  <c:v>60570193</c:v>
                </c:pt>
                <c:pt idx="8">
                  <c:v>5977970</c:v>
                </c:pt>
                <c:pt idx="9">
                  <c:v>229383</c:v>
                </c:pt>
              </c:numCache>
            </c:numRef>
          </c:yVal>
          <c:smooth val="1"/>
          <c:extLst>
            <c:ext xmlns:c16="http://schemas.microsoft.com/office/drawing/2014/chart" uri="{C3380CC4-5D6E-409C-BE32-E72D297353CC}">
              <c16:uniqueId val="{00000001-9592-3646-9B6D-FDD8D5161224}"/>
            </c:ext>
          </c:extLst>
        </c:ser>
        <c:dLbls>
          <c:showLegendKey val="0"/>
          <c:showVal val="0"/>
          <c:showCatName val="0"/>
          <c:showSerName val="0"/>
          <c:showPercent val="0"/>
          <c:showBubbleSize val="0"/>
        </c:dLbls>
        <c:axId val="2032838864"/>
        <c:axId val="2032729984"/>
      </c:scatterChart>
      <c:valAx>
        <c:axId val="2032838864"/>
        <c:scaling>
          <c:orientation val="minMax"/>
          <c:max val="10"/>
          <c:min val="1"/>
        </c:scaling>
        <c:delete val="0"/>
        <c:axPos val="b"/>
        <c:numFmt formatCode="General" sourceLinked="0"/>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2729984"/>
        <c:crosses val="autoZero"/>
        <c:crossBetween val="midCat"/>
      </c:valAx>
      <c:valAx>
        <c:axId val="2032729984"/>
        <c:scaling>
          <c:orientation val="minMax"/>
          <c:max val="400000000"/>
          <c:min val="-1000000"/>
        </c:scaling>
        <c:delete val="1"/>
        <c:axPos val="l"/>
        <c:numFmt formatCode="General" sourceLinked="1"/>
        <c:majorTickMark val="none"/>
        <c:minorTickMark val="none"/>
        <c:tickLblPos val="nextTo"/>
        <c:crossAx val="2032838864"/>
        <c:crosses val="autoZero"/>
        <c:crossBetween val="midCat"/>
      </c:valAx>
      <c:spPr>
        <a:noFill/>
        <a:ln>
          <a:noFill/>
        </a:ln>
        <a:effectLst/>
      </c:spPr>
    </c:plotArea>
    <c:legend>
      <c:legendPos val="r"/>
      <c:layout>
        <c:manualLayout>
          <c:xMode val="edge"/>
          <c:yMode val="edge"/>
          <c:x val="2.3333194681751955E-2"/>
          <c:y val="0.10732130269085462"/>
          <c:w val="0.29552696376870419"/>
          <c:h val="0.693808583638987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9653573274796"/>
          <c:y val="7.4530232901215215E-2"/>
          <c:w val="0.85645751702540518"/>
          <c:h val="0.81145401906728876"/>
        </c:manualLayout>
      </c:layout>
      <c:scatterChart>
        <c:scatterStyle val="smoothMarker"/>
        <c:varyColors val="0"/>
        <c:ser>
          <c:idx val="0"/>
          <c:order val="0"/>
          <c:spPr>
            <a:ln w="19050" cap="rnd">
              <a:solidFill>
                <a:schemeClr val="accent1"/>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'Combined-write'!$R$2:$AK$2</c:f>
              <c:numCache>
                <c:formatCode>General</c:formatCode>
                <c:ptCount val="20"/>
                <c:pt idx="0">
                  <c:v>0</c:v>
                </c:pt>
                <c:pt idx="1">
                  <c:v>0</c:v>
                </c:pt>
                <c:pt idx="2">
                  <c:v>1010</c:v>
                </c:pt>
                <c:pt idx="3">
                  <c:v>5620647</c:v>
                </c:pt>
                <c:pt idx="4">
                  <c:v>3878101</c:v>
                </c:pt>
                <c:pt idx="5">
                  <c:v>218641</c:v>
                </c:pt>
                <c:pt idx="6">
                  <c:v>103873</c:v>
                </c:pt>
                <c:pt idx="7">
                  <c:v>64497</c:v>
                </c:pt>
                <c:pt idx="8">
                  <c:v>38336</c:v>
                </c:pt>
                <c:pt idx="9">
                  <c:v>15260</c:v>
                </c:pt>
                <c:pt idx="10">
                  <c:v>7228</c:v>
                </c:pt>
                <c:pt idx="11">
                  <c:v>3902</c:v>
                </c:pt>
                <c:pt idx="12">
                  <c:v>1664</c:v>
                </c:pt>
                <c:pt idx="13">
                  <c:v>631</c:v>
                </c:pt>
                <c:pt idx="14">
                  <c:v>284</c:v>
                </c:pt>
                <c:pt idx="15">
                  <c:v>131</c:v>
                </c:pt>
                <c:pt idx="16">
                  <c:v>90</c:v>
                </c:pt>
                <c:pt idx="17">
                  <c:v>81</c:v>
                </c:pt>
                <c:pt idx="18">
                  <c:v>44</c:v>
                </c:pt>
                <c:pt idx="19">
                  <c:v>31</c:v>
                </c:pt>
              </c:numCache>
            </c:numRef>
          </c:yVal>
          <c:smooth val="1"/>
          <c:extLst>
            <c:ext xmlns:c16="http://schemas.microsoft.com/office/drawing/2014/chart" uri="{C3380CC4-5D6E-409C-BE32-E72D297353CC}">
              <c16:uniqueId val="{00000000-4177-F547-AC24-70516766D648}"/>
            </c:ext>
          </c:extLst>
        </c:ser>
        <c:ser>
          <c:idx val="1"/>
          <c:order val="1"/>
          <c:spPr>
            <a:ln w="19050" cap="rnd">
              <a:solidFill>
                <a:schemeClr val="accent2"/>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'Combined-write'!$R$3:$AK$3</c:f>
              <c:numCache>
                <c:formatCode>General</c:formatCode>
                <c:ptCount val="20"/>
                <c:pt idx="0">
                  <c:v>0</c:v>
                </c:pt>
                <c:pt idx="1">
                  <c:v>0</c:v>
                </c:pt>
                <c:pt idx="2">
                  <c:v>4654670</c:v>
                </c:pt>
                <c:pt idx="3">
                  <c:v>56410596</c:v>
                </c:pt>
                <c:pt idx="4">
                  <c:v>34917501</c:v>
                </c:pt>
                <c:pt idx="5">
                  <c:v>1777402</c:v>
                </c:pt>
                <c:pt idx="6">
                  <c:v>823726</c:v>
                </c:pt>
                <c:pt idx="7">
                  <c:v>474070</c:v>
                </c:pt>
                <c:pt idx="8">
                  <c:v>340726</c:v>
                </c:pt>
                <c:pt idx="9">
                  <c:v>102859</c:v>
                </c:pt>
                <c:pt idx="10">
                  <c:v>28650</c:v>
                </c:pt>
                <c:pt idx="11">
                  <c:v>12196</c:v>
                </c:pt>
                <c:pt idx="12">
                  <c:v>8818</c:v>
                </c:pt>
                <c:pt idx="13">
                  <c:v>4006</c:v>
                </c:pt>
                <c:pt idx="14">
                  <c:v>1509</c:v>
                </c:pt>
                <c:pt idx="15">
                  <c:v>573</c:v>
                </c:pt>
                <c:pt idx="16">
                  <c:v>226</c:v>
                </c:pt>
                <c:pt idx="17">
                  <c:v>117</c:v>
                </c:pt>
                <c:pt idx="18">
                  <c:v>57</c:v>
                </c:pt>
                <c:pt idx="19">
                  <c:v>51</c:v>
                </c:pt>
              </c:numCache>
            </c:numRef>
          </c:yVal>
          <c:smooth val="1"/>
          <c:extLst>
            <c:ext xmlns:c16="http://schemas.microsoft.com/office/drawing/2014/chart" uri="{C3380CC4-5D6E-409C-BE32-E72D297353CC}">
              <c16:uniqueId val="{00000001-4177-F547-AC24-70516766D648}"/>
            </c:ext>
          </c:extLst>
        </c:ser>
        <c:ser>
          <c:idx val="4"/>
          <c:order val="2"/>
          <c:spPr>
            <a:ln w="19050" cap="rnd">
              <a:solidFill>
                <a:schemeClr val="accent5"/>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'Combined-write'!$R$6:$AK$6</c:f>
              <c:numCache>
                <c:formatCode>General</c:formatCode>
                <c:ptCount val="20"/>
                <c:pt idx="0">
                  <c:v>0</c:v>
                </c:pt>
                <c:pt idx="1">
                  <c:v>0</c:v>
                </c:pt>
                <c:pt idx="2">
                  <c:v>43194</c:v>
                </c:pt>
                <c:pt idx="3">
                  <c:v>7092295</c:v>
                </c:pt>
                <c:pt idx="4">
                  <c:v>2312792</c:v>
                </c:pt>
                <c:pt idx="5">
                  <c:v>246026</c:v>
                </c:pt>
                <c:pt idx="6">
                  <c:v>106544</c:v>
                </c:pt>
                <c:pt idx="7">
                  <c:v>98360</c:v>
                </c:pt>
                <c:pt idx="8">
                  <c:v>51151</c:v>
                </c:pt>
                <c:pt idx="9">
                  <c:v>23257</c:v>
                </c:pt>
                <c:pt idx="10">
                  <c:v>9525</c:v>
                </c:pt>
                <c:pt idx="11">
                  <c:v>3428</c:v>
                </c:pt>
                <c:pt idx="12">
                  <c:v>1588</c:v>
                </c:pt>
                <c:pt idx="13">
                  <c:v>953</c:v>
                </c:pt>
                <c:pt idx="14">
                  <c:v>824</c:v>
                </c:pt>
                <c:pt idx="15">
                  <c:v>1919</c:v>
                </c:pt>
                <c:pt idx="16">
                  <c:v>2205</c:v>
                </c:pt>
                <c:pt idx="17">
                  <c:v>1407</c:v>
                </c:pt>
                <c:pt idx="18">
                  <c:v>868</c:v>
                </c:pt>
                <c:pt idx="19">
                  <c:v>593</c:v>
                </c:pt>
              </c:numCache>
            </c:numRef>
          </c:yVal>
          <c:smooth val="1"/>
          <c:extLst>
            <c:ext xmlns:c16="http://schemas.microsoft.com/office/drawing/2014/chart" uri="{C3380CC4-5D6E-409C-BE32-E72D297353CC}">
              <c16:uniqueId val="{00000004-4177-F547-AC24-70516766D648}"/>
            </c:ext>
          </c:extLst>
        </c:ser>
        <c:ser>
          <c:idx val="5"/>
          <c:order val="3"/>
          <c:spPr>
            <a:ln w="19050" cap="rnd">
              <a:solidFill>
                <a:schemeClr val="accent6"/>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'Combined-write'!$R$7:$AK$7</c:f>
              <c:numCache>
                <c:formatCode>General</c:formatCode>
                <c:ptCount val="20"/>
                <c:pt idx="0">
                  <c:v>0</c:v>
                </c:pt>
                <c:pt idx="1">
                  <c:v>0</c:v>
                </c:pt>
                <c:pt idx="2">
                  <c:v>16340</c:v>
                </c:pt>
                <c:pt idx="3">
                  <c:v>8704611</c:v>
                </c:pt>
                <c:pt idx="4">
                  <c:v>24110306</c:v>
                </c:pt>
                <c:pt idx="5">
                  <c:v>29475535</c:v>
                </c:pt>
                <c:pt idx="6">
                  <c:v>28116508</c:v>
                </c:pt>
                <c:pt idx="7">
                  <c:v>6461554</c:v>
                </c:pt>
                <c:pt idx="8">
                  <c:v>999511</c:v>
                </c:pt>
                <c:pt idx="9">
                  <c:v>540411</c:v>
                </c:pt>
                <c:pt idx="10">
                  <c:v>429245</c:v>
                </c:pt>
                <c:pt idx="11">
                  <c:v>329371</c:v>
                </c:pt>
                <c:pt idx="12">
                  <c:v>249782</c:v>
                </c:pt>
                <c:pt idx="13">
                  <c:v>192697</c:v>
                </c:pt>
                <c:pt idx="14">
                  <c:v>144045</c:v>
                </c:pt>
                <c:pt idx="15">
                  <c:v>80071</c:v>
                </c:pt>
                <c:pt idx="16">
                  <c:v>28972</c:v>
                </c:pt>
                <c:pt idx="17">
                  <c:v>8771</c:v>
                </c:pt>
                <c:pt idx="18">
                  <c:v>2890</c:v>
                </c:pt>
                <c:pt idx="19">
                  <c:v>1118</c:v>
                </c:pt>
              </c:numCache>
            </c:numRef>
          </c:yVal>
          <c:smooth val="1"/>
          <c:extLst>
            <c:ext xmlns:c16="http://schemas.microsoft.com/office/drawing/2014/chart" uri="{C3380CC4-5D6E-409C-BE32-E72D297353CC}">
              <c16:uniqueId val="{00000005-4177-F547-AC24-70516766D648}"/>
            </c:ext>
          </c:extLst>
        </c:ser>
        <c:ser>
          <c:idx val="8"/>
          <c:order val="4"/>
          <c:spPr>
            <a:ln w="19050" cap="rnd">
              <a:solidFill>
                <a:schemeClr val="accent3">
                  <a:lumMod val="60000"/>
                </a:schemeClr>
              </a:solidFill>
              <a:round/>
            </a:ln>
            <a:effectLst/>
          </c:spPr>
          <c:marker>
            <c:symbol val="none"/>
          </c:marker>
          <c:dLbls>
            <c:dLbl>
              <c:idx val="3"/>
              <c:layout>
                <c:manualLayout>
                  <c:x val="4.9427025413292462E-2"/>
                  <c:y val="-1.8682157737275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B4-7F43-A010-294E14A628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'Combined-write'!$R$10:$AK$10</c:f>
              <c:numCache>
                <c:formatCode>General</c:formatCode>
                <c:ptCount val="20"/>
                <c:pt idx="0">
                  <c:v>0</c:v>
                </c:pt>
                <c:pt idx="1">
                  <c:v>0</c:v>
                </c:pt>
                <c:pt idx="2">
                  <c:v>11165490</c:v>
                </c:pt>
                <c:pt idx="3">
                  <c:v>686676953</c:v>
                </c:pt>
                <c:pt idx="4">
                  <c:v>265466353</c:v>
                </c:pt>
                <c:pt idx="5">
                  <c:v>17132177</c:v>
                </c:pt>
                <c:pt idx="6">
                  <c:v>7771080</c:v>
                </c:pt>
                <c:pt idx="7">
                  <c:v>3829020</c:v>
                </c:pt>
                <c:pt idx="8">
                  <c:v>2101676</c:v>
                </c:pt>
                <c:pt idx="9">
                  <c:v>671899</c:v>
                </c:pt>
                <c:pt idx="10">
                  <c:v>222717</c:v>
                </c:pt>
                <c:pt idx="11">
                  <c:v>120254</c:v>
                </c:pt>
                <c:pt idx="12">
                  <c:v>72444</c:v>
                </c:pt>
                <c:pt idx="13">
                  <c:v>33245</c:v>
                </c:pt>
                <c:pt idx="14">
                  <c:v>15785</c:v>
                </c:pt>
                <c:pt idx="15">
                  <c:v>9804</c:v>
                </c:pt>
                <c:pt idx="16">
                  <c:v>4624</c:v>
                </c:pt>
                <c:pt idx="17">
                  <c:v>2896</c:v>
                </c:pt>
                <c:pt idx="18">
                  <c:v>1840</c:v>
                </c:pt>
                <c:pt idx="19">
                  <c:v>1242</c:v>
                </c:pt>
              </c:numCache>
            </c:numRef>
          </c:yVal>
          <c:smooth val="1"/>
          <c:extLst>
            <c:ext xmlns:c16="http://schemas.microsoft.com/office/drawing/2014/chart" uri="{C3380CC4-5D6E-409C-BE32-E72D297353CC}">
              <c16:uniqueId val="{00000002-88B4-7F43-A010-294E14A628A5}"/>
            </c:ext>
          </c:extLst>
        </c:ser>
        <c:ser>
          <c:idx val="12"/>
          <c:order val="5"/>
          <c:spPr>
            <a:ln w="19050" cap="rnd">
              <a:solidFill>
                <a:schemeClr val="accent1">
                  <a:lumMod val="80000"/>
                  <a:lumOff val="20000"/>
                </a:schemeClr>
              </a:solidFill>
              <a:round/>
            </a:ln>
            <a:effectLst/>
          </c:spPr>
          <c:marker>
            <c:symbol val="none"/>
          </c:marker>
          <c:dLbls>
            <c:dLbl>
              <c:idx val="2"/>
              <c:layout>
                <c:manualLayout>
                  <c:x val="-0.20230376769031369"/>
                  <c:y val="-0.172038368749093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84-294A-86FE-E375F95979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'Combined-write'!$R$14:$AK$14</c:f>
              <c:numCache>
                <c:formatCode>General</c:formatCode>
                <c:ptCount val="20"/>
                <c:pt idx="0">
                  <c:v>0</c:v>
                </c:pt>
                <c:pt idx="1">
                  <c:v>2999540</c:v>
                </c:pt>
                <c:pt idx="2">
                  <c:v>86666419</c:v>
                </c:pt>
                <c:pt idx="3">
                  <c:v>6750712</c:v>
                </c:pt>
                <c:pt idx="4">
                  <c:v>1804658</c:v>
                </c:pt>
                <c:pt idx="5">
                  <c:v>1087950</c:v>
                </c:pt>
                <c:pt idx="6">
                  <c:v>267725</c:v>
                </c:pt>
                <c:pt idx="7">
                  <c:v>124053</c:v>
                </c:pt>
                <c:pt idx="8">
                  <c:v>94076</c:v>
                </c:pt>
                <c:pt idx="9">
                  <c:v>62809</c:v>
                </c:pt>
                <c:pt idx="10">
                  <c:v>36289</c:v>
                </c:pt>
                <c:pt idx="11">
                  <c:v>16397</c:v>
                </c:pt>
                <c:pt idx="12">
                  <c:v>8234</c:v>
                </c:pt>
                <c:pt idx="13">
                  <c:v>5795</c:v>
                </c:pt>
                <c:pt idx="14">
                  <c:v>3300</c:v>
                </c:pt>
                <c:pt idx="15">
                  <c:v>1718</c:v>
                </c:pt>
                <c:pt idx="16">
                  <c:v>1151</c:v>
                </c:pt>
                <c:pt idx="17">
                  <c:v>898</c:v>
                </c:pt>
                <c:pt idx="18">
                  <c:v>705</c:v>
                </c:pt>
                <c:pt idx="19">
                  <c:v>596</c:v>
                </c:pt>
              </c:numCache>
            </c:numRef>
          </c:yVal>
          <c:smooth val="1"/>
          <c:extLst>
            <c:ext xmlns:c16="http://schemas.microsoft.com/office/drawing/2014/chart" uri="{C3380CC4-5D6E-409C-BE32-E72D297353CC}">
              <c16:uniqueId val="{00000004-8484-294A-86FE-E375F959792D}"/>
            </c:ext>
          </c:extLst>
        </c:ser>
        <c:ser>
          <c:idx val="13"/>
          <c:order val="6"/>
          <c:spPr>
            <a:ln w="19050" cap="rnd">
              <a:solidFill>
                <a:schemeClr val="accent2">
                  <a:lumMod val="80000"/>
                  <a:lumOff val="20000"/>
                </a:schemeClr>
              </a:solidFill>
              <a:round/>
            </a:ln>
            <a:effectLst/>
          </c:spPr>
          <c:marker>
            <c:symbol val="none"/>
          </c:marker>
          <c:dLbls>
            <c:dLbl>
              <c:idx val="2"/>
              <c:layout>
                <c:manualLayout>
                  <c:x val="2.6442064410195101E-2"/>
                  <c:y val="1.3917368720518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484-294A-86FE-E375F95979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'Combined-write'!$R$15:$AK$15</c:f>
              <c:numCache>
                <c:formatCode>General</c:formatCode>
                <c:ptCount val="20"/>
                <c:pt idx="0">
                  <c:v>0</c:v>
                </c:pt>
                <c:pt idx="1">
                  <c:v>49840909</c:v>
                </c:pt>
                <c:pt idx="2">
                  <c:v>863258271</c:v>
                </c:pt>
                <c:pt idx="3">
                  <c:v>44977334</c:v>
                </c:pt>
                <c:pt idx="4">
                  <c:v>10863413</c:v>
                </c:pt>
                <c:pt idx="5">
                  <c:v>23176465</c:v>
                </c:pt>
                <c:pt idx="6">
                  <c:v>4021359</c:v>
                </c:pt>
                <c:pt idx="7">
                  <c:v>1190390</c:v>
                </c:pt>
                <c:pt idx="8">
                  <c:v>648453</c:v>
                </c:pt>
                <c:pt idx="9">
                  <c:v>339846</c:v>
                </c:pt>
                <c:pt idx="10">
                  <c:v>111029</c:v>
                </c:pt>
                <c:pt idx="11">
                  <c:v>60500</c:v>
                </c:pt>
                <c:pt idx="12">
                  <c:v>36151</c:v>
                </c:pt>
                <c:pt idx="13">
                  <c:v>19873</c:v>
                </c:pt>
                <c:pt idx="14">
                  <c:v>11986</c:v>
                </c:pt>
                <c:pt idx="15">
                  <c:v>7730</c:v>
                </c:pt>
                <c:pt idx="16">
                  <c:v>4962</c:v>
                </c:pt>
                <c:pt idx="17">
                  <c:v>3245</c:v>
                </c:pt>
                <c:pt idx="18">
                  <c:v>2003</c:v>
                </c:pt>
                <c:pt idx="19">
                  <c:v>1257</c:v>
                </c:pt>
              </c:numCache>
            </c:numRef>
          </c:yVal>
          <c:smooth val="1"/>
          <c:extLst>
            <c:ext xmlns:c16="http://schemas.microsoft.com/office/drawing/2014/chart" uri="{C3380CC4-5D6E-409C-BE32-E72D297353CC}">
              <c16:uniqueId val="{00000005-8484-294A-86FE-E375F959792D}"/>
            </c:ext>
          </c:extLst>
        </c:ser>
        <c:dLbls>
          <c:showLegendKey val="0"/>
          <c:showVal val="0"/>
          <c:showCatName val="0"/>
          <c:showSerName val="0"/>
          <c:showPercent val="0"/>
          <c:showBubbleSize val="0"/>
        </c:dLbls>
        <c:axId val="2097698560"/>
        <c:axId val="2036480464"/>
      </c:scatterChart>
      <c:valAx>
        <c:axId val="2097698560"/>
        <c:scaling>
          <c:orientation val="minMax"/>
          <c:max val="8"/>
          <c:min val="1"/>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80464"/>
        <c:crosses val="autoZero"/>
        <c:crossBetween val="midCat"/>
      </c:valAx>
      <c:valAx>
        <c:axId val="2036480464"/>
        <c:scaling>
          <c:orientation val="minMax"/>
          <c:max val="900000000"/>
          <c:min val="-2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69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Folder Write Performance- 20 Samples/Run</a:t>
            </a:r>
            <a:endParaRPr lang="en-US" b="1"/>
          </a:p>
        </c:rich>
      </c:tx>
      <c:layout>
        <c:manualLayout>
          <c:xMode val="edge"/>
          <c:yMode val="edge"/>
          <c:x val="0.3398592729100352"/>
          <c:y val="1.478743068391866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227416922918946E-2"/>
          <c:y val="6.855822550831793E-2"/>
          <c:w val="0.8805564232405062"/>
          <c:h val="0.83088113292677601"/>
        </c:manualLayout>
      </c:layout>
      <c:scatterChart>
        <c:scatterStyle val="smoothMarker"/>
        <c:varyColors val="0"/>
        <c:ser>
          <c:idx val="0"/>
          <c:order val="0"/>
          <c:tx>
            <c:v>EXT4 10M Files</c:v>
          </c:tx>
          <c:spPr>
            <a:ln w="3175" cap="rnd">
              <a:solidFill>
                <a:schemeClr val="accent1"/>
              </a:solid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'Combined-write'!$AT$2:$BM$2</c:f>
              <c:numCache>
                <c:formatCode>General</c:formatCode>
                <c:ptCount val="20"/>
                <c:pt idx="0">
                  <c:v>35.91319</c:v>
                </c:pt>
                <c:pt idx="1">
                  <c:v>40.700436000000003</c:v>
                </c:pt>
                <c:pt idx="2">
                  <c:v>38.073616000000001</c:v>
                </c:pt>
                <c:pt idx="3">
                  <c:v>40.213017000000001</c:v>
                </c:pt>
                <c:pt idx="4">
                  <c:v>36.868651999999997</c:v>
                </c:pt>
                <c:pt idx="5">
                  <c:v>37.630245000000002</c:v>
                </c:pt>
                <c:pt idx="6">
                  <c:v>34.791218000000001</c:v>
                </c:pt>
                <c:pt idx="7">
                  <c:v>35.048319999999997</c:v>
                </c:pt>
                <c:pt idx="8">
                  <c:v>39.038654000000001</c:v>
                </c:pt>
                <c:pt idx="9">
                  <c:v>41.883614000000001</c:v>
                </c:pt>
                <c:pt idx="10">
                  <c:v>39.544795999999998</c:v>
                </c:pt>
                <c:pt idx="11">
                  <c:v>40.909633999999997</c:v>
                </c:pt>
                <c:pt idx="12">
                  <c:v>39.301929999999999</c:v>
                </c:pt>
                <c:pt idx="13">
                  <c:v>41.012782999999999</c:v>
                </c:pt>
                <c:pt idx="14">
                  <c:v>36.602997000000002</c:v>
                </c:pt>
                <c:pt idx="15">
                  <c:v>35.549050000000001</c:v>
                </c:pt>
                <c:pt idx="16">
                  <c:v>31.685438000000001</c:v>
                </c:pt>
                <c:pt idx="17">
                  <c:v>37.871299999999998</c:v>
                </c:pt>
                <c:pt idx="18">
                  <c:v>35.317352</c:v>
                </c:pt>
                <c:pt idx="19">
                  <c:v>37.682960000000001</c:v>
                </c:pt>
              </c:numCache>
            </c:numRef>
          </c:yVal>
          <c:smooth val="1"/>
          <c:extLst>
            <c:ext xmlns:c16="http://schemas.microsoft.com/office/drawing/2014/chart" uri="{C3380CC4-5D6E-409C-BE32-E72D297353CC}">
              <c16:uniqueId val="{00000000-D883-2D46-ABD2-5B42E055F1F7}"/>
            </c:ext>
          </c:extLst>
        </c:ser>
        <c:ser>
          <c:idx val="1"/>
          <c:order val="1"/>
          <c:tx>
            <c:v>EXT4 100M Files</c:v>
          </c:tx>
          <c:spPr>
            <a:ln w="3175" cap="rnd">
              <a:solidFill>
                <a:schemeClr val="accent2"/>
              </a:solidFill>
              <a:round/>
            </a:ln>
            <a:effectLst/>
          </c:spPr>
          <c:marker>
            <c:symbol val="circle"/>
            <c:size val="5"/>
            <c:spPr>
              <a:solidFill>
                <a:schemeClr val="accent2"/>
              </a:solidFill>
              <a:ln w="9525">
                <a:solidFill>
                  <a:schemeClr val="accent2"/>
                </a:solidFill>
              </a:ln>
              <a:effectLst/>
            </c:spPr>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'Combined-write'!$AT$3:$BM$3</c:f>
              <c:numCache>
                <c:formatCode>General</c:formatCode>
                <c:ptCount val="20"/>
                <c:pt idx="0">
                  <c:v>36.109139999999996</c:v>
                </c:pt>
                <c:pt idx="1">
                  <c:v>36.839157</c:v>
                </c:pt>
                <c:pt idx="2">
                  <c:v>35.926789999999997</c:v>
                </c:pt>
                <c:pt idx="3">
                  <c:v>37.097459999999998</c:v>
                </c:pt>
                <c:pt idx="4">
                  <c:v>39.002505999999997</c:v>
                </c:pt>
                <c:pt idx="5">
                  <c:v>39.592599999999997</c:v>
                </c:pt>
                <c:pt idx="6">
                  <c:v>38.254240000000003</c:v>
                </c:pt>
                <c:pt idx="7">
                  <c:v>38.830418000000002</c:v>
                </c:pt>
                <c:pt idx="8">
                  <c:v>37.802334000000002</c:v>
                </c:pt>
                <c:pt idx="9">
                  <c:v>42.551067000000003</c:v>
                </c:pt>
                <c:pt idx="10">
                  <c:v>39.075090000000003</c:v>
                </c:pt>
                <c:pt idx="11">
                  <c:v>42.328560000000003</c:v>
                </c:pt>
                <c:pt idx="12">
                  <c:v>44.516719999999999</c:v>
                </c:pt>
                <c:pt idx="13">
                  <c:v>40.696423000000003</c:v>
                </c:pt>
                <c:pt idx="14">
                  <c:v>42.038853000000003</c:v>
                </c:pt>
                <c:pt idx="15">
                  <c:v>43.141747000000002</c:v>
                </c:pt>
                <c:pt idx="16">
                  <c:v>37.4754</c:v>
                </c:pt>
                <c:pt idx="17">
                  <c:v>38.162394999999997</c:v>
                </c:pt>
                <c:pt idx="18">
                  <c:v>39.658065999999998</c:v>
                </c:pt>
                <c:pt idx="19">
                  <c:v>38.040264000000001</c:v>
                </c:pt>
              </c:numCache>
            </c:numRef>
          </c:yVal>
          <c:smooth val="1"/>
          <c:extLst>
            <c:ext xmlns:c16="http://schemas.microsoft.com/office/drawing/2014/chart" uri="{C3380CC4-5D6E-409C-BE32-E72D297353CC}">
              <c16:uniqueId val="{00000001-D883-2D46-ABD2-5B42E055F1F7}"/>
            </c:ext>
          </c:extLst>
        </c:ser>
        <c:ser>
          <c:idx val="2"/>
          <c:order val="2"/>
          <c:tx>
            <c:v>XFS 10M Files</c:v>
          </c:tx>
          <c:spPr>
            <a:ln w="3175" cap="rnd">
              <a:solidFill>
                <a:schemeClr val="accent3"/>
              </a:solid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'Combined-write'!$AT$4:$BM$4</c:f>
              <c:numCache>
                <c:formatCode>General</c:formatCode>
                <c:ptCount val="20"/>
                <c:pt idx="0">
                  <c:v>75.971959999999996</c:v>
                </c:pt>
                <c:pt idx="1">
                  <c:v>23.986719999999998</c:v>
                </c:pt>
                <c:pt idx="2">
                  <c:v>75.735534999999999</c:v>
                </c:pt>
                <c:pt idx="3">
                  <c:v>81.016846000000001</c:v>
                </c:pt>
                <c:pt idx="4">
                  <c:v>75.508690000000001</c:v>
                </c:pt>
                <c:pt idx="5">
                  <c:v>78.222244000000003</c:v>
                </c:pt>
                <c:pt idx="6">
                  <c:v>80.353980000000007</c:v>
                </c:pt>
                <c:pt idx="7">
                  <c:v>79.440780000000004</c:v>
                </c:pt>
                <c:pt idx="8">
                  <c:v>79.439970000000002</c:v>
                </c:pt>
                <c:pt idx="9">
                  <c:v>79.567589999999996</c:v>
                </c:pt>
                <c:pt idx="10">
                  <c:v>74.421683999999999</c:v>
                </c:pt>
                <c:pt idx="11">
                  <c:v>77.680250000000001</c:v>
                </c:pt>
                <c:pt idx="12">
                  <c:v>77.734660000000005</c:v>
                </c:pt>
                <c:pt idx="13">
                  <c:v>78.271039999999999</c:v>
                </c:pt>
                <c:pt idx="14">
                  <c:v>21.17698</c:v>
                </c:pt>
                <c:pt idx="15">
                  <c:v>75.698440000000005</c:v>
                </c:pt>
                <c:pt idx="16">
                  <c:v>61.044918000000003</c:v>
                </c:pt>
                <c:pt idx="17">
                  <c:v>65.907646</c:v>
                </c:pt>
                <c:pt idx="18">
                  <c:v>66.85427</c:v>
                </c:pt>
                <c:pt idx="19">
                  <c:v>17.554887999999998</c:v>
                </c:pt>
              </c:numCache>
            </c:numRef>
          </c:yVal>
          <c:smooth val="1"/>
          <c:extLst>
            <c:ext xmlns:c16="http://schemas.microsoft.com/office/drawing/2014/chart" uri="{C3380CC4-5D6E-409C-BE32-E72D297353CC}">
              <c16:uniqueId val="{00000002-D883-2D46-ABD2-5B42E055F1F7}"/>
            </c:ext>
          </c:extLst>
        </c:ser>
        <c:ser>
          <c:idx val="3"/>
          <c:order val="3"/>
          <c:tx>
            <c:v>XFS 100M Files</c:v>
          </c:tx>
          <c:spPr>
            <a:ln w="3175" cap="rnd">
              <a:solidFill>
                <a:schemeClr val="accent4"/>
              </a:solidFill>
              <a:round/>
            </a:ln>
            <a:effectLst/>
          </c:spPr>
          <c:marker>
            <c:symbol val="circle"/>
            <c:size val="5"/>
            <c:spPr>
              <a:solidFill>
                <a:schemeClr val="accent4"/>
              </a:solidFill>
              <a:ln w="9525">
                <a:solidFill>
                  <a:schemeClr val="accent4"/>
                </a:solidFill>
              </a:ln>
              <a:effectLst/>
            </c:spPr>
          </c:marker>
          <c:trendline>
            <c:spPr>
              <a:ln w="25400" cap="rnd">
                <a:solidFill>
                  <a:schemeClr val="accent4"/>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'Combined-write'!$AT$5:$BM$5</c:f>
              <c:numCache>
                <c:formatCode>General</c:formatCode>
                <c:ptCount val="20"/>
                <c:pt idx="0">
                  <c:v>75.678290000000004</c:v>
                </c:pt>
                <c:pt idx="1">
                  <c:v>73.038475000000005</c:v>
                </c:pt>
                <c:pt idx="2">
                  <c:v>41.805813000000001</c:v>
                </c:pt>
                <c:pt idx="3">
                  <c:v>35.897550000000003</c:v>
                </c:pt>
                <c:pt idx="4">
                  <c:v>26.836514999999999</c:v>
                </c:pt>
                <c:pt idx="5">
                  <c:v>26.706205000000001</c:v>
                </c:pt>
                <c:pt idx="6">
                  <c:v>28.436820000000001</c:v>
                </c:pt>
                <c:pt idx="7">
                  <c:v>22.338379</c:v>
                </c:pt>
                <c:pt idx="8">
                  <c:v>27.572512</c:v>
                </c:pt>
                <c:pt idx="9">
                  <c:v>28.251283999999998</c:v>
                </c:pt>
                <c:pt idx="10">
                  <c:v>28.804113000000001</c:v>
                </c:pt>
                <c:pt idx="11">
                  <c:v>26.300667000000001</c:v>
                </c:pt>
                <c:pt idx="12">
                  <c:v>30.691327999999999</c:v>
                </c:pt>
                <c:pt idx="13">
                  <c:v>27.786000000000001</c:v>
                </c:pt>
                <c:pt idx="14">
                  <c:v>28.837160000000001</c:v>
                </c:pt>
                <c:pt idx="15">
                  <c:v>26.272235999999999</c:v>
                </c:pt>
                <c:pt idx="16">
                  <c:v>32.693317</c:v>
                </c:pt>
                <c:pt idx="17">
                  <c:v>25.421230000000001</c:v>
                </c:pt>
                <c:pt idx="18">
                  <c:v>30.406711999999999</c:v>
                </c:pt>
                <c:pt idx="19">
                  <c:v>41.166096000000003</c:v>
                </c:pt>
              </c:numCache>
            </c:numRef>
          </c:yVal>
          <c:smooth val="1"/>
          <c:extLst>
            <c:ext xmlns:c16="http://schemas.microsoft.com/office/drawing/2014/chart" uri="{C3380CC4-5D6E-409C-BE32-E72D297353CC}">
              <c16:uniqueId val="{00000003-D883-2D46-ABD2-5B42E055F1F7}"/>
            </c:ext>
          </c:extLst>
        </c:ser>
        <c:ser>
          <c:idx val="4"/>
          <c:order val="4"/>
          <c:tx>
            <c:v>BTRFS 10M Files</c:v>
          </c:tx>
          <c:spPr>
            <a:ln w="3175" cap="rnd">
              <a:solidFill>
                <a:schemeClr val="accent5"/>
              </a:solidFill>
              <a:round/>
            </a:ln>
            <a:effectLst/>
          </c:spPr>
          <c:marker>
            <c:symbol val="circle"/>
            <c:size val="5"/>
            <c:spPr>
              <a:solidFill>
                <a:schemeClr val="accent5"/>
              </a:solidFill>
              <a:ln w="9525">
                <a:solidFill>
                  <a:schemeClr val="accent5"/>
                </a:solidFill>
              </a:ln>
              <a:effectLst/>
            </c:spPr>
          </c:marker>
          <c:trendline>
            <c:spPr>
              <a:ln w="25400" cap="rnd">
                <a:solidFill>
                  <a:schemeClr val="accent5"/>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'Combined-write'!$AT$6:$BM$6</c:f>
              <c:numCache>
                <c:formatCode>General</c:formatCode>
                <c:ptCount val="20"/>
                <c:pt idx="0">
                  <c:v>62.732979999999998</c:v>
                </c:pt>
                <c:pt idx="1">
                  <c:v>58.807630000000003</c:v>
                </c:pt>
                <c:pt idx="2">
                  <c:v>58.373905000000001</c:v>
                </c:pt>
                <c:pt idx="3">
                  <c:v>60.864502000000002</c:v>
                </c:pt>
                <c:pt idx="4">
                  <c:v>57.041137999999997</c:v>
                </c:pt>
                <c:pt idx="5">
                  <c:v>57.913944000000001</c:v>
                </c:pt>
                <c:pt idx="6">
                  <c:v>55.996986</c:v>
                </c:pt>
                <c:pt idx="7">
                  <c:v>59.048430000000003</c:v>
                </c:pt>
                <c:pt idx="8">
                  <c:v>58.635689999999997</c:v>
                </c:pt>
                <c:pt idx="9">
                  <c:v>56.871009999999998</c:v>
                </c:pt>
                <c:pt idx="10">
                  <c:v>54.703144000000002</c:v>
                </c:pt>
                <c:pt idx="11">
                  <c:v>55.950496999999999</c:v>
                </c:pt>
                <c:pt idx="12">
                  <c:v>54.095576999999999</c:v>
                </c:pt>
                <c:pt idx="13">
                  <c:v>53.793869999999998</c:v>
                </c:pt>
                <c:pt idx="14">
                  <c:v>54.445155999999997</c:v>
                </c:pt>
                <c:pt idx="15">
                  <c:v>54.753487</c:v>
                </c:pt>
                <c:pt idx="16">
                  <c:v>54.279376999999997</c:v>
                </c:pt>
                <c:pt idx="17">
                  <c:v>55.0852</c:v>
                </c:pt>
                <c:pt idx="18">
                  <c:v>53.684719999999999</c:v>
                </c:pt>
                <c:pt idx="19">
                  <c:v>53.356299999999997</c:v>
                </c:pt>
              </c:numCache>
            </c:numRef>
          </c:yVal>
          <c:smooth val="1"/>
          <c:extLst>
            <c:ext xmlns:c16="http://schemas.microsoft.com/office/drawing/2014/chart" uri="{C3380CC4-5D6E-409C-BE32-E72D297353CC}">
              <c16:uniqueId val="{00000004-D883-2D46-ABD2-5B42E055F1F7}"/>
            </c:ext>
          </c:extLst>
        </c:ser>
        <c:ser>
          <c:idx val="5"/>
          <c:order val="5"/>
          <c:tx>
            <c:v>BTRFS 100MF Files</c:v>
          </c:tx>
          <c:spPr>
            <a:ln w="3175" cap="rnd">
              <a:solidFill>
                <a:schemeClr val="accent6"/>
              </a:solidFill>
              <a:round/>
            </a:ln>
            <a:effectLst/>
          </c:spPr>
          <c:marker>
            <c:symbol val="circle"/>
            <c:size val="5"/>
            <c:spPr>
              <a:solidFill>
                <a:schemeClr val="accent6"/>
              </a:solidFill>
              <a:ln w="9525">
                <a:solidFill>
                  <a:schemeClr val="accent6"/>
                </a:solidFill>
              </a:ln>
              <a:effectLst/>
            </c:spPr>
          </c:marker>
          <c:trendline>
            <c:spPr>
              <a:ln w="25400" cap="rnd">
                <a:solidFill>
                  <a:schemeClr val="accent6"/>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'Combined-write'!$AT$7:$BM$7</c:f>
              <c:numCache>
                <c:formatCode>General</c:formatCode>
                <c:ptCount val="20"/>
                <c:pt idx="0">
                  <c:v>57.427019999999999</c:v>
                </c:pt>
                <c:pt idx="1">
                  <c:v>49.656154999999998</c:v>
                </c:pt>
                <c:pt idx="2">
                  <c:v>49.620759999999997</c:v>
                </c:pt>
                <c:pt idx="3">
                  <c:v>46.900753000000002</c:v>
                </c:pt>
                <c:pt idx="4">
                  <c:v>44.457016000000003</c:v>
                </c:pt>
                <c:pt idx="5">
                  <c:v>43.27704</c:v>
                </c:pt>
                <c:pt idx="6">
                  <c:v>41.215687000000003</c:v>
                </c:pt>
                <c:pt idx="7">
                  <c:v>40.295757000000002</c:v>
                </c:pt>
                <c:pt idx="8">
                  <c:v>39.243639999999999</c:v>
                </c:pt>
                <c:pt idx="9">
                  <c:v>38.326976999999999</c:v>
                </c:pt>
                <c:pt idx="10">
                  <c:v>37.222526999999999</c:v>
                </c:pt>
                <c:pt idx="11">
                  <c:v>36.964973000000001</c:v>
                </c:pt>
                <c:pt idx="12">
                  <c:v>35.456535000000002</c:v>
                </c:pt>
                <c:pt idx="13">
                  <c:v>34.753695999999998</c:v>
                </c:pt>
                <c:pt idx="14">
                  <c:v>34.061424000000002</c:v>
                </c:pt>
                <c:pt idx="15">
                  <c:v>33.791224999999997</c:v>
                </c:pt>
                <c:pt idx="16">
                  <c:v>31.916094000000001</c:v>
                </c:pt>
                <c:pt idx="17">
                  <c:v>31.929110000000001</c:v>
                </c:pt>
                <c:pt idx="18">
                  <c:v>31.173023000000001</c:v>
                </c:pt>
                <c:pt idx="19">
                  <c:v>30.163329999999998</c:v>
                </c:pt>
              </c:numCache>
            </c:numRef>
          </c:yVal>
          <c:smooth val="1"/>
          <c:extLst>
            <c:ext xmlns:c16="http://schemas.microsoft.com/office/drawing/2014/chart" uri="{C3380CC4-5D6E-409C-BE32-E72D297353CC}">
              <c16:uniqueId val="{00000005-D883-2D46-ABD2-5B42E055F1F7}"/>
            </c:ext>
          </c:extLst>
        </c:ser>
        <c:ser>
          <c:idx val="6"/>
          <c:order val="6"/>
          <c:tx>
            <c:v>F2FS 1M Files</c:v>
          </c:tx>
          <c:spPr>
            <a:ln w="31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25400" cap="rnd">
                <a:solidFill>
                  <a:schemeClr val="accent1">
                    <a:lumMod val="60000"/>
                  </a:schemeClr>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'Combined-write'!$AT$8:$BM$8</c:f>
              <c:numCache>
                <c:formatCode>General</c:formatCode>
                <c:ptCount val="20"/>
                <c:pt idx="0">
                  <c:v>79.044700000000006</c:v>
                </c:pt>
                <c:pt idx="1">
                  <c:v>32.9559</c:v>
                </c:pt>
                <c:pt idx="2">
                  <c:v>70.449160000000006</c:v>
                </c:pt>
                <c:pt idx="3">
                  <c:v>68.328149999999994</c:v>
                </c:pt>
                <c:pt idx="4">
                  <c:v>73.485309999999998</c:v>
                </c:pt>
                <c:pt idx="5">
                  <c:v>65.899109999999993</c:v>
                </c:pt>
                <c:pt idx="6">
                  <c:v>76.067115999999999</c:v>
                </c:pt>
                <c:pt idx="7">
                  <c:v>70.059719999999999</c:v>
                </c:pt>
                <c:pt idx="8">
                  <c:v>62.900894000000001</c:v>
                </c:pt>
                <c:pt idx="9">
                  <c:v>67.353369999999998</c:v>
                </c:pt>
                <c:pt idx="10">
                  <c:v>65.997020000000006</c:v>
                </c:pt>
                <c:pt idx="11">
                  <c:v>75.888159999999999</c:v>
                </c:pt>
                <c:pt idx="12">
                  <c:v>50.111660000000001</c:v>
                </c:pt>
                <c:pt idx="13">
                  <c:v>70.093990000000005</c:v>
                </c:pt>
                <c:pt idx="14">
                  <c:v>69.979879999999994</c:v>
                </c:pt>
                <c:pt idx="15">
                  <c:v>42.643810000000002</c:v>
                </c:pt>
                <c:pt idx="16">
                  <c:v>69.052440000000004</c:v>
                </c:pt>
                <c:pt idx="17">
                  <c:v>66.827079999999995</c:v>
                </c:pt>
                <c:pt idx="18">
                  <c:v>72.730969999999999</c:v>
                </c:pt>
                <c:pt idx="19">
                  <c:v>76.060929999999999</c:v>
                </c:pt>
              </c:numCache>
            </c:numRef>
          </c:yVal>
          <c:smooth val="1"/>
          <c:extLst>
            <c:ext xmlns:c16="http://schemas.microsoft.com/office/drawing/2014/chart" uri="{C3380CC4-5D6E-409C-BE32-E72D297353CC}">
              <c16:uniqueId val="{00000006-D883-2D46-ABD2-5B42E055F1F7}"/>
            </c:ext>
          </c:extLst>
        </c:ser>
        <c:ser>
          <c:idx val="7"/>
          <c:order val="7"/>
          <c:tx>
            <c:v>F2FS 6M Files</c:v>
          </c:tx>
          <c:spPr>
            <a:ln w="31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25400" cap="rnd">
                <a:solidFill>
                  <a:schemeClr val="accent2">
                    <a:lumMod val="60000"/>
                  </a:schemeClr>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'Combined-write'!$AT$9:$BM$9</c:f>
              <c:numCache>
                <c:formatCode>General</c:formatCode>
                <c:ptCount val="20"/>
                <c:pt idx="0">
                  <c:v>72.03246</c:v>
                </c:pt>
                <c:pt idx="1">
                  <c:v>48.011257000000001</c:v>
                </c:pt>
                <c:pt idx="2">
                  <c:v>63.059947999999999</c:v>
                </c:pt>
                <c:pt idx="3">
                  <c:v>72.281580000000005</c:v>
                </c:pt>
                <c:pt idx="4">
                  <c:v>72.104470000000006</c:v>
                </c:pt>
                <c:pt idx="5">
                  <c:v>49.598089999999999</c:v>
                </c:pt>
                <c:pt idx="6">
                  <c:v>69.483270000000005</c:v>
                </c:pt>
                <c:pt idx="7">
                  <c:v>71.620154999999997</c:v>
                </c:pt>
                <c:pt idx="8">
                  <c:v>71.140110000000007</c:v>
                </c:pt>
                <c:pt idx="9">
                  <c:v>43.346393999999997</c:v>
                </c:pt>
                <c:pt idx="10">
                  <c:v>72.511319999999998</c:v>
                </c:pt>
                <c:pt idx="11">
                  <c:v>42.983370000000001</c:v>
                </c:pt>
                <c:pt idx="12">
                  <c:v>71.265820000000005</c:v>
                </c:pt>
                <c:pt idx="13">
                  <c:v>76.576300000000003</c:v>
                </c:pt>
                <c:pt idx="14">
                  <c:v>54.206394000000003</c:v>
                </c:pt>
                <c:pt idx="15">
                  <c:v>73.993269999999995</c:v>
                </c:pt>
                <c:pt idx="16">
                  <c:v>48.958199999999998</c:v>
                </c:pt>
                <c:pt idx="17">
                  <c:v>57.153748</c:v>
                </c:pt>
                <c:pt idx="18">
                  <c:v>41.646434999999997</c:v>
                </c:pt>
                <c:pt idx="19">
                  <c:v>45.669013999999997</c:v>
                </c:pt>
              </c:numCache>
            </c:numRef>
          </c:yVal>
          <c:smooth val="1"/>
          <c:extLst>
            <c:ext xmlns:c16="http://schemas.microsoft.com/office/drawing/2014/chart" uri="{C3380CC4-5D6E-409C-BE32-E72D297353CC}">
              <c16:uniqueId val="{00000007-D883-2D46-ABD2-5B42E055F1F7}"/>
            </c:ext>
          </c:extLst>
        </c:ser>
        <c:dLbls>
          <c:showLegendKey val="0"/>
          <c:showVal val="0"/>
          <c:showCatName val="0"/>
          <c:showSerName val="0"/>
          <c:showPercent val="0"/>
          <c:showBubbleSize val="0"/>
        </c:dLbls>
        <c:axId val="2001099488"/>
        <c:axId val="2029246816"/>
      </c:scatterChart>
      <c:valAx>
        <c:axId val="2001099488"/>
        <c:scaling>
          <c:orientation val="minMax"/>
          <c:max val="20"/>
          <c:min val="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Folder Samples</a:t>
                </a:r>
              </a:p>
            </c:rich>
          </c:tx>
          <c:layout>
            <c:manualLayout>
              <c:xMode val="edge"/>
              <c:yMode val="edge"/>
              <c:x val="0.46403269057312108"/>
              <c:y val="0.9404003506279565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46816"/>
        <c:crosses val="autoZero"/>
        <c:crossBetween val="midCat"/>
      </c:valAx>
      <c:valAx>
        <c:axId val="2029246816"/>
        <c:scaling>
          <c:orientation val="minMax"/>
          <c:max val="85"/>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Write Throughput (MB/sec)</a:t>
                </a:r>
              </a:p>
            </c:rich>
          </c:tx>
          <c:layout>
            <c:manualLayout>
              <c:xMode val="edge"/>
              <c:yMode val="edge"/>
              <c:x val="1.5595670510226471E-2"/>
              <c:y val="0.3677806157147822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99488"/>
        <c:crosses val="autoZero"/>
        <c:crossBetween val="midCat"/>
      </c:valAx>
      <c:spPr>
        <a:noFill/>
        <a:ln>
          <a:noFill/>
        </a:ln>
        <a:effectLst/>
      </c:spPr>
    </c:plotArea>
    <c:legend>
      <c:legendPos val="r"/>
      <c:layout>
        <c:manualLayout>
          <c:xMode val="edge"/>
          <c:yMode val="edge"/>
          <c:x val="0.11306330903683477"/>
          <c:y val="0.8255352365983043"/>
          <c:w val="0.8611152824163234"/>
          <c:h val="6.52609306754122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EXT4 - Write Througput by Folder - 20</a:t>
            </a:r>
            <a:r>
              <a:rPr lang="en-US" baseline="0"/>
              <a:t> Folders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'Combined-write'!$AT$10:$BM$10</c:f>
              <c:numCache>
                <c:formatCode>General</c:formatCode>
                <c:ptCount val="20"/>
                <c:pt idx="0">
                  <c:v>38.392060000000001</c:v>
                </c:pt>
                <c:pt idx="1">
                  <c:v>39.506214</c:v>
                </c:pt>
                <c:pt idx="2">
                  <c:v>38.759979999999999</c:v>
                </c:pt>
                <c:pt idx="3">
                  <c:v>40.980003000000004</c:v>
                </c:pt>
                <c:pt idx="4">
                  <c:v>39.648555999999999</c:v>
                </c:pt>
                <c:pt idx="5">
                  <c:v>38.706885999999997</c:v>
                </c:pt>
                <c:pt idx="6">
                  <c:v>39.879463000000001</c:v>
                </c:pt>
                <c:pt idx="7">
                  <c:v>41.226776000000001</c:v>
                </c:pt>
                <c:pt idx="8">
                  <c:v>40.12453</c:v>
                </c:pt>
                <c:pt idx="9">
                  <c:v>40.463659999999997</c:v>
                </c:pt>
                <c:pt idx="10">
                  <c:v>39.871715999999999</c:v>
                </c:pt>
                <c:pt idx="11">
                  <c:v>41.171802999999997</c:v>
                </c:pt>
                <c:pt idx="12">
                  <c:v>39.673465999999998</c:v>
                </c:pt>
                <c:pt idx="13">
                  <c:v>39.941040000000001</c:v>
                </c:pt>
                <c:pt idx="14">
                  <c:v>39.313006999999999</c:v>
                </c:pt>
                <c:pt idx="15">
                  <c:v>39.834629999999997</c:v>
                </c:pt>
                <c:pt idx="16">
                  <c:v>38.785423000000002</c:v>
                </c:pt>
                <c:pt idx="17">
                  <c:v>38.747500000000002</c:v>
                </c:pt>
                <c:pt idx="18">
                  <c:v>39.626480000000001</c:v>
                </c:pt>
                <c:pt idx="19">
                  <c:v>40.339027000000002</c:v>
                </c:pt>
              </c:numCache>
            </c:numRef>
          </c:yVal>
          <c:smooth val="1"/>
          <c:extLst>
            <c:ext xmlns:c16="http://schemas.microsoft.com/office/drawing/2014/chart" uri="{C3380CC4-5D6E-409C-BE32-E72D297353CC}">
              <c16:uniqueId val="{00000001-8140-A04B-9BFE-F55106FE4A9C}"/>
            </c:ext>
          </c:extLst>
        </c:ser>
        <c:dLbls>
          <c:showLegendKey val="0"/>
          <c:showVal val="0"/>
          <c:showCatName val="0"/>
          <c:showSerName val="0"/>
          <c:showPercent val="0"/>
          <c:showBubbleSize val="0"/>
        </c:dLbls>
        <c:axId val="29531935"/>
        <c:axId val="29581039"/>
      </c:scatterChart>
      <c:valAx>
        <c:axId val="29531935"/>
        <c:scaling>
          <c:orientation val="minMax"/>
          <c:max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81039"/>
        <c:crosses val="autoZero"/>
        <c:crossBetween val="midCat"/>
      </c:valAx>
      <c:valAx>
        <c:axId val="29581039"/>
        <c:scaling>
          <c:orientation val="minMax"/>
          <c:max val="46"/>
          <c:min val="3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19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XFS - Write Througput by Folder - 20 Folders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'Combined-write'!$AT$5:$BM$5</c:f>
              <c:numCache>
                <c:formatCode>General</c:formatCode>
                <c:ptCount val="20"/>
                <c:pt idx="0">
                  <c:v>75.678290000000004</c:v>
                </c:pt>
                <c:pt idx="1">
                  <c:v>73.038475000000005</c:v>
                </c:pt>
                <c:pt idx="2">
                  <c:v>41.805813000000001</c:v>
                </c:pt>
                <c:pt idx="3">
                  <c:v>35.897550000000003</c:v>
                </c:pt>
                <c:pt idx="4">
                  <c:v>26.836514999999999</c:v>
                </c:pt>
                <c:pt idx="5">
                  <c:v>26.706205000000001</c:v>
                </c:pt>
                <c:pt idx="6">
                  <c:v>28.436820000000001</c:v>
                </c:pt>
                <c:pt idx="7">
                  <c:v>22.338379</c:v>
                </c:pt>
                <c:pt idx="8">
                  <c:v>27.572512</c:v>
                </c:pt>
                <c:pt idx="9">
                  <c:v>28.251283999999998</c:v>
                </c:pt>
                <c:pt idx="10">
                  <c:v>28.804113000000001</c:v>
                </c:pt>
                <c:pt idx="11">
                  <c:v>26.300667000000001</c:v>
                </c:pt>
                <c:pt idx="12">
                  <c:v>30.691327999999999</c:v>
                </c:pt>
                <c:pt idx="13">
                  <c:v>27.786000000000001</c:v>
                </c:pt>
                <c:pt idx="14">
                  <c:v>28.837160000000001</c:v>
                </c:pt>
                <c:pt idx="15">
                  <c:v>26.272235999999999</c:v>
                </c:pt>
                <c:pt idx="16">
                  <c:v>32.693317</c:v>
                </c:pt>
                <c:pt idx="17">
                  <c:v>25.421230000000001</c:v>
                </c:pt>
                <c:pt idx="18">
                  <c:v>30.406711999999999</c:v>
                </c:pt>
                <c:pt idx="19">
                  <c:v>41.166096000000003</c:v>
                </c:pt>
              </c:numCache>
            </c:numRef>
          </c:yVal>
          <c:smooth val="1"/>
          <c:extLst>
            <c:ext xmlns:c16="http://schemas.microsoft.com/office/drawing/2014/chart" uri="{C3380CC4-5D6E-409C-BE32-E72D297353CC}">
              <c16:uniqueId val="{00000000-7D51-4A4B-9818-2BCF37F0290D}"/>
            </c:ext>
          </c:extLst>
        </c:ser>
        <c:dLbls>
          <c:showLegendKey val="0"/>
          <c:showVal val="0"/>
          <c:showCatName val="0"/>
          <c:showSerName val="0"/>
          <c:showPercent val="0"/>
          <c:showBubbleSize val="0"/>
        </c:dLbls>
        <c:axId val="62724399"/>
        <c:axId val="62180367"/>
      </c:scatterChart>
      <c:valAx>
        <c:axId val="62724399"/>
        <c:scaling>
          <c:orientation val="minMax"/>
          <c:max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0367"/>
        <c:crosses val="autoZero"/>
        <c:crossBetween val="midCat"/>
      </c:valAx>
      <c:valAx>
        <c:axId val="62180367"/>
        <c:scaling>
          <c:orientation val="minMax"/>
          <c:max val="80"/>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4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BtrFS</a:t>
            </a:r>
            <a:r>
              <a:rPr lang="en-US" baseline="0"/>
              <a:t> - Write Throuput by Folder - 20 Folders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'Combined-write'!$AT$7:$BM$7</c:f>
              <c:numCache>
                <c:formatCode>General</c:formatCode>
                <c:ptCount val="20"/>
                <c:pt idx="0">
                  <c:v>57.427019999999999</c:v>
                </c:pt>
                <c:pt idx="1">
                  <c:v>49.656154999999998</c:v>
                </c:pt>
                <c:pt idx="2">
                  <c:v>49.620759999999997</c:v>
                </c:pt>
                <c:pt idx="3">
                  <c:v>46.900753000000002</c:v>
                </c:pt>
                <c:pt idx="4">
                  <c:v>44.457016000000003</c:v>
                </c:pt>
                <c:pt idx="5">
                  <c:v>43.27704</c:v>
                </c:pt>
                <c:pt idx="6">
                  <c:v>41.215687000000003</c:v>
                </c:pt>
                <c:pt idx="7">
                  <c:v>40.295757000000002</c:v>
                </c:pt>
                <c:pt idx="8">
                  <c:v>39.243639999999999</c:v>
                </c:pt>
                <c:pt idx="9">
                  <c:v>38.326976999999999</c:v>
                </c:pt>
                <c:pt idx="10">
                  <c:v>37.222526999999999</c:v>
                </c:pt>
                <c:pt idx="11">
                  <c:v>36.964973000000001</c:v>
                </c:pt>
                <c:pt idx="12">
                  <c:v>35.456535000000002</c:v>
                </c:pt>
                <c:pt idx="13">
                  <c:v>34.753695999999998</c:v>
                </c:pt>
                <c:pt idx="14">
                  <c:v>34.061424000000002</c:v>
                </c:pt>
                <c:pt idx="15">
                  <c:v>33.791224999999997</c:v>
                </c:pt>
                <c:pt idx="16">
                  <c:v>31.916094000000001</c:v>
                </c:pt>
                <c:pt idx="17">
                  <c:v>31.929110000000001</c:v>
                </c:pt>
                <c:pt idx="18">
                  <c:v>31.173023000000001</c:v>
                </c:pt>
                <c:pt idx="19">
                  <c:v>30.163329999999998</c:v>
                </c:pt>
              </c:numCache>
            </c:numRef>
          </c:yVal>
          <c:smooth val="1"/>
          <c:extLst>
            <c:ext xmlns:c16="http://schemas.microsoft.com/office/drawing/2014/chart" uri="{C3380CC4-5D6E-409C-BE32-E72D297353CC}">
              <c16:uniqueId val="{00000000-C7D7-964B-9EAB-D5C9009926FB}"/>
            </c:ext>
          </c:extLst>
        </c:ser>
        <c:dLbls>
          <c:showLegendKey val="0"/>
          <c:showVal val="0"/>
          <c:showCatName val="0"/>
          <c:showSerName val="0"/>
          <c:showPercent val="0"/>
          <c:showBubbleSize val="0"/>
        </c:dLbls>
        <c:axId val="1757881216"/>
        <c:axId val="1762134144"/>
      </c:scatterChart>
      <c:valAx>
        <c:axId val="1757881216"/>
        <c:scaling>
          <c:orientation val="minMax"/>
          <c:max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134144"/>
        <c:crosses val="autoZero"/>
        <c:crossBetween val="midCat"/>
      </c:valAx>
      <c:valAx>
        <c:axId val="1762134144"/>
        <c:scaling>
          <c:orientation val="minMax"/>
          <c:max val="60"/>
          <c:min val="2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881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Sheet3!$B$24</c:f>
              <c:strCache>
                <c:ptCount val="1"/>
                <c:pt idx="0">
                  <c:v>Write Speed</c:v>
                </c:pt>
              </c:strCache>
            </c:strRef>
          </c:tx>
          <c:spPr>
            <a:solidFill>
              <a:schemeClr val="accent1"/>
            </a:solidFill>
            <a:ln>
              <a:noFill/>
            </a:ln>
            <a:effectLst/>
          </c:spPr>
          <c:invertIfNegative val="0"/>
          <c:val>
            <c:numRef>
              <c:f>Sheet3!$B$25:$B$34</c:f>
              <c:numCache>
                <c:formatCode>General</c:formatCode>
                <c:ptCount val="10"/>
                <c:pt idx="0">
                  <c:v>0</c:v>
                </c:pt>
                <c:pt idx="1">
                  <c:v>1</c:v>
                </c:pt>
                <c:pt idx="2">
                  <c:v>2</c:v>
                </c:pt>
                <c:pt idx="3">
                  <c:v>3</c:v>
                </c:pt>
                <c:pt idx="4">
                  <c:v>4</c:v>
                </c:pt>
                <c:pt idx="5">
                  <c:v>5</c:v>
                </c:pt>
                <c:pt idx="6">
                  <c:v>6</c:v>
                </c:pt>
                <c:pt idx="7">
                  <c:v>7</c:v>
                </c:pt>
                <c:pt idx="8">
                  <c:v>8</c:v>
                </c:pt>
                <c:pt idx="9">
                  <c:v>9</c:v>
                </c:pt>
              </c:numCache>
            </c:numRef>
          </c:val>
          <c:extLst>
            <c:ext xmlns:c16="http://schemas.microsoft.com/office/drawing/2014/chart" uri="{C3380CC4-5D6E-409C-BE32-E72D297353CC}">
              <c16:uniqueId val="{00000000-AE94-E54F-9DDD-056BB5DC20FD}"/>
            </c:ext>
          </c:extLst>
        </c:ser>
        <c:ser>
          <c:idx val="1"/>
          <c:order val="1"/>
          <c:tx>
            <c:strRef>
              <c:f>Sheet3!$C$24</c:f>
              <c:strCache>
                <c:ptCount val="1"/>
                <c:pt idx="0">
                  <c:v>Count-3t</c:v>
                </c:pt>
              </c:strCache>
            </c:strRef>
          </c:tx>
          <c:spPr>
            <a:solidFill>
              <a:schemeClr val="accent2"/>
            </a:solidFill>
            <a:ln>
              <a:noFill/>
            </a:ln>
            <a:effectLst/>
          </c:spPr>
          <c:invertIfNegative val="0"/>
          <c:val>
            <c:numRef>
              <c:f>Sheet3!$C$25:$C$34</c:f>
              <c:numCache>
                <c:formatCode>General</c:formatCode>
                <c:ptCount val="10"/>
                <c:pt idx="0">
                  <c:v>0</c:v>
                </c:pt>
                <c:pt idx="1">
                  <c:v>0</c:v>
                </c:pt>
                <c:pt idx="2">
                  <c:v>0</c:v>
                </c:pt>
                <c:pt idx="3">
                  <c:v>54601</c:v>
                </c:pt>
                <c:pt idx="4">
                  <c:v>1863133</c:v>
                </c:pt>
                <c:pt idx="5">
                  <c:v>3970441</c:v>
                </c:pt>
                <c:pt idx="6">
                  <c:v>5805703</c:v>
                </c:pt>
                <c:pt idx="7">
                  <c:v>7339798</c:v>
                </c:pt>
                <c:pt idx="8">
                  <c:v>7462048</c:v>
                </c:pt>
                <c:pt idx="9">
                  <c:v>6956366</c:v>
                </c:pt>
              </c:numCache>
            </c:numRef>
          </c:val>
          <c:extLst>
            <c:ext xmlns:c16="http://schemas.microsoft.com/office/drawing/2014/chart" uri="{C3380CC4-5D6E-409C-BE32-E72D297353CC}">
              <c16:uniqueId val="{00000001-AE94-E54F-9DDD-056BB5DC20FD}"/>
            </c:ext>
          </c:extLst>
        </c:ser>
        <c:ser>
          <c:idx val="2"/>
          <c:order val="2"/>
          <c:tx>
            <c:strRef>
              <c:f>Sheet3!$D$24</c:f>
              <c:strCache>
                <c:ptCount val="1"/>
                <c:pt idx="0">
                  <c:v>Count-2t</c:v>
                </c:pt>
              </c:strCache>
            </c:strRef>
          </c:tx>
          <c:spPr>
            <a:solidFill>
              <a:schemeClr val="accent3"/>
            </a:solidFill>
            <a:ln>
              <a:noFill/>
            </a:ln>
            <a:effectLst/>
          </c:spPr>
          <c:invertIfNegative val="0"/>
          <c:val>
            <c:numRef>
              <c:f>Sheet3!$D$25:$D$34</c:f>
              <c:numCache>
                <c:formatCode>General</c:formatCode>
                <c:ptCount val="10"/>
                <c:pt idx="0">
                  <c:v>0</c:v>
                </c:pt>
                <c:pt idx="1">
                  <c:v>0</c:v>
                </c:pt>
                <c:pt idx="2">
                  <c:v>0</c:v>
                </c:pt>
                <c:pt idx="3">
                  <c:v>301187</c:v>
                </c:pt>
                <c:pt idx="4">
                  <c:v>4595826</c:v>
                </c:pt>
                <c:pt idx="5">
                  <c:v>12948297</c:v>
                </c:pt>
                <c:pt idx="6">
                  <c:v>22748303</c:v>
                </c:pt>
                <c:pt idx="7">
                  <c:v>27340013</c:v>
                </c:pt>
                <c:pt idx="8">
                  <c:v>20878671</c:v>
                </c:pt>
                <c:pt idx="9">
                  <c:v>6839367</c:v>
                </c:pt>
              </c:numCache>
            </c:numRef>
          </c:val>
          <c:extLst>
            <c:ext xmlns:c16="http://schemas.microsoft.com/office/drawing/2014/chart" uri="{C3380CC4-5D6E-409C-BE32-E72D297353CC}">
              <c16:uniqueId val="{00000002-AE94-E54F-9DDD-056BB5DC20FD}"/>
            </c:ext>
          </c:extLst>
        </c:ser>
        <c:dLbls>
          <c:showLegendKey val="0"/>
          <c:showVal val="0"/>
          <c:showCatName val="0"/>
          <c:showSerName val="0"/>
          <c:showPercent val="0"/>
          <c:showBubbleSize val="0"/>
        </c:dLbls>
        <c:gapWidth val="219"/>
        <c:overlap val="-27"/>
        <c:axId val="1796483776"/>
        <c:axId val="1782337584"/>
      </c:barChart>
      <c:catAx>
        <c:axId val="1796483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37584"/>
        <c:crosses val="autoZero"/>
        <c:auto val="1"/>
        <c:lblAlgn val="ctr"/>
        <c:lblOffset val="100"/>
        <c:noMultiLvlLbl val="0"/>
      </c:catAx>
      <c:valAx>
        <c:axId val="17823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8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'Combined-write'!$R$2:$Z$2</c:f>
              <c:numCache>
                <c:formatCode>General</c:formatCode>
                <c:ptCount val="9"/>
                <c:pt idx="0">
                  <c:v>0</c:v>
                </c:pt>
                <c:pt idx="1">
                  <c:v>0</c:v>
                </c:pt>
                <c:pt idx="2">
                  <c:v>1010</c:v>
                </c:pt>
                <c:pt idx="3">
                  <c:v>5620647</c:v>
                </c:pt>
                <c:pt idx="4">
                  <c:v>3878101</c:v>
                </c:pt>
                <c:pt idx="5">
                  <c:v>218641</c:v>
                </c:pt>
                <c:pt idx="6">
                  <c:v>103873</c:v>
                </c:pt>
                <c:pt idx="7">
                  <c:v>64497</c:v>
                </c:pt>
                <c:pt idx="8">
                  <c:v>38336</c:v>
                </c:pt>
              </c:numCache>
            </c:numRef>
          </c:val>
          <c:extLst>
            <c:ext xmlns:c16="http://schemas.microsoft.com/office/drawing/2014/chart" uri="{C3380CC4-5D6E-409C-BE32-E72D297353CC}">
              <c16:uniqueId val="{00000000-D866-E742-91AF-A8A9BEBA519E}"/>
            </c:ext>
          </c:extLst>
        </c:ser>
        <c:ser>
          <c:idx val="1"/>
          <c:order val="1"/>
          <c:spPr>
            <a:solidFill>
              <a:schemeClr val="accent2"/>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'Combined-write'!$R$3:$Z$3</c:f>
              <c:numCache>
                <c:formatCode>General</c:formatCode>
                <c:ptCount val="9"/>
                <c:pt idx="0">
                  <c:v>0</c:v>
                </c:pt>
                <c:pt idx="1">
                  <c:v>0</c:v>
                </c:pt>
                <c:pt idx="2">
                  <c:v>4654670</c:v>
                </c:pt>
                <c:pt idx="3">
                  <c:v>56410596</c:v>
                </c:pt>
                <c:pt idx="4">
                  <c:v>34917501</c:v>
                </c:pt>
                <c:pt idx="5">
                  <c:v>1777402</c:v>
                </c:pt>
                <c:pt idx="6">
                  <c:v>823726</c:v>
                </c:pt>
                <c:pt idx="7">
                  <c:v>474070</c:v>
                </c:pt>
                <c:pt idx="8">
                  <c:v>340726</c:v>
                </c:pt>
              </c:numCache>
            </c:numRef>
          </c:val>
          <c:extLst>
            <c:ext xmlns:c16="http://schemas.microsoft.com/office/drawing/2014/chart" uri="{C3380CC4-5D6E-409C-BE32-E72D297353CC}">
              <c16:uniqueId val="{00000001-D866-E742-91AF-A8A9BEBA519E}"/>
            </c:ext>
          </c:extLst>
        </c:ser>
        <c:ser>
          <c:idx val="2"/>
          <c:order val="2"/>
          <c:spPr>
            <a:solidFill>
              <a:schemeClr val="accent3"/>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'Combined-write'!$R$4:$Z$4</c:f>
              <c:numCache>
                <c:formatCode>General</c:formatCode>
                <c:ptCount val="9"/>
                <c:pt idx="0">
                  <c:v>0</c:v>
                </c:pt>
                <c:pt idx="1">
                  <c:v>16913</c:v>
                </c:pt>
                <c:pt idx="2">
                  <c:v>8467612</c:v>
                </c:pt>
                <c:pt idx="3">
                  <c:v>1101911</c:v>
                </c:pt>
                <c:pt idx="4">
                  <c:v>273704</c:v>
                </c:pt>
                <c:pt idx="5">
                  <c:v>77994</c:v>
                </c:pt>
                <c:pt idx="6">
                  <c:v>25967</c:v>
                </c:pt>
                <c:pt idx="7">
                  <c:v>11530</c:v>
                </c:pt>
                <c:pt idx="8">
                  <c:v>9410</c:v>
                </c:pt>
              </c:numCache>
            </c:numRef>
          </c:val>
          <c:extLst>
            <c:ext xmlns:c16="http://schemas.microsoft.com/office/drawing/2014/chart" uri="{C3380CC4-5D6E-409C-BE32-E72D297353CC}">
              <c16:uniqueId val="{00000002-D866-E742-91AF-A8A9BEBA519E}"/>
            </c:ext>
          </c:extLst>
        </c:ser>
        <c:ser>
          <c:idx val="3"/>
          <c:order val="3"/>
          <c:spPr>
            <a:solidFill>
              <a:schemeClr val="accent4"/>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'Combined-write'!$R$5:$Z$5</c:f>
              <c:numCache>
                <c:formatCode>General</c:formatCode>
                <c:ptCount val="9"/>
                <c:pt idx="0">
                  <c:v>0</c:v>
                </c:pt>
                <c:pt idx="1">
                  <c:v>240527</c:v>
                </c:pt>
                <c:pt idx="2">
                  <c:v>78818912</c:v>
                </c:pt>
                <c:pt idx="3">
                  <c:v>12936726</c:v>
                </c:pt>
                <c:pt idx="4">
                  <c:v>3204924</c:v>
                </c:pt>
                <c:pt idx="5">
                  <c:v>2806458</c:v>
                </c:pt>
                <c:pt idx="6">
                  <c:v>1243871</c:v>
                </c:pt>
                <c:pt idx="7">
                  <c:v>238382</c:v>
                </c:pt>
                <c:pt idx="8">
                  <c:v>120192</c:v>
                </c:pt>
              </c:numCache>
            </c:numRef>
          </c:val>
          <c:extLst>
            <c:ext xmlns:c16="http://schemas.microsoft.com/office/drawing/2014/chart" uri="{C3380CC4-5D6E-409C-BE32-E72D297353CC}">
              <c16:uniqueId val="{00000003-D866-E742-91AF-A8A9BEBA519E}"/>
            </c:ext>
          </c:extLst>
        </c:ser>
        <c:ser>
          <c:idx val="4"/>
          <c:order val="4"/>
          <c:spPr>
            <a:solidFill>
              <a:schemeClr val="accent5"/>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'Combined-write'!$R$6:$Z$6</c:f>
              <c:numCache>
                <c:formatCode>General</c:formatCode>
                <c:ptCount val="9"/>
                <c:pt idx="0">
                  <c:v>0</c:v>
                </c:pt>
                <c:pt idx="1">
                  <c:v>0</c:v>
                </c:pt>
                <c:pt idx="2">
                  <c:v>43194</c:v>
                </c:pt>
                <c:pt idx="3">
                  <c:v>7092295</c:v>
                </c:pt>
                <c:pt idx="4">
                  <c:v>2312792</c:v>
                </c:pt>
                <c:pt idx="5">
                  <c:v>246026</c:v>
                </c:pt>
                <c:pt idx="6">
                  <c:v>106544</c:v>
                </c:pt>
                <c:pt idx="7">
                  <c:v>98360</c:v>
                </c:pt>
                <c:pt idx="8">
                  <c:v>51151</c:v>
                </c:pt>
              </c:numCache>
            </c:numRef>
          </c:val>
          <c:extLst>
            <c:ext xmlns:c16="http://schemas.microsoft.com/office/drawing/2014/chart" uri="{C3380CC4-5D6E-409C-BE32-E72D297353CC}">
              <c16:uniqueId val="{00000004-D866-E742-91AF-A8A9BEBA519E}"/>
            </c:ext>
          </c:extLst>
        </c:ser>
        <c:ser>
          <c:idx val="5"/>
          <c:order val="5"/>
          <c:spPr>
            <a:solidFill>
              <a:schemeClr val="accent6"/>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'Combined-write'!$R$7:$Z$7</c:f>
              <c:numCache>
                <c:formatCode>General</c:formatCode>
                <c:ptCount val="9"/>
                <c:pt idx="0">
                  <c:v>0</c:v>
                </c:pt>
                <c:pt idx="1">
                  <c:v>0</c:v>
                </c:pt>
                <c:pt idx="2">
                  <c:v>16340</c:v>
                </c:pt>
                <c:pt idx="3">
                  <c:v>8704611</c:v>
                </c:pt>
                <c:pt idx="4">
                  <c:v>24110306</c:v>
                </c:pt>
                <c:pt idx="5">
                  <c:v>29475535</c:v>
                </c:pt>
                <c:pt idx="6">
                  <c:v>28116508</c:v>
                </c:pt>
                <c:pt idx="7">
                  <c:v>6461554</c:v>
                </c:pt>
                <c:pt idx="8">
                  <c:v>999511</c:v>
                </c:pt>
              </c:numCache>
            </c:numRef>
          </c:val>
          <c:extLst>
            <c:ext xmlns:c16="http://schemas.microsoft.com/office/drawing/2014/chart" uri="{C3380CC4-5D6E-409C-BE32-E72D297353CC}">
              <c16:uniqueId val="{00000005-D866-E742-91AF-A8A9BEBA519E}"/>
            </c:ext>
          </c:extLst>
        </c:ser>
        <c:ser>
          <c:idx val="6"/>
          <c:order val="6"/>
          <c:spPr>
            <a:solidFill>
              <a:schemeClr val="accent1">
                <a:lumMod val="60000"/>
              </a:schemeClr>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'Combined-write'!$R$8:$Z$8</c:f>
              <c:numCache>
                <c:formatCode>General</c:formatCode>
                <c:ptCount val="9"/>
                <c:pt idx="0">
                  <c:v>0</c:v>
                </c:pt>
                <c:pt idx="1">
                  <c:v>7696</c:v>
                </c:pt>
                <c:pt idx="2">
                  <c:v>844315</c:v>
                </c:pt>
                <c:pt idx="3">
                  <c:v>80347</c:v>
                </c:pt>
                <c:pt idx="4">
                  <c:v>30535</c:v>
                </c:pt>
                <c:pt idx="5">
                  <c:v>26346</c:v>
                </c:pt>
                <c:pt idx="6">
                  <c:v>5575</c:v>
                </c:pt>
                <c:pt idx="7">
                  <c:v>1770</c:v>
                </c:pt>
                <c:pt idx="8">
                  <c:v>1026</c:v>
                </c:pt>
              </c:numCache>
            </c:numRef>
          </c:val>
          <c:extLst>
            <c:ext xmlns:c16="http://schemas.microsoft.com/office/drawing/2014/chart" uri="{C3380CC4-5D6E-409C-BE32-E72D297353CC}">
              <c16:uniqueId val="{00000006-D866-E742-91AF-A8A9BEBA519E}"/>
            </c:ext>
          </c:extLst>
        </c:ser>
        <c:ser>
          <c:idx val="7"/>
          <c:order val="7"/>
          <c:spPr>
            <a:solidFill>
              <a:schemeClr val="accent2">
                <a:lumMod val="60000"/>
              </a:schemeClr>
            </a:solidFill>
            <a:ln>
              <a:noFill/>
            </a:ln>
            <a:effectLst/>
          </c:spPr>
          <c:invertIfNegative val="0"/>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'Combined-write'!$R$9:$Z$9</c:f>
              <c:numCache>
                <c:formatCode>General</c:formatCode>
                <c:ptCount val="9"/>
                <c:pt idx="0">
                  <c:v>0</c:v>
                </c:pt>
                <c:pt idx="1">
                  <c:v>126914</c:v>
                </c:pt>
                <c:pt idx="2">
                  <c:v>5206681</c:v>
                </c:pt>
                <c:pt idx="3">
                  <c:v>296680</c:v>
                </c:pt>
                <c:pt idx="4">
                  <c:v>171787</c:v>
                </c:pt>
                <c:pt idx="5">
                  <c:v>146274</c:v>
                </c:pt>
                <c:pt idx="6">
                  <c:v>22922</c:v>
                </c:pt>
                <c:pt idx="7">
                  <c:v>9716</c:v>
                </c:pt>
                <c:pt idx="8">
                  <c:v>5263</c:v>
                </c:pt>
              </c:numCache>
            </c:numRef>
          </c:val>
          <c:extLst>
            <c:ext xmlns:c16="http://schemas.microsoft.com/office/drawing/2014/chart" uri="{C3380CC4-5D6E-409C-BE32-E72D297353CC}">
              <c16:uniqueId val="{00000007-D866-E742-91AF-A8A9BEBA519E}"/>
            </c:ext>
          </c:extLst>
        </c:ser>
        <c:ser>
          <c:idx val="8"/>
          <c:order val="8"/>
          <c:spPr>
            <a:solidFill>
              <a:schemeClr val="accent3">
                <a:lumMod val="60000"/>
              </a:schemeClr>
            </a:solidFill>
            <a:ln>
              <a:noFill/>
            </a:ln>
            <a:effectLst/>
          </c:spPr>
          <c:invertIfNegative val="0"/>
          <c:dLbls>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66-E742-91AF-A8A9BEBA519E}"/>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66-E742-91AF-A8A9BEBA51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'Combined-write'!$R$1:$Z$1</c:f>
              <c:strCache>
                <c:ptCount val="9"/>
                <c:pt idx="0">
                  <c:v>ws-0</c:v>
                </c:pt>
                <c:pt idx="1">
                  <c:v>ws-1</c:v>
                </c:pt>
                <c:pt idx="2">
                  <c:v>ws-2</c:v>
                </c:pt>
                <c:pt idx="3">
                  <c:v>ws-3</c:v>
                </c:pt>
                <c:pt idx="4">
                  <c:v>ws-4</c:v>
                </c:pt>
                <c:pt idx="5">
                  <c:v>ws-5</c:v>
                </c:pt>
                <c:pt idx="6">
                  <c:v>ws-6</c:v>
                </c:pt>
                <c:pt idx="7">
                  <c:v>ws-7</c:v>
                </c:pt>
                <c:pt idx="8">
                  <c:v>ws-8</c:v>
                </c:pt>
              </c:strCache>
            </c:strRef>
          </c:cat>
          <c:val>
            <c:numRef>
              <c:f>'Combined-write'!$R$10:$Z$10</c:f>
              <c:numCache>
                <c:formatCode>General</c:formatCode>
                <c:ptCount val="9"/>
                <c:pt idx="0">
                  <c:v>0</c:v>
                </c:pt>
                <c:pt idx="1">
                  <c:v>0</c:v>
                </c:pt>
                <c:pt idx="2">
                  <c:v>11165490</c:v>
                </c:pt>
                <c:pt idx="3">
                  <c:v>686676953</c:v>
                </c:pt>
                <c:pt idx="4">
                  <c:v>265466353</c:v>
                </c:pt>
                <c:pt idx="5">
                  <c:v>17132177</c:v>
                </c:pt>
                <c:pt idx="6">
                  <c:v>7771080</c:v>
                </c:pt>
                <c:pt idx="7">
                  <c:v>3829020</c:v>
                </c:pt>
                <c:pt idx="8">
                  <c:v>2101676</c:v>
                </c:pt>
              </c:numCache>
            </c:numRef>
          </c:val>
          <c:extLst>
            <c:ext xmlns:c16="http://schemas.microsoft.com/office/drawing/2014/chart" uri="{C3380CC4-5D6E-409C-BE32-E72D297353CC}">
              <c16:uniqueId val="{00000008-D866-E742-91AF-A8A9BEBA519E}"/>
            </c:ext>
          </c:extLst>
        </c:ser>
        <c:dLbls>
          <c:showLegendKey val="0"/>
          <c:showVal val="0"/>
          <c:showCatName val="0"/>
          <c:showSerName val="0"/>
          <c:showPercent val="0"/>
          <c:showBubbleSize val="0"/>
        </c:dLbls>
        <c:gapWidth val="182"/>
        <c:axId val="1757334192"/>
        <c:axId val="1778736032"/>
      </c:barChart>
      <c:catAx>
        <c:axId val="175733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736032"/>
        <c:crosses val="autoZero"/>
        <c:auto val="1"/>
        <c:lblAlgn val="ctr"/>
        <c:lblOffset val="100"/>
        <c:noMultiLvlLbl val="0"/>
      </c:catAx>
      <c:valAx>
        <c:axId val="177873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3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'Combined-write'!$AT$2:$BM$2</c:f>
              <c:numCache>
                <c:formatCode>General</c:formatCode>
                <c:ptCount val="20"/>
                <c:pt idx="0">
                  <c:v>35.91319</c:v>
                </c:pt>
                <c:pt idx="1">
                  <c:v>40.700436000000003</c:v>
                </c:pt>
                <c:pt idx="2">
                  <c:v>38.073616000000001</c:v>
                </c:pt>
                <c:pt idx="3">
                  <c:v>40.213017000000001</c:v>
                </c:pt>
                <c:pt idx="4">
                  <c:v>36.868651999999997</c:v>
                </c:pt>
                <c:pt idx="5">
                  <c:v>37.630245000000002</c:v>
                </c:pt>
                <c:pt idx="6">
                  <c:v>34.791218000000001</c:v>
                </c:pt>
                <c:pt idx="7">
                  <c:v>35.048319999999997</c:v>
                </c:pt>
                <c:pt idx="8">
                  <c:v>39.038654000000001</c:v>
                </c:pt>
                <c:pt idx="9">
                  <c:v>41.883614000000001</c:v>
                </c:pt>
                <c:pt idx="10">
                  <c:v>39.544795999999998</c:v>
                </c:pt>
                <c:pt idx="11">
                  <c:v>40.909633999999997</c:v>
                </c:pt>
                <c:pt idx="12">
                  <c:v>39.301929999999999</c:v>
                </c:pt>
                <c:pt idx="13">
                  <c:v>41.012782999999999</c:v>
                </c:pt>
                <c:pt idx="14">
                  <c:v>36.602997000000002</c:v>
                </c:pt>
                <c:pt idx="15">
                  <c:v>35.549050000000001</c:v>
                </c:pt>
                <c:pt idx="16">
                  <c:v>31.685438000000001</c:v>
                </c:pt>
                <c:pt idx="17">
                  <c:v>37.871299999999998</c:v>
                </c:pt>
                <c:pt idx="18">
                  <c:v>35.317352</c:v>
                </c:pt>
                <c:pt idx="19">
                  <c:v>37.682960000000001</c:v>
                </c:pt>
              </c:numCache>
            </c:numRef>
          </c:yVal>
          <c:smooth val="1"/>
          <c:extLst>
            <c:ext xmlns:c16="http://schemas.microsoft.com/office/drawing/2014/chart" uri="{C3380CC4-5D6E-409C-BE32-E72D297353CC}">
              <c16:uniqueId val="{00000000-E5B7-7346-8C85-715232103F2C}"/>
            </c:ext>
          </c:extLst>
        </c:ser>
        <c:dLbls>
          <c:showLegendKey val="0"/>
          <c:showVal val="0"/>
          <c:showCatName val="0"/>
          <c:showSerName val="0"/>
          <c:showPercent val="0"/>
          <c:showBubbleSize val="0"/>
        </c:dLbls>
        <c:axId val="1852657760"/>
        <c:axId val="2094721664"/>
      </c:scatterChart>
      <c:valAx>
        <c:axId val="1852657760"/>
        <c:scaling>
          <c:orientation val="minMax"/>
          <c:max val="20"/>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21664"/>
        <c:crosses val="autoZero"/>
        <c:crossBetween val="midCat"/>
      </c:valAx>
      <c:valAx>
        <c:axId val="2094721664"/>
        <c:scaling>
          <c:orientation val="minMax"/>
          <c:max val="45"/>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57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'Combined-write'!$AT$3:$BM$3</c:f>
              <c:numCache>
                <c:formatCode>General</c:formatCode>
                <c:ptCount val="20"/>
                <c:pt idx="0">
                  <c:v>36.109139999999996</c:v>
                </c:pt>
                <c:pt idx="1">
                  <c:v>36.839157</c:v>
                </c:pt>
                <c:pt idx="2">
                  <c:v>35.926789999999997</c:v>
                </c:pt>
                <c:pt idx="3">
                  <c:v>37.097459999999998</c:v>
                </c:pt>
                <c:pt idx="4">
                  <c:v>39.002505999999997</c:v>
                </c:pt>
                <c:pt idx="5">
                  <c:v>39.592599999999997</c:v>
                </c:pt>
                <c:pt idx="6">
                  <c:v>38.254240000000003</c:v>
                </c:pt>
                <c:pt idx="7">
                  <c:v>38.830418000000002</c:v>
                </c:pt>
                <c:pt idx="8">
                  <c:v>37.802334000000002</c:v>
                </c:pt>
                <c:pt idx="9">
                  <c:v>42.551067000000003</c:v>
                </c:pt>
                <c:pt idx="10">
                  <c:v>39.075090000000003</c:v>
                </c:pt>
                <c:pt idx="11">
                  <c:v>42.328560000000003</c:v>
                </c:pt>
                <c:pt idx="12">
                  <c:v>44.516719999999999</c:v>
                </c:pt>
                <c:pt idx="13">
                  <c:v>40.696423000000003</c:v>
                </c:pt>
                <c:pt idx="14">
                  <c:v>42.038853000000003</c:v>
                </c:pt>
                <c:pt idx="15">
                  <c:v>43.141747000000002</c:v>
                </c:pt>
                <c:pt idx="16">
                  <c:v>37.4754</c:v>
                </c:pt>
                <c:pt idx="17">
                  <c:v>38.162394999999997</c:v>
                </c:pt>
                <c:pt idx="18">
                  <c:v>39.658065999999998</c:v>
                </c:pt>
                <c:pt idx="19">
                  <c:v>38.040264000000001</c:v>
                </c:pt>
              </c:numCache>
            </c:numRef>
          </c:yVal>
          <c:smooth val="1"/>
          <c:extLst>
            <c:ext xmlns:c16="http://schemas.microsoft.com/office/drawing/2014/chart" uri="{C3380CC4-5D6E-409C-BE32-E72D297353CC}">
              <c16:uniqueId val="{00000000-5D9F-B147-8E6B-21D0A54CC1EF}"/>
            </c:ext>
          </c:extLst>
        </c:ser>
        <c:dLbls>
          <c:showLegendKey val="0"/>
          <c:showVal val="0"/>
          <c:showCatName val="0"/>
          <c:showSerName val="0"/>
          <c:showPercent val="0"/>
          <c:showBubbleSize val="0"/>
        </c:dLbls>
        <c:axId val="1472822832"/>
        <c:axId val="1472795184"/>
      </c:scatterChart>
      <c:valAx>
        <c:axId val="1472822832"/>
        <c:scaling>
          <c:orientation val="minMax"/>
          <c:max val="20"/>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95184"/>
        <c:crosses val="autoZero"/>
        <c:crossBetween val="midCat"/>
      </c:valAx>
      <c:valAx>
        <c:axId val="147279518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2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'Combined-write'!$AT$4:$BM$4</c:f>
              <c:numCache>
                <c:formatCode>General</c:formatCode>
                <c:ptCount val="20"/>
                <c:pt idx="0">
                  <c:v>75.971959999999996</c:v>
                </c:pt>
                <c:pt idx="1">
                  <c:v>23.986719999999998</c:v>
                </c:pt>
                <c:pt idx="2">
                  <c:v>75.735534999999999</c:v>
                </c:pt>
                <c:pt idx="3">
                  <c:v>81.016846000000001</c:v>
                </c:pt>
                <c:pt idx="4">
                  <c:v>75.508690000000001</c:v>
                </c:pt>
                <c:pt idx="5">
                  <c:v>78.222244000000003</c:v>
                </c:pt>
                <c:pt idx="6">
                  <c:v>80.353980000000007</c:v>
                </c:pt>
                <c:pt idx="7">
                  <c:v>79.440780000000004</c:v>
                </c:pt>
                <c:pt idx="8">
                  <c:v>79.439970000000002</c:v>
                </c:pt>
                <c:pt idx="9">
                  <c:v>79.567589999999996</c:v>
                </c:pt>
                <c:pt idx="10">
                  <c:v>74.421683999999999</c:v>
                </c:pt>
                <c:pt idx="11">
                  <c:v>77.680250000000001</c:v>
                </c:pt>
                <c:pt idx="12">
                  <c:v>77.734660000000005</c:v>
                </c:pt>
                <c:pt idx="13">
                  <c:v>78.271039999999999</c:v>
                </c:pt>
                <c:pt idx="14">
                  <c:v>21.17698</c:v>
                </c:pt>
                <c:pt idx="15">
                  <c:v>75.698440000000005</c:v>
                </c:pt>
                <c:pt idx="16">
                  <c:v>61.044918000000003</c:v>
                </c:pt>
                <c:pt idx="17">
                  <c:v>65.907646</c:v>
                </c:pt>
                <c:pt idx="18">
                  <c:v>66.85427</c:v>
                </c:pt>
                <c:pt idx="19">
                  <c:v>17.554887999999998</c:v>
                </c:pt>
              </c:numCache>
            </c:numRef>
          </c:yVal>
          <c:smooth val="1"/>
          <c:extLst>
            <c:ext xmlns:c16="http://schemas.microsoft.com/office/drawing/2014/chart" uri="{C3380CC4-5D6E-409C-BE32-E72D297353CC}">
              <c16:uniqueId val="{00000000-2C21-CA48-ACC1-F0B123570102}"/>
            </c:ext>
          </c:extLst>
        </c:ser>
        <c:dLbls>
          <c:showLegendKey val="0"/>
          <c:showVal val="0"/>
          <c:showCatName val="0"/>
          <c:showSerName val="0"/>
          <c:showPercent val="0"/>
          <c:showBubbleSize val="0"/>
        </c:dLbls>
        <c:axId val="1739909088"/>
        <c:axId val="1479149904"/>
      </c:scatterChart>
      <c:valAx>
        <c:axId val="1739909088"/>
        <c:scaling>
          <c:orientation val="minMax"/>
          <c:max val="20"/>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49904"/>
        <c:crosses val="autoZero"/>
        <c:crossBetween val="midCat"/>
      </c:valAx>
      <c:valAx>
        <c:axId val="1479149904"/>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0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447164712655479E-2"/>
          <c:y val="8.5714513608482854E-2"/>
          <c:w val="0.92999268640463428"/>
          <c:h val="0.60212697160254247"/>
        </c:manualLayout>
      </c:layout>
      <c:scatterChart>
        <c:scatterStyle val="smoothMarker"/>
        <c:varyColors val="0"/>
        <c:ser>
          <c:idx val="0"/>
          <c:order val="0"/>
          <c:tx>
            <c:v>EXT4 10M</c:v>
          </c:tx>
          <c:spPr>
            <a:ln w="19050" cap="rnd">
              <a:solidFill>
                <a:schemeClr val="accent1"/>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'Combined-write'!$AT$2:$BM$2</c:f>
              <c:numCache>
                <c:formatCode>General</c:formatCode>
                <c:ptCount val="20"/>
                <c:pt idx="0">
                  <c:v>35.91319</c:v>
                </c:pt>
                <c:pt idx="1">
                  <c:v>40.700436000000003</c:v>
                </c:pt>
                <c:pt idx="2">
                  <c:v>38.073616000000001</c:v>
                </c:pt>
                <c:pt idx="3">
                  <c:v>40.213017000000001</c:v>
                </c:pt>
                <c:pt idx="4">
                  <c:v>36.868651999999997</c:v>
                </c:pt>
                <c:pt idx="5">
                  <c:v>37.630245000000002</c:v>
                </c:pt>
                <c:pt idx="6">
                  <c:v>34.791218000000001</c:v>
                </c:pt>
                <c:pt idx="7">
                  <c:v>35.048319999999997</c:v>
                </c:pt>
                <c:pt idx="8">
                  <c:v>39.038654000000001</c:v>
                </c:pt>
                <c:pt idx="9">
                  <c:v>41.883614000000001</c:v>
                </c:pt>
                <c:pt idx="10">
                  <c:v>39.544795999999998</c:v>
                </c:pt>
                <c:pt idx="11">
                  <c:v>40.909633999999997</c:v>
                </c:pt>
                <c:pt idx="12">
                  <c:v>39.301929999999999</c:v>
                </c:pt>
                <c:pt idx="13">
                  <c:v>41.012782999999999</c:v>
                </c:pt>
                <c:pt idx="14">
                  <c:v>36.602997000000002</c:v>
                </c:pt>
                <c:pt idx="15">
                  <c:v>35.549050000000001</c:v>
                </c:pt>
                <c:pt idx="16">
                  <c:v>31.685438000000001</c:v>
                </c:pt>
                <c:pt idx="17">
                  <c:v>37.871299999999998</c:v>
                </c:pt>
                <c:pt idx="18">
                  <c:v>35.317352</c:v>
                </c:pt>
                <c:pt idx="19">
                  <c:v>37.682960000000001</c:v>
                </c:pt>
              </c:numCache>
            </c:numRef>
          </c:yVal>
          <c:smooth val="1"/>
          <c:extLst>
            <c:ext xmlns:c16="http://schemas.microsoft.com/office/drawing/2014/chart" uri="{C3380CC4-5D6E-409C-BE32-E72D297353CC}">
              <c16:uniqueId val="{00000000-F255-854D-AF72-C408F23E9E67}"/>
            </c:ext>
          </c:extLst>
        </c:ser>
        <c:ser>
          <c:idx val="1"/>
          <c:order val="1"/>
          <c:tx>
            <c:v>EXT4 100M</c:v>
          </c:tx>
          <c:spPr>
            <a:ln w="19050" cap="rnd">
              <a:solidFill>
                <a:schemeClr val="accent2"/>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'Combined-write'!$AT$3:$BM$3</c:f>
              <c:numCache>
                <c:formatCode>General</c:formatCode>
                <c:ptCount val="20"/>
                <c:pt idx="0">
                  <c:v>36.109139999999996</c:v>
                </c:pt>
                <c:pt idx="1">
                  <c:v>36.839157</c:v>
                </c:pt>
                <c:pt idx="2">
                  <c:v>35.926789999999997</c:v>
                </c:pt>
                <c:pt idx="3">
                  <c:v>37.097459999999998</c:v>
                </c:pt>
                <c:pt idx="4">
                  <c:v>39.002505999999997</c:v>
                </c:pt>
                <c:pt idx="5">
                  <c:v>39.592599999999997</c:v>
                </c:pt>
                <c:pt idx="6">
                  <c:v>38.254240000000003</c:v>
                </c:pt>
                <c:pt idx="7">
                  <c:v>38.830418000000002</c:v>
                </c:pt>
                <c:pt idx="8">
                  <c:v>37.802334000000002</c:v>
                </c:pt>
                <c:pt idx="9">
                  <c:v>42.551067000000003</c:v>
                </c:pt>
                <c:pt idx="10">
                  <c:v>39.075090000000003</c:v>
                </c:pt>
                <c:pt idx="11">
                  <c:v>42.328560000000003</c:v>
                </c:pt>
                <c:pt idx="12">
                  <c:v>44.516719999999999</c:v>
                </c:pt>
                <c:pt idx="13">
                  <c:v>40.696423000000003</c:v>
                </c:pt>
                <c:pt idx="14">
                  <c:v>42.038853000000003</c:v>
                </c:pt>
                <c:pt idx="15">
                  <c:v>43.141747000000002</c:v>
                </c:pt>
                <c:pt idx="16">
                  <c:v>37.4754</c:v>
                </c:pt>
                <c:pt idx="17">
                  <c:v>38.162394999999997</c:v>
                </c:pt>
                <c:pt idx="18">
                  <c:v>39.658065999999998</c:v>
                </c:pt>
                <c:pt idx="19">
                  <c:v>38.040264000000001</c:v>
                </c:pt>
              </c:numCache>
            </c:numRef>
          </c:yVal>
          <c:smooth val="1"/>
          <c:extLst>
            <c:ext xmlns:c16="http://schemas.microsoft.com/office/drawing/2014/chart" uri="{C3380CC4-5D6E-409C-BE32-E72D297353CC}">
              <c16:uniqueId val="{00000001-F255-854D-AF72-C408F23E9E67}"/>
            </c:ext>
          </c:extLst>
        </c:ser>
        <c:ser>
          <c:idx val="8"/>
          <c:order val="2"/>
          <c:tx>
            <c:v>EXT4 1B</c:v>
          </c:tx>
          <c:spPr>
            <a:ln w="19050" cap="rnd">
              <a:solidFill>
                <a:schemeClr val="accent3">
                  <a:lumMod val="60000"/>
                </a:schemeClr>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'Combined-write'!$AT$10:$BM$10</c:f>
              <c:numCache>
                <c:formatCode>General</c:formatCode>
                <c:ptCount val="20"/>
                <c:pt idx="0">
                  <c:v>38.392060000000001</c:v>
                </c:pt>
                <c:pt idx="1">
                  <c:v>39.506214</c:v>
                </c:pt>
                <c:pt idx="2">
                  <c:v>38.759979999999999</c:v>
                </c:pt>
                <c:pt idx="3">
                  <c:v>40.980003000000004</c:v>
                </c:pt>
                <c:pt idx="4">
                  <c:v>39.648555999999999</c:v>
                </c:pt>
                <c:pt idx="5">
                  <c:v>38.706885999999997</c:v>
                </c:pt>
                <c:pt idx="6">
                  <c:v>39.879463000000001</c:v>
                </c:pt>
                <c:pt idx="7">
                  <c:v>41.226776000000001</c:v>
                </c:pt>
                <c:pt idx="8">
                  <c:v>40.12453</c:v>
                </c:pt>
                <c:pt idx="9">
                  <c:v>40.463659999999997</c:v>
                </c:pt>
                <c:pt idx="10">
                  <c:v>39.871715999999999</c:v>
                </c:pt>
                <c:pt idx="11">
                  <c:v>41.171802999999997</c:v>
                </c:pt>
                <c:pt idx="12">
                  <c:v>39.673465999999998</c:v>
                </c:pt>
                <c:pt idx="13">
                  <c:v>39.941040000000001</c:v>
                </c:pt>
                <c:pt idx="14">
                  <c:v>39.313006999999999</c:v>
                </c:pt>
                <c:pt idx="15">
                  <c:v>39.834629999999997</c:v>
                </c:pt>
                <c:pt idx="16">
                  <c:v>38.785423000000002</c:v>
                </c:pt>
                <c:pt idx="17">
                  <c:v>38.747500000000002</c:v>
                </c:pt>
                <c:pt idx="18">
                  <c:v>39.626480000000001</c:v>
                </c:pt>
                <c:pt idx="19">
                  <c:v>40.339027000000002</c:v>
                </c:pt>
              </c:numCache>
            </c:numRef>
          </c:yVal>
          <c:smooth val="1"/>
          <c:extLst>
            <c:ext xmlns:c16="http://schemas.microsoft.com/office/drawing/2014/chart" uri="{C3380CC4-5D6E-409C-BE32-E72D297353CC}">
              <c16:uniqueId val="{00000008-F255-854D-AF72-C408F23E9E67}"/>
            </c:ext>
          </c:extLst>
        </c:ser>
        <c:dLbls>
          <c:showLegendKey val="0"/>
          <c:showVal val="0"/>
          <c:showCatName val="0"/>
          <c:showSerName val="0"/>
          <c:showPercent val="0"/>
          <c:showBubbleSize val="0"/>
        </c:dLbls>
        <c:axId val="1816245792"/>
        <c:axId val="1820870528"/>
      </c:scatterChart>
      <c:valAx>
        <c:axId val="1816245792"/>
        <c:scaling>
          <c:orientation val="minMax"/>
          <c:max val="20"/>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70528"/>
        <c:crosses val="autoZero"/>
        <c:crossBetween val="midCat"/>
      </c:valAx>
      <c:valAx>
        <c:axId val="1820870528"/>
        <c:scaling>
          <c:orientation val="minMax"/>
          <c:max val="45"/>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45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353399251497545E-2"/>
          <c:y val="4.5993026311500859E-2"/>
          <c:w val="0.93014733202320821"/>
          <c:h val="0.78650774654912381"/>
        </c:manualLayout>
      </c:layout>
      <c:scatterChart>
        <c:scatterStyle val="smoothMarker"/>
        <c:varyColors val="0"/>
        <c:ser>
          <c:idx val="2"/>
          <c:order val="0"/>
          <c:tx>
            <c:v>XFS 10M</c:v>
          </c:tx>
          <c:spPr>
            <a:ln w="19050" cap="rnd">
              <a:solidFill>
                <a:schemeClr val="accent3"/>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'Combined-write'!$AT$4:$BM$4</c:f>
              <c:numCache>
                <c:formatCode>General</c:formatCode>
                <c:ptCount val="20"/>
                <c:pt idx="0">
                  <c:v>75.971959999999996</c:v>
                </c:pt>
                <c:pt idx="1">
                  <c:v>23.986719999999998</c:v>
                </c:pt>
                <c:pt idx="2">
                  <c:v>75.735534999999999</c:v>
                </c:pt>
                <c:pt idx="3">
                  <c:v>81.016846000000001</c:v>
                </c:pt>
                <c:pt idx="4">
                  <c:v>75.508690000000001</c:v>
                </c:pt>
                <c:pt idx="5">
                  <c:v>78.222244000000003</c:v>
                </c:pt>
                <c:pt idx="6">
                  <c:v>80.353980000000007</c:v>
                </c:pt>
                <c:pt idx="7">
                  <c:v>79.440780000000004</c:v>
                </c:pt>
                <c:pt idx="8">
                  <c:v>79.439970000000002</c:v>
                </c:pt>
                <c:pt idx="9">
                  <c:v>79.567589999999996</c:v>
                </c:pt>
                <c:pt idx="10">
                  <c:v>74.421683999999999</c:v>
                </c:pt>
                <c:pt idx="11">
                  <c:v>77.680250000000001</c:v>
                </c:pt>
                <c:pt idx="12">
                  <c:v>77.734660000000005</c:v>
                </c:pt>
                <c:pt idx="13">
                  <c:v>78.271039999999999</c:v>
                </c:pt>
                <c:pt idx="14">
                  <c:v>21.17698</c:v>
                </c:pt>
                <c:pt idx="15">
                  <c:v>75.698440000000005</c:v>
                </c:pt>
                <c:pt idx="16">
                  <c:v>61.044918000000003</c:v>
                </c:pt>
                <c:pt idx="17">
                  <c:v>65.907646</c:v>
                </c:pt>
                <c:pt idx="18">
                  <c:v>66.85427</c:v>
                </c:pt>
                <c:pt idx="19">
                  <c:v>17.554887999999998</c:v>
                </c:pt>
              </c:numCache>
            </c:numRef>
          </c:yVal>
          <c:smooth val="1"/>
          <c:extLst>
            <c:ext xmlns:c16="http://schemas.microsoft.com/office/drawing/2014/chart" uri="{C3380CC4-5D6E-409C-BE32-E72D297353CC}">
              <c16:uniqueId val="{00000002-13BC-1645-B98B-1356AD7AEA96}"/>
            </c:ext>
          </c:extLst>
        </c:ser>
        <c:ser>
          <c:idx val="3"/>
          <c:order val="1"/>
          <c:tx>
            <c:v>XFS 100M</c:v>
          </c:tx>
          <c:spPr>
            <a:ln w="19050" cap="rnd">
              <a:solidFill>
                <a:schemeClr val="accent4"/>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'Combined-write'!$AT$5:$BM$5</c:f>
              <c:numCache>
                <c:formatCode>General</c:formatCode>
                <c:ptCount val="20"/>
                <c:pt idx="0">
                  <c:v>75.678290000000004</c:v>
                </c:pt>
                <c:pt idx="1">
                  <c:v>73.038475000000005</c:v>
                </c:pt>
                <c:pt idx="2">
                  <c:v>41.805813000000001</c:v>
                </c:pt>
                <c:pt idx="3">
                  <c:v>35.897550000000003</c:v>
                </c:pt>
                <c:pt idx="4">
                  <c:v>26.836514999999999</c:v>
                </c:pt>
                <c:pt idx="5">
                  <c:v>26.706205000000001</c:v>
                </c:pt>
                <c:pt idx="6">
                  <c:v>28.436820000000001</c:v>
                </c:pt>
                <c:pt idx="7">
                  <c:v>22.338379</c:v>
                </c:pt>
                <c:pt idx="8">
                  <c:v>27.572512</c:v>
                </c:pt>
                <c:pt idx="9">
                  <c:v>28.251283999999998</c:v>
                </c:pt>
                <c:pt idx="10">
                  <c:v>28.804113000000001</c:v>
                </c:pt>
                <c:pt idx="11">
                  <c:v>26.300667000000001</c:v>
                </c:pt>
                <c:pt idx="12">
                  <c:v>30.691327999999999</c:v>
                </c:pt>
                <c:pt idx="13">
                  <c:v>27.786000000000001</c:v>
                </c:pt>
                <c:pt idx="14">
                  <c:v>28.837160000000001</c:v>
                </c:pt>
                <c:pt idx="15">
                  <c:v>26.272235999999999</c:v>
                </c:pt>
                <c:pt idx="16">
                  <c:v>32.693317</c:v>
                </c:pt>
                <c:pt idx="17">
                  <c:v>25.421230000000001</c:v>
                </c:pt>
                <c:pt idx="18">
                  <c:v>30.406711999999999</c:v>
                </c:pt>
                <c:pt idx="19">
                  <c:v>41.166096000000003</c:v>
                </c:pt>
              </c:numCache>
            </c:numRef>
          </c:yVal>
          <c:smooth val="1"/>
          <c:extLst>
            <c:ext xmlns:c16="http://schemas.microsoft.com/office/drawing/2014/chart" uri="{C3380CC4-5D6E-409C-BE32-E72D297353CC}">
              <c16:uniqueId val="{00000003-13BC-1645-B98B-1356AD7AEA96}"/>
            </c:ext>
          </c:extLst>
        </c:ser>
        <c:ser>
          <c:idx val="4"/>
          <c:order val="2"/>
          <c:tx>
            <c:v>BTRFS 10M</c:v>
          </c:tx>
          <c:spPr>
            <a:ln w="19050" cap="rnd">
              <a:solidFill>
                <a:schemeClr val="accent5"/>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'Combined-write'!$AT$6:$BM$6</c:f>
              <c:numCache>
                <c:formatCode>General</c:formatCode>
                <c:ptCount val="20"/>
                <c:pt idx="0">
                  <c:v>62.732979999999998</c:v>
                </c:pt>
                <c:pt idx="1">
                  <c:v>58.807630000000003</c:v>
                </c:pt>
                <c:pt idx="2">
                  <c:v>58.373905000000001</c:v>
                </c:pt>
                <c:pt idx="3">
                  <c:v>60.864502000000002</c:v>
                </c:pt>
                <c:pt idx="4">
                  <c:v>57.041137999999997</c:v>
                </c:pt>
                <c:pt idx="5">
                  <c:v>57.913944000000001</c:v>
                </c:pt>
                <c:pt idx="6">
                  <c:v>55.996986</c:v>
                </c:pt>
                <c:pt idx="7">
                  <c:v>59.048430000000003</c:v>
                </c:pt>
                <c:pt idx="8">
                  <c:v>58.635689999999997</c:v>
                </c:pt>
                <c:pt idx="9">
                  <c:v>56.871009999999998</c:v>
                </c:pt>
                <c:pt idx="10">
                  <c:v>54.703144000000002</c:v>
                </c:pt>
                <c:pt idx="11">
                  <c:v>55.950496999999999</c:v>
                </c:pt>
                <c:pt idx="12">
                  <c:v>54.095576999999999</c:v>
                </c:pt>
                <c:pt idx="13">
                  <c:v>53.793869999999998</c:v>
                </c:pt>
                <c:pt idx="14">
                  <c:v>54.445155999999997</c:v>
                </c:pt>
                <c:pt idx="15">
                  <c:v>54.753487</c:v>
                </c:pt>
                <c:pt idx="16">
                  <c:v>54.279376999999997</c:v>
                </c:pt>
                <c:pt idx="17">
                  <c:v>55.0852</c:v>
                </c:pt>
                <c:pt idx="18">
                  <c:v>53.684719999999999</c:v>
                </c:pt>
                <c:pt idx="19">
                  <c:v>53.356299999999997</c:v>
                </c:pt>
              </c:numCache>
            </c:numRef>
          </c:yVal>
          <c:smooth val="1"/>
          <c:extLst>
            <c:ext xmlns:c16="http://schemas.microsoft.com/office/drawing/2014/chart" uri="{C3380CC4-5D6E-409C-BE32-E72D297353CC}">
              <c16:uniqueId val="{00000004-13BC-1645-B98B-1356AD7AEA96}"/>
            </c:ext>
          </c:extLst>
        </c:ser>
        <c:ser>
          <c:idx val="5"/>
          <c:order val="3"/>
          <c:tx>
            <c:v>BTRFS 100M</c:v>
          </c:tx>
          <c:spPr>
            <a:ln w="19050" cap="rnd">
              <a:solidFill>
                <a:schemeClr val="accent6"/>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'Combined-write'!$AT$7:$BM$7</c:f>
              <c:numCache>
                <c:formatCode>General</c:formatCode>
                <c:ptCount val="20"/>
                <c:pt idx="0">
                  <c:v>57.427019999999999</c:v>
                </c:pt>
                <c:pt idx="1">
                  <c:v>49.656154999999998</c:v>
                </c:pt>
                <c:pt idx="2">
                  <c:v>49.620759999999997</c:v>
                </c:pt>
                <c:pt idx="3">
                  <c:v>46.900753000000002</c:v>
                </c:pt>
                <c:pt idx="4">
                  <c:v>44.457016000000003</c:v>
                </c:pt>
                <c:pt idx="5">
                  <c:v>43.27704</c:v>
                </c:pt>
                <c:pt idx="6">
                  <c:v>41.215687000000003</c:v>
                </c:pt>
                <c:pt idx="7">
                  <c:v>40.295757000000002</c:v>
                </c:pt>
                <c:pt idx="8">
                  <c:v>39.243639999999999</c:v>
                </c:pt>
                <c:pt idx="9">
                  <c:v>38.326976999999999</c:v>
                </c:pt>
                <c:pt idx="10">
                  <c:v>37.222526999999999</c:v>
                </c:pt>
                <c:pt idx="11">
                  <c:v>36.964973000000001</c:v>
                </c:pt>
                <c:pt idx="12">
                  <c:v>35.456535000000002</c:v>
                </c:pt>
                <c:pt idx="13">
                  <c:v>34.753695999999998</c:v>
                </c:pt>
                <c:pt idx="14">
                  <c:v>34.061424000000002</c:v>
                </c:pt>
                <c:pt idx="15">
                  <c:v>33.791224999999997</c:v>
                </c:pt>
                <c:pt idx="16">
                  <c:v>31.916094000000001</c:v>
                </c:pt>
                <c:pt idx="17">
                  <c:v>31.929110000000001</c:v>
                </c:pt>
                <c:pt idx="18">
                  <c:v>31.173023000000001</c:v>
                </c:pt>
                <c:pt idx="19">
                  <c:v>30.163329999999998</c:v>
                </c:pt>
              </c:numCache>
            </c:numRef>
          </c:yVal>
          <c:smooth val="1"/>
          <c:extLst>
            <c:ext xmlns:c16="http://schemas.microsoft.com/office/drawing/2014/chart" uri="{C3380CC4-5D6E-409C-BE32-E72D297353CC}">
              <c16:uniqueId val="{00000005-13BC-1645-B98B-1356AD7AEA96}"/>
            </c:ext>
          </c:extLst>
        </c:ser>
        <c:ser>
          <c:idx val="6"/>
          <c:order val="4"/>
          <c:tx>
            <c:v>F2FS 1M</c:v>
          </c:tx>
          <c:spPr>
            <a:ln w="19050" cap="rnd">
              <a:solidFill>
                <a:schemeClr val="accent1">
                  <a:lumMod val="60000"/>
                </a:schemeClr>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'Combined-write'!$AT$8:$BM$8</c:f>
              <c:numCache>
                <c:formatCode>General</c:formatCode>
                <c:ptCount val="20"/>
                <c:pt idx="0">
                  <c:v>79.044700000000006</c:v>
                </c:pt>
                <c:pt idx="1">
                  <c:v>32.9559</c:v>
                </c:pt>
                <c:pt idx="2">
                  <c:v>70.449160000000006</c:v>
                </c:pt>
                <c:pt idx="3">
                  <c:v>68.328149999999994</c:v>
                </c:pt>
                <c:pt idx="4">
                  <c:v>73.485309999999998</c:v>
                </c:pt>
                <c:pt idx="5">
                  <c:v>65.899109999999993</c:v>
                </c:pt>
                <c:pt idx="6">
                  <c:v>76.067115999999999</c:v>
                </c:pt>
                <c:pt idx="7">
                  <c:v>70.059719999999999</c:v>
                </c:pt>
                <c:pt idx="8">
                  <c:v>62.900894000000001</c:v>
                </c:pt>
                <c:pt idx="9">
                  <c:v>67.353369999999998</c:v>
                </c:pt>
                <c:pt idx="10">
                  <c:v>65.997020000000006</c:v>
                </c:pt>
                <c:pt idx="11">
                  <c:v>75.888159999999999</c:v>
                </c:pt>
                <c:pt idx="12">
                  <c:v>50.111660000000001</c:v>
                </c:pt>
                <c:pt idx="13">
                  <c:v>70.093990000000005</c:v>
                </c:pt>
                <c:pt idx="14">
                  <c:v>69.979879999999994</c:v>
                </c:pt>
                <c:pt idx="15">
                  <c:v>42.643810000000002</c:v>
                </c:pt>
                <c:pt idx="16">
                  <c:v>69.052440000000004</c:v>
                </c:pt>
                <c:pt idx="17">
                  <c:v>66.827079999999995</c:v>
                </c:pt>
                <c:pt idx="18">
                  <c:v>72.730969999999999</c:v>
                </c:pt>
                <c:pt idx="19">
                  <c:v>76.060929999999999</c:v>
                </c:pt>
              </c:numCache>
            </c:numRef>
          </c:yVal>
          <c:smooth val="1"/>
          <c:extLst>
            <c:ext xmlns:c16="http://schemas.microsoft.com/office/drawing/2014/chart" uri="{C3380CC4-5D6E-409C-BE32-E72D297353CC}">
              <c16:uniqueId val="{00000006-13BC-1645-B98B-1356AD7AEA96}"/>
            </c:ext>
          </c:extLst>
        </c:ser>
        <c:ser>
          <c:idx val="7"/>
          <c:order val="5"/>
          <c:tx>
            <c:v>F2FS 6M</c:v>
          </c:tx>
          <c:spPr>
            <a:ln w="19050" cap="rnd">
              <a:solidFill>
                <a:schemeClr val="accent2">
                  <a:lumMod val="60000"/>
                </a:schemeClr>
              </a:solidFill>
              <a:round/>
            </a:ln>
            <a:effectLst/>
          </c:spPr>
          <c:marker>
            <c:symbol val="none"/>
          </c:marker>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'Combined-write'!$AT$9:$BM$9</c:f>
              <c:numCache>
                <c:formatCode>General</c:formatCode>
                <c:ptCount val="20"/>
                <c:pt idx="0">
                  <c:v>72.03246</c:v>
                </c:pt>
                <c:pt idx="1">
                  <c:v>48.011257000000001</c:v>
                </c:pt>
                <c:pt idx="2">
                  <c:v>63.059947999999999</c:v>
                </c:pt>
                <c:pt idx="3">
                  <c:v>72.281580000000005</c:v>
                </c:pt>
                <c:pt idx="4">
                  <c:v>72.104470000000006</c:v>
                </c:pt>
                <c:pt idx="5">
                  <c:v>49.598089999999999</c:v>
                </c:pt>
                <c:pt idx="6">
                  <c:v>69.483270000000005</c:v>
                </c:pt>
                <c:pt idx="7">
                  <c:v>71.620154999999997</c:v>
                </c:pt>
                <c:pt idx="8">
                  <c:v>71.140110000000007</c:v>
                </c:pt>
                <c:pt idx="9">
                  <c:v>43.346393999999997</c:v>
                </c:pt>
                <c:pt idx="10">
                  <c:v>72.511319999999998</c:v>
                </c:pt>
                <c:pt idx="11">
                  <c:v>42.983370000000001</c:v>
                </c:pt>
                <c:pt idx="12">
                  <c:v>71.265820000000005</c:v>
                </c:pt>
                <c:pt idx="13">
                  <c:v>76.576300000000003</c:v>
                </c:pt>
                <c:pt idx="14">
                  <c:v>54.206394000000003</c:v>
                </c:pt>
                <c:pt idx="15">
                  <c:v>73.993269999999995</c:v>
                </c:pt>
                <c:pt idx="16">
                  <c:v>48.958199999999998</c:v>
                </c:pt>
                <c:pt idx="17">
                  <c:v>57.153748</c:v>
                </c:pt>
                <c:pt idx="18">
                  <c:v>41.646434999999997</c:v>
                </c:pt>
                <c:pt idx="19">
                  <c:v>45.669013999999997</c:v>
                </c:pt>
              </c:numCache>
            </c:numRef>
          </c:yVal>
          <c:smooth val="1"/>
          <c:extLst>
            <c:ext xmlns:c16="http://schemas.microsoft.com/office/drawing/2014/chart" uri="{C3380CC4-5D6E-409C-BE32-E72D297353CC}">
              <c16:uniqueId val="{00000007-13BC-1645-B98B-1356AD7AEA96}"/>
            </c:ext>
          </c:extLst>
        </c:ser>
        <c:dLbls>
          <c:showLegendKey val="0"/>
          <c:showVal val="0"/>
          <c:showCatName val="0"/>
          <c:showSerName val="0"/>
          <c:showPercent val="0"/>
          <c:showBubbleSize val="0"/>
        </c:dLbls>
        <c:axId val="1821996528"/>
        <c:axId val="1821743328"/>
      </c:scatterChart>
      <c:valAx>
        <c:axId val="1821996528"/>
        <c:scaling>
          <c:orientation val="minMax"/>
          <c:max val="20"/>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43328"/>
        <c:crosses val="autoZero"/>
        <c:crossBetween val="midCat"/>
      </c:valAx>
      <c:valAx>
        <c:axId val="1821743328"/>
        <c:scaling>
          <c:orientation val="minMax"/>
          <c:max val="85"/>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996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331145542358588E-3"/>
          <c:y val="2.0912547528517109E-2"/>
          <c:w val="0.98012900021717353"/>
          <c:h val="0.90163871983633881"/>
        </c:manualLayout>
      </c:layout>
      <c:scatterChart>
        <c:scatterStyle val="smoothMarker"/>
        <c:varyColors val="0"/>
        <c:ser>
          <c:idx val="0"/>
          <c:order val="0"/>
          <c:tx>
            <c:v>EXT4 10M</c:v>
          </c:tx>
          <c:spPr>
            <a:ln w="19050" cap="rnd">
              <a:solidFill>
                <a:schemeClr val="accent1"/>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'Combined-write'!$R$2:$AK$2</c:f>
              <c:numCache>
                <c:formatCode>General</c:formatCode>
                <c:ptCount val="20"/>
                <c:pt idx="0">
                  <c:v>0</c:v>
                </c:pt>
                <c:pt idx="1">
                  <c:v>0</c:v>
                </c:pt>
                <c:pt idx="2">
                  <c:v>1010</c:v>
                </c:pt>
                <c:pt idx="3">
                  <c:v>5620647</c:v>
                </c:pt>
                <c:pt idx="4">
                  <c:v>3878101</c:v>
                </c:pt>
                <c:pt idx="5">
                  <c:v>218641</c:v>
                </c:pt>
                <c:pt idx="6">
                  <c:v>103873</c:v>
                </c:pt>
                <c:pt idx="7">
                  <c:v>64497</c:v>
                </c:pt>
                <c:pt idx="8">
                  <c:v>38336</c:v>
                </c:pt>
                <c:pt idx="9">
                  <c:v>15260</c:v>
                </c:pt>
                <c:pt idx="10">
                  <c:v>7228</c:v>
                </c:pt>
                <c:pt idx="11">
                  <c:v>3902</c:v>
                </c:pt>
                <c:pt idx="12">
                  <c:v>1664</c:v>
                </c:pt>
                <c:pt idx="13">
                  <c:v>631</c:v>
                </c:pt>
                <c:pt idx="14">
                  <c:v>284</c:v>
                </c:pt>
                <c:pt idx="15">
                  <c:v>131</c:v>
                </c:pt>
                <c:pt idx="16">
                  <c:v>90</c:v>
                </c:pt>
                <c:pt idx="17">
                  <c:v>81</c:v>
                </c:pt>
                <c:pt idx="18">
                  <c:v>44</c:v>
                </c:pt>
                <c:pt idx="19">
                  <c:v>31</c:v>
                </c:pt>
              </c:numCache>
            </c:numRef>
          </c:yVal>
          <c:smooth val="1"/>
          <c:extLst>
            <c:ext xmlns:c16="http://schemas.microsoft.com/office/drawing/2014/chart" uri="{C3380CC4-5D6E-409C-BE32-E72D297353CC}">
              <c16:uniqueId val="{00000000-0B4E-C74E-970F-38738C50DCC0}"/>
            </c:ext>
          </c:extLst>
        </c:ser>
        <c:ser>
          <c:idx val="1"/>
          <c:order val="1"/>
          <c:tx>
            <c:v>EXT4 100M</c:v>
          </c:tx>
          <c:spPr>
            <a:ln w="19050" cap="rnd">
              <a:solidFill>
                <a:schemeClr val="accent2"/>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'Combined-write'!$R$3:$AK$3</c:f>
              <c:numCache>
                <c:formatCode>General</c:formatCode>
                <c:ptCount val="20"/>
                <c:pt idx="0">
                  <c:v>0</c:v>
                </c:pt>
                <c:pt idx="1">
                  <c:v>0</c:v>
                </c:pt>
                <c:pt idx="2">
                  <c:v>4654670</c:v>
                </c:pt>
                <c:pt idx="3">
                  <c:v>56410596</c:v>
                </c:pt>
                <c:pt idx="4">
                  <c:v>34917501</c:v>
                </c:pt>
                <c:pt idx="5">
                  <c:v>1777402</c:v>
                </c:pt>
                <c:pt idx="6">
                  <c:v>823726</c:v>
                </c:pt>
                <c:pt idx="7">
                  <c:v>474070</c:v>
                </c:pt>
                <c:pt idx="8">
                  <c:v>340726</c:v>
                </c:pt>
                <c:pt idx="9">
                  <c:v>102859</c:v>
                </c:pt>
                <c:pt idx="10">
                  <c:v>28650</c:v>
                </c:pt>
                <c:pt idx="11">
                  <c:v>12196</c:v>
                </c:pt>
                <c:pt idx="12">
                  <c:v>8818</c:v>
                </c:pt>
                <c:pt idx="13">
                  <c:v>4006</c:v>
                </c:pt>
                <c:pt idx="14">
                  <c:v>1509</c:v>
                </c:pt>
                <c:pt idx="15">
                  <c:v>573</c:v>
                </c:pt>
                <c:pt idx="16">
                  <c:v>226</c:v>
                </c:pt>
                <c:pt idx="17">
                  <c:v>117</c:v>
                </c:pt>
                <c:pt idx="18">
                  <c:v>57</c:v>
                </c:pt>
                <c:pt idx="19">
                  <c:v>51</c:v>
                </c:pt>
              </c:numCache>
            </c:numRef>
          </c:yVal>
          <c:smooth val="1"/>
          <c:extLst>
            <c:ext xmlns:c16="http://schemas.microsoft.com/office/drawing/2014/chart" uri="{C3380CC4-5D6E-409C-BE32-E72D297353CC}">
              <c16:uniqueId val="{00000001-0B4E-C74E-970F-38738C50DCC0}"/>
            </c:ext>
          </c:extLst>
        </c:ser>
        <c:ser>
          <c:idx val="4"/>
          <c:order val="2"/>
          <c:tx>
            <c:v>BTRFS 10M</c:v>
          </c:tx>
          <c:spPr>
            <a:ln w="19050" cap="rnd">
              <a:solidFill>
                <a:schemeClr val="accent5"/>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'Combined-write'!$R$6:$AK$6</c:f>
              <c:numCache>
                <c:formatCode>General</c:formatCode>
                <c:ptCount val="20"/>
                <c:pt idx="0">
                  <c:v>0</c:v>
                </c:pt>
                <c:pt idx="1">
                  <c:v>0</c:v>
                </c:pt>
                <c:pt idx="2">
                  <c:v>43194</c:v>
                </c:pt>
                <c:pt idx="3">
                  <c:v>7092295</c:v>
                </c:pt>
                <c:pt idx="4">
                  <c:v>2312792</c:v>
                </c:pt>
                <c:pt idx="5">
                  <c:v>246026</c:v>
                </c:pt>
                <c:pt idx="6">
                  <c:v>106544</c:v>
                </c:pt>
                <c:pt idx="7">
                  <c:v>98360</c:v>
                </c:pt>
                <c:pt idx="8">
                  <c:v>51151</c:v>
                </c:pt>
                <c:pt idx="9">
                  <c:v>23257</c:v>
                </c:pt>
                <c:pt idx="10">
                  <c:v>9525</c:v>
                </c:pt>
                <c:pt idx="11">
                  <c:v>3428</c:v>
                </c:pt>
                <c:pt idx="12">
                  <c:v>1588</c:v>
                </c:pt>
                <c:pt idx="13">
                  <c:v>953</c:v>
                </c:pt>
                <c:pt idx="14">
                  <c:v>824</c:v>
                </c:pt>
                <c:pt idx="15">
                  <c:v>1919</c:v>
                </c:pt>
                <c:pt idx="16">
                  <c:v>2205</c:v>
                </c:pt>
                <c:pt idx="17">
                  <c:v>1407</c:v>
                </c:pt>
                <c:pt idx="18">
                  <c:v>868</c:v>
                </c:pt>
                <c:pt idx="19">
                  <c:v>593</c:v>
                </c:pt>
              </c:numCache>
            </c:numRef>
          </c:yVal>
          <c:smooth val="1"/>
          <c:extLst>
            <c:ext xmlns:c16="http://schemas.microsoft.com/office/drawing/2014/chart" uri="{C3380CC4-5D6E-409C-BE32-E72D297353CC}">
              <c16:uniqueId val="{00000004-0B4E-C74E-970F-38738C50DCC0}"/>
            </c:ext>
          </c:extLst>
        </c:ser>
        <c:ser>
          <c:idx val="5"/>
          <c:order val="3"/>
          <c:tx>
            <c:v>BTRFS 100M</c:v>
          </c:tx>
          <c:spPr>
            <a:ln w="19050" cap="rnd">
              <a:solidFill>
                <a:schemeClr val="accent6"/>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'Combined-write'!$R$7:$AK$7</c:f>
              <c:numCache>
                <c:formatCode>General</c:formatCode>
                <c:ptCount val="20"/>
                <c:pt idx="0">
                  <c:v>0</c:v>
                </c:pt>
                <c:pt idx="1">
                  <c:v>0</c:v>
                </c:pt>
                <c:pt idx="2">
                  <c:v>16340</c:v>
                </c:pt>
                <c:pt idx="3">
                  <c:v>8704611</c:v>
                </c:pt>
                <c:pt idx="4">
                  <c:v>24110306</c:v>
                </c:pt>
                <c:pt idx="5">
                  <c:v>29475535</c:v>
                </c:pt>
                <c:pt idx="6">
                  <c:v>28116508</c:v>
                </c:pt>
                <c:pt idx="7">
                  <c:v>6461554</c:v>
                </c:pt>
                <c:pt idx="8">
                  <c:v>999511</c:v>
                </c:pt>
                <c:pt idx="9">
                  <c:v>540411</c:v>
                </c:pt>
                <c:pt idx="10">
                  <c:v>429245</c:v>
                </c:pt>
                <c:pt idx="11">
                  <c:v>329371</c:v>
                </c:pt>
                <c:pt idx="12">
                  <c:v>249782</c:v>
                </c:pt>
                <c:pt idx="13">
                  <c:v>192697</c:v>
                </c:pt>
                <c:pt idx="14">
                  <c:v>144045</c:v>
                </c:pt>
                <c:pt idx="15">
                  <c:v>80071</c:v>
                </c:pt>
                <c:pt idx="16">
                  <c:v>28972</c:v>
                </c:pt>
                <c:pt idx="17">
                  <c:v>8771</c:v>
                </c:pt>
                <c:pt idx="18">
                  <c:v>2890</c:v>
                </c:pt>
                <c:pt idx="19">
                  <c:v>1118</c:v>
                </c:pt>
              </c:numCache>
            </c:numRef>
          </c:yVal>
          <c:smooth val="1"/>
          <c:extLst>
            <c:ext xmlns:c16="http://schemas.microsoft.com/office/drawing/2014/chart" uri="{C3380CC4-5D6E-409C-BE32-E72D297353CC}">
              <c16:uniqueId val="{00000005-0B4E-C74E-970F-38738C50DCC0}"/>
            </c:ext>
          </c:extLst>
        </c:ser>
        <c:ser>
          <c:idx val="6"/>
          <c:order val="4"/>
          <c:tx>
            <c:v>F2FS 1M</c:v>
          </c:tx>
          <c:spPr>
            <a:ln w="19050" cap="rnd">
              <a:solidFill>
                <a:schemeClr val="accent1">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'Combined-write'!$R$8:$AK$8</c:f>
              <c:numCache>
                <c:formatCode>General</c:formatCode>
                <c:ptCount val="20"/>
                <c:pt idx="0">
                  <c:v>0</c:v>
                </c:pt>
                <c:pt idx="1">
                  <c:v>7696</c:v>
                </c:pt>
                <c:pt idx="2">
                  <c:v>844315</c:v>
                </c:pt>
                <c:pt idx="3">
                  <c:v>80347</c:v>
                </c:pt>
                <c:pt idx="4">
                  <c:v>30535</c:v>
                </c:pt>
                <c:pt idx="5">
                  <c:v>26346</c:v>
                </c:pt>
                <c:pt idx="6">
                  <c:v>5575</c:v>
                </c:pt>
                <c:pt idx="7">
                  <c:v>1770</c:v>
                </c:pt>
                <c:pt idx="8">
                  <c:v>1026</c:v>
                </c:pt>
                <c:pt idx="9">
                  <c:v>687</c:v>
                </c:pt>
                <c:pt idx="10">
                  <c:v>404</c:v>
                </c:pt>
                <c:pt idx="11">
                  <c:v>196</c:v>
                </c:pt>
                <c:pt idx="12">
                  <c:v>137</c:v>
                </c:pt>
                <c:pt idx="13">
                  <c:v>71</c:v>
                </c:pt>
                <c:pt idx="14">
                  <c:v>32</c:v>
                </c:pt>
                <c:pt idx="15">
                  <c:v>37</c:v>
                </c:pt>
                <c:pt idx="16">
                  <c:v>20</c:v>
                </c:pt>
                <c:pt idx="17">
                  <c:v>19</c:v>
                </c:pt>
                <c:pt idx="18">
                  <c:v>9</c:v>
                </c:pt>
                <c:pt idx="19">
                  <c:v>12</c:v>
                </c:pt>
              </c:numCache>
            </c:numRef>
          </c:yVal>
          <c:smooth val="1"/>
          <c:extLst>
            <c:ext xmlns:c16="http://schemas.microsoft.com/office/drawing/2014/chart" uri="{C3380CC4-5D6E-409C-BE32-E72D297353CC}">
              <c16:uniqueId val="{00000006-0B4E-C74E-970F-38738C50DCC0}"/>
            </c:ext>
          </c:extLst>
        </c:ser>
        <c:ser>
          <c:idx val="7"/>
          <c:order val="5"/>
          <c:tx>
            <c:v>F2FS 6M</c:v>
          </c:tx>
          <c:spPr>
            <a:ln w="19050" cap="rnd">
              <a:solidFill>
                <a:schemeClr val="accent2">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'Combined-write'!$R$9:$AK$9</c:f>
              <c:numCache>
                <c:formatCode>General</c:formatCode>
                <c:ptCount val="20"/>
                <c:pt idx="0">
                  <c:v>0</c:v>
                </c:pt>
                <c:pt idx="1">
                  <c:v>126914</c:v>
                </c:pt>
                <c:pt idx="2">
                  <c:v>5206681</c:v>
                </c:pt>
                <c:pt idx="3">
                  <c:v>296680</c:v>
                </c:pt>
                <c:pt idx="4">
                  <c:v>171787</c:v>
                </c:pt>
                <c:pt idx="5">
                  <c:v>146274</c:v>
                </c:pt>
                <c:pt idx="6">
                  <c:v>22922</c:v>
                </c:pt>
                <c:pt idx="7">
                  <c:v>9716</c:v>
                </c:pt>
                <c:pt idx="8">
                  <c:v>5263</c:v>
                </c:pt>
                <c:pt idx="9">
                  <c:v>3020</c:v>
                </c:pt>
                <c:pt idx="10">
                  <c:v>1948</c:v>
                </c:pt>
                <c:pt idx="11">
                  <c:v>1278</c:v>
                </c:pt>
                <c:pt idx="12">
                  <c:v>709</c:v>
                </c:pt>
                <c:pt idx="13">
                  <c:v>453</c:v>
                </c:pt>
                <c:pt idx="14">
                  <c:v>284</c:v>
                </c:pt>
                <c:pt idx="15">
                  <c:v>212</c:v>
                </c:pt>
                <c:pt idx="16">
                  <c:v>151</c:v>
                </c:pt>
                <c:pt idx="17">
                  <c:v>118</c:v>
                </c:pt>
                <c:pt idx="18">
                  <c:v>82</c:v>
                </c:pt>
                <c:pt idx="19">
                  <c:v>58</c:v>
                </c:pt>
              </c:numCache>
            </c:numRef>
          </c:yVal>
          <c:smooth val="1"/>
          <c:extLst>
            <c:ext xmlns:c16="http://schemas.microsoft.com/office/drawing/2014/chart" uri="{C3380CC4-5D6E-409C-BE32-E72D297353CC}">
              <c16:uniqueId val="{00000007-0B4E-C74E-970F-38738C50DCC0}"/>
            </c:ext>
          </c:extLst>
        </c:ser>
        <c:ser>
          <c:idx val="8"/>
          <c:order val="6"/>
          <c:tx>
            <c:v>EXT4 1B</c:v>
          </c:tx>
          <c:spPr>
            <a:ln w="22225" cap="rnd">
              <a:solidFill>
                <a:schemeClr val="accent3">
                  <a:lumMod val="60000"/>
                </a:schemeClr>
              </a:solidFill>
              <a:round/>
            </a:ln>
            <a:effectLst/>
          </c:spPr>
          <c:marker>
            <c:symbol val="none"/>
          </c:marker>
          <c:dLbls>
            <c:dLbl>
              <c:idx val="3"/>
              <c:layout>
                <c:manualLayout>
                  <c:x val="-3.1989555993000873E-3"/>
                  <c:y val="-0.100901827181419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4E-C74E-970F-38738C50DCC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'Combined-write'!$R$10:$AK$10</c:f>
              <c:numCache>
                <c:formatCode>General</c:formatCode>
                <c:ptCount val="20"/>
                <c:pt idx="0">
                  <c:v>0</c:v>
                </c:pt>
                <c:pt idx="1">
                  <c:v>0</c:v>
                </c:pt>
                <c:pt idx="2">
                  <c:v>11165490</c:v>
                </c:pt>
                <c:pt idx="3">
                  <c:v>686676953</c:v>
                </c:pt>
                <c:pt idx="4">
                  <c:v>265466353</c:v>
                </c:pt>
                <c:pt idx="5">
                  <c:v>17132177</c:v>
                </c:pt>
                <c:pt idx="6">
                  <c:v>7771080</c:v>
                </c:pt>
                <c:pt idx="7">
                  <c:v>3829020</c:v>
                </c:pt>
                <c:pt idx="8">
                  <c:v>2101676</c:v>
                </c:pt>
                <c:pt idx="9">
                  <c:v>671899</c:v>
                </c:pt>
                <c:pt idx="10">
                  <c:v>222717</c:v>
                </c:pt>
                <c:pt idx="11">
                  <c:v>120254</c:v>
                </c:pt>
                <c:pt idx="12">
                  <c:v>72444</c:v>
                </c:pt>
                <c:pt idx="13">
                  <c:v>33245</c:v>
                </c:pt>
                <c:pt idx="14">
                  <c:v>15785</c:v>
                </c:pt>
                <c:pt idx="15">
                  <c:v>9804</c:v>
                </c:pt>
                <c:pt idx="16">
                  <c:v>4624</c:v>
                </c:pt>
                <c:pt idx="17">
                  <c:v>2896</c:v>
                </c:pt>
                <c:pt idx="18">
                  <c:v>1840</c:v>
                </c:pt>
                <c:pt idx="19">
                  <c:v>1242</c:v>
                </c:pt>
              </c:numCache>
            </c:numRef>
          </c:yVal>
          <c:smooth val="1"/>
          <c:extLst>
            <c:ext xmlns:c16="http://schemas.microsoft.com/office/drawing/2014/chart" uri="{C3380CC4-5D6E-409C-BE32-E72D297353CC}">
              <c16:uniqueId val="{00000008-0B4E-C74E-970F-38738C50DCC0}"/>
            </c:ext>
          </c:extLst>
        </c:ser>
        <c:ser>
          <c:idx val="10"/>
          <c:order val="7"/>
          <c:tx>
            <c:v>EXT4 10M BL</c:v>
          </c:tx>
          <c:spPr>
            <a:ln w="19050" cap="rnd">
              <a:solidFill>
                <a:schemeClr val="accent5">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'Combined-write'!$R$12:$AK$12</c:f>
              <c:numCache>
                <c:formatCode>General</c:formatCode>
                <c:ptCount val="20"/>
                <c:pt idx="0">
                  <c:v>0</c:v>
                </c:pt>
                <c:pt idx="1">
                  <c:v>0</c:v>
                </c:pt>
                <c:pt idx="2">
                  <c:v>1804</c:v>
                </c:pt>
                <c:pt idx="3">
                  <c:v>7036095</c:v>
                </c:pt>
                <c:pt idx="4">
                  <c:v>2462947</c:v>
                </c:pt>
                <c:pt idx="5">
                  <c:v>221691</c:v>
                </c:pt>
                <c:pt idx="6">
                  <c:v>102357</c:v>
                </c:pt>
                <c:pt idx="7">
                  <c:v>66142</c:v>
                </c:pt>
                <c:pt idx="8">
                  <c:v>37224</c:v>
                </c:pt>
                <c:pt idx="9">
                  <c:v>13544</c:v>
                </c:pt>
                <c:pt idx="10">
                  <c:v>5277</c:v>
                </c:pt>
                <c:pt idx="11">
                  <c:v>2470</c:v>
                </c:pt>
                <c:pt idx="12">
                  <c:v>1385</c:v>
                </c:pt>
                <c:pt idx="13">
                  <c:v>590</c:v>
                </c:pt>
                <c:pt idx="14">
                  <c:v>234</c:v>
                </c:pt>
                <c:pt idx="15">
                  <c:v>112</c:v>
                </c:pt>
                <c:pt idx="16">
                  <c:v>36</c:v>
                </c:pt>
                <c:pt idx="17">
                  <c:v>18</c:v>
                </c:pt>
                <c:pt idx="18">
                  <c:v>16</c:v>
                </c:pt>
                <c:pt idx="19">
                  <c:v>10</c:v>
                </c:pt>
              </c:numCache>
            </c:numRef>
          </c:yVal>
          <c:smooth val="1"/>
          <c:extLst>
            <c:ext xmlns:c16="http://schemas.microsoft.com/office/drawing/2014/chart" uri="{C3380CC4-5D6E-409C-BE32-E72D297353CC}">
              <c16:uniqueId val="{0000000A-0B4E-C74E-970F-38738C50DCC0}"/>
            </c:ext>
          </c:extLst>
        </c:ser>
        <c:ser>
          <c:idx val="11"/>
          <c:order val="8"/>
          <c:tx>
            <c:v>XFS 10M</c:v>
          </c:tx>
          <c:spPr>
            <a:ln w="19050" cap="rnd">
              <a:solidFill>
                <a:schemeClr val="accent6">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'Combined-write'!$R$13:$AK$13</c:f>
              <c:numCache>
                <c:formatCode>General</c:formatCode>
                <c:ptCount val="20"/>
                <c:pt idx="0">
                  <c:v>0</c:v>
                </c:pt>
                <c:pt idx="1">
                  <c:v>406</c:v>
                </c:pt>
                <c:pt idx="2">
                  <c:v>8961001</c:v>
                </c:pt>
                <c:pt idx="3">
                  <c:v>644862</c:v>
                </c:pt>
                <c:pt idx="4">
                  <c:v>211960</c:v>
                </c:pt>
                <c:pt idx="5">
                  <c:v>113722</c:v>
                </c:pt>
                <c:pt idx="6">
                  <c:v>23331</c:v>
                </c:pt>
                <c:pt idx="7">
                  <c:v>10035</c:v>
                </c:pt>
                <c:pt idx="8">
                  <c:v>10066</c:v>
                </c:pt>
                <c:pt idx="9">
                  <c:v>8603</c:v>
                </c:pt>
                <c:pt idx="10">
                  <c:v>6717</c:v>
                </c:pt>
                <c:pt idx="11">
                  <c:v>3175</c:v>
                </c:pt>
                <c:pt idx="12">
                  <c:v>1316</c:v>
                </c:pt>
                <c:pt idx="13">
                  <c:v>555</c:v>
                </c:pt>
                <c:pt idx="14">
                  <c:v>303</c:v>
                </c:pt>
                <c:pt idx="15">
                  <c:v>184</c:v>
                </c:pt>
                <c:pt idx="16">
                  <c:v>154</c:v>
                </c:pt>
                <c:pt idx="17">
                  <c:v>88</c:v>
                </c:pt>
                <c:pt idx="18">
                  <c:v>43</c:v>
                </c:pt>
                <c:pt idx="19">
                  <c:v>37</c:v>
                </c:pt>
              </c:numCache>
            </c:numRef>
          </c:yVal>
          <c:smooth val="1"/>
          <c:extLst>
            <c:ext xmlns:c16="http://schemas.microsoft.com/office/drawing/2014/chart" uri="{C3380CC4-5D6E-409C-BE32-E72D297353CC}">
              <c16:uniqueId val="{0000000B-0B4E-C74E-970F-38738C50DCC0}"/>
            </c:ext>
          </c:extLst>
        </c:ser>
        <c:ser>
          <c:idx val="12"/>
          <c:order val="9"/>
          <c:tx>
            <c:v>XFS 100M</c:v>
          </c:tx>
          <c:spPr>
            <a:ln w="19050" cap="rnd">
              <a:solidFill>
                <a:schemeClr val="accent1">
                  <a:lumMod val="80000"/>
                  <a:lumOff val="2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'Combined-write'!$R$14:$AK$14</c:f>
              <c:numCache>
                <c:formatCode>General</c:formatCode>
                <c:ptCount val="20"/>
                <c:pt idx="0">
                  <c:v>0</c:v>
                </c:pt>
                <c:pt idx="1">
                  <c:v>2999540</c:v>
                </c:pt>
                <c:pt idx="2">
                  <c:v>86666419</c:v>
                </c:pt>
                <c:pt idx="3">
                  <c:v>6750712</c:v>
                </c:pt>
                <c:pt idx="4">
                  <c:v>1804658</c:v>
                </c:pt>
                <c:pt idx="5">
                  <c:v>1087950</c:v>
                </c:pt>
                <c:pt idx="6">
                  <c:v>267725</c:v>
                </c:pt>
                <c:pt idx="7">
                  <c:v>124053</c:v>
                </c:pt>
                <c:pt idx="8">
                  <c:v>94076</c:v>
                </c:pt>
                <c:pt idx="9">
                  <c:v>62809</c:v>
                </c:pt>
                <c:pt idx="10">
                  <c:v>36289</c:v>
                </c:pt>
                <c:pt idx="11">
                  <c:v>16397</c:v>
                </c:pt>
                <c:pt idx="12">
                  <c:v>8234</c:v>
                </c:pt>
                <c:pt idx="13">
                  <c:v>5795</c:v>
                </c:pt>
                <c:pt idx="14">
                  <c:v>3300</c:v>
                </c:pt>
                <c:pt idx="15">
                  <c:v>1718</c:v>
                </c:pt>
                <c:pt idx="16">
                  <c:v>1151</c:v>
                </c:pt>
                <c:pt idx="17">
                  <c:v>898</c:v>
                </c:pt>
                <c:pt idx="18">
                  <c:v>705</c:v>
                </c:pt>
                <c:pt idx="19">
                  <c:v>596</c:v>
                </c:pt>
              </c:numCache>
            </c:numRef>
          </c:yVal>
          <c:smooth val="1"/>
          <c:extLst>
            <c:ext xmlns:c16="http://schemas.microsoft.com/office/drawing/2014/chart" uri="{C3380CC4-5D6E-409C-BE32-E72D297353CC}">
              <c16:uniqueId val="{0000000C-0B4E-C74E-970F-38738C50DCC0}"/>
            </c:ext>
          </c:extLst>
        </c:ser>
        <c:ser>
          <c:idx val="13"/>
          <c:order val="10"/>
          <c:tx>
            <c:v>XFS 1B</c:v>
          </c:tx>
          <c:spPr>
            <a:ln w="22225" cap="rnd">
              <a:solidFill>
                <a:schemeClr val="accent2">
                  <a:lumMod val="80000"/>
                  <a:lumOff val="20000"/>
                </a:schemeClr>
              </a:solidFill>
              <a:round/>
            </a:ln>
            <a:effectLst/>
          </c:spPr>
          <c:marker>
            <c:symbol val="none"/>
          </c:marker>
          <c:dLbls>
            <c:dLbl>
              <c:idx val="2"/>
              <c:layout>
                <c:manualLayout>
                  <c:x val="-0.14138683836395449"/>
                  <c:y val="7.533207595729774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4E-C74E-970F-38738C50DCC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'Combined-write'!$R$15:$AK$15</c:f>
              <c:numCache>
                <c:formatCode>General</c:formatCode>
                <c:ptCount val="20"/>
                <c:pt idx="0">
                  <c:v>0</c:v>
                </c:pt>
                <c:pt idx="1">
                  <c:v>49840909</c:v>
                </c:pt>
                <c:pt idx="2">
                  <c:v>863258271</c:v>
                </c:pt>
                <c:pt idx="3">
                  <c:v>44977334</c:v>
                </c:pt>
                <c:pt idx="4">
                  <c:v>10863413</c:v>
                </c:pt>
                <c:pt idx="5">
                  <c:v>23176465</c:v>
                </c:pt>
                <c:pt idx="6">
                  <c:v>4021359</c:v>
                </c:pt>
                <c:pt idx="7">
                  <c:v>1190390</c:v>
                </c:pt>
                <c:pt idx="8">
                  <c:v>648453</c:v>
                </c:pt>
                <c:pt idx="9">
                  <c:v>339846</c:v>
                </c:pt>
                <c:pt idx="10">
                  <c:v>111029</c:v>
                </c:pt>
                <c:pt idx="11">
                  <c:v>60500</c:v>
                </c:pt>
                <c:pt idx="12">
                  <c:v>36151</c:v>
                </c:pt>
                <c:pt idx="13">
                  <c:v>19873</c:v>
                </c:pt>
                <c:pt idx="14">
                  <c:v>11986</c:v>
                </c:pt>
                <c:pt idx="15">
                  <c:v>7730</c:v>
                </c:pt>
                <c:pt idx="16">
                  <c:v>4962</c:v>
                </c:pt>
                <c:pt idx="17">
                  <c:v>3245</c:v>
                </c:pt>
                <c:pt idx="18">
                  <c:v>2003</c:v>
                </c:pt>
                <c:pt idx="19">
                  <c:v>1257</c:v>
                </c:pt>
              </c:numCache>
            </c:numRef>
          </c:yVal>
          <c:smooth val="1"/>
          <c:extLst>
            <c:ext xmlns:c16="http://schemas.microsoft.com/office/drawing/2014/chart" uri="{C3380CC4-5D6E-409C-BE32-E72D297353CC}">
              <c16:uniqueId val="{0000000D-0B4E-C74E-970F-38738C50DCC0}"/>
            </c:ext>
          </c:extLst>
        </c:ser>
        <c:dLbls>
          <c:showLegendKey val="0"/>
          <c:showVal val="0"/>
          <c:showCatName val="0"/>
          <c:showSerName val="0"/>
          <c:showPercent val="0"/>
          <c:showBubbleSize val="0"/>
        </c:dLbls>
        <c:axId val="1472462480"/>
        <c:axId val="1951548896"/>
      </c:scatterChart>
      <c:valAx>
        <c:axId val="1472462480"/>
        <c:scaling>
          <c:orientation val="minMax"/>
          <c:max val="20"/>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48896"/>
        <c:crosses val="autoZero"/>
        <c:crossBetween val="midCat"/>
      </c:valAx>
      <c:valAx>
        <c:axId val="1951548896"/>
        <c:scaling>
          <c:orientation val="minMax"/>
          <c:max val="1000000000"/>
          <c:min val="-50000000"/>
        </c:scaling>
        <c:delete val="1"/>
        <c:axPos val="l"/>
        <c:numFmt formatCode="0.00E+00" sourceLinked="0"/>
        <c:majorTickMark val="none"/>
        <c:minorTickMark val="none"/>
        <c:tickLblPos val="nextTo"/>
        <c:crossAx val="147246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41778446035954E-2"/>
          <c:y val="5.534558180227471E-2"/>
          <c:w val="0.96589377332858517"/>
          <c:h val="0.83310877806940786"/>
        </c:manualLayout>
      </c:layout>
      <c:scatterChart>
        <c:scatterStyle val="smoothMarker"/>
        <c:varyColors val="0"/>
        <c:ser>
          <c:idx val="0"/>
          <c:order val="0"/>
          <c:spPr>
            <a:ln w="19050" cap="rnd">
              <a:solidFill>
                <a:schemeClr val="accent1"/>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'Combined-write'!$R$2:$AK$2</c:f>
              <c:numCache>
                <c:formatCode>General</c:formatCode>
                <c:ptCount val="20"/>
                <c:pt idx="0">
                  <c:v>0</c:v>
                </c:pt>
                <c:pt idx="1">
                  <c:v>0</c:v>
                </c:pt>
                <c:pt idx="2">
                  <c:v>1010</c:v>
                </c:pt>
                <c:pt idx="3">
                  <c:v>5620647</c:v>
                </c:pt>
                <c:pt idx="4">
                  <c:v>3878101</c:v>
                </c:pt>
                <c:pt idx="5">
                  <c:v>218641</c:v>
                </c:pt>
                <c:pt idx="6">
                  <c:v>103873</c:v>
                </c:pt>
                <c:pt idx="7">
                  <c:v>64497</c:v>
                </c:pt>
                <c:pt idx="8">
                  <c:v>38336</c:v>
                </c:pt>
                <c:pt idx="9">
                  <c:v>15260</c:v>
                </c:pt>
                <c:pt idx="10">
                  <c:v>7228</c:v>
                </c:pt>
                <c:pt idx="11">
                  <c:v>3902</c:v>
                </c:pt>
                <c:pt idx="12">
                  <c:v>1664</c:v>
                </c:pt>
                <c:pt idx="13">
                  <c:v>631</c:v>
                </c:pt>
                <c:pt idx="14">
                  <c:v>284</c:v>
                </c:pt>
                <c:pt idx="15">
                  <c:v>131</c:v>
                </c:pt>
                <c:pt idx="16">
                  <c:v>90</c:v>
                </c:pt>
                <c:pt idx="17">
                  <c:v>81</c:v>
                </c:pt>
                <c:pt idx="18">
                  <c:v>44</c:v>
                </c:pt>
                <c:pt idx="19">
                  <c:v>31</c:v>
                </c:pt>
              </c:numCache>
            </c:numRef>
          </c:yVal>
          <c:smooth val="1"/>
          <c:extLst>
            <c:ext xmlns:c16="http://schemas.microsoft.com/office/drawing/2014/chart" uri="{C3380CC4-5D6E-409C-BE32-E72D297353CC}">
              <c16:uniqueId val="{00000000-3F86-9344-8C9A-CCA87474451E}"/>
            </c:ext>
          </c:extLst>
        </c:ser>
        <c:ser>
          <c:idx val="1"/>
          <c:order val="1"/>
          <c:spPr>
            <a:ln w="22225" cap="rnd">
              <a:solidFill>
                <a:schemeClr val="accent2"/>
              </a:solidFill>
              <a:round/>
            </a:ln>
            <a:effectLst/>
          </c:spPr>
          <c:marker>
            <c:symbol val="none"/>
          </c:marker>
          <c:dLbls>
            <c:dLbl>
              <c:idx val="3"/>
              <c:layout>
                <c:manualLayout>
                  <c:x val="6.3473642897441507E-2"/>
                  <c:y val="-6.662389423544279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86-9344-8C9A-CCA874744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'Combined-write'!$R$3:$AK$3</c:f>
              <c:numCache>
                <c:formatCode>General</c:formatCode>
                <c:ptCount val="20"/>
                <c:pt idx="0">
                  <c:v>0</c:v>
                </c:pt>
                <c:pt idx="1">
                  <c:v>0</c:v>
                </c:pt>
                <c:pt idx="2">
                  <c:v>4654670</c:v>
                </c:pt>
                <c:pt idx="3">
                  <c:v>56410596</c:v>
                </c:pt>
                <c:pt idx="4">
                  <c:v>34917501</c:v>
                </c:pt>
                <c:pt idx="5">
                  <c:v>1777402</c:v>
                </c:pt>
                <c:pt idx="6">
                  <c:v>823726</c:v>
                </c:pt>
                <c:pt idx="7">
                  <c:v>474070</c:v>
                </c:pt>
                <c:pt idx="8">
                  <c:v>340726</c:v>
                </c:pt>
                <c:pt idx="9">
                  <c:v>102859</c:v>
                </c:pt>
                <c:pt idx="10">
                  <c:v>28650</c:v>
                </c:pt>
                <c:pt idx="11">
                  <c:v>12196</c:v>
                </c:pt>
                <c:pt idx="12">
                  <c:v>8818</c:v>
                </c:pt>
                <c:pt idx="13">
                  <c:v>4006</c:v>
                </c:pt>
                <c:pt idx="14">
                  <c:v>1509</c:v>
                </c:pt>
                <c:pt idx="15">
                  <c:v>573</c:v>
                </c:pt>
                <c:pt idx="16">
                  <c:v>226</c:v>
                </c:pt>
                <c:pt idx="17">
                  <c:v>117</c:v>
                </c:pt>
                <c:pt idx="18">
                  <c:v>57</c:v>
                </c:pt>
                <c:pt idx="19">
                  <c:v>51</c:v>
                </c:pt>
              </c:numCache>
            </c:numRef>
          </c:yVal>
          <c:smooth val="1"/>
          <c:extLst>
            <c:ext xmlns:c16="http://schemas.microsoft.com/office/drawing/2014/chart" uri="{C3380CC4-5D6E-409C-BE32-E72D297353CC}">
              <c16:uniqueId val="{00000001-3F86-9344-8C9A-CCA87474451E}"/>
            </c:ext>
          </c:extLst>
        </c:ser>
        <c:ser>
          <c:idx val="4"/>
          <c:order val="2"/>
          <c:spPr>
            <a:ln w="19050" cap="rnd">
              <a:solidFill>
                <a:schemeClr val="accent5"/>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'Combined-write'!$R$6:$AK$6</c:f>
              <c:numCache>
                <c:formatCode>General</c:formatCode>
                <c:ptCount val="20"/>
                <c:pt idx="0">
                  <c:v>0</c:v>
                </c:pt>
                <c:pt idx="1">
                  <c:v>0</c:v>
                </c:pt>
                <c:pt idx="2">
                  <c:v>43194</c:v>
                </c:pt>
                <c:pt idx="3">
                  <c:v>7092295</c:v>
                </c:pt>
                <c:pt idx="4">
                  <c:v>2312792</c:v>
                </c:pt>
                <c:pt idx="5">
                  <c:v>246026</c:v>
                </c:pt>
                <c:pt idx="6">
                  <c:v>106544</c:v>
                </c:pt>
                <c:pt idx="7">
                  <c:v>98360</c:v>
                </c:pt>
                <c:pt idx="8">
                  <c:v>51151</c:v>
                </c:pt>
                <c:pt idx="9">
                  <c:v>23257</c:v>
                </c:pt>
                <c:pt idx="10">
                  <c:v>9525</c:v>
                </c:pt>
                <c:pt idx="11">
                  <c:v>3428</c:v>
                </c:pt>
                <c:pt idx="12">
                  <c:v>1588</c:v>
                </c:pt>
                <c:pt idx="13">
                  <c:v>953</c:v>
                </c:pt>
                <c:pt idx="14">
                  <c:v>824</c:v>
                </c:pt>
                <c:pt idx="15">
                  <c:v>1919</c:v>
                </c:pt>
                <c:pt idx="16">
                  <c:v>2205</c:v>
                </c:pt>
                <c:pt idx="17">
                  <c:v>1407</c:v>
                </c:pt>
                <c:pt idx="18">
                  <c:v>868</c:v>
                </c:pt>
                <c:pt idx="19">
                  <c:v>593</c:v>
                </c:pt>
              </c:numCache>
            </c:numRef>
          </c:yVal>
          <c:smooth val="1"/>
          <c:extLst>
            <c:ext xmlns:c16="http://schemas.microsoft.com/office/drawing/2014/chart" uri="{C3380CC4-5D6E-409C-BE32-E72D297353CC}">
              <c16:uniqueId val="{00000004-3F86-9344-8C9A-CCA87474451E}"/>
            </c:ext>
          </c:extLst>
        </c:ser>
        <c:ser>
          <c:idx val="5"/>
          <c:order val="3"/>
          <c:spPr>
            <a:ln w="22225" cap="rnd">
              <a:solidFill>
                <a:schemeClr val="accent6"/>
              </a:solidFill>
              <a:round/>
            </a:ln>
            <a:effectLst/>
          </c:spPr>
          <c:marker>
            <c:symbol val="none"/>
          </c:marker>
          <c:dLbls>
            <c:dLbl>
              <c:idx val="5"/>
              <c:layout>
                <c:manualLayout>
                  <c:x val="0.17513921547954256"/>
                  <c:y val="-2.271371475040924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86-9344-8C9A-CCA874744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'Combined-write'!$R$7:$AK$7</c:f>
              <c:numCache>
                <c:formatCode>General</c:formatCode>
                <c:ptCount val="20"/>
                <c:pt idx="0">
                  <c:v>0</c:v>
                </c:pt>
                <c:pt idx="1">
                  <c:v>0</c:v>
                </c:pt>
                <c:pt idx="2">
                  <c:v>16340</c:v>
                </c:pt>
                <c:pt idx="3">
                  <c:v>8704611</c:v>
                </c:pt>
                <c:pt idx="4">
                  <c:v>24110306</c:v>
                </c:pt>
                <c:pt idx="5">
                  <c:v>29475535</c:v>
                </c:pt>
                <c:pt idx="6">
                  <c:v>28116508</c:v>
                </c:pt>
                <c:pt idx="7">
                  <c:v>6461554</c:v>
                </c:pt>
                <c:pt idx="8">
                  <c:v>999511</c:v>
                </c:pt>
                <c:pt idx="9">
                  <c:v>540411</c:v>
                </c:pt>
                <c:pt idx="10">
                  <c:v>429245</c:v>
                </c:pt>
                <c:pt idx="11">
                  <c:v>329371</c:v>
                </c:pt>
                <c:pt idx="12">
                  <c:v>249782</c:v>
                </c:pt>
                <c:pt idx="13">
                  <c:v>192697</c:v>
                </c:pt>
                <c:pt idx="14">
                  <c:v>144045</c:v>
                </c:pt>
                <c:pt idx="15">
                  <c:v>80071</c:v>
                </c:pt>
                <c:pt idx="16">
                  <c:v>28972</c:v>
                </c:pt>
                <c:pt idx="17">
                  <c:v>8771</c:v>
                </c:pt>
                <c:pt idx="18">
                  <c:v>2890</c:v>
                </c:pt>
                <c:pt idx="19">
                  <c:v>1118</c:v>
                </c:pt>
              </c:numCache>
            </c:numRef>
          </c:yVal>
          <c:smooth val="1"/>
          <c:extLst>
            <c:ext xmlns:c16="http://schemas.microsoft.com/office/drawing/2014/chart" uri="{C3380CC4-5D6E-409C-BE32-E72D297353CC}">
              <c16:uniqueId val="{00000005-3F86-9344-8C9A-CCA87474451E}"/>
            </c:ext>
          </c:extLst>
        </c:ser>
        <c:ser>
          <c:idx val="6"/>
          <c:order val="4"/>
          <c:spPr>
            <a:ln w="19050" cap="rnd">
              <a:solidFill>
                <a:schemeClr val="accent1">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'Combined-write'!$R$8:$AK$8</c:f>
              <c:numCache>
                <c:formatCode>General</c:formatCode>
                <c:ptCount val="20"/>
                <c:pt idx="0">
                  <c:v>0</c:v>
                </c:pt>
                <c:pt idx="1">
                  <c:v>7696</c:v>
                </c:pt>
                <c:pt idx="2">
                  <c:v>844315</c:v>
                </c:pt>
                <c:pt idx="3">
                  <c:v>80347</c:v>
                </c:pt>
                <c:pt idx="4">
                  <c:v>30535</c:v>
                </c:pt>
                <c:pt idx="5">
                  <c:v>26346</c:v>
                </c:pt>
                <c:pt idx="6">
                  <c:v>5575</c:v>
                </c:pt>
                <c:pt idx="7">
                  <c:v>1770</c:v>
                </c:pt>
                <c:pt idx="8">
                  <c:v>1026</c:v>
                </c:pt>
                <c:pt idx="9">
                  <c:v>687</c:v>
                </c:pt>
                <c:pt idx="10">
                  <c:v>404</c:v>
                </c:pt>
                <c:pt idx="11">
                  <c:v>196</c:v>
                </c:pt>
                <c:pt idx="12">
                  <c:v>137</c:v>
                </c:pt>
                <c:pt idx="13">
                  <c:v>71</c:v>
                </c:pt>
                <c:pt idx="14">
                  <c:v>32</c:v>
                </c:pt>
                <c:pt idx="15">
                  <c:v>37</c:v>
                </c:pt>
                <c:pt idx="16">
                  <c:v>20</c:v>
                </c:pt>
                <c:pt idx="17">
                  <c:v>19</c:v>
                </c:pt>
                <c:pt idx="18">
                  <c:v>9</c:v>
                </c:pt>
                <c:pt idx="19">
                  <c:v>12</c:v>
                </c:pt>
              </c:numCache>
            </c:numRef>
          </c:yVal>
          <c:smooth val="1"/>
          <c:extLst>
            <c:ext xmlns:c16="http://schemas.microsoft.com/office/drawing/2014/chart" uri="{C3380CC4-5D6E-409C-BE32-E72D297353CC}">
              <c16:uniqueId val="{00000006-3F86-9344-8C9A-CCA87474451E}"/>
            </c:ext>
          </c:extLst>
        </c:ser>
        <c:ser>
          <c:idx val="7"/>
          <c:order val="5"/>
          <c:spPr>
            <a:ln w="19050" cap="rnd">
              <a:solidFill>
                <a:schemeClr val="accent2">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'Combined-write'!$R$9:$AK$9</c:f>
              <c:numCache>
                <c:formatCode>General</c:formatCode>
                <c:ptCount val="20"/>
                <c:pt idx="0">
                  <c:v>0</c:v>
                </c:pt>
                <c:pt idx="1">
                  <c:v>126914</c:v>
                </c:pt>
                <c:pt idx="2">
                  <c:v>5206681</c:v>
                </c:pt>
                <c:pt idx="3">
                  <c:v>296680</c:v>
                </c:pt>
                <c:pt idx="4">
                  <c:v>171787</c:v>
                </c:pt>
                <c:pt idx="5">
                  <c:v>146274</c:v>
                </c:pt>
                <c:pt idx="6">
                  <c:v>22922</c:v>
                </c:pt>
                <c:pt idx="7">
                  <c:v>9716</c:v>
                </c:pt>
                <c:pt idx="8">
                  <c:v>5263</c:v>
                </c:pt>
                <c:pt idx="9">
                  <c:v>3020</c:v>
                </c:pt>
                <c:pt idx="10">
                  <c:v>1948</c:v>
                </c:pt>
                <c:pt idx="11">
                  <c:v>1278</c:v>
                </c:pt>
                <c:pt idx="12">
                  <c:v>709</c:v>
                </c:pt>
                <c:pt idx="13">
                  <c:v>453</c:v>
                </c:pt>
                <c:pt idx="14">
                  <c:v>284</c:v>
                </c:pt>
                <c:pt idx="15">
                  <c:v>212</c:v>
                </c:pt>
                <c:pt idx="16">
                  <c:v>151</c:v>
                </c:pt>
                <c:pt idx="17">
                  <c:v>118</c:v>
                </c:pt>
                <c:pt idx="18">
                  <c:v>82</c:v>
                </c:pt>
                <c:pt idx="19">
                  <c:v>58</c:v>
                </c:pt>
              </c:numCache>
            </c:numRef>
          </c:yVal>
          <c:smooth val="1"/>
          <c:extLst>
            <c:ext xmlns:c16="http://schemas.microsoft.com/office/drawing/2014/chart" uri="{C3380CC4-5D6E-409C-BE32-E72D297353CC}">
              <c16:uniqueId val="{00000007-3F86-9344-8C9A-CCA87474451E}"/>
            </c:ext>
          </c:extLst>
        </c:ser>
        <c:ser>
          <c:idx val="10"/>
          <c:order val="6"/>
          <c:spPr>
            <a:ln w="19050" cap="rnd">
              <a:solidFill>
                <a:schemeClr val="accent5">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'Combined-write'!$R$12:$AK$12</c:f>
              <c:numCache>
                <c:formatCode>General</c:formatCode>
                <c:ptCount val="20"/>
                <c:pt idx="0">
                  <c:v>0</c:v>
                </c:pt>
                <c:pt idx="1">
                  <c:v>0</c:v>
                </c:pt>
                <c:pt idx="2">
                  <c:v>1804</c:v>
                </c:pt>
                <c:pt idx="3">
                  <c:v>7036095</c:v>
                </c:pt>
                <c:pt idx="4">
                  <c:v>2462947</c:v>
                </c:pt>
                <c:pt idx="5">
                  <c:v>221691</c:v>
                </c:pt>
                <c:pt idx="6">
                  <c:v>102357</c:v>
                </c:pt>
                <c:pt idx="7">
                  <c:v>66142</c:v>
                </c:pt>
                <c:pt idx="8">
                  <c:v>37224</c:v>
                </c:pt>
                <c:pt idx="9">
                  <c:v>13544</c:v>
                </c:pt>
                <c:pt idx="10">
                  <c:v>5277</c:v>
                </c:pt>
                <c:pt idx="11">
                  <c:v>2470</c:v>
                </c:pt>
                <c:pt idx="12">
                  <c:v>1385</c:v>
                </c:pt>
                <c:pt idx="13">
                  <c:v>590</c:v>
                </c:pt>
                <c:pt idx="14">
                  <c:v>234</c:v>
                </c:pt>
                <c:pt idx="15">
                  <c:v>112</c:v>
                </c:pt>
                <c:pt idx="16">
                  <c:v>36</c:v>
                </c:pt>
                <c:pt idx="17">
                  <c:v>18</c:v>
                </c:pt>
                <c:pt idx="18">
                  <c:v>16</c:v>
                </c:pt>
                <c:pt idx="19">
                  <c:v>10</c:v>
                </c:pt>
              </c:numCache>
            </c:numRef>
          </c:yVal>
          <c:smooth val="1"/>
          <c:extLst>
            <c:ext xmlns:c16="http://schemas.microsoft.com/office/drawing/2014/chart" uri="{C3380CC4-5D6E-409C-BE32-E72D297353CC}">
              <c16:uniqueId val="{0000000A-3F86-9344-8C9A-CCA87474451E}"/>
            </c:ext>
          </c:extLst>
        </c:ser>
        <c:ser>
          <c:idx val="11"/>
          <c:order val="7"/>
          <c:spPr>
            <a:ln w="19050" cap="rnd">
              <a:solidFill>
                <a:schemeClr val="accent6">
                  <a:lumMod val="60000"/>
                </a:schemeClr>
              </a:solidFill>
              <a:round/>
            </a:ln>
            <a:effectLst/>
          </c:spPr>
          <c:marker>
            <c:symbol val="none"/>
          </c:marker>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'Combined-write'!$R$13:$AK$13</c:f>
              <c:numCache>
                <c:formatCode>General</c:formatCode>
                <c:ptCount val="20"/>
                <c:pt idx="0">
                  <c:v>0</c:v>
                </c:pt>
                <c:pt idx="1">
                  <c:v>406</c:v>
                </c:pt>
                <c:pt idx="2">
                  <c:v>8961001</c:v>
                </c:pt>
                <c:pt idx="3">
                  <c:v>644862</c:v>
                </c:pt>
                <c:pt idx="4">
                  <c:v>211960</c:v>
                </c:pt>
                <c:pt idx="5">
                  <c:v>113722</c:v>
                </c:pt>
                <c:pt idx="6">
                  <c:v>23331</c:v>
                </c:pt>
                <c:pt idx="7">
                  <c:v>10035</c:v>
                </c:pt>
                <c:pt idx="8">
                  <c:v>10066</c:v>
                </c:pt>
                <c:pt idx="9">
                  <c:v>8603</c:v>
                </c:pt>
                <c:pt idx="10">
                  <c:v>6717</c:v>
                </c:pt>
                <c:pt idx="11">
                  <c:v>3175</c:v>
                </c:pt>
                <c:pt idx="12">
                  <c:v>1316</c:v>
                </c:pt>
                <c:pt idx="13">
                  <c:v>555</c:v>
                </c:pt>
                <c:pt idx="14">
                  <c:v>303</c:v>
                </c:pt>
                <c:pt idx="15">
                  <c:v>184</c:v>
                </c:pt>
                <c:pt idx="16">
                  <c:v>154</c:v>
                </c:pt>
                <c:pt idx="17">
                  <c:v>88</c:v>
                </c:pt>
                <c:pt idx="18">
                  <c:v>43</c:v>
                </c:pt>
                <c:pt idx="19">
                  <c:v>37</c:v>
                </c:pt>
              </c:numCache>
            </c:numRef>
          </c:yVal>
          <c:smooth val="1"/>
          <c:extLst>
            <c:ext xmlns:c16="http://schemas.microsoft.com/office/drawing/2014/chart" uri="{C3380CC4-5D6E-409C-BE32-E72D297353CC}">
              <c16:uniqueId val="{0000000B-3F86-9344-8C9A-CCA87474451E}"/>
            </c:ext>
          </c:extLst>
        </c:ser>
        <c:ser>
          <c:idx val="12"/>
          <c:order val="8"/>
          <c:spPr>
            <a:ln w="22225" cap="rnd">
              <a:solidFill>
                <a:schemeClr val="accent1">
                  <a:lumMod val="80000"/>
                  <a:lumOff val="20000"/>
                </a:schemeClr>
              </a:solidFill>
              <a:round/>
            </a:ln>
            <a:effectLst/>
          </c:spPr>
          <c:marker>
            <c:symbol val="none"/>
          </c:marker>
          <c:dLbls>
            <c:dLbl>
              <c:idx val="2"/>
              <c:layout>
                <c:manualLayout>
                  <c:x val="3.5679740073068206E-2"/>
                  <c:y val="-4.28033755444912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86-9344-8C9A-CCA87474451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'Combined-write'!$R$1:$AK$1</c:f>
              <c:strCache>
                <c:ptCount val="20"/>
                <c:pt idx="0">
                  <c:v>ws-0</c:v>
                </c:pt>
                <c:pt idx="1">
                  <c:v>ws-1</c:v>
                </c:pt>
                <c:pt idx="2">
                  <c:v>ws-2</c:v>
                </c:pt>
                <c:pt idx="3">
                  <c:v>ws-3</c:v>
                </c:pt>
                <c:pt idx="4">
                  <c:v>ws-4</c:v>
                </c:pt>
                <c:pt idx="5">
                  <c:v>ws-5</c:v>
                </c:pt>
                <c:pt idx="6">
                  <c:v>ws-6</c:v>
                </c:pt>
                <c:pt idx="7">
                  <c:v>ws-7</c:v>
                </c:pt>
                <c:pt idx="8">
                  <c:v>ws-8</c:v>
                </c:pt>
                <c:pt idx="9">
                  <c:v>ws-9</c:v>
                </c:pt>
                <c:pt idx="10">
                  <c:v>ws-10</c:v>
                </c:pt>
                <c:pt idx="11">
                  <c:v>ws-11</c:v>
                </c:pt>
                <c:pt idx="12">
                  <c:v>ws-12</c:v>
                </c:pt>
                <c:pt idx="13">
                  <c:v>ws-13</c:v>
                </c:pt>
                <c:pt idx="14">
                  <c:v>ws-14</c:v>
                </c:pt>
                <c:pt idx="15">
                  <c:v>ws-15</c:v>
                </c:pt>
                <c:pt idx="16">
                  <c:v>ws-16</c:v>
                </c:pt>
                <c:pt idx="17">
                  <c:v>ws-17</c:v>
                </c:pt>
                <c:pt idx="18">
                  <c:v>ws-18</c:v>
                </c:pt>
                <c:pt idx="19">
                  <c:v>ws-19</c:v>
                </c:pt>
              </c:strCache>
            </c:strRef>
          </c:xVal>
          <c:yVal>
            <c:numRef>
              <c:f>'Combined-write'!$R$14:$AK$14</c:f>
              <c:numCache>
                <c:formatCode>General</c:formatCode>
                <c:ptCount val="20"/>
                <c:pt idx="0">
                  <c:v>0</c:v>
                </c:pt>
                <c:pt idx="1">
                  <c:v>2999540</c:v>
                </c:pt>
                <c:pt idx="2">
                  <c:v>86666419</c:v>
                </c:pt>
                <c:pt idx="3">
                  <c:v>6750712</c:v>
                </c:pt>
                <c:pt idx="4">
                  <c:v>1804658</c:v>
                </c:pt>
                <c:pt idx="5">
                  <c:v>1087950</c:v>
                </c:pt>
                <c:pt idx="6">
                  <c:v>267725</c:v>
                </c:pt>
                <c:pt idx="7">
                  <c:v>124053</c:v>
                </c:pt>
                <c:pt idx="8">
                  <c:v>94076</c:v>
                </c:pt>
                <c:pt idx="9">
                  <c:v>62809</c:v>
                </c:pt>
                <c:pt idx="10">
                  <c:v>36289</c:v>
                </c:pt>
                <c:pt idx="11">
                  <c:v>16397</c:v>
                </c:pt>
                <c:pt idx="12">
                  <c:v>8234</c:v>
                </c:pt>
                <c:pt idx="13">
                  <c:v>5795</c:v>
                </c:pt>
                <c:pt idx="14">
                  <c:v>3300</c:v>
                </c:pt>
                <c:pt idx="15">
                  <c:v>1718</c:v>
                </c:pt>
                <c:pt idx="16">
                  <c:v>1151</c:v>
                </c:pt>
                <c:pt idx="17">
                  <c:v>898</c:v>
                </c:pt>
                <c:pt idx="18">
                  <c:v>705</c:v>
                </c:pt>
                <c:pt idx="19">
                  <c:v>596</c:v>
                </c:pt>
              </c:numCache>
            </c:numRef>
          </c:yVal>
          <c:smooth val="1"/>
          <c:extLst>
            <c:ext xmlns:c16="http://schemas.microsoft.com/office/drawing/2014/chart" uri="{C3380CC4-5D6E-409C-BE32-E72D297353CC}">
              <c16:uniqueId val="{0000000C-3F86-9344-8C9A-CCA87474451E}"/>
            </c:ext>
          </c:extLst>
        </c:ser>
        <c:dLbls>
          <c:showLegendKey val="0"/>
          <c:showVal val="0"/>
          <c:showCatName val="0"/>
          <c:showSerName val="0"/>
          <c:showPercent val="0"/>
          <c:showBubbleSize val="0"/>
        </c:dLbls>
        <c:axId val="1459561728"/>
        <c:axId val="1459292304"/>
      </c:scatterChart>
      <c:valAx>
        <c:axId val="1459561728"/>
        <c:scaling>
          <c:orientation val="minMax"/>
          <c:max val="12"/>
          <c:min val="1"/>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92304"/>
        <c:crosses val="autoZero"/>
        <c:crossBetween val="midCat"/>
      </c:valAx>
      <c:valAx>
        <c:axId val="1459292304"/>
        <c:scaling>
          <c:orientation val="minMax"/>
          <c:max val="100000000"/>
          <c:min val="-100000"/>
        </c:scaling>
        <c:delete val="1"/>
        <c:axPos val="l"/>
        <c:numFmt formatCode="0.00E+00" sourceLinked="0"/>
        <c:majorTickMark val="none"/>
        <c:minorTickMark val="none"/>
        <c:tickLblPos val="nextTo"/>
        <c:crossAx val="1459561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Folder/File Write Performance - 20 Samples/Run</a:t>
            </a:r>
          </a:p>
        </c:rich>
      </c:tx>
      <c:layout>
        <c:manualLayout>
          <c:xMode val="edge"/>
          <c:yMode val="edge"/>
          <c:x val="0.26702494257798509"/>
          <c:y val="5.194805194805195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869176143347805E-2"/>
          <c:y val="8.7579693034238487E-2"/>
          <c:w val="0.86694121530972779"/>
          <c:h val="0.80757188409300074"/>
        </c:manualLayout>
      </c:layout>
      <c:scatterChart>
        <c:scatterStyle val="smoothMarker"/>
        <c:varyColors val="0"/>
        <c:ser>
          <c:idx val="1"/>
          <c:order val="0"/>
          <c:tx>
            <c:v>EXT4 100M</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'Combined-write'!$AT$3:$BM$3</c:f>
              <c:numCache>
                <c:formatCode>General</c:formatCode>
                <c:ptCount val="20"/>
                <c:pt idx="0">
                  <c:v>36.109139999999996</c:v>
                </c:pt>
                <c:pt idx="1">
                  <c:v>36.839157</c:v>
                </c:pt>
                <c:pt idx="2">
                  <c:v>35.926789999999997</c:v>
                </c:pt>
                <c:pt idx="3">
                  <c:v>37.097459999999998</c:v>
                </c:pt>
                <c:pt idx="4">
                  <c:v>39.002505999999997</c:v>
                </c:pt>
                <c:pt idx="5">
                  <c:v>39.592599999999997</c:v>
                </c:pt>
                <c:pt idx="6">
                  <c:v>38.254240000000003</c:v>
                </c:pt>
                <c:pt idx="7">
                  <c:v>38.830418000000002</c:v>
                </c:pt>
                <c:pt idx="8">
                  <c:v>37.802334000000002</c:v>
                </c:pt>
                <c:pt idx="9">
                  <c:v>42.551067000000003</c:v>
                </c:pt>
                <c:pt idx="10">
                  <c:v>39.075090000000003</c:v>
                </c:pt>
                <c:pt idx="11">
                  <c:v>42.328560000000003</c:v>
                </c:pt>
                <c:pt idx="12">
                  <c:v>44.516719999999999</c:v>
                </c:pt>
                <c:pt idx="13">
                  <c:v>40.696423000000003</c:v>
                </c:pt>
                <c:pt idx="14">
                  <c:v>42.038853000000003</c:v>
                </c:pt>
                <c:pt idx="15">
                  <c:v>43.141747000000002</c:v>
                </c:pt>
                <c:pt idx="16">
                  <c:v>37.4754</c:v>
                </c:pt>
                <c:pt idx="17">
                  <c:v>38.162394999999997</c:v>
                </c:pt>
                <c:pt idx="18">
                  <c:v>39.658065999999998</c:v>
                </c:pt>
                <c:pt idx="19">
                  <c:v>38.040264000000001</c:v>
                </c:pt>
              </c:numCache>
            </c:numRef>
          </c:yVal>
          <c:smooth val="1"/>
          <c:extLst>
            <c:ext xmlns:c16="http://schemas.microsoft.com/office/drawing/2014/chart" uri="{C3380CC4-5D6E-409C-BE32-E72D297353CC}">
              <c16:uniqueId val="{00000001-9354-994D-B5E3-F708122F6C86}"/>
            </c:ext>
          </c:extLst>
        </c:ser>
        <c:ser>
          <c:idx val="3"/>
          <c:order val="1"/>
          <c:tx>
            <c:v>XFS 100M</c:v>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'Combined-write'!$AT$5:$BM$5</c:f>
              <c:numCache>
                <c:formatCode>General</c:formatCode>
                <c:ptCount val="20"/>
                <c:pt idx="0">
                  <c:v>75.678290000000004</c:v>
                </c:pt>
                <c:pt idx="1">
                  <c:v>73.038475000000005</c:v>
                </c:pt>
                <c:pt idx="2">
                  <c:v>41.805813000000001</c:v>
                </c:pt>
                <c:pt idx="3">
                  <c:v>35.897550000000003</c:v>
                </c:pt>
                <c:pt idx="4">
                  <c:v>26.836514999999999</c:v>
                </c:pt>
                <c:pt idx="5">
                  <c:v>26.706205000000001</c:v>
                </c:pt>
                <c:pt idx="6">
                  <c:v>28.436820000000001</c:v>
                </c:pt>
                <c:pt idx="7">
                  <c:v>22.338379</c:v>
                </c:pt>
                <c:pt idx="8">
                  <c:v>27.572512</c:v>
                </c:pt>
                <c:pt idx="9">
                  <c:v>28.251283999999998</c:v>
                </c:pt>
                <c:pt idx="10">
                  <c:v>28.804113000000001</c:v>
                </c:pt>
                <c:pt idx="11">
                  <c:v>26.300667000000001</c:v>
                </c:pt>
                <c:pt idx="12">
                  <c:v>30.691327999999999</c:v>
                </c:pt>
                <c:pt idx="13">
                  <c:v>27.786000000000001</c:v>
                </c:pt>
                <c:pt idx="14">
                  <c:v>28.837160000000001</c:v>
                </c:pt>
                <c:pt idx="15">
                  <c:v>26.272235999999999</c:v>
                </c:pt>
                <c:pt idx="16">
                  <c:v>32.693317</c:v>
                </c:pt>
                <c:pt idx="17">
                  <c:v>25.421230000000001</c:v>
                </c:pt>
                <c:pt idx="18">
                  <c:v>30.406711999999999</c:v>
                </c:pt>
                <c:pt idx="19">
                  <c:v>41.166096000000003</c:v>
                </c:pt>
              </c:numCache>
            </c:numRef>
          </c:yVal>
          <c:smooth val="1"/>
          <c:extLst>
            <c:ext xmlns:c16="http://schemas.microsoft.com/office/drawing/2014/chart" uri="{C3380CC4-5D6E-409C-BE32-E72D297353CC}">
              <c16:uniqueId val="{00000003-9354-994D-B5E3-F708122F6C86}"/>
            </c:ext>
          </c:extLst>
        </c:ser>
        <c:ser>
          <c:idx val="5"/>
          <c:order val="2"/>
          <c:tx>
            <c:v>BTRFS 100M</c:v>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'Combined-write'!$AT$7:$BM$7</c:f>
              <c:numCache>
                <c:formatCode>General</c:formatCode>
                <c:ptCount val="20"/>
                <c:pt idx="0">
                  <c:v>57.427019999999999</c:v>
                </c:pt>
                <c:pt idx="1">
                  <c:v>49.656154999999998</c:v>
                </c:pt>
                <c:pt idx="2">
                  <c:v>49.620759999999997</c:v>
                </c:pt>
                <c:pt idx="3">
                  <c:v>46.900753000000002</c:v>
                </c:pt>
                <c:pt idx="4">
                  <c:v>44.457016000000003</c:v>
                </c:pt>
                <c:pt idx="5">
                  <c:v>43.27704</c:v>
                </c:pt>
                <c:pt idx="6">
                  <c:v>41.215687000000003</c:v>
                </c:pt>
                <c:pt idx="7">
                  <c:v>40.295757000000002</c:v>
                </c:pt>
                <c:pt idx="8">
                  <c:v>39.243639999999999</c:v>
                </c:pt>
                <c:pt idx="9">
                  <c:v>38.326976999999999</c:v>
                </c:pt>
                <c:pt idx="10">
                  <c:v>37.222526999999999</c:v>
                </c:pt>
                <c:pt idx="11">
                  <c:v>36.964973000000001</c:v>
                </c:pt>
                <c:pt idx="12">
                  <c:v>35.456535000000002</c:v>
                </c:pt>
                <c:pt idx="13">
                  <c:v>34.753695999999998</c:v>
                </c:pt>
                <c:pt idx="14">
                  <c:v>34.061424000000002</c:v>
                </c:pt>
                <c:pt idx="15">
                  <c:v>33.791224999999997</c:v>
                </c:pt>
                <c:pt idx="16">
                  <c:v>31.916094000000001</c:v>
                </c:pt>
                <c:pt idx="17">
                  <c:v>31.929110000000001</c:v>
                </c:pt>
                <c:pt idx="18">
                  <c:v>31.173023000000001</c:v>
                </c:pt>
                <c:pt idx="19">
                  <c:v>30.163329999999998</c:v>
                </c:pt>
              </c:numCache>
            </c:numRef>
          </c:yVal>
          <c:smooth val="1"/>
          <c:extLst>
            <c:ext xmlns:c16="http://schemas.microsoft.com/office/drawing/2014/chart" uri="{C3380CC4-5D6E-409C-BE32-E72D297353CC}">
              <c16:uniqueId val="{00000005-9354-994D-B5E3-F708122F6C86}"/>
            </c:ext>
          </c:extLst>
        </c:ser>
        <c:ser>
          <c:idx val="7"/>
          <c:order val="3"/>
          <c:tx>
            <c:v>F2FS 6M</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poly"/>
            <c:order val="2"/>
            <c:dispRSqr val="0"/>
            <c:dispEq val="0"/>
          </c:trendline>
          <c:xVal>
            <c:strRef>
              <c:f>'Combined-write'!$AT$1:$BM$1</c:f>
              <c:strCache>
                <c:ptCount val="20"/>
                <c:pt idx="0">
                  <c:v>Folder ID-1</c:v>
                </c:pt>
                <c:pt idx="1">
                  <c:v>Folder ID-2</c:v>
                </c:pt>
                <c:pt idx="2">
                  <c:v>Folder ID-3</c:v>
                </c:pt>
                <c:pt idx="3">
                  <c:v>Folder ID-4</c:v>
                </c:pt>
                <c:pt idx="4">
                  <c:v>Folder ID-5</c:v>
                </c:pt>
                <c:pt idx="5">
                  <c:v>Folder ID-6</c:v>
                </c:pt>
                <c:pt idx="6">
                  <c:v>Folder ID-7</c:v>
                </c:pt>
                <c:pt idx="7">
                  <c:v>Folder ID-8</c:v>
                </c:pt>
                <c:pt idx="8">
                  <c:v>Folder ID-9</c:v>
                </c:pt>
                <c:pt idx="9">
                  <c:v>Folder ID-10</c:v>
                </c:pt>
                <c:pt idx="10">
                  <c:v>Folder ID-11</c:v>
                </c:pt>
                <c:pt idx="11">
                  <c:v>Folder ID-12</c:v>
                </c:pt>
                <c:pt idx="12">
                  <c:v>Folder ID-13</c:v>
                </c:pt>
                <c:pt idx="13">
                  <c:v>Folder ID-14</c:v>
                </c:pt>
                <c:pt idx="14">
                  <c:v>Folder ID-15</c:v>
                </c:pt>
                <c:pt idx="15">
                  <c:v>Folder ID-16</c:v>
                </c:pt>
                <c:pt idx="16">
                  <c:v>Folder ID-17</c:v>
                </c:pt>
                <c:pt idx="17">
                  <c:v>Folder ID-18</c:v>
                </c:pt>
                <c:pt idx="18">
                  <c:v>Folder ID-19</c:v>
                </c:pt>
                <c:pt idx="19">
                  <c:v>Folder ID-20</c:v>
                </c:pt>
              </c:strCache>
            </c:strRef>
          </c:xVal>
          <c:yVal>
            <c:numRef>
              <c:f>'Combined-write'!$AT$9:$BM$9</c:f>
              <c:numCache>
                <c:formatCode>General</c:formatCode>
                <c:ptCount val="20"/>
                <c:pt idx="0">
                  <c:v>72.03246</c:v>
                </c:pt>
                <c:pt idx="1">
                  <c:v>48.011257000000001</c:v>
                </c:pt>
                <c:pt idx="2">
                  <c:v>63.059947999999999</c:v>
                </c:pt>
                <c:pt idx="3">
                  <c:v>72.281580000000005</c:v>
                </c:pt>
                <c:pt idx="4">
                  <c:v>72.104470000000006</c:v>
                </c:pt>
                <c:pt idx="5">
                  <c:v>49.598089999999999</c:v>
                </c:pt>
                <c:pt idx="6">
                  <c:v>69.483270000000005</c:v>
                </c:pt>
                <c:pt idx="7">
                  <c:v>71.620154999999997</c:v>
                </c:pt>
                <c:pt idx="8">
                  <c:v>71.140110000000007</c:v>
                </c:pt>
                <c:pt idx="9">
                  <c:v>43.346393999999997</c:v>
                </c:pt>
                <c:pt idx="10">
                  <c:v>72.511319999999998</c:v>
                </c:pt>
                <c:pt idx="11">
                  <c:v>42.983370000000001</c:v>
                </c:pt>
                <c:pt idx="12">
                  <c:v>71.265820000000005</c:v>
                </c:pt>
                <c:pt idx="13">
                  <c:v>76.576300000000003</c:v>
                </c:pt>
                <c:pt idx="14">
                  <c:v>54.206394000000003</c:v>
                </c:pt>
                <c:pt idx="15">
                  <c:v>73.993269999999995</c:v>
                </c:pt>
                <c:pt idx="16">
                  <c:v>48.958199999999998</c:v>
                </c:pt>
                <c:pt idx="17">
                  <c:v>57.153748</c:v>
                </c:pt>
                <c:pt idx="18">
                  <c:v>41.646434999999997</c:v>
                </c:pt>
                <c:pt idx="19">
                  <c:v>45.669013999999997</c:v>
                </c:pt>
              </c:numCache>
            </c:numRef>
          </c:yVal>
          <c:smooth val="1"/>
          <c:extLst>
            <c:ext xmlns:c16="http://schemas.microsoft.com/office/drawing/2014/chart" uri="{C3380CC4-5D6E-409C-BE32-E72D297353CC}">
              <c16:uniqueId val="{00000007-9354-994D-B5E3-F708122F6C86}"/>
            </c:ext>
          </c:extLst>
        </c:ser>
        <c:dLbls>
          <c:showLegendKey val="0"/>
          <c:showVal val="0"/>
          <c:showCatName val="0"/>
          <c:showSerName val="0"/>
          <c:showPercent val="0"/>
          <c:showBubbleSize val="0"/>
        </c:dLbls>
        <c:axId val="61885407"/>
        <c:axId val="62365439"/>
      </c:scatterChart>
      <c:valAx>
        <c:axId val="61885407"/>
        <c:scaling>
          <c:orientation val="minMax"/>
          <c:max val="2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Folder Samples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65439"/>
        <c:crosses val="autoZero"/>
        <c:crossBetween val="midCat"/>
      </c:valAx>
      <c:valAx>
        <c:axId val="62365439"/>
        <c:scaling>
          <c:orientation val="minMax"/>
          <c:max val="80"/>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Write Throuput (MB/sec)</a:t>
                </a:r>
              </a:p>
            </c:rich>
          </c:tx>
          <c:layout>
            <c:manualLayout>
              <c:xMode val="edge"/>
              <c:yMode val="edge"/>
              <c:x val="2.4977698483496878E-2"/>
              <c:y val="0.3750138050925452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85407"/>
        <c:crosses val="autoZero"/>
        <c:crossBetween val="midCat"/>
      </c:valAx>
      <c:spPr>
        <a:noFill/>
        <a:ln>
          <a:noFill/>
        </a:ln>
        <a:effectLst/>
      </c:spPr>
    </c:plotArea>
    <c:legend>
      <c:legendPos val="r"/>
      <c:layout>
        <c:manualLayout>
          <c:xMode val="edge"/>
          <c:yMode val="edge"/>
          <c:x val="0.1296248428357695"/>
          <c:y val="0.80530041182868672"/>
          <c:w val="0.80971503227573804"/>
          <c:h val="7.67425559408379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File Read Performance</a:t>
            </a:r>
          </a:p>
        </c:rich>
      </c:tx>
      <c:layout>
        <c:manualLayout>
          <c:xMode val="edge"/>
          <c:yMode val="edge"/>
          <c:x val="0.46057583491718707"/>
          <c:y val="1.99275362318840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01960358403475"/>
          <c:y val="7.081521739130435E-2"/>
          <c:w val="0.84994580505023076"/>
          <c:h val="0.81490564377776797"/>
        </c:manualLayout>
      </c:layout>
      <c:scatterChart>
        <c:scatterStyle val="smoothMarker"/>
        <c:varyColors val="0"/>
        <c:ser>
          <c:idx val="0"/>
          <c:order val="0"/>
          <c:tx>
            <c:v>EXT4 10M SEQ</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'Combined-read'!$M$2:$AF$2</c:f>
              <c:numCache>
                <c:formatCode>General</c:formatCode>
                <c:ptCount val="20"/>
                <c:pt idx="0">
                  <c:v>0</c:v>
                </c:pt>
                <c:pt idx="1">
                  <c:v>0</c:v>
                </c:pt>
                <c:pt idx="2">
                  <c:v>1888641</c:v>
                </c:pt>
                <c:pt idx="3">
                  <c:v>7121598</c:v>
                </c:pt>
                <c:pt idx="4">
                  <c:v>606362</c:v>
                </c:pt>
                <c:pt idx="5">
                  <c:v>215008</c:v>
                </c:pt>
                <c:pt idx="6">
                  <c:v>101429</c:v>
                </c:pt>
                <c:pt idx="7">
                  <c:v>30033</c:v>
                </c:pt>
                <c:pt idx="8">
                  <c:v>12268</c:v>
                </c:pt>
                <c:pt idx="9">
                  <c:v>3863</c:v>
                </c:pt>
                <c:pt idx="10">
                  <c:v>1700</c:v>
                </c:pt>
                <c:pt idx="11">
                  <c:v>944</c:v>
                </c:pt>
                <c:pt idx="12">
                  <c:v>804</c:v>
                </c:pt>
                <c:pt idx="13">
                  <c:v>867</c:v>
                </c:pt>
                <c:pt idx="14">
                  <c:v>857</c:v>
                </c:pt>
                <c:pt idx="15">
                  <c:v>775</c:v>
                </c:pt>
                <c:pt idx="16">
                  <c:v>604</c:v>
                </c:pt>
                <c:pt idx="17">
                  <c:v>451</c:v>
                </c:pt>
                <c:pt idx="18">
                  <c:v>330</c:v>
                </c:pt>
                <c:pt idx="19">
                  <c:v>315</c:v>
                </c:pt>
              </c:numCache>
            </c:numRef>
          </c:yVal>
          <c:smooth val="1"/>
          <c:extLst>
            <c:ext xmlns:c16="http://schemas.microsoft.com/office/drawing/2014/chart" uri="{C3380CC4-5D6E-409C-BE32-E72D297353CC}">
              <c16:uniqueId val="{00000000-935E-374F-B022-31830084AEA3}"/>
            </c:ext>
          </c:extLst>
        </c:ser>
        <c:ser>
          <c:idx val="1"/>
          <c:order val="1"/>
          <c:tx>
            <c:v>EXT4 10M RND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'Combined-read'!$M$3:$AF$3</c:f>
              <c:numCache>
                <c:formatCode>General</c:formatCode>
                <c:ptCount val="20"/>
                <c:pt idx="0">
                  <c:v>0</c:v>
                </c:pt>
                <c:pt idx="1">
                  <c:v>4186</c:v>
                </c:pt>
                <c:pt idx="2">
                  <c:v>6791404</c:v>
                </c:pt>
                <c:pt idx="3">
                  <c:v>2665379</c:v>
                </c:pt>
                <c:pt idx="4">
                  <c:v>332201</c:v>
                </c:pt>
                <c:pt idx="5">
                  <c:v>123928</c:v>
                </c:pt>
                <c:pt idx="6">
                  <c:v>45637</c:v>
                </c:pt>
                <c:pt idx="7">
                  <c:v>15056</c:v>
                </c:pt>
                <c:pt idx="8">
                  <c:v>5090</c:v>
                </c:pt>
                <c:pt idx="9">
                  <c:v>1851</c:v>
                </c:pt>
                <c:pt idx="10">
                  <c:v>953</c:v>
                </c:pt>
                <c:pt idx="11">
                  <c:v>778</c:v>
                </c:pt>
                <c:pt idx="12">
                  <c:v>611</c:v>
                </c:pt>
                <c:pt idx="13">
                  <c:v>652</c:v>
                </c:pt>
                <c:pt idx="14">
                  <c:v>597</c:v>
                </c:pt>
                <c:pt idx="15">
                  <c:v>446</c:v>
                </c:pt>
                <c:pt idx="16">
                  <c:v>314</c:v>
                </c:pt>
                <c:pt idx="17">
                  <c:v>255</c:v>
                </c:pt>
                <c:pt idx="18">
                  <c:v>188</c:v>
                </c:pt>
                <c:pt idx="19">
                  <c:v>156</c:v>
                </c:pt>
              </c:numCache>
            </c:numRef>
          </c:yVal>
          <c:smooth val="1"/>
          <c:extLst>
            <c:ext xmlns:c16="http://schemas.microsoft.com/office/drawing/2014/chart" uri="{C3380CC4-5D6E-409C-BE32-E72D297353CC}">
              <c16:uniqueId val="{00000001-935E-374F-B022-31830084AEA3}"/>
            </c:ext>
          </c:extLst>
        </c:ser>
        <c:ser>
          <c:idx val="2"/>
          <c:order val="2"/>
          <c:tx>
            <c:v>EXT4 100M SEQ</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'Combined-read'!$M$4:$AF$4</c:f>
              <c:numCache>
                <c:formatCode>General</c:formatCode>
                <c:ptCount val="20"/>
                <c:pt idx="0">
                  <c:v>0</c:v>
                </c:pt>
                <c:pt idx="1">
                  <c:v>4</c:v>
                </c:pt>
                <c:pt idx="2">
                  <c:v>136409</c:v>
                </c:pt>
                <c:pt idx="3">
                  <c:v>401414</c:v>
                </c:pt>
                <c:pt idx="4">
                  <c:v>133214</c:v>
                </c:pt>
                <c:pt idx="5">
                  <c:v>46338</c:v>
                </c:pt>
                <c:pt idx="6">
                  <c:v>24782</c:v>
                </c:pt>
                <c:pt idx="7">
                  <c:v>10993</c:v>
                </c:pt>
                <c:pt idx="8">
                  <c:v>3550</c:v>
                </c:pt>
                <c:pt idx="9">
                  <c:v>46294</c:v>
                </c:pt>
                <c:pt idx="10">
                  <c:v>431194</c:v>
                </c:pt>
                <c:pt idx="11">
                  <c:v>2760088</c:v>
                </c:pt>
                <c:pt idx="12">
                  <c:v>7946280</c:v>
                </c:pt>
                <c:pt idx="13">
                  <c:v>19476286</c:v>
                </c:pt>
                <c:pt idx="14">
                  <c:v>22530490</c:v>
                </c:pt>
                <c:pt idx="15">
                  <c:v>9638744</c:v>
                </c:pt>
                <c:pt idx="16">
                  <c:v>4327306</c:v>
                </c:pt>
                <c:pt idx="17">
                  <c:v>3864343</c:v>
                </c:pt>
                <c:pt idx="18">
                  <c:v>4714239</c:v>
                </c:pt>
                <c:pt idx="19">
                  <c:v>3751564</c:v>
                </c:pt>
              </c:numCache>
            </c:numRef>
          </c:yVal>
          <c:smooth val="1"/>
          <c:extLst>
            <c:ext xmlns:c16="http://schemas.microsoft.com/office/drawing/2014/chart" uri="{C3380CC4-5D6E-409C-BE32-E72D297353CC}">
              <c16:uniqueId val="{00000002-935E-374F-B022-31830084AEA3}"/>
            </c:ext>
          </c:extLst>
        </c:ser>
        <c:ser>
          <c:idx val="3"/>
          <c:order val="3"/>
          <c:tx>
            <c:v>EXT4 100M RND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'Combined-read'!$M$5:$AF$5</c:f>
              <c:numCache>
                <c:formatCode>General</c:formatCode>
                <c:ptCount val="20"/>
                <c:pt idx="0">
                  <c:v>0</c:v>
                </c:pt>
                <c:pt idx="1">
                  <c:v>2</c:v>
                </c:pt>
                <c:pt idx="2">
                  <c:v>22607</c:v>
                </c:pt>
                <c:pt idx="3">
                  <c:v>35452</c:v>
                </c:pt>
                <c:pt idx="4">
                  <c:v>22807</c:v>
                </c:pt>
                <c:pt idx="5">
                  <c:v>8334</c:v>
                </c:pt>
                <c:pt idx="6">
                  <c:v>1882</c:v>
                </c:pt>
                <c:pt idx="7">
                  <c:v>585</c:v>
                </c:pt>
                <c:pt idx="8">
                  <c:v>354</c:v>
                </c:pt>
                <c:pt idx="9">
                  <c:v>17112</c:v>
                </c:pt>
                <c:pt idx="10">
                  <c:v>536025</c:v>
                </c:pt>
                <c:pt idx="11">
                  <c:v>4533562</c:v>
                </c:pt>
                <c:pt idx="12">
                  <c:v>7188526</c:v>
                </c:pt>
                <c:pt idx="13">
                  <c:v>27055557</c:v>
                </c:pt>
                <c:pt idx="14">
                  <c:v>17434939</c:v>
                </c:pt>
                <c:pt idx="15">
                  <c:v>5521198</c:v>
                </c:pt>
                <c:pt idx="16">
                  <c:v>3278218</c:v>
                </c:pt>
                <c:pt idx="17">
                  <c:v>3444307</c:v>
                </c:pt>
                <c:pt idx="18">
                  <c:v>4912674</c:v>
                </c:pt>
                <c:pt idx="19">
                  <c:v>3534474</c:v>
                </c:pt>
              </c:numCache>
            </c:numRef>
          </c:yVal>
          <c:smooth val="1"/>
          <c:extLst>
            <c:ext xmlns:c16="http://schemas.microsoft.com/office/drawing/2014/chart" uri="{C3380CC4-5D6E-409C-BE32-E72D297353CC}">
              <c16:uniqueId val="{00000003-935E-374F-B022-31830084AEA3}"/>
            </c:ext>
          </c:extLst>
        </c:ser>
        <c:ser>
          <c:idx val="4"/>
          <c:order val="4"/>
          <c:tx>
            <c:v>XFS 10M SEQ</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'Combined-read'!$M$6:$AF$6</c:f>
              <c:numCache>
                <c:formatCode>0</c:formatCode>
                <c:ptCount val="20"/>
                <c:pt idx="0" formatCode="General">
                  <c:v>0</c:v>
                </c:pt>
                <c:pt idx="1">
                  <c:v>0</c:v>
                </c:pt>
                <c:pt idx="2">
                  <c:v>49154</c:v>
                </c:pt>
                <c:pt idx="3">
                  <c:v>6988398</c:v>
                </c:pt>
                <c:pt idx="4">
                  <c:v>684573</c:v>
                </c:pt>
                <c:pt idx="5">
                  <c:v>181539</c:v>
                </c:pt>
                <c:pt idx="6">
                  <c:v>148601</c:v>
                </c:pt>
                <c:pt idx="7">
                  <c:v>53408</c:v>
                </c:pt>
                <c:pt idx="8">
                  <c:v>17030</c:v>
                </c:pt>
                <c:pt idx="9">
                  <c:v>6613</c:v>
                </c:pt>
                <c:pt idx="10">
                  <c:v>2441</c:v>
                </c:pt>
                <c:pt idx="11">
                  <c:v>7204</c:v>
                </c:pt>
                <c:pt idx="12">
                  <c:v>42726</c:v>
                </c:pt>
                <c:pt idx="13">
                  <c:v>113272</c:v>
                </c:pt>
                <c:pt idx="14">
                  <c:v>424683</c:v>
                </c:pt>
                <c:pt idx="15">
                  <c:v>342202</c:v>
                </c:pt>
                <c:pt idx="16">
                  <c:v>127224</c:v>
                </c:pt>
                <c:pt idx="17">
                  <c:v>75382</c:v>
                </c:pt>
                <c:pt idx="18">
                  <c:v>58254</c:v>
                </c:pt>
                <c:pt idx="19">
                  <c:v>58299</c:v>
                </c:pt>
              </c:numCache>
            </c:numRef>
          </c:yVal>
          <c:smooth val="1"/>
          <c:extLst>
            <c:ext xmlns:c16="http://schemas.microsoft.com/office/drawing/2014/chart" uri="{C3380CC4-5D6E-409C-BE32-E72D297353CC}">
              <c16:uniqueId val="{00000004-935E-374F-B022-31830084AEA3}"/>
            </c:ext>
          </c:extLst>
        </c:ser>
        <c:ser>
          <c:idx val="5"/>
          <c:order val="5"/>
          <c:tx>
            <c:v>XFS 10M RND</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'Combined-read'!$M$7:$AF$7</c:f>
              <c:numCache>
                <c:formatCode>0</c:formatCode>
                <c:ptCount val="20"/>
                <c:pt idx="0" formatCode="General">
                  <c:v>0</c:v>
                </c:pt>
                <c:pt idx="1">
                  <c:v>2665</c:v>
                </c:pt>
                <c:pt idx="2">
                  <c:v>8129569</c:v>
                </c:pt>
                <c:pt idx="3">
                  <c:v>1392707</c:v>
                </c:pt>
                <c:pt idx="4">
                  <c:v>310048</c:v>
                </c:pt>
                <c:pt idx="5">
                  <c:v>105308</c:v>
                </c:pt>
                <c:pt idx="6">
                  <c:v>29206</c:v>
                </c:pt>
                <c:pt idx="7">
                  <c:v>11288</c:v>
                </c:pt>
                <c:pt idx="8">
                  <c:v>3630</c:v>
                </c:pt>
                <c:pt idx="9">
                  <c:v>1594</c:v>
                </c:pt>
                <c:pt idx="10">
                  <c:v>779</c:v>
                </c:pt>
                <c:pt idx="11">
                  <c:v>545</c:v>
                </c:pt>
                <c:pt idx="12">
                  <c:v>622</c:v>
                </c:pt>
                <c:pt idx="13">
                  <c:v>569</c:v>
                </c:pt>
                <c:pt idx="14">
                  <c:v>523</c:v>
                </c:pt>
                <c:pt idx="15">
                  <c:v>390</c:v>
                </c:pt>
                <c:pt idx="16">
                  <c:v>267</c:v>
                </c:pt>
                <c:pt idx="17">
                  <c:v>206</c:v>
                </c:pt>
                <c:pt idx="18">
                  <c:v>154</c:v>
                </c:pt>
                <c:pt idx="19">
                  <c:v>152</c:v>
                </c:pt>
              </c:numCache>
            </c:numRef>
          </c:yVal>
          <c:smooth val="1"/>
          <c:extLst>
            <c:ext xmlns:c16="http://schemas.microsoft.com/office/drawing/2014/chart" uri="{C3380CC4-5D6E-409C-BE32-E72D297353CC}">
              <c16:uniqueId val="{00000005-935E-374F-B022-31830084AEA3}"/>
            </c:ext>
          </c:extLst>
        </c:ser>
        <c:ser>
          <c:idx val="6"/>
          <c:order val="6"/>
          <c:tx>
            <c:v>XFS 100M SEQ</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'Combined-read'!$M$8:$AF$8</c:f>
              <c:numCache>
                <c:formatCode>0</c:formatCode>
                <c:ptCount val="20"/>
                <c:pt idx="0" formatCode="General">
                  <c:v>0</c:v>
                </c:pt>
                <c:pt idx="1">
                  <c:v>0</c:v>
                </c:pt>
                <c:pt idx="2">
                  <c:v>24358</c:v>
                </c:pt>
                <c:pt idx="3">
                  <c:v>11533</c:v>
                </c:pt>
                <c:pt idx="4">
                  <c:v>1510</c:v>
                </c:pt>
                <c:pt idx="5">
                  <c:v>611</c:v>
                </c:pt>
                <c:pt idx="6">
                  <c:v>204</c:v>
                </c:pt>
                <c:pt idx="7">
                  <c:v>118</c:v>
                </c:pt>
                <c:pt idx="8">
                  <c:v>48</c:v>
                </c:pt>
                <c:pt idx="9">
                  <c:v>17</c:v>
                </c:pt>
                <c:pt idx="10">
                  <c:v>108</c:v>
                </c:pt>
                <c:pt idx="11">
                  <c:v>15526</c:v>
                </c:pt>
                <c:pt idx="12">
                  <c:v>100852</c:v>
                </c:pt>
                <c:pt idx="13">
                  <c:v>827972</c:v>
                </c:pt>
                <c:pt idx="14">
                  <c:v>3164865</c:v>
                </c:pt>
                <c:pt idx="15">
                  <c:v>7180724</c:v>
                </c:pt>
                <c:pt idx="16">
                  <c:v>21423655</c:v>
                </c:pt>
                <c:pt idx="17">
                  <c:v>12456216</c:v>
                </c:pt>
                <c:pt idx="18">
                  <c:v>4507655</c:v>
                </c:pt>
                <c:pt idx="19">
                  <c:v>3580162</c:v>
                </c:pt>
              </c:numCache>
            </c:numRef>
          </c:yVal>
          <c:smooth val="1"/>
          <c:extLst>
            <c:ext xmlns:c16="http://schemas.microsoft.com/office/drawing/2014/chart" uri="{C3380CC4-5D6E-409C-BE32-E72D297353CC}">
              <c16:uniqueId val="{00000006-935E-374F-B022-31830084AEA3}"/>
            </c:ext>
          </c:extLst>
        </c:ser>
        <c:ser>
          <c:idx val="7"/>
          <c:order val="7"/>
          <c:tx>
            <c:v>XFS 100M RND</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'Combined-read'!$M$9:$AF$9</c:f>
              <c:numCache>
                <c:formatCode>0</c:formatCode>
                <c:ptCount val="20"/>
                <c:pt idx="0" formatCode="General">
                  <c:v>0</c:v>
                </c:pt>
                <c:pt idx="1">
                  <c:v>485</c:v>
                </c:pt>
                <c:pt idx="2">
                  <c:v>155271</c:v>
                </c:pt>
                <c:pt idx="3">
                  <c:v>317728</c:v>
                </c:pt>
                <c:pt idx="4">
                  <c:v>281333</c:v>
                </c:pt>
                <c:pt idx="5">
                  <c:v>41228</c:v>
                </c:pt>
                <c:pt idx="6">
                  <c:v>17565</c:v>
                </c:pt>
                <c:pt idx="7">
                  <c:v>10000</c:v>
                </c:pt>
                <c:pt idx="8">
                  <c:v>7601</c:v>
                </c:pt>
                <c:pt idx="9">
                  <c:v>3199</c:v>
                </c:pt>
                <c:pt idx="10">
                  <c:v>4105</c:v>
                </c:pt>
                <c:pt idx="11">
                  <c:v>71154</c:v>
                </c:pt>
                <c:pt idx="12">
                  <c:v>692628</c:v>
                </c:pt>
                <c:pt idx="13">
                  <c:v>2879241</c:v>
                </c:pt>
                <c:pt idx="14">
                  <c:v>8654376</c:v>
                </c:pt>
                <c:pt idx="15">
                  <c:v>16724402</c:v>
                </c:pt>
                <c:pt idx="16">
                  <c:v>8115594</c:v>
                </c:pt>
                <c:pt idx="17">
                  <c:v>4412250</c:v>
                </c:pt>
                <c:pt idx="18">
                  <c:v>4722447</c:v>
                </c:pt>
                <c:pt idx="19">
                  <c:v>9455322</c:v>
                </c:pt>
              </c:numCache>
            </c:numRef>
          </c:yVal>
          <c:smooth val="1"/>
          <c:extLst>
            <c:ext xmlns:c16="http://schemas.microsoft.com/office/drawing/2014/chart" uri="{C3380CC4-5D6E-409C-BE32-E72D297353CC}">
              <c16:uniqueId val="{00000007-935E-374F-B022-31830084AEA3}"/>
            </c:ext>
          </c:extLst>
        </c:ser>
        <c:ser>
          <c:idx val="8"/>
          <c:order val="8"/>
          <c:tx>
            <c:v>BTRFS 10M SEQ</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'Combined-read'!$M$11:$AF$11</c:f>
              <c:numCache>
                <c:formatCode>General</c:formatCode>
                <c:ptCount val="20"/>
                <c:pt idx="0">
                  <c:v>0</c:v>
                </c:pt>
                <c:pt idx="1">
                  <c:v>0</c:v>
                </c:pt>
                <c:pt idx="2">
                  <c:v>474145</c:v>
                </c:pt>
                <c:pt idx="3">
                  <c:v>7548533</c:v>
                </c:pt>
                <c:pt idx="4">
                  <c:v>1088702</c:v>
                </c:pt>
                <c:pt idx="5">
                  <c:v>354753</c:v>
                </c:pt>
                <c:pt idx="6">
                  <c:v>293253</c:v>
                </c:pt>
                <c:pt idx="7">
                  <c:v>139880</c:v>
                </c:pt>
                <c:pt idx="8">
                  <c:v>42582</c:v>
                </c:pt>
                <c:pt idx="9">
                  <c:v>21839</c:v>
                </c:pt>
                <c:pt idx="10">
                  <c:v>9800</c:v>
                </c:pt>
                <c:pt idx="11">
                  <c:v>3339</c:v>
                </c:pt>
                <c:pt idx="12">
                  <c:v>2046</c:v>
                </c:pt>
                <c:pt idx="13">
                  <c:v>1662</c:v>
                </c:pt>
                <c:pt idx="14">
                  <c:v>1255</c:v>
                </c:pt>
                <c:pt idx="15">
                  <c:v>1132</c:v>
                </c:pt>
                <c:pt idx="16">
                  <c:v>932</c:v>
                </c:pt>
                <c:pt idx="17">
                  <c:v>735</c:v>
                </c:pt>
                <c:pt idx="18">
                  <c:v>593</c:v>
                </c:pt>
                <c:pt idx="19">
                  <c:v>479</c:v>
                </c:pt>
              </c:numCache>
            </c:numRef>
          </c:yVal>
          <c:smooth val="1"/>
          <c:extLst>
            <c:ext xmlns:c16="http://schemas.microsoft.com/office/drawing/2014/chart" uri="{C3380CC4-5D6E-409C-BE32-E72D297353CC}">
              <c16:uniqueId val="{00000008-935E-374F-B022-31830084AEA3}"/>
            </c:ext>
          </c:extLst>
        </c:ser>
        <c:ser>
          <c:idx val="9"/>
          <c:order val="9"/>
          <c:tx>
            <c:v>BTRFS 10M RND</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'Combined-read'!$M$12:$AF$12</c:f>
              <c:numCache>
                <c:formatCode>General</c:formatCode>
                <c:ptCount val="20"/>
                <c:pt idx="0">
                  <c:v>0</c:v>
                </c:pt>
                <c:pt idx="1">
                  <c:v>68893</c:v>
                </c:pt>
                <c:pt idx="2">
                  <c:v>8219108</c:v>
                </c:pt>
                <c:pt idx="3">
                  <c:v>1311173</c:v>
                </c:pt>
                <c:pt idx="4">
                  <c:v>241310</c:v>
                </c:pt>
                <c:pt idx="5">
                  <c:v>103698</c:v>
                </c:pt>
                <c:pt idx="6">
                  <c:v>25597</c:v>
                </c:pt>
                <c:pt idx="7">
                  <c:v>6739</c:v>
                </c:pt>
                <c:pt idx="8">
                  <c:v>5595</c:v>
                </c:pt>
                <c:pt idx="9">
                  <c:v>1746</c:v>
                </c:pt>
                <c:pt idx="10">
                  <c:v>674</c:v>
                </c:pt>
                <c:pt idx="11">
                  <c:v>506</c:v>
                </c:pt>
                <c:pt idx="12">
                  <c:v>330</c:v>
                </c:pt>
                <c:pt idx="13">
                  <c:v>318</c:v>
                </c:pt>
                <c:pt idx="14">
                  <c:v>312</c:v>
                </c:pt>
                <c:pt idx="15">
                  <c:v>308</c:v>
                </c:pt>
                <c:pt idx="16">
                  <c:v>291</c:v>
                </c:pt>
                <c:pt idx="17">
                  <c:v>322</c:v>
                </c:pt>
                <c:pt idx="18">
                  <c:v>432</c:v>
                </c:pt>
                <c:pt idx="19">
                  <c:v>525</c:v>
                </c:pt>
              </c:numCache>
            </c:numRef>
          </c:yVal>
          <c:smooth val="1"/>
          <c:extLst>
            <c:ext xmlns:c16="http://schemas.microsoft.com/office/drawing/2014/chart" uri="{C3380CC4-5D6E-409C-BE32-E72D297353CC}">
              <c16:uniqueId val="{00000009-935E-374F-B022-31830084AEA3}"/>
            </c:ext>
          </c:extLst>
        </c:ser>
        <c:ser>
          <c:idx val="10"/>
          <c:order val="10"/>
          <c:tx>
            <c:v>BTRFS 100M SEQ</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Lbl>
              <c:idx val="15"/>
              <c:layout>
                <c:manualLayout>
                  <c:x val="1.931034482758620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42-AB4B-AB67-267D206E70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'Combined-read'!$M$13:$AF$13</c:f>
              <c:numCache>
                <c:formatCode>General</c:formatCode>
                <c:ptCount val="20"/>
                <c:pt idx="0">
                  <c:v>0</c:v>
                </c:pt>
                <c:pt idx="1">
                  <c:v>0</c:v>
                </c:pt>
                <c:pt idx="2">
                  <c:v>0</c:v>
                </c:pt>
                <c:pt idx="3">
                  <c:v>0</c:v>
                </c:pt>
                <c:pt idx="4">
                  <c:v>0</c:v>
                </c:pt>
                <c:pt idx="5">
                  <c:v>16457</c:v>
                </c:pt>
                <c:pt idx="6">
                  <c:v>7615</c:v>
                </c:pt>
                <c:pt idx="7">
                  <c:v>1580</c:v>
                </c:pt>
                <c:pt idx="8">
                  <c:v>478</c:v>
                </c:pt>
                <c:pt idx="9">
                  <c:v>262</c:v>
                </c:pt>
                <c:pt idx="10">
                  <c:v>248</c:v>
                </c:pt>
                <c:pt idx="11">
                  <c:v>433</c:v>
                </c:pt>
                <c:pt idx="12">
                  <c:v>21466</c:v>
                </c:pt>
                <c:pt idx="13">
                  <c:v>3330725</c:v>
                </c:pt>
                <c:pt idx="14">
                  <c:v>6033215</c:v>
                </c:pt>
                <c:pt idx="15">
                  <c:v>38592325</c:v>
                </c:pt>
                <c:pt idx="16">
                  <c:v>21896393</c:v>
                </c:pt>
                <c:pt idx="17">
                  <c:v>7407931</c:v>
                </c:pt>
                <c:pt idx="18">
                  <c:v>2982762</c:v>
                </c:pt>
                <c:pt idx="19">
                  <c:v>2003370</c:v>
                </c:pt>
              </c:numCache>
            </c:numRef>
          </c:yVal>
          <c:smooth val="1"/>
          <c:extLst>
            <c:ext xmlns:c16="http://schemas.microsoft.com/office/drawing/2014/chart" uri="{C3380CC4-5D6E-409C-BE32-E72D297353CC}">
              <c16:uniqueId val="{0000000A-935E-374F-B022-31830084AEA3}"/>
            </c:ext>
          </c:extLst>
        </c:ser>
        <c:ser>
          <c:idx val="11"/>
          <c:order val="11"/>
          <c:tx>
            <c:v>BTRFS 100M RND</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Lbl>
              <c:idx val="15"/>
              <c:layout>
                <c:manualLayout>
                  <c:x val="9.6551724137930017E-3"/>
                  <c:y val="8.39328510755851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42-AB4B-AB67-267D206E70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'Combined-read'!$M$14:$AF$14</c:f>
              <c:numCache>
                <c:formatCode>General</c:formatCode>
                <c:ptCount val="20"/>
                <c:pt idx="0">
                  <c:v>0</c:v>
                </c:pt>
                <c:pt idx="1">
                  <c:v>2</c:v>
                </c:pt>
                <c:pt idx="2">
                  <c:v>75015</c:v>
                </c:pt>
                <c:pt idx="3">
                  <c:v>21657</c:v>
                </c:pt>
                <c:pt idx="4">
                  <c:v>2132</c:v>
                </c:pt>
                <c:pt idx="5">
                  <c:v>15986</c:v>
                </c:pt>
                <c:pt idx="6">
                  <c:v>9651</c:v>
                </c:pt>
                <c:pt idx="7">
                  <c:v>1316</c:v>
                </c:pt>
                <c:pt idx="8">
                  <c:v>330</c:v>
                </c:pt>
                <c:pt idx="9">
                  <c:v>181</c:v>
                </c:pt>
                <c:pt idx="10">
                  <c:v>194</c:v>
                </c:pt>
                <c:pt idx="11">
                  <c:v>4243</c:v>
                </c:pt>
                <c:pt idx="12">
                  <c:v>99371</c:v>
                </c:pt>
                <c:pt idx="13">
                  <c:v>4348720</c:v>
                </c:pt>
                <c:pt idx="14">
                  <c:v>5914254</c:v>
                </c:pt>
                <c:pt idx="15">
                  <c:v>49021670</c:v>
                </c:pt>
                <c:pt idx="16">
                  <c:v>20549517</c:v>
                </c:pt>
                <c:pt idx="17">
                  <c:v>8255282</c:v>
                </c:pt>
                <c:pt idx="18">
                  <c:v>2111758</c:v>
                </c:pt>
                <c:pt idx="19">
                  <c:v>1113585</c:v>
                </c:pt>
              </c:numCache>
            </c:numRef>
          </c:yVal>
          <c:smooth val="1"/>
          <c:extLst>
            <c:ext xmlns:c16="http://schemas.microsoft.com/office/drawing/2014/chart" uri="{C3380CC4-5D6E-409C-BE32-E72D297353CC}">
              <c16:uniqueId val="{0000000B-935E-374F-B022-31830084AEA3}"/>
            </c:ext>
          </c:extLst>
        </c:ser>
        <c:ser>
          <c:idx val="12"/>
          <c:order val="12"/>
          <c:tx>
            <c:v>F2FS 1M RND</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'Combined-read'!$M$15:$AF$15</c:f>
              <c:numCache>
                <c:formatCode>General</c:formatCode>
                <c:ptCount val="20"/>
                <c:pt idx="0">
                  <c:v>0</c:v>
                </c:pt>
                <c:pt idx="1">
                  <c:v>0</c:v>
                </c:pt>
                <c:pt idx="2">
                  <c:v>160325</c:v>
                </c:pt>
                <c:pt idx="3">
                  <c:v>505698</c:v>
                </c:pt>
                <c:pt idx="4">
                  <c:v>246327</c:v>
                </c:pt>
                <c:pt idx="5">
                  <c:v>58139</c:v>
                </c:pt>
                <c:pt idx="6">
                  <c:v>15748</c:v>
                </c:pt>
                <c:pt idx="7">
                  <c:v>5439</c:v>
                </c:pt>
                <c:pt idx="8">
                  <c:v>3391</c:v>
                </c:pt>
                <c:pt idx="9">
                  <c:v>1696</c:v>
                </c:pt>
                <c:pt idx="10">
                  <c:v>513</c:v>
                </c:pt>
                <c:pt idx="11">
                  <c:v>239</c:v>
                </c:pt>
                <c:pt idx="12">
                  <c:v>111</c:v>
                </c:pt>
                <c:pt idx="13">
                  <c:v>92</c:v>
                </c:pt>
                <c:pt idx="14">
                  <c:v>78</c:v>
                </c:pt>
                <c:pt idx="15">
                  <c:v>64</c:v>
                </c:pt>
                <c:pt idx="16">
                  <c:v>70</c:v>
                </c:pt>
                <c:pt idx="17">
                  <c:v>85</c:v>
                </c:pt>
                <c:pt idx="18">
                  <c:v>98</c:v>
                </c:pt>
                <c:pt idx="19">
                  <c:v>102</c:v>
                </c:pt>
              </c:numCache>
            </c:numRef>
          </c:yVal>
          <c:smooth val="1"/>
          <c:extLst>
            <c:ext xmlns:c16="http://schemas.microsoft.com/office/drawing/2014/chart" uri="{C3380CC4-5D6E-409C-BE32-E72D297353CC}">
              <c16:uniqueId val="{0000000C-935E-374F-B022-31830084AEA3}"/>
            </c:ext>
          </c:extLst>
        </c:ser>
        <c:ser>
          <c:idx val="13"/>
          <c:order val="13"/>
          <c:tx>
            <c:v>F2FS 1M SEQ</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'Combined-read'!$M$16:$AF$16</c:f>
              <c:numCache>
                <c:formatCode>General</c:formatCode>
                <c:ptCount val="20"/>
                <c:pt idx="0">
                  <c:v>0</c:v>
                </c:pt>
                <c:pt idx="1">
                  <c:v>0</c:v>
                </c:pt>
                <c:pt idx="2">
                  <c:v>346046</c:v>
                </c:pt>
                <c:pt idx="3">
                  <c:v>423596</c:v>
                </c:pt>
                <c:pt idx="4">
                  <c:v>171562</c:v>
                </c:pt>
                <c:pt idx="5">
                  <c:v>37721</c:v>
                </c:pt>
                <c:pt idx="6">
                  <c:v>9839</c:v>
                </c:pt>
                <c:pt idx="7">
                  <c:v>5245</c:v>
                </c:pt>
                <c:pt idx="8">
                  <c:v>2145</c:v>
                </c:pt>
                <c:pt idx="9">
                  <c:v>802</c:v>
                </c:pt>
                <c:pt idx="10">
                  <c:v>420</c:v>
                </c:pt>
                <c:pt idx="11">
                  <c:v>307</c:v>
                </c:pt>
                <c:pt idx="12">
                  <c:v>140</c:v>
                </c:pt>
                <c:pt idx="13">
                  <c:v>94</c:v>
                </c:pt>
                <c:pt idx="14">
                  <c:v>71</c:v>
                </c:pt>
                <c:pt idx="15">
                  <c:v>68</c:v>
                </c:pt>
                <c:pt idx="16">
                  <c:v>77</c:v>
                </c:pt>
                <c:pt idx="17">
                  <c:v>50</c:v>
                </c:pt>
                <c:pt idx="18">
                  <c:v>53</c:v>
                </c:pt>
                <c:pt idx="19">
                  <c:v>68</c:v>
                </c:pt>
              </c:numCache>
            </c:numRef>
          </c:yVal>
          <c:smooth val="1"/>
          <c:extLst>
            <c:ext xmlns:c16="http://schemas.microsoft.com/office/drawing/2014/chart" uri="{C3380CC4-5D6E-409C-BE32-E72D297353CC}">
              <c16:uniqueId val="{0000000D-935E-374F-B022-31830084AEA3}"/>
            </c:ext>
          </c:extLst>
        </c:ser>
        <c:ser>
          <c:idx val="14"/>
          <c:order val="14"/>
          <c:tx>
            <c:v>F2FS 6M SEQ</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'Combined-read'!$M$17:$AF$17</c:f>
              <c:numCache>
                <c:formatCode>General</c:formatCode>
                <c:ptCount val="20"/>
                <c:pt idx="0">
                  <c:v>0</c:v>
                </c:pt>
                <c:pt idx="1">
                  <c:v>597</c:v>
                </c:pt>
                <c:pt idx="2">
                  <c:v>2302763</c:v>
                </c:pt>
                <c:pt idx="3">
                  <c:v>1070797</c:v>
                </c:pt>
                <c:pt idx="4">
                  <c:v>169405</c:v>
                </c:pt>
                <c:pt idx="5">
                  <c:v>45738</c:v>
                </c:pt>
                <c:pt idx="6">
                  <c:v>32386</c:v>
                </c:pt>
                <c:pt idx="7">
                  <c:v>5677</c:v>
                </c:pt>
                <c:pt idx="8">
                  <c:v>3609</c:v>
                </c:pt>
                <c:pt idx="9">
                  <c:v>1963</c:v>
                </c:pt>
                <c:pt idx="10">
                  <c:v>5280</c:v>
                </c:pt>
                <c:pt idx="11">
                  <c:v>6804</c:v>
                </c:pt>
                <c:pt idx="12">
                  <c:v>12559</c:v>
                </c:pt>
                <c:pt idx="13">
                  <c:v>6018</c:v>
                </c:pt>
                <c:pt idx="14">
                  <c:v>24022</c:v>
                </c:pt>
                <c:pt idx="15">
                  <c:v>15449</c:v>
                </c:pt>
                <c:pt idx="16">
                  <c:v>56241</c:v>
                </c:pt>
                <c:pt idx="17">
                  <c:v>49237</c:v>
                </c:pt>
                <c:pt idx="18">
                  <c:v>344060</c:v>
                </c:pt>
                <c:pt idx="19">
                  <c:v>302166</c:v>
                </c:pt>
              </c:numCache>
            </c:numRef>
          </c:yVal>
          <c:smooth val="1"/>
          <c:extLst>
            <c:ext xmlns:c16="http://schemas.microsoft.com/office/drawing/2014/chart" uri="{C3380CC4-5D6E-409C-BE32-E72D297353CC}">
              <c16:uniqueId val="{0000000E-935E-374F-B022-31830084AEA3}"/>
            </c:ext>
          </c:extLst>
        </c:ser>
        <c:ser>
          <c:idx val="15"/>
          <c:order val="15"/>
          <c:tx>
            <c:v>F2FS 6M RND</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'Combined-read'!$M$18:$AF$18</c:f>
              <c:numCache>
                <c:formatCode>General</c:formatCode>
                <c:ptCount val="20"/>
                <c:pt idx="1">
                  <c:v>7015</c:v>
                </c:pt>
                <c:pt idx="2">
                  <c:v>3244975</c:v>
                </c:pt>
                <c:pt idx="3">
                  <c:v>2029146</c:v>
                </c:pt>
                <c:pt idx="4">
                  <c:v>499745</c:v>
                </c:pt>
                <c:pt idx="5">
                  <c:v>91519</c:v>
                </c:pt>
                <c:pt idx="6">
                  <c:v>32648</c:v>
                </c:pt>
                <c:pt idx="7">
                  <c:v>13774</c:v>
                </c:pt>
                <c:pt idx="8">
                  <c:v>19798</c:v>
                </c:pt>
                <c:pt idx="9">
                  <c:v>7741</c:v>
                </c:pt>
                <c:pt idx="10">
                  <c:v>2067</c:v>
                </c:pt>
                <c:pt idx="11">
                  <c:v>972</c:v>
                </c:pt>
                <c:pt idx="12">
                  <c:v>1953</c:v>
                </c:pt>
                <c:pt idx="13">
                  <c:v>1890</c:v>
                </c:pt>
                <c:pt idx="14">
                  <c:v>10046</c:v>
                </c:pt>
                <c:pt idx="15">
                  <c:v>4110</c:v>
                </c:pt>
                <c:pt idx="16">
                  <c:v>2706</c:v>
                </c:pt>
                <c:pt idx="17">
                  <c:v>2910</c:v>
                </c:pt>
                <c:pt idx="18">
                  <c:v>7965</c:v>
                </c:pt>
                <c:pt idx="19">
                  <c:v>3834</c:v>
                </c:pt>
              </c:numCache>
            </c:numRef>
          </c:yVal>
          <c:smooth val="1"/>
          <c:extLst>
            <c:ext xmlns:c16="http://schemas.microsoft.com/office/drawing/2014/chart" uri="{C3380CC4-5D6E-409C-BE32-E72D297353CC}">
              <c16:uniqueId val="{0000000F-935E-374F-B022-31830084AEA3}"/>
            </c:ext>
          </c:extLst>
        </c:ser>
        <c:dLbls>
          <c:showLegendKey val="0"/>
          <c:showVal val="0"/>
          <c:showCatName val="0"/>
          <c:showSerName val="0"/>
          <c:showPercent val="0"/>
          <c:showBubbleSize val="0"/>
        </c:dLbls>
        <c:axId val="1393189984"/>
        <c:axId val="1461933984"/>
      </c:scatterChart>
      <c:valAx>
        <c:axId val="1393189984"/>
        <c:scaling>
          <c:orientation val="minMax"/>
          <c:max val="2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Read Performance</a:t>
                </a:r>
                <a:r>
                  <a:rPr lang="en-US" sz="1200" b="1" baseline="0"/>
                  <a:t> Bucket</a:t>
                </a:r>
                <a:endParaRPr lang="en-US"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933984"/>
        <c:crosses val="autoZero"/>
        <c:crossBetween val="midCat"/>
      </c:valAx>
      <c:valAx>
        <c:axId val="1461933984"/>
        <c:scaling>
          <c:orientation val="minMax"/>
          <c:max val="49900000"/>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File Read Count</a:t>
                </a:r>
              </a:p>
            </c:rich>
          </c:tx>
          <c:layout>
            <c:manualLayout>
              <c:xMode val="edge"/>
              <c:yMode val="edge"/>
              <c:x val="2.3448275862068966E-2"/>
              <c:y val="0.4732925368024648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189984"/>
        <c:crosses val="autoZero"/>
        <c:crossBetween val="midCat"/>
      </c:valAx>
      <c:spPr>
        <a:noFill/>
        <a:ln>
          <a:noFill/>
        </a:ln>
        <a:effectLst/>
      </c:spPr>
    </c:plotArea>
    <c:legend>
      <c:legendPos val="r"/>
      <c:layout>
        <c:manualLayout>
          <c:xMode val="edge"/>
          <c:yMode val="edge"/>
          <c:x val="0.38353092587564491"/>
          <c:y val="0.21701557207583688"/>
          <c:w val="0.12980743958729296"/>
          <c:h val="0.48913385826771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Sheet3!$B$24</c:f>
              <c:strCache>
                <c:ptCount val="1"/>
                <c:pt idx="0">
                  <c:v>Write Speed</c:v>
                </c:pt>
              </c:strCache>
            </c:strRef>
          </c:tx>
          <c:spPr>
            <a:solidFill>
              <a:schemeClr val="accent1"/>
            </a:solidFill>
            <a:ln>
              <a:noFill/>
            </a:ln>
            <a:effectLst/>
          </c:spPr>
          <c:invertIfNegative val="0"/>
          <c:val>
            <c:numRef>
              <c:f>Sheet3!$B$25:$B$34</c:f>
              <c:numCache>
                <c:formatCode>General</c:formatCode>
                <c:ptCount val="10"/>
                <c:pt idx="0">
                  <c:v>0</c:v>
                </c:pt>
                <c:pt idx="1">
                  <c:v>1</c:v>
                </c:pt>
                <c:pt idx="2">
                  <c:v>2</c:v>
                </c:pt>
                <c:pt idx="3">
                  <c:v>3</c:v>
                </c:pt>
                <c:pt idx="4">
                  <c:v>4</c:v>
                </c:pt>
                <c:pt idx="5">
                  <c:v>5</c:v>
                </c:pt>
                <c:pt idx="6">
                  <c:v>6</c:v>
                </c:pt>
                <c:pt idx="7">
                  <c:v>7</c:v>
                </c:pt>
                <c:pt idx="8">
                  <c:v>8</c:v>
                </c:pt>
                <c:pt idx="9">
                  <c:v>9</c:v>
                </c:pt>
              </c:numCache>
            </c:numRef>
          </c:val>
          <c:extLst>
            <c:ext xmlns:c16="http://schemas.microsoft.com/office/drawing/2014/chart" uri="{C3380CC4-5D6E-409C-BE32-E72D297353CC}">
              <c16:uniqueId val="{00000000-2CB3-1C4A-A124-D4E44FD00E14}"/>
            </c:ext>
          </c:extLst>
        </c:ser>
        <c:ser>
          <c:idx val="1"/>
          <c:order val="1"/>
          <c:tx>
            <c:strRef>
              <c:f>Sheet3!$C$24</c:f>
              <c:strCache>
                <c:ptCount val="1"/>
                <c:pt idx="0">
                  <c:v>Count-3t</c:v>
                </c:pt>
              </c:strCache>
            </c:strRef>
          </c:tx>
          <c:spPr>
            <a:solidFill>
              <a:schemeClr val="accent2"/>
            </a:solidFill>
            <a:ln>
              <a:noFill/>
            </a:ln>
            <a:effectLst/>
          </c:spPr>
          <c:invertIfNegative val="0"/>
          <c:trendline>
            <c:spPr>
              <a:ln w="19050" cap="rnd">
                <a:solidFill>
                  <a:schemeClr val="accent2"/>
                </a:solidFill>
                <a:prstDash val="sysDot"/>
              </a:ln>
              <a:effectLst/>
            </c:spPr>
            <c:trendlineType val="poly"/>
            <c:order val="6"/>
            <c:dispRSqr val="0"/>
            <c:dispEq val="0"/>
          </c:trendline>
          <c:val>
            <c:numRef>
              <c:f>Sheet3!$C$25:$C$34</c:f>
              <c:numCache>
                <c:formatCode>General</c:formatCode>
                <c:ptCount val="10"/>
                <c:pt idx="0">
                  <c:v>0</c:v>
                </c:pt>
                <c:pt idx="1">
                  <c:v>0</c:v>
                </c:pt>
                <c:pt idx="2">
                  <c:v>0</c:v>
                </c:pt>
                <c:pt idx="3">
                  <c:v>54601</c:v>
                </c:pt>
                <c:pt idx="4">
                  <c:v>1863133</c:v>
                </c:pt>
                <c:pt idx="5">
                  <c:v>3970441</c:v>
                </c:pt>
                <c:pt idx="6">
                  <c:v>5805703</c:v>
                </c:pt>
                <c:pt idx="7">
                  <c:v>7339798</c:v>
                </c:pt>
                <c:pt idx="8">
                  <c:v>7462048</c:v>
                </c:pt>
                <c:pt idx="9">
                  <c:v>6956366</c:v>
                </c:pt>
              </c:numCache>
            </c:numRef>
          </c:val>
          <c:extLst>
            <c:ext xmlns:c16="http://schemas.microsoft.com/office/drawing/2014/chart" uri="{C3380CC4-5D6E-409C-BE32-E72D297353CC}">
              <c16:uniqueId val="{00000001-2CB3-1C4A-A124-D4E44FD00E14}"/>
            </c:ext>
          </c:extLst>
        </c:ser>
        <c:ser>
          <c:idx val="2"/>
          <c:order val="2"/>
          <c:tx>
            <c:strRef>
              <c:f>Sheet3!$D$24</c:f>
              <c:strCache>
                <c:ptCount val="1"/>
                <c:pt idx="0">
                  <c:v>Count-2t</c:v>
                </c:pt>
              </c:strCache>
            </c:strRef>
          </c:tx>
          <c:spPr>
            <a:solidFill>
              <a:schemeClr val="accent3"/>
            </a:solidFill>
            <a:ln>
              <a:noFill/>
            </a:ln>
            <a:effectLst/>
          </c:spPr>
          <c:invertIfNegative val="0"/>
          <c:trendline>
            <c:spPr>
              <a:ln w="19050" cap="rnd">
                <a:solidFill>
                  <a:schemeClr val="accent3"/>
                </a:solidFill>
                <a:prstDash val="sysDot"/>
              </a:ln>
              <a:effectLst/>
            </c:spPr>
            <c:trendlineType val="poly"/>
            <c:order val="6"/>
            <c:dispRSqr val="0"/>
            <c:dispEq val="0"/>
          </c:trendline>
          <c:val>
            <c:numRef>
              <c:f>Sheet3!$D$25:$D$34</c:f>
              <c:numCache>
                <c:formatCode>General</c:formatCode>
                <c:ptCount val="10"/>
                <c:pt idx="0">
                  <c:v>0</c:v>
                </c:pt>
                <c:pt idx="1">
                  <c:v>0</c:v>
                </c:pt>
                <c:pt idx="2">
                  <c:v>0</c:v>
                </c:pt>
                <c:pt idx="3">
                  <c:v>301187</c:v>
                </c:pt>
                <c:pt idx="4">
                  <c:v>4595826</c:v>
                </c:pt>
                <c:pt idx="5">
                  <c:v>12948297</c:v>
                </c:pt>
                <c:pt idx="6">
                  <c:v>22748303</c:v>
                </c:pt>
                <c:pt idx="7">
                  <c:v>27340013</c:v>
                </c:pt>
                <c:pt idx="8">
                  <c:v>20878671</c:v>
                </c:pt>
                <c:pt idx="9">
                  <c:v>6839367</c:v>
                </c:pt>
              </c:numCache>
            </c:numRef>
          </c:val>
          <c:extLst>
            <c:ext xmlns:c16="http://schemas.microsoft.com/office/drawing/2014/chart" uri="{C3380CC4-5D6E-409C-BE32-E72D297353CC}">
              <c16:uniqueId val="{00000002-2CB3-1C4A-A124-D4E44FD00E14}"/>
            </c:ext>
          </c:extLst>
        </c:ser>
        <c:ser>
          <c:idx val="3"/>
          <c:order val="3"/>
          <c:tx>
            <c:strRef>
              <c:f>Sheet3!$E$24</c:f>
              <c:strCache>
                <c:ptCount val="1"/>
                <c:pt idx="0">
                  <c:v>Count-1t</c:v>
                </c:pt>
              </c:strCache>
            </c:strRef>
          </c:tx>
          <c:spPr>
            <a:solidFill>
              <a:schemeClr val="accent4"/>
            </a:solidFill>
            <a:ln>
              <a:noFill/>
            </a:ln>
            <a:effectLst/>
          </c:spPr>
          <c:invertIfNegative val="0"/>
          <c:trendline>
            <c:spPr>
              <a:ln w="19050" cap="rnd">
                <a:solidFill>
                  <a:schemeClr val="accent4"/>
                </a:solidFill>
                <a:prstDash val="sysDot"/>
              </a:ln>
              <a:effectLst/>
            </c:spPr>
            <c:trendlineType val="poly"/>
            <c:order val="6"/>
            <c:dispRSqr val="0"/>
            <c:dispEq val="0"/>
          </c:trendline>
          <c:val>
            <c:numRef>
              <c:f>Sheet3!$E$25:$E$34</c:f>
              <c:numCache>
                <c:formatCode>General</c:formatCode>
                <c:ptCount val="10"/>
                <c:pt idx="0">
                  <c:v>333</c:v>
                </c:pt>
                <c:pt idx="1">
                  <c:v>22663</c:v>
                </c:pt>
                <c:pt idx="2">
                  <c:v>597808</c:v>
                </c:pt>
                <c:pt idx="3">
                  <c:v>6055097</c:v>
                </c:pt>
                <c:pt idx="4">
                  <c:v>24178839</c:v>
                </c:pt>
                <c:pt idx="5">
                  <c:v>38290592</c:v>
                </c:pt>
                <c:pt idx="6">
                  <c:v>24172746</c:v>
                </c:pt>
                <c:pt idx="7">
                  <c:v>6060014</c:v>
                </c:pt>
                <c:pt idx="8">
                  <c:v>598601</c:v>
                </c:pt>
                <c:pt idx="9">
                  <c:v>22989</c:v>
                </c:pt>
              </c:numCache>
            </c:numRef>
          </c:val>
          <c:extLst>
            <c:ext xmlns:c16="http://schemas.microsoft.com/office/drawing/2014/chart" uri="{C3380CC4-5D6E-409C-BE32-E72D297353CC}">
              <c16:uniqueId val="{00000003-2CB3-1C4A-A124-D4E44FD00E14}"/>
            </c:ext>
          </c:extLst>
        </c:ser>
        <c:dLbls>
          <c:showLegendKey val="0"/>
          <c:showVal val="0"/>
          <c:showCatName val="0"/>
          <c:showSerName val="0"/>
          <c:showPercent val="0"/>
          <c:showBubbleSize val="0"/>
        </c:dLbls>
        <c:gapWidth val="219"/>
        <c:overlap val="-27"/>
        <c:axId val="1797073808"/>
        <c:axId val="1746493968"/>
      </c:barChart>
      <c:catAx>
        <c:axId val="1797073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493968"/>
        <c:crosses val="autoZero"/>
        <c:auto val="1"/>
        <c:lblAlgn val="ctr"/>
        <c:lblOffset val="100"/>
        <c:noMultiLvlLbl val="0"/>
      </c:catAx>
      <c:valAx>
        <c:axId val="174649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73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937541515132963E-2"/>
          <c:y val="6.1903320509268105E-2"/>
          <c:w val="0.90617407037482678"/>
          <c:h val="0.86796486321962374"/>
        </c:manualLayout>
      </c:layout>
      <c:scatterChart>
        <c:scatterStyle val="smoothMarker"/>
        <c:varyColors val="0"/>
        <c:ser>
          <c:idx val="0"/>
          <c:order val="0"/>
          <c:spPr>
            <a:ln w="19050" cap="rnd">
              <a:solidFill>
                <a:schemeClr val="accent1"/>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'Combined-read'!$W$2:$AF$2</c:f>
              <c:numCache>
                <c:formatCode>General</c:formatCode>
                <c:ptCount val="10"/>
                <c:pt idx="0">
                  <c:v>1700</c:v>
                </c:pt>
                <c:pt idx="1">
                  <c:v>944</c:v>
                </c:pt>
                <c:pt idx="2">
                  <c:v>804</c:v>
                </c:pt>
                <c:pt idx="3">
                  <c:v>867</c:v>
                </c:pt>
                <c:pt idx="4">
                  <c:v>857</c:v>
                </c:pt>
                <c:pt idx="5">
                  <c:v>775</c:v>
                </c:pt>
                <c:pt idx="6">
                  <c:v>604</c:v>
                </c:pt>
                <c:pt idx="7">
                  <c:v>451</c:v>
                </c:pt>
                <c:pt idx="8">
                  <c:v>330</c:v>
                </c:pt>
                <c:pt idx="9">
                  <c:v>315</c:v>
                </c:pt>
              </c:numCache>
            </c:numRef>
          </c:yVal>
          <c:smooth val="1"/>
          <c:extLst>
            <c:ext xmlns:c16="http://schemas.microsoft.com/office/drawing/2014/chart" uri="{C3380CC4-5D6E-409C-BE32-E72D297353CC}">
              <c16:uniqueId val="{00000000-AEA4-6F47-88C4-A27AAC4A688B}"/>
            </c:ext>
          </c:extLst>
        </c:ser>
        <c:ser>
          <c:idx val="1"/>
          <c:order val="1"/>
          <c:spPr>
            <a:ln w="19050" cap="rnd">
              <a:solidFill>
                <a:schemeClr val="accent2"/>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'Combined-read'!$W$3:$AF$3</c:f>
              <c:numCache>
                <c:formatCode>General</c:formatCode>
                <c:ptCount val="10"/>
                <c:pt idx="0">
                  <c:v>953</c:v>
                </c:pt>
                <c:pt idx="1">
                  <c:v>778</c:v>
                </c:pt>
                <c:pt idx="2">
                  <c:v>611</c:v>
                </c:pt>
                <c:pt idx="3">
                  <c:v>652</c:v>
                </c:pt>
                <c:pt idx="4">
                  <c:v>597</c:v>
                </c:pt>
                <c:pt idx="5">
                  <c:v>446</c:v>
                </c:pt>
                <c:pt idx="6">
                  <c:v>314</c:v>
                </c:pt>
                <c:pt idx="7">
                  <c:v>255</c:v>
                </c:pt>
                <c:pt idx="8">
                  <c:v>188</c:v>
                </c:pt>
                <c:pt idx="9">
                  <c:v>156</c:v>
                </c:pt>
              </c:numCache>
            </c:numRef>
          </c:yVal>
          <c:smooth val="1"/>
          <c:extLst>
            <c:ext xmlns:c16="http://schemas.microsoft.com/office/drawing/2014/chart" uri="{C3380CC4-5D6E-409C-BE32-E72D297353CC}">
              <c16:uniqueId val="{00000001-AEA4-6F47-88C4-A27AAC4A688B}"/>
            </c:ext>
          </c:extLst>
        </c:ser>
        <c:ser>
          <c:idx val="2"/>
          <c:order val="2"/>
          <c:spPr>
            <a:ln w="19050" cap="rnd">
              <a:solidFill>
                <a:schemeClr val="accent3"/>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'Combined-read'!$W$4:$AF$4</c:f>
              <c:numCache>
                <c:formatCode>General</c:formatCode>
                <c:ptCount val="10"/>
                <c:pt idx="0">
                  <c:v>431194</c:v>
                </c:pt>
                <c:pt idx="1">
                  <c:v>2760088</c:v>
                </c:pt>
                <c:pt idx="2">
                  <c:v>7946280</c:v>
                </c:pt>
                <c:pt idx="3">
                  <c:v>19476286</c:v>
                </c:pt>
                <c:pt idx="4">
                  <c:v>22530490</c:v>
                </c:pt>
                <c:pt idx="5">
                  <c:v>9638744</c:v>
                </c:pt>
                <c:pt idx="6">
                  <c:v>4327306</c:v>
                </c:pt>
                <c:pt idx="7">
                  <c:v>3864343</c:v>
                </c:pt>
                <c:pt idx="8">
                  <c:v>4714239</c:v>
                </c:pt>
                <c:pt idx="9">
                  <c:v>3751564</c:v>
                </c:pt>
              </c:numCache>
            </c:numRef>
          </c:yVal>
          <c:smooth val="1"/>
          <c:extLst>
            <c:ext xmlns:c16="http://schemas.microsoft.com/office/drawing/2014/chart" uri="{C3380CC4-5D6E-409C-BE32-E72D297353CC}">
              <c16:uniqueId val="{00000002-AEA4-6F47-88C4-A27AAC4A688B}"/>
            </c:ext>
          </c:extLst>
        </c:ser>
        <c:ser>
          <c:idx val="3"/>
          <c:order val="3"/>
          <c:spPr>
            <a:ln w="19050" cap="rnd">
              <a:solidFill>
                <a:schemeClr val="accent4"/>
              </a:solidFill>
              <a:round/>
            </a:ln>
            <a:effectLst/>
          </c:spPr>
          <c:marker>
            <c:symbol val="none"/>
          </c:marker>
          <c:dLbls>
            <c:dLbl>
              <c:idx val="3"/>
              <c:layout>
                <c:manualLayout>
                  <c:x val="1.6815285949534586E-2"/>
                  <c:y val="-0.1559660067789949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EA4-6F47-88C4-A27AAC4A68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'Combined-read'!$W$5:$AF$5</c:f>
              <c:numCache>
                <c:formatCode>General</c:formatCode>
                <c:ptCount val="10"/>
                <c:pt idx="0">
                  <c:v>536025</c:v>
                </c:pt>
                <c:pt idx="1">
                  <c:v>4533562</c:v>
                </c:pt>
                <c:pt idx="2">
                  <c:v>7188526</c:v>
                </c:pt>
                <c:pt idx="3">
                  <c:v>27055557</c:v>
                </c:pt>
                <c:pt idx="4">
                  <c:v>17434939</c:v>
                </c:pt>
                <c:pt idx="5">
                  <c:v>5521198</c:v>
                </c:pt>
                <c:pt idx="6">
                  <c:v>3278218</c:v>
                </c:pt>
                <c:pt idx="7">
                  <c:v>3444307</c:v>
                </c:pt>
                <c:pt idx="8">
                  <c:v>4912674</c:v>
                </c:pt>
                <c:pt idx="9">
                  <c:v>3534474</c:v>
                </c:pt>
              </c:numCache>
            </c:numRef>
          </c:yVal>
          <c:smooth val="1"/>
          <c:extLst>
            <c:ext xmlns:c16="http://schemas.microsoft.com/office/drawing/2014/chart" uri="{C3380CC4-5D6E-409C-BE32-E72D297353CC}">
              <c16:uniqueId val="{00000003-AEA4-6F47-88C4-A27AAC4A688B}"/>
            </c:ext>
          </c:extLst>
        </c:ser>
        <c:ser>
          <c:idx val="4"/>
          <c:order val="4"/>
          <c:spPr>
            <a:ln w="19050" cap="rnd">
              <a:solidFill>
                <a:schemeClr val="accent5"/>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'Combined-read'!$W$6:$AF$6</c:f>
              <c:numCache>
                <c:formatCode>0</c:formatCode>
                <c:ptCount val="10"/>
                <c:pt idx="0">
                  <c:v>2441</c:v>
                </c:pt>
                <c:pt idx="1">
                  <c:v>7204</c:v>
                </c:pt>
                <c:pt idx="2">
                  <c:v>42726</c:v>
                </c:pt>
                <c:pt idx="3">
                  <c:v>113272</c:v>
                </c:pt>
                <c:pt idx="4">
                  <c:v>424683</c:v>
                </c:pt>
                <c:pt idx="5">
                  <c:v>342202</c:v>
                </c:pt>
                <c:pt idx="6">
                  <c:v>127224</c:v>
                </c:pt>
                <c:pt idx="7">
                  <c:v>75382</c:v>
                </c:pt>
                <c:pt idx="8">
                  <c:v>58254</c:v>
                </c:pt>
                <c:pt idx="9">
                  <c:v>58299</c:v>
                </c:pt>
              </c:numCache>
            </c:numRef>
          </c:yVal>
          <c:smooth val="1"/>
          <c:extLst>
            <c:ext xmlns:c16="http://schemas.microsoft.com/office/drawing/2014/chart" uri="{C3380CC4-5D6E-409C-BE32-E72D297353CC}">
              <c16:uniqueId val="{00000004-AEA4-6F47-88C4-A27AAC4A688B}"/>
            </c:ext>
          </c:extLst>
        </c:ser>
        <c:ser>
          <c:idx val="5"/>
          <c:order val="5"/>
          <c:spPr>
            <a:ln w="19050" cap="rnd">
              <a:solidFill>
                <a:schemeClr val="accent6"/>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'Combined-read'!$W$7:$AF$7</c:f>
              <c:numCache>
                <c:formatCode>0</c:formatCode>
                <c:ptCount val="10"/>
                <c:pt idx="0">
                  <c:v>779</c:v>
                </c:pt>
                <c:pt idx="1">
                  <c:v>545</c:v>
                </c:pt>
                <c:pt idx="2">
                  <c:v>622</c:v>
                </c:pt>
                <c:pt idx="3">
                  <c:v>569</c:v>
                </c:pt>
                <c:pt idx="4">
                  <c:v>523</c:v>
                </c:pt>
                <c:pt idx="5">
                  <c:v>390</c:v>
                </c:pt>
                <c:pt idx="6">
                  <c:v>267</c:v>
                </c:pt>
                <c:pt idx="7">
                  <c:v>206</c:v>
                </c:pt>
                <c:pt idx="8">
                  <c:v>154</c:v>
                </c:pt>
                <c:pt idx="9">
                  <c:v>152</c:v>
                </c:pt>
              </c:numCache>
            </c:numRef>
          </c:yVal>
          <c:smooth val="1"/>
          <c:extLst>
            <c:ext xmlns:c16="http://schemas.microsoft.com/office/drawing/2014/chart" uri="{C3380CC4-5D6E-409C-BE32-E72D297353CC}">
              <c16:uniqueId val="{00000005-AEA4-6F47-88C4-A27AAC4A688B}"/>
            </c:ext>
          </c:extLst>
        </c:ser>
        <c:ser>
          <c:idx val="6"/>
          <c:order val="6"/>
          <c:spPr>
            <a:ln w="19050" cap="rnd">
              <a:solidFill>
                <a:schemeClr val="accent1">
                  <a:lumMod val="6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'Combined-read'!$W$8:$AF$8</c:f>
              <c:numCache>
                <c:formatCode>0</c:formatCode>
                <c:ptCount val="10"/>
                <c:pt idx="0">
                  <c:v>108</c:v>
                </c:pt>
                <c:pt idx="1">
                  <c:v>15526</c:v>
                </c:pt>
                <c:pt idx="2">
                  <c:v>100852</c:v>
                </c:pt>
                <c:pt idx="3">
                  <c:v>827972</c:v>
                </c:pt>
                <c:pt idx="4">
                  <c:v>3164865</c:v>
                </c:pt>
                <c:pt idx="5">
                  <c:v>7180724</c:v>
                </c:pt>
                <c:pt idx="6">
                  <c:v>21423655</c:v>
                </c:pt>
                <c:pt idx="7">
                  <c:v>12456216</c:v>
                </c:pt>
                <c:pt idx="8">
                  <c:v>4507655</c:v>
                </c:pt>
                <c:pt idx="9">
                  <c:v>3580162</c:v>
                </c:pt>
              </c:numCache>
            </c:numRef>
          </c:yVal>
          <c:smooth val="1"/>
          <c:extLst>
            <c:ext xmlns:c16="http://schemas.microsoft.com/office/drawing/2014/chart" uri="{C3380CC4-5D6E-409C-BE32-E72D297353CC}">
              <c16:uniqueId val="{00000006-AEA4-6F47-88C4-A27AAC4A688B}"/>
            </c:ext>
          </c:extLst>
        </c:ser>
        <c:ser>
          <c:idx val="7"/>
          <c:order val="7"/>
          <c:spPr>
            <a:ln w="19050" cap="rnd">
              <a:solidFill>
                <a:schemeClr val="accent2">
                  <a:lumMod val="6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'Combined-read'!$W$9:$AF$9</c:f>
              <c:numCache>
                <c:formatCode>0</c:formatCode>
                <c:ptCount val="10"/>
                <c:pt idx="0">
                  <c:v>4105</c:v>
                </c:pt>
                <c:pt idx="1">
                  <c:v>71154</c:v>
                </c:pt>
                <c:pt idx="2">
                  <c:v>692628</c:v>
                </c:pt>
                <c:pt idx="3">
                  <c:v>2879241</c:v>
                </c:pt>
                <c:pt idx="4">
                  <c:v>8654376</c:v>
                </c:pt>
                <c:pt idx="5">
                  <c:v>16724402</c:v>
                </c:pt>
                <c:pt idx="6">
                  <c:v>8115594</c:v>
                </c:pt>
                <c:pt idx="7">
                  <c:v>4412250</c:v>
                </c:pt>
                <c:pt idx="8">
                  <c:v>4722447</c:v>
                </c:pt>
                <c:pt idx="9">
                  <c:v>9455322</c:v>
                </c:pt>
              </c:numCache>
            </c:numRef>
          </c:yVal>
          <c:smooth val="1"/>
          <c:extLst>
            <c:ext xmlns:c16="http://schemas.microsoft.com/office/drawing/2014/chart" uri="{C3380CC4-5D6E-409C-BE32-E72D297353CC}">
              <c16:uniqueId val="{00000007-AEA4-6F47-88C4-A27AAC4A688B}"/>
            </c:ext>
          </c:extLst>
        </c:ser>
        <c:ser>
          <c:idx val="8"/>
          <c:order val="8"/>
          <c:spPr>
            <a:ln w="19050" cap="rnd">
              <a:solidFill>
                <a:schemeClr val="accent3">
                  <a:lumMod val="60000"/>
                </a:schemeClr>
              </a:solidFill>
              <a:round/>
            </a:ln>
            <a:effectLst/>
          </c:spPr>
          <c:marker>
            <c:symbol val="none"/>
          </c:marker>
          <c:dLbls>
            <c:dLbl>
              <c:idx val="3"/>
              <c:layout>
                <c:manualLayout>
                  <c:x val="-6.4599483204134363E-3"/>
                  <c:y val="2.3148148148148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EA4-6F47-88C4-A27AAC4A688B}"/>
                </c:ext>
              </c:extLst>
            </c:dLbl>
            <c:dLbl>
              <c:idx val="4"/>
              <c:layout>
                <c:manualLayout>
                  <c:x val="-9.6899224806202139E-3"/>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EA4-6F47-88C4-A27AAC4A688B}"/>
                </c:ext>
              </c:extLst>
            </c:dLbl>
            <c:dLbl>
              <c:idx val="5"/>
              <c:layout>
                <c:manualLayout>
                  <c:x val="6.8789806157187175E-2"/>
                  <c:y val="-1.12247543907762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11-B441-B327-323C364692A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'Combined-read'!$V$1:$AF$1</c:f>
              <c:strCache>
                <c:ptCount val="11"/>
                <c:pt idx="0">
                  <c:v>rb-9</c:v>
                </c:pt>
                <c:pt idx="1">
                  <c:v>rb-10</c:v>
                </c:pt>
                <c:pt idx="2">
                  <c:v>rb-11</c:v>
                </c:pt>
                <c:pt idx="3">
                  <c:v>rb-12</c:v>
                </c:pt>
                <c:pt idx="4">
                  <c:v>rb-13</c:v>
                </c:pt>
                <c:pt idx="5">
                  <c:v>rb-14</c:v>
                </c:pt>
                <c:pt idx="6">
                  <c:v>rb-15</c:v>
                </c:pt>
                <c:pt idx="7">
                  <c:v>rb-16</c:v>
                </c:pt>
                <c:pt idx="8">
                  <c:v>rb-17</c:v>
                </c:pt>
                <c:pt idx="9">
                  <c:v>rb-18</c:v>
                </c:pt>
                <c:pt idx="10">
                  <c:v>rb-19</c:v>
                </c:pt>
              </c:strCache>
            </c:strRef>
          </c:xVal>
          <c:yVal>
            <c:numRef>
              <c:f>'Combined-read'!$V$10:$AF$10</c:f>
              <c:numCache>
                <c:formatCode>General</c:formatCode>
                <c:ptCount val="11"/>
                <c:pt idx="0">
                  <c:v>3691</c:v>
                </c:pt>
                <c:pt idx="1">
                  <c:v>8637695</c:v>
                </c:pt>
                <c:pt idx="2">
                  <c:v>13724280</c:v>
                </c:pt>
                <c:pt idx="3">
                  <c:v>131702581</c:v>
                </c:pt>
                <c:pt idx="4">
                  <c:v>143990621</c:v>
                </c:pt>
                <c:pt idx="5">
                  <c:v>215826045</c:v>
                </c:pt>
                <c:pt idx="6">
                  <c:v>107991690</c:v>
                </c:pt>
                <c:pt idx="7">
                  <c:v>30308493</c:v>
                </c:pt>
                <c:pt idx="8">
                  <c:v>15993939</c:v>
                </c:pt>
                <c:pt idx="9">
                  <c:v>14245431</c:v>
                </c:pt>
                <c:pt idx="10">
                  <c:v>30951816</c:v>
                </c:pt>
              </c:numCache>
            </c:numRef>
          </c:yVal>
          <c:smooth val="1"/>
          <c:extLst>
            <c:ext xmlns:c16="http://schemas.microsoft.com/office/drawing/2014/chart" uri="{C3380CC4-5D6E-409C-BE32-E72D297353CC}">
              <c16:uniqueId val="{00000008-AEA4-6F47-88C4-A27AAC4A688B}"/>
            </c:ext>
          </c:extLst>
        </c:ser>
        <c:ser>
          <c:idx val="9"/>
          <c:order val="9"/>
          <c:spPr>
            <a:ln w="19050" cap="rnd">
              <a:solidFill>
                <a:schemeClr val="accent4">
                  <a:lumMod val="6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'Combined-read'!$W$11:$AF$11</c:f>
              <c:numCache>
                <c:formatCode>General</c:formatCode>
                <c:ptCount val="10"/>
                <c:pt idx="0">
                  <c:v>9800</c:v>
                </c:pt>
                <c:pt idx="1">
                  <c:v>3339</c:v>
                </c:pt>
                <c:pt idx="2">
                  <c:v>2046</c:v>
                </c:pt>
                <c:pt idx="3">
                  <c:v>1662</c:v>
                </c:pt>
                <c:pt idx="4">
                  <c:v>1255</c:v>
                </c:pt>
                <c:pt idx="5">
                  <c:v>1132</c:v>
                </c:pt>
                <c:pt idx="6">
                  <c:v>932</c:v>
                </c:pt>
                <c:pt idx="7">
                  <c:v>735</c:v>
                </c:pt>
                <c:pt idx="8">
                  <c:v>593</c:v>
                </c:pt>
                <c:pt idx="9">
                  <c:v>479</c:v>
                </c:pt>
              </c:numCache>
            </c:numRef>
          </c:yVal>
          <c:smooth val="1"/>
          <c:extLst>
            <c:ext xmlns:c16="http://schemas.microsoft.com/office/drawing/2014/chart" uri="{C3380CC4-5D6E-409C-BE32-E72D297353CC}">
              <c16:uniqueId val="{00000009-AEA4-6F47-88C4-A27AAC4A688B}"/>
            </c:ext>
          </c:extLst>
        </c:ser>
        <c:ser>
          <c:idx val="10"/>
          <c:order val="10"/>
          <c:spPr>
            <a:ln w="19050" cap="rnd">
              <a:solidFill>
                <a:schemeClr val="accent5">
                  <a:lumMod val="6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'Combined-read'!$W$12:$AF$12</c:f>
              <c:numCache>
                <c:formatCode>General</c:formatCode>
                <c:ptCount val="10"/>
                <c:pt idx="0">
                  <c:v>674</c:v>
                </c:pt>
                <c:pt idx="1">
                  <c:v>506</c:v>
                </c:pt>
                <c:pt idx="2">
                  <c:v>330</c:v>
                </c:pt>
                <c:pt idx="3">
                  <c:v>318</c:v>
                </c:pt>
                <c:pt idx="4">
                  <c:v>312</c:v>
                </c:pt>
                <c:pt idx="5">
                  <c:v>308</c:v>
                </c:pt>
                <c:pt idx="6">
                  <c:v>291</c:v>
                </c:pt>
                <c:pt idx="7">
                  <c:v>322</c:v>
                </c:pt>
                <c:pt idx="8">
                  <c:v>432</c:v>
                </c:pt>
                <c:pt idx="9">
                  <c:v>525</c:v>
                </c:pt>
              </c:numCache>
            </c:numRef>
          </c:yVal>
          <c:smooth val="1"/>
          <c:extLst>
            <c:ext xmlns:c16="http://schemas.microsoft.com/office/drawing/2014/chart" uri="{C3380CC4-5D6E-409C-BE32-E72D297353CC}">
              <c16:uniqueId val="{0000000A-AEA4-6F47-88C4-A27AAC4A688B}"/>
            </c:ext>
          </c:extLst>
        </c:ser>
        <c:ser>
          <c:idx val="11"/>
          <c:order val="11"/>
          <c:spPr>
            <a:ln w="19050" cap="rnd">
              <a:solidFill>
                <a:schemeClr val="accent6">
                  <a:lumMod val="6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'Combined-read'!$W$13:$AF$13</c:f>
              <c:numCache>
                <c:formatCode>General</c:formatCode>
                <c:ptCount val="10"/>
                <c:pt idx="0">
                  <c:v>248</c:v>
                </c:pt>
                <c:pt idx="1">
                  <c:v>433</c:v>
                </c:pt>
                <c:pt idx="2">
                  <c:v>21466</c:v>
                </c:pt>
                <c:pt idx="3">
                  <c:v>3330725</c:v>
                </c:pt>
                <c:pt idx="4">
                  <c:v>6033215</c:v>
                </c:pt>
                <c:pt idx="5">
                  <c:v>38592325</c:v>
                </c:pt>
                <c:pt idx="6">
                  <c:v>21896393</c:v>
                </c:pt>
                <c:pt idx="7">
                  <c:v>7407931</c:v>
                </c:pt>
                <c:pt idx="8">
                  <c:v>2982762</c:v>
                </c:pt>
                <c:pt idx="9">
                  <c:v>2003370</c:v>
                </c:pt>
              </c:numCache>
            </c:numRef>
          </c:yVal>
          <c:smooth val="1"/>
          <c:extLst>
            <c:ext xmlns:c16="http://schemas.microsoft.com/office/drawing/2014/chart" uri="{C3380CC4-5D6E-409C-BE32-E72D297353CC}">
              <c16:uniqueId val="{0000000B-AEA4-6F47-88C4-A27AAC4A688B}"/>
            </c:ext>
          </c:extLst>
        </c:ser>
        <c:ser>
          <c:idx val="12"/>
          <c:order val="12"/>
          <c:spPr>
            <a:ln w="19050" cap="rnd">
              <a:solidFill>
                <a:schemeClr val="accent1">
                  <a:lumMod val="80000"/>
                  <a:lumOff val="20000"/>
                </a:schemeClr>
              </a:solidFill>
              <a:round/>
            </a:ln>
            <a:effectLst/>
          </c:spPr>
          <c:marker>
            <c:symbol val="none"/>
          </c:marker>
          <c:dLbls>
            <c:dLbl>
              <c:idx val="5"/>
              <c:layout>
                <c:manualLayout>
                  <c:x val="7.7461933289028062E-2"/>
                  <c:y val="-0.226644736760167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EA4-6F47-88C4-A27AAC4A688B}"/>
                </c:ext>
              </c:extLst>
            </c:dLbl>
            <c:dLbl>
              <c:idx val="6"/>
              <c:layout>
                <c:manualLayout>
                  <c:x val="3.0573247180972079E-2"/>
                  <c:y val="-6.6477314364817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EA4-6F47-88C4-A27AAC4A688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'Combined-read'!$W$14:$AF$14</c:f>
              <c:numCache>
                <c:formatCode>General</c:formatCode>
                <c:ptCount val="10"/>
                <c:pt idx="0">
                  <c:v>194</c:v>
                </c:pt>
                <c:pt idx="1">
                  <c:v>4243</c:v>
                </c:pt>
                <c:pt idx="2">
                  <c:v>99371</c:v>
                </c:pt>
                <c:pt idx="3">
                  <c:v>4348720</c:v>
                </c:pt>
                <c:pt idx="4">
                  <c:v>5914254</c:v>
                </c:pt>
                <c:pt idx="5">
                  <c:v>49021670</c:v>
                </c:pt>
                <c:pt idx="6">
                  <c:v>20549517</c:v>
                </c:pt>
                <c:pt idx="7">
                  <c:v>8255282</c:v>
                </c:pt>
                <c:pt idx="8">
                  <c:v>2111758</c:v>
                </c:pt>
                <c:pt idx="9">
                  <c:v>1113585</c:v>
                </c:pt>
              </c:numCache>
            </c:numRef>
          </c:yVal>
          <c:smooth val="1"/>
          <c:extLst>
            <c:ext xmlns:c16="http://schemas.microsoft.com/office/drawing/2014/chart" uri="{C3380CC4-5D6E-409C-BE32-E72D297353CC}">
              <c16:uniqueId val="{0000000C-AEA4-6F47-88C4-A27AAC4A688B}"/>
            </c:ext>
          </c:extLst>
        </c:ser>
        <c:ser>
          <c:idx val="13"/>
          <c:order val="13"/>
          <c:spPr>
            <a:ln w="19050" cap="rnd">
              <a:solidFill>
                <a:schemeClr val="accent2">
                  <a:lumMod val="80000"/>
                  <a:lumOff val="2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'Combined-read'!$W$15:$AF$15</c:f>
              <c:numCache>
                <c:formatCode>General</c:formatCode>
                <c:ptCount val="10"/>
                <c:pt idx="0">
                  <c:v>513</c:v>
                </c:pt>
                <c:pt idx="1">
                  <c:v>239</c:v>
                </c:pt>
                <c:pt idx="2">
                  <c:v>111</c:v>
                </c:pt>
                <c:pt idx="3">
                  <c:v>92</c:v>
                </c:pt>
                <c:pt idx="4">
                  <c:v>78</c:v>
                </c:pt>
                <c:pt idx="5">
                  <c:v>64</c:v>
                </c:pt>
                <c:pt idx="6">
                  <c:v>70</c:v>
                </c:pt>
                <c:pt idx="7">
                  <c:v>85</c:v>
                </c:pt>
                <c:pt idx="8">
                  <c:v>98</c:v>
                </c:pt>
                <c:pt idx="9">
                  <c:v>102</c:v>
                </c:pt>
              </c:numCache>
            </c:numRef>
          </c:yVal>
          <c:smooth val="1"/>
          <c:extLst>
            <c:ext xmlns:c16="http://schemas.microsoft.com/office/drawing/2014/chart" uri="{C3380CC4-5D6E-409C-BE32-E72D297353CC}">
              <c16:uniqueId val="{0000000D-AEA4-6F47-88C4-A27AAC4A688B}"/>
            </c:ext>
          </c:extLst>
        </c:ser>
        <c:ser>
          <c:idx val="14"/>
          <c:order val="14"/>
          <c:spPr>
            <a:ln w="19050" cap="rnd">
              <a:solidFill>
                <a:schemeClr val="accent3">
                  <a:lumMod val="80000"/>
                  <a:lumOff val="2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'Combined-read'!$W$16:$AF$16</c:f>
              <c:numCache>
                <c:formatCode>General</c:formatCode>
                <c:ptCount val="10"/>
                <c:pt idx="0">
                  <c:v>420</c:v>
                </c:pt>
                <c:pt idx="1">
                  <c:v>307</c:v>
                </c:pt>
                <c:pt idx="2">
                  <c:v>140</c:v>
                </c:pt>
                <c:pt idx="3">
                  <c:v>94</c:v>
                </c:pt>
                <c:pt idx="4">
                  <c:v>71</c:v>
                </c:pt>
                <c:pt idx="5">
                  <c:v>68</c:v>
                </c:pt>
                <c:pt idx="6">
                  <c:v>77</c:v>
                </c:pt>
                <c:pt idx="7">
                  <c:v>50</c:v>
                </c:pt>
                <c:pt idx="8">
                  <c:v>53</c:v>
                </c:pt>
                <c:pt idx="9">
                  <c:v>68</c:v>
                </c:pt>
              </c:numCache>
            </c:numRef>
          </c:yVal>
          <c:smooth val="1"/>
          <c:extLst>
            <c:ext xmlns:c16="http://schemas.microsoft.com/office/drawing/2014/chart" uri="{C3380CC4-5D6E-409C-BE32-E72D297353CC}">
              <c16:uniqueId val="{0000000E-AEA4-6F47-88C4-A27AAC4A688B}"/>
            </c:ext>
          </c:extLst>
        </c:ser>
        <c:ser>
          <c:idx val="15"/>
          <c:order val="15"/>
          <c:spPr>
            <a:ln w="19050" cap="rnd">
              <a:solidFill>
                <a:schemeClr val="accent4">
                  <a:lumMod val="80000"/>
                  <a:lumOff val="2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'Combined-read'!$W$17:$AF$17</c:f>
              <c:numCache>
                <c:formatCode>General</c:formatCode>
                <c:ptCount val="10"/>
                <c:pt idx="0">
                  <c:v>5280</c:v>
                </c:pt>
                <c:pt idx="1">
                  <c:v>6804</c:v>
                </c:pt>
                <c:pt idx="2">
                  <c:v>12559</c:v>
                </c:pt>
                <c:pt idx="3">
                  <c:v>6018</c:v>
                </c:pt>
                <c:pt idx="4">
                  <c:v>24022</c:v>
                </c:pt>
                <c:pt idx="5">
                  <c:v>15449</c:v>
                </c:pt>
                <c:pt idx="6">
                  <c:v>56241</c:v>
                </c:pt>
                <c:pt idx="7">
                  <c:v>49237</c:v>
                </c:pt>
                <c:pt idx="8">
                  <c:v>344060</c:v>
                </c:pt>
                <c:pt idx="9">
                  <c:v>302166</c:v>
                </c:pt>
              </c:numCache>
            </c:numRef>
          </c:yVal>
          <c:smooth val="1"/>
          <c:extLst>
            <c:ext xmlns:c16="http://schemas.microsoft.com/office/drawing/2014/chart" uri="{C3380CC4-5D6E-409C-BE32-E72D297353CC}">
              <c16:uniqueId val="{0000000F-AEA4-6F47-88C4-A27AAC4A688B}"/>
            </c:ext>
          </c:extLst>
        </c:ser>
        <c:ser>
          <c:idx val="16"/>
          <c:order val="16"/>
          <c:spPr>
            <a:ln w="19050" cap="rnd">
              <a:solidFill>
                <a:schemeClr val="accent5">
                  <a:lumMod val="80000"/>
                  <a:lumOff val="20000"/>
                </a:schemeClr>
              </a:solidFill>
              <a:round/>
            </a:ln>
            <a:effectLst/>
          </c:spPr>
          <c:marker>
            <c:symbol val="none"/>
          </c:marker>
          <c:xVal>
            <c:strRef>
              <c:f>'Combined-read'!$W$1:$AF$1</c:f>
              <c:strCache>
                <c:ptCount val="10"/>
                <c:pt idx="0">
                  <c:v>rb-10</c:v>
                </c:pt>
                <c:pt idx="1">
                  <c:v>rb-11</c:v>
                </c:pt>
                <c:pt idx="2">
                  <c:v>rb-12</c:v>
                </c:pt>
                <c:pt idx="3">
                  <c:v>rb-13</c:v>
                </c:pt>
                <c:pt idx="4">
                  <c:v>rb-14</c:v>
                </c:pt>
                <c:pt idx="5">
                  <c:v>rb-15</c:v>
                </c:pt>
                <c:pt idx="6">
                  <c:v>rb-16</c:v>
                </c:pt>
                <c:pt idx="7">
                  <c:v>rb-17</c:v>
                </c:pt>
                <c:pt idx="8">
                  <c:v>rb-18</c:v>
                </c:pt>
                <c:pt idx="9">
                  <c:v>rb-19</c:v>
                </c:pt>
              </c:strCache>
            </c:strRef>
          </c:xVal>
          <c:yVal>
            <c:numRef>
              <c:f>'Combined-read'!$W$18:$AF$18</c:f>
              <c:numCache>
                <c:formatCode>General</c:formatCode>
                <c:ptCount val="10"/>
                <c:pt idx="0">
                  <c:v>2067</c:v>
                </c:pt>
                <c:pt idx="1">
                  <c:v>972</c:v>
                </c:pt>
                <c:pt idx="2">
                  <c:v>1953</c:v>
                </c:pt>
                <c:pt idx="3">
                  <c:v>1890</c:v>
                </c:pt>
                <c:pt idx="4">
                  <c:v>10046</c:v>
                </c:pt>
                <c:pt idx="5">
                  <c:v>4110</c:v>
                </c:pt>
                <c:pt idx="6">
                  <c:v>2706</c:v>
                </c:pt>
                <c:pt idx="7">
                  <c:v>2910</c:v>
                </c:pt>
                <c:pt idx="8">
                  <c:v>7965</c:v>
                </c:pt>
                <c:pt idx="9">
                  <c:v>3834</c:v>
                </c:pt>
              </c:numCache>
            </c:numRef>
          </c:yVal>
          <c:smooth val="1"/>
          <c:extLst>
            <c:ext xmlns:c16="http://schemas.microsoft.com/office/drawing/2014/chart" uri="{C3380CC4-5D6E-409C-BE32-E72D297353CC}">
              <c16:uniqueId val="{00000010-AEA4-6F47-88C4-A27AAC4A688B}"/>
            </c:ext>
          </c:extLst>
        </c:ser>
        <c:dLbls>
          <c:showLegendKey val="0"/>
          <c:showVal val="0"/>
          <c:showCatName val="0"/>
          <c:showSerName val="0"/>
          <c:showPercent val="0"/>
          <c:showBubbleSize val="0"/>
        </c:dLbls>
        <c:axId val="1655739200"/>
        <c:axId val="1655805584"/>
      </c:scatterChart>
      <c:valAx>
        <c:axId val="1655739200"/>
        <c:scaling>
          <c:orientation val="minMax"/>
          <c:max val="10"/>
          <c:min val="1"/>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05584"/>
        <c:crosses val="autoZero"/>
        <c:crossBetween val="midCat"/>
      </c:valAx>
      <c:valAx>
        <c:axId val="1655805584"/>
        <c:scaling>
          <c:orientation val="minMax"/>
          <c:min val="-1000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5739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894056847545221E-2"/>
          <c:y val="0.11188271604938271"/>
          <c:w val="0.91421188630490957"/>
          <c:h val="0.84567901234567899"/>
        </c:manualLayout>
      </c:layout>
      <c:scatterChart>
        <c:scatterStyle val="smoothMarker"/>
        <c:varyColors val="0"/>
        <c:ser>
          <c:idx val="0"/>
          <c:order val="0"/>
          <c:spPr>
            <a:ln w="19050" cap="rnd">
              <a:solidFill>
                <a:schemeClr val="accent1"/>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'Combined-read'!$M$2:$R$2</c:f>
              <c:numCache>
                <c:formatCode>General</c:formatCode>
                <c:ptCount val="6"/>
                <c:pt idx="0">
                  <c:v>0</c:v>
                </c:pt>
                <c:pt idx="1">
                  <c:v>0</c:v>
                </c:pt>
                <c:pt idx="2">
                  <c:v>1888641</c:v>
                </c:pt>
                <c:pt idx="3">
                  <c:v>7121598</c:v>
                </c:pt>
                <c:pt idx="4">
                  <c:v>606362</c:v>
                </c:pt>
                <c:pt idx="5">
                  <c:v>215008</c:v>
                </c:pt>
              </c:numCache>
            </c:numRef>
          </c:yVal>
          <c:smooth val="1"/>
          <c:extLst>
            <c:ext xmlns:c16="http://schemas.microsoft.com/office/drawing/2014/chart" uri="{C3380CC4-5D6E-409C-BE32-E72D297353CC}">
              <c16:uniqueId val="{00000000-C440-DD47-B015-6790864C3818}"/>
            </c:ext>
          </c:extLst>
        </c:ser>
        <c:ser>
          <c:idx val="1"/>
          <c:order val="1"/>
          <c:spPr>
            <a:ln w="19050" cap="rnd">
              <a:solidFill>
                <a:schemeClr val="accent2"/>
              </a:solidFill>
              <a:round/>
            </a:ln>
            <a:effectLst/>
          </c:spPr>
          <c:marker>
            <c:symbol val="none"/>
          </c:marker>
          <c:dLbls>
            <c:dLbl>
              <c:idx val="2"/>
              <c:layout>
                <c:manualLayout>
                  <c:x val="-0.25839793281653745"/>
                  <c:y val="-7.7160493827160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440-DD47-B015-6790864C381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'Combined-read'!$M$1:$R$1</c:f>
              <c:strCache>
                <c:ptCount val="6"/>
                <c:pt idx="0">
                  <c:v>rb-0</c:v>
                </c:pt>
                <c:pt idx="1">
                  <c:v>rb-1</c:v>
                </c:pt>
                <c:pt idx="2">
                  <c:v>rb-2</c:v>
                </c:pt>
                <c:pt idx="3">
                  <c:v>rb-3</c:v>
                </c:pt>
                <c:pt idx="4">
                  <c:v>rb-4</c:v>
                </c:pt>
                <c:pt idx="5">
                  <c:v>rb-5</c:v>
                </c:pt>
              </c:strCache>
            </c:strRef>
          </c:xVal>
          <c:yVal>
            <c:numRef>
              <c:f>'Combined-read'!$M$3:$R$3</c:f>
              <c:numCache>
                <c:formatCode>General</c:formatCode>
                <c:ptCount val="6"/>
                <c:pt idx="0">
                  <c:v>0</c:v>
                </c:pt>
                <c:pt idx="1">
                  <c:v>4186</c:v>
                </c:pt>
                <c:pt idx="2">
                  <c:v>6791404</c:v>
                </c:pt>
                <c:pt idx="3">
                  <c:v>2665379</c:v>
                </c:pt>
                <c:pt idx="4">
                  <c:v>332201</c:v>
                </c:pt>
                <c:pt idx="5">
                  <c:v>123928</c:v>
                </c:pt>
              </c:numCache>
            </c:numRef>
          </c:yVal>
          <c:smooth val="1"/>
          <c:extLst>
            <c:ext xmlns:c16="http://schemas.microsoft.com/office/drawing/2014/chart" uri="{C3380CC4-5D6E-409C-BE32-E72D297353CC}">
              <c16:uniqueId val="{00000001-C440-DD47-B015-6790864C3818}"/>
            </c:ext>
          </c:extLst>
        </c:ser>
        <c:ser>
          <c:idx val="2"/>
          <c:order val="2"/>
          <c:spPr>
            <a:ln w="19050" cap="rnd">
              <a:solidFill>
                <a:schemeClr val="accent3"/>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'Combined-read'!$M$4:$R$4</c:f>
              <c:numCache>
                <c:formatCode>General</c:formatCode>
                <c:ptCount val="6"/>
                <c:pt idx="0">
                  <c:v>0</c:v>
                </c:pt>
                <c:pt idx="1">
                  <c:v>4</c:v>
                </c:pt>
                <c:pt idx="2">
                  <c:v>136409</c:v>
                </c:pt>
                <c:pt idx="3">
                  <c:v>401414</c:v>
                </c:pt>
                <c:pt idx="4">
                  <c:v>133214</c:v>
                </c:pt>
                <c:pt idx="5">
                  <c:v>46338</c:v>
                </c:pt>
              </c:numCache>
            </c:numRef>
          </c:yVal>
          <c:smooth val="1"/>
          <c:extLst>
            <c:ext xmlns:c16="http://schemas.microsoft.com/office/drawing/2014/chart" uri="{C3380CC4-5D6E-409C-BE32-E72D297353CC}">
              <c16:uniqueId val="{00000002-C440-DD47-B015-6790864C3818}"/>
            </c:ext>
          </c:extLst>
        </c:ser>
        <c:ser>
          <c:idx val="3"/>
          <c:order val="3"/>
          <c:spPr>
            <a:ln w="19050" cap="rnd">
              <a:solidFill>
                <a:schemeClr val="accent4"/>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'Combined-read'!$M$5:$R$5</c:f>
              <c:numCache>
                <c:formatCode>General</c:formatCode>
                <c:ptCount val="6"/>
                <c:pt idx="0">
                  <c:v>0</c:v>
                </c:pt>
                <c:pt idx="1">
                  <c:v>2</c:v>
                </c:pt>
                <c:pt idx="2">
                  <c:v>22607</c:v>
                </c:pt>
                <c:pt idx="3">
                  <c:v>35452</c:v>
                </c:pt>
                <c:pt idx="4">
                  <c:v>22807</c:v>
                </c:pt>
                <c:pt idx="5">
                  <c:v>8334</c:v>
                </c:pt>
              </c:numCache>
            </c:numRef>
          </c:yVal>
          <c:smooth val="1"/>
          <c:extLst>
            <c:ext xmlns:c16="http://schemas.microsoft.com/office/drawing/2014/chart" uri="{C3380CC4-5D6E-409C-BE32-E72D297353CC}">
              <c16:uniqueId val="{00000003-C440-DD47-B015-6790864C3818}"/>
            </c:ext>
          </c:extLst>
        </c:ser>
        <c:ser>
          <c:idx val="4"/>
          <c:order val="4"/>
          <c:spPr>
            <a:ln w="19050" cap="rnd">
              <a:solidFill>
                <a:schemeClr val="accent5"/>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'Combined-read'!$M$6:$R$6</c:f>
              <c:numCache>
                <c:formatCode>0</c:formatCode>
                <c:ptCount val="6"/>
                <c:pt idx="0" formatCode="General">
                  <c:v>0</c:v>
                </c:pt>
                <c:pt idx="1">
                  <c:v>0</c:v>
                </c:pt>
                <c:pt idx="2">
                  <c:v>49154</c:v>
                </c:pt>
                <c:pt idx="3">
                  <c:v>6988398</c:v>
                </c:pt>
                <c:pt idx="4">
                  <c:v>684573</c:v>
                </c:pt>
                <c:pt idx="5">
                  <c:v>181539</c:v>
                </c:pt>
              </c:numCache>
            </c:numRef>
          </c:yVal>
          <c:smooth val="1"/>
          <c:extLst>
            <c:ext xmlns:c16="http://schemas.microsoft.com/office/drawing/2014/chart" uri="{C3380CC4-5D6E-409C-BE32-E72D297353CC}">
              <c16:uniqueId val="{00000004-C440-DD47-B015-6790864C3818}"/>
            </c:ext>
          </c:extLst>
        </c:ser>
        <c:ser>
          <c:idx val="5"/>
          <c:order val="5"/>
          <c:spPr>
            <a:ln w="19050" cap="rnd">
              <a:solidFill>
                <a:schemeClr val="accent6"/>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'Combined-read'!$M$7:$R$7</c:f>
              <c:numCache>
                <c:formatCode>0</c:formatCode>
                <c:ptCount val="6"/>
                <c:pt idx="0" formatCode="General">
                  <c:v>0</c:v>
                </c:pt>
                <c:pt idx="1">
                  <c:v>2665</c:v>
                </c:pt>
                <c:pt idx="2">
                  <c:v>8129569</c:v>
                </c:pt>
                <c:pt idx="3">
                  <c:v>1392707</c:v>
                </c:pt>
                <c:pt idx="4">
                  <c:v>310048</c:v>
                </c:pt>
                <c:pt idx="5">
                  <c:v>105308</c:v>
                </c:pt>
              </c:numCache>
            </c:numRef>
          </c:yVal>
          <c:smooth val="1"/>
          <c:extLst>
            <c:ext xmlns:c16="http://schemas.microsoft.com/office/drawing/2014/chart" uri="{C3380CC4-5D6E-409C-BE32-E72D297353CC}">
              <c16:uniqueId val="{00000005-C440-DD47-B015-6790864C3818}"/>
            </c:ext>
          </c:extLst>
        </c:ser>
        <c:ser>
          <c:idx val="6"/>
          <c:order val="6"/>
          <c:spPr>
            <a:ln w="19050" cap="rnd">
              <a:solidFill>
                <a:schemeClr val="accent1">
                  <a:lumMod val="6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'Combined-read'!$M$8:$R$8</c:f>
              <c:numCache>
                <c:formatCode>0</c:formatCode>
                <c:ptCount val="6"/>
                <c:pt idx="0" formatCode="General">
                  <c:v>0</c:v>
                </c:pt>
                <c:pt idx="1">
                  <c:v>0</c:v>
                </c:pt>
                <c:pt idx="2">
                  <c:v>24358</c:v>
                </c:pt>
                <c:pt idx="3">
                  <c:v>11533</c:v>
                </c:pt>
                <c:pt idx="4">
                  <c:v>1510</c:v>
                </c:pt>
                <c:pt idx="5">
                  <c:v>611</c:v>
                </c:pt>
              </c:numCache>
            </c:numRef>
          </c:yVal>
          <c:smooth val="1"/>
          <c:extLst>
            <c:ext xmlns:c16="http://schemas.microsoft.com/office/drawing/2014/chart" uri="{C3380CC4-5D6E-409C-BE32-E72D297353CC}">
              <c16:uniqueId val="{00000006-C440-DD47-B015-6790864C3818}"/>
            </c:ext>
          </c:extLst>
        </c:ser>
        <c:ser>
          <c:idx val="7"/>
          <c:order val="7"/>
          <c:spPr>
            <a:ln w="19050" cap="rnd">
              <a:solidFill>
                <a:schemeClr val="accent2">
                  <a:lumMod val="6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'Combined-read'!$M$9:$R$9</c:f>
              <c:numCache>
                <c:formatCode>0</c:formatCode>
                <c:ptCount val="6"/>
                <c:pt idx="0" formatCode="General">
                  <c:v>0</c:v>
                </c:pt>
                <c:pt idx="1">
                  <c:v>485</c:v>
                </c:pt>
                <c:pt idx="2">
                  <c:v>155271</c:v>
                </c:pt>
                <c:pt idx="3">
                  <c:v>317728</c:v>
                </c:pt>
                <c:pt idx="4">
                  <c:v>281333</c:v>
                </c:pt>
                <c:pt idx="5">
                  <c:v>41228</c:v>
                </c:pt>
              </c:numCache>
            </c:numRef>
          </c:yVal>
          <c:smooth val="1"/>
          <c:extLst>
            <c:ext xmlns:c16="http://schemas.microsoft.com/office/drawing/2014/chart" uri="{C3380CC4-5D6E-409C-BE32-E72D297353CC}">
              <c16:uniqueId val="{00000007-C440-DD47-B015-6790864C3818}"/>
            </c:ext>
          </c:extLst>
        </c:ser>
        <c:ser>
          <c:idx val="8"/>
          <c:order val="8"/>
          <c:spPr>
            <a:ln w="19050" cap="rnd">
              <a:solidFill>
                <a:schemeClr val="accent3">
                  <a:lumMod val="6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'Combined-read'!$M$10:$R$10</c:f>
              <c:numCache>
                <c:formatCode>General</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8-C440-DD47-B015-6790864C3818}"/>
            </c:ext>
          </c:extLst>
        </c:ser>
        <c:ser>
          <c:idx val="9"/>
          <c:order val="9"/>
          <c:spPr>
            <a:ln w="19050" cap="rnd">
              <a:solidFill>
                <a:schemeClr val="accent4">
                  <a:lumMod val="60000"/>
                </a:schemeClr>
              </a:solidFill>
              <a:round/>
            </a:ln>
            <a:effectLst/>
          </c:spPr>
          <c:marker>
            <c:symbol val="none"/>
          </c:marker>
          <c:dLbls>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440-DD47-B015-6790864C381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'Combined-read'!$M$1:$R$1</c:f>
              <c:strCache>
                <c:ptCount val="6"/>
                <c:pt idx="0">
                  <c:v>rb-0</c:v>
                </c:pt>
                <c:pt idx="1">
                  <c:v>rb-1</c:v>
                </c:pt>
                <c:pt idx="2">
                  <c:v>rb-2</c:v>
                </c:pt>
                <c:pt idx="3">
                  <c:v>rb-3</c:v>
                </c:pt>
                <c:pt idx="4">
                  <c:v>rb-4</c:v>
                </c:pt>
                <c:pt idx="5">
                  <c:v>rb-5</c:v>
                </c:pt>
              </c:strCache>
            </c:strRef>
          </c:xVal>
          <c:yVal>
            <c:numRef>
              <c:f>'Combined-read'!$M$11:$R$11</c:f>
              <c:numCache>
                <c:formatCode>General</c:formatCode>
                <c:ptCount val="6"/>
                <c:pt idx="0">
                  <c:v>0</c:v>
                </c:pt>
                <c:pt idx="1">
                  <c:v>0</c:v>
                </c:pt>
                <c:pt idx="2">
                  <c:v>474145</c:v>
                </c:pt>
                <c:pt idx="3">
                  <c:v>7548533</c:v>
                </c:pt>
                <c:pt idx="4">
                  <c:v>1088702</c:v>
                </c:pt>
                <c:pt idx="5">
                  <c:v>354753</c:v>
                </c:pt>
              </c:numCache>
            </c:numRef>
          </c:yVal>
          <c:smooth val="1"/>
          <c:extLst>
            <c:ext xmlns:c16="http://schemas.microsoft.com/office/drawing/2014/chart" uri="{C3380CC4-5D6E-409C-BE32-E72D297353CC}">
              <c16:uniqueId val="{00000009-C440-DD47-B015-6790864C3818}"/>
            </c:ext>
          </c:extLst>
        </c:ser>
        <c:ser>
          <c:idx val="10"/>
          <c:order val="10"/>
          <c:spPr>
            <a:ln w="19050" cap="rnd">
              <a:solidFill>
                <a:schemeClr val="accent5">
                  <a:lumMod val="60000"/>
                </a:schemeClr>
              </a:solidFill>
              <a:round/>
            </a:ln>
            <a:effectLst/>
          </c:spPr>
          <c:marker>
            <c:symbol val="none"/>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440-DD47-B015-6790864C381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'Combined-read'!$M$1:$R$1</c:f>
              <c:strCache>
                <c:ptCount val="6"/>
                <c:pt idx="0">
                  <c:v>rb-0</c:v>
                </c:pt>
                <c:pt idx="1">
                  <c:v>rb-1</c:v>
                </c:pt>
                <c:pt idx="2">
                  <c:v>rb-2</c:v>
                </c:pt>
                <c:pt idx="3">
                  <c:v>rb-3</c:v>
                </c:pt>
                <c:pt idx="4">
                  <c:v>rb-4</c:v>
                </c:pt>
                <c:pt idx="5">
                  <c:v>rb-5</c:v>
                </c:pt>
              </c:strCache>
            </c:strRef>
          </c:xVal>
          <c:yVal>
            <c:numRef>
              <c:f>'Combined-read'!$M$12:$R$12</c:f>
              <c:numCache>
                <c:formatCode>General</c:formatCode>
                <c:ptCount val="6"/>
                <c:pt idx="0">
                  <c:v>0</c:v>
                </c:pt>
                <c:pt idx="1">
                  <c:v>68893</c:v>
                </c:pt>
                <c:pt idx="2">
                  <c:v>8219108</c:v>
                </c:pt>
                <c:pt idx="3">
                  <c:v>1311173</c:v>
                </c:pt>
                <c:pt idx="4">
                  <c:v>241310</c:v>
                </c:pt>
                <c:pt idx="5">
                  <c:v>103698</c:v>
                </c:pt>
              </c:numCache>
            </c:numRef>
          </c:yVal>
          <c:smooth val="1"/>
          <c:extLst>
            <c:ext xmlns:c16="http://schemas.microsoft.com/office/drawing/2014/chart" uri="{C3380CC4-5D6E-409C-BE32-E72D297353CC}">
              <c16:uniqueId val="{0000000A-C440-DD47-B015-6790864C3818}"/>
            </c:ext>
          </c:extLst>
        </c:ser>
        <c:ser>
          <c:idx val="11"/>
          <c:order val="11"/>
          <c:spPr>
            <a:ln w="19050" cap="rnd">
              <a:solidFill>
                <a:schemeClr val="accent6">
                  <a:lumMod val="6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'Combined-read'!$M$13:$R$13</c:f>
              <c:numCache>
                <c:formatCode>General</c:formatCode>
                <c:ptCount val="6"/>
                <c:pt idx="0">
                  <c:v>0</c:v>
                </c:pt>
                <c:pt idx="1">
                  <c:v>0</c:v>
                </c:pt>
                <c:pt idx="2">
                  <c:v>0</c:v>
                </c:pt>
                <c:pt idx="3">
                  <c:v>0</c:v>
                </c:pt>
                <c:pt idx="4">
                  <c:v>0</c:v>
                </c:pt>
                <c:pt idx="5">
                  <c:v>16457</c:v>
                </c:pt>
              </c:numCache>
            </c:numRef>
          </c:yVal>
          <c:smooth val="1"/>
          <c:extLst>
            <c:ext xmlns:c16="http://schemas.microsoft.com/office/drawing/2014/chart" uri="{C3380CC4-5D6E-409C-BE32-E72D297353CC}">
              <c16:uniqueId val="{0000000B-C440-DD47-B015-6790864C3818}"/>
            </c:ext>
          </c:extLst>
        </c:ser>
        <c:ser>
          <c:idx val="12"/>
          <c:order val="12"/>
          <c:spPr>
            <a:ln w="19050" cap="rnd">
              <a:solidFill>
                <a:schemeClr val="accent1">
                  <a:lumMod val="80000"/>
                  <a:lumOff val="2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'Combined-read'!$M$14:$R$14</c:f>
              <c:numCache>
                <c:formatCode>General</c:formatCode>
                <c:ptCount val="6"/>
                <c:pt idx="0">
                  <c:v>0</c:v>
                </c:pt>
                <c:pt idx="1">
                  <c:v>2</c:v>
                </c:pt>
                <c:pt idx="2">
                  <c:v>75015</c:v>
                </c:pt>
                <c:pt idx="3">
                  <c:v>21657</c:v>
                </c:pt>
                <c:pt idx="4">
                  <c:v>2132</c:v>
                </c:pt>
                <c:pt idx="5">
                  <c:v>15986</c:v>
                </c:pt>
              </c:numCache>
            </c:numRef>
          </c:yVal>
          <c:smooth val="1"/>
          <c:extLst>
            <c:ext xmlns:c16="http://schemas.microsoft.com/office/drawing/2014/chart" uri="{C3380CC4-5D6E-409C-BE32-E72D297353CC}">
              <c16:uniqueId val="{0000000C-C440-DD47-B015-6790864C3818}"/>
            </c:ext>
          </c:extLst>
        </c:ser>
        <c:ser>
          <c:idx val="13"/>
          <c:order val="13"/>
          <c:spPr>
            <a:ln w="19050" cap="rnd">
              <a:solidFill>
                <a:schemeClr val="accent2">
                  <a:lumMod val="80000"/>
                  <a:lumOff val="2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'Combined-read'!$M$15:$R$15</c:f>
              <c:numCache>
                <c:formatCode>General</c:formatCode>
                <c:ptCount val="6"/>
                <c:pt idx="0">
                  <c:v>0</c:v>
                </c:pt>
                <c:pt idx="1">
                  <c:v>0</c:v>
                </c:pt>
                <c:pt idx="2">
                  <c:v>160325</c:v>
                </c:pt>
                <c:pt idx="3">
                  <c:v>505698</c:v>
                </c:pt>
                <c:pt idx="4">
                  <c:v>246327</c:v>
                </c:pt>
                <c:pt idx="5">
                  <c:v>58139</c:v>
                </c:pt>
              </c:numCache>
            </c:numRef>
          </c:yVal>
          <c:smooth val="1"/>
          <c:extLst>
            <c:ext xmlns:c16="http://schemas.microsoft.com/office/drawing/2014/chart" uri="{C3380CC4-5D6E-409C-BE32-E72D297353CC}">
              <c16:uniqueId val="{0000000D-C440-DD47-B015-6790864C3818}"/>
            </c:ext>
          </c:extLst>
        </c:ser>
        <c:ser>
          <c:idx val="14"/>
          <c:order val="14"/>
          <c:spPr>
            <a:ln w="19050" cap="rnd">
              <a:solidFill>
                <a:schemeClr val="accent3">
                  <a:lumMod val="80000"/>
                  <a:lumOff val="2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'Combined-read'!$M$16:$R$16</c:f>
              <c:numCache>
                <c:formatCode>General</c:formatCode>
                <c:ptCount val="6"/>
                <c:pt idx="0">
                  <c:v>0</c:v>
                </c:pt>
                <c:pt idx="1">
                  <c:v>0</c:v>
                </c:pt>
                <c:pt idx="2">
                  <c:v>346046</c:v>
                </c:pt>
                <c:pt idx="3">
                  <c:v>423596</c:v>
                </c:pt>
                <c:pt idx="4">
                  <c:v>171562</c:v>
                </c:pt>
                <c:pt idx="5">
                  <c:v>37721</c:v>
                </c:pt>
              </c:numCache>
            </c:numRef>
          </c:yVal>
          <c:smooth val="1"/>
          <c:extLst>
            <c:ext xmlns:c16="http://schemas.microsoft.com/office/drawing/2014/chart" uri="{C3380CC4-5D6E-409C-BE32-E72D297353CC}">
              <c16:uniqueId val="{0000000E-C440-DD47-B015-6790864C3818}"/>
            </c:ext>
          </c:extLst>
        </c:ser>
        <c:ser>
          <c:idx val="15"/>
          <c:order val="15"/>
          <c:spPr>
            <a:ln w="19050" cap="rnd">
              <a:solidFill>
                <a:schemeClr val="accent4">
                  <a:lumMod val="80000"/>
                  <a:lumOff val="20000"/>
                </a:schemeClr>
              </a:solidFill>
              <a:round/>
            </a:ln>
            <a:effectLst/>
          </c:spPr>
          <c:marker>
            <c:symbol val="none"/>
          </c:marker>
          <c:xVal>
            <c:strRef>
              <c:f>'Combined-read'!$M$1:$R$1</c:f>
              <c:strCache>
                <c:ptCount val="6"/>
                <c:pt idx="0">
                  <c:v>rb-0</c:v>
                </c:pt>
                <c:pt idx="1">
                  <c:v>rb-1</c:v>
                </c:pt>
                <c:pt idx="2">
                  <c:v>rb-2</c:v>
                </c:pt>
                <c:pt idx="3">
                  <c:v>rb-3</c:v>
                </c:pt>
                <c:pt idx="4">
                  <c:v>rb-4</c:v>
                </c:pt>
                <c:pt idx="5">
                  <c:v>rb-5</c:v>
                </c:pt>
              </c:strCache>
            </c:strRef>
          </c:xVal>
          <c:yVal>
            <c:numRef>
              <c:f>'Combined-read'!$M$17:$R$17</c:f>
              <c:numCache>
                <c:formatCode>General</c:formatCode>
                <c:ptCount val="6"/>
                <c:pt idx="0">
                  <c:v>0</c:v>
                </c:pt>
                <c:pt idx="1">
                  <c:v>597</c:v>
                </c:pt>
                <c:pt idx="2">
                  <c:v>2302763</c:v>
                </c:pt>
                <c:pt idx="3">
                  <c:v>1070797</c:v>
                </c:pt>
                <c:pt idx="4">
                  <c:v>169405</c:v>
                </c:pt>
                <c:pt idx="5">
                  <c:v>45738</c:v>
                </c:pt>
              </c:numCache>
            </c:numRef>
          </c:yVal>
          <c:smooth val="1"/>
          <c:extLst>
            <c:ext xmlns:c16="http://schemas.microsoft.com/office/drawing/2014/chart" uri="{C3380CC4-5D6E-409C-BE32-E72D297353CC}">
              <c16:uniqueId val="{0000000F-C440-DD47-B015-6790864C3818}"/>
            </c:ext>
          </c:extLst>
        </c:ser>
        <c:ser>
          <c:idx val="16"/>
          <c:order val="16"/>
          <c:spPr>
            <a:ln w="19050" cap="rnd">
              <a:solidFill>
                <a:schemeClr val="accent5">
                  <a:lumMod val="80000"/>
                  <a:lumOff val="20000"/>
                </a:schemeClr>
              </a:solidFill>
              <a:round/>
            </a:ln>
            <a:effectLst/>
          </c:spPr>
          <c:marker>
            <c:symbol val="none"/>
          </c:marker>
          <c:dLbls>
            <c:dLbl>
              <c:idx val="2"/>
              <c:layout>
                <c:manualLayout>
                  <c:x val="-0.2810077519379845"/>
                  <c:y val="1.1574074074074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440-DD47-B015-6790864C38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'Combined-read'!$M$1:$R$1</c:f>
              <c:strCache>
                <c:ptCount val="6"/>
                <c:pt idx="0">
                  <c:v>rb-0</c:v>
                </c:pt>
                <c:pt idx="1">
                  <c:v>rb-1</c:v>
                </c:pt>
                <c:pt idx="2">
                  <c:v>rb-2</c:v>
                </c:pt>
                <c:pt idx="3">
                  <c:v>rb-3</c:v>
                </c:pt>
                <c:pt idx="4">
                  <c:v>rb-4</c:v>
                </c:pt>
                <c:pt idx="5">
                  <c:v>rb-5</c:v>
                </c:pt>
              </c:strCache>
            </c:strRef>
          </c:xVal>
          <c:yVal>
            <c:numRef>
              <c:f>'Combined-read'!$M$18:$R$18</c:f>
              <c:numCache>
                <c:formatCode>General</c:formatCode>
                <c:ptCount val="6"/>
                <c:pt idx="1">
                  <c:v>7015</c:v>
                </c:pt>
                <c:pt idx="2">
                  <c:v>3244975</c:v>
                </c:pt>
                <c:pt idx="3">
                  <c:v>2029146</c:v>
                </c:pt>
                <c:pt idx="4">
                  <c:v>499745</c:v>
                </c:pt>
                <c:pt idx="5">
                  <c:v>91519</c:v>
                </c:pt>
              </c:numCache>
            </c:numRef>
          </c:yVal>
          <c:smooth val="1"/>
          <c:extLst>
            <c:ext xmlns:c16="http://schemas.microsoft.com/office/drawing/2014/chart" uri="{C3380CC4-5D6E-409C-BE32-E72D297353CC}">
              <c16:uniqueId val="{00000010-C440-DD47-B015-6790864C3818}"/>
            </c:ext>
          </c:extLst>
        </c:ser>
        <c:dLbls>
          <c:showLegendKey val="0"/>
          <c:showVal val="0"/>
          <c:showCatName val="0"/>
          <c:showSerName val="0"/>
          <c:showPercent val="0"/>
          <c:showBubbleSize val="0"/>
        </c:dLbls>
        <c:axId val="1598260224"/>
        <c:axId val="1683041344"/>
      </c:scatterChart>
      <c:valAx>
        <c:axId val="1598260224"/>
        <c:scaling>
          <c:orientation val="minMax"/>
          <c:max val="6"/>
          <c:min val="1"/>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041344"/>
        <c:crosses val="autoZero"/>
        <c:crossBetween val="midCat"/>
      </c:valAx>
      <c:valAx>
        <c:axId val="1683041344"/>
        <c:scaling>
          <c:orientation val="minMax"/>
          <c:max val="8500000"/>
          <c:min val="-5000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8260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113886540497961E-2"/>
          <c:y val="3.0068339287094098E-2"/>
          <c:w val="0.97698724366872203"/>
          <c:h val="0.9220762952362237"/>
        </c:manualLayout>
      </c:layout>
      <c:scatterChart>
        <c:scatterStyle val="smoothMarker"/>
        <c:varyColors val="0"/>
        <c:ser>
          <c:idx val="0"/>
          <c:order val="0"/>
          <c:tx>
            <c:v>EXT4 10Ms</c:v>
          </c:tx>
          <c:spPr>
            <a:ln w="19050" cap="rnd">
              <a:solidFill>
                <a:schemeClr val="accent1"/>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'Combined-read'!$M$2:$AF$2</c:f>
              <c:numCache>
                <c:formatCode>General</c:formatCode>
                <c:ptCount val="20"/>
                <c:pt idx="0">
                  <c:v>0</c:v>
                </c:pt>
                <c:pt idx="1">
                  <c:v>0</c:v>
                </c:pt>
                <c:pt idx="2">
                  <c:v>1888641</c:v>
                </c:pt>
                <c:pt idx="3">
                  <c:v>7121598</c:v>
                </c:pt>
                <c:pt idx="4">
                  <c:v>606362</c:v>
                </c:pt>
                <c:pt idx="5">
                  <c:v>215008</c:v>
                </c:pt>
                <c:pt idx="6">
                  <c:v>101429</c:v>
                </c:pt>
                <c:pt idx="7">
                  <c:v>30033</c:v>
                </c:pt>
                <c:pt idx="8">
                  <c:v>12268</c:v>
                </c:pt>
                <c:pt idx="9">
                  <c:v>3863</c:v>
                </c:pt>
                <c:pt idx="10">
                  <c:v>1700</c:v>
                </c:pt>
                <c:pt idx="11">
                  <c:v>944</c:v>
                </c:pt>
                <c:pt idx="12">
                  <c:v>804</c:v>
                </c:pt>
                <c:pt idx="13">
                  <c:v>867</c:v>
                </c:pt>
                <c:pt idx="14">
                  <c:v>857</c:v>
                </c:pt>
                <c:pt idx="15">
                  <c:v>775</c:v>
                </c:pt>
                <c:pt idx="16">
                  <c:v>604</c:v>
                </c:pt>
                <c:pt idx="17">
                  <c:v>451</c:v>
                </c:pt>
                <c:pt idx="18">
                  <c:v>330</c:v>
                </c:pt>
                <c:pt idx="19">
                  <c:v>315</c:v>
                </c:pt>
              </c:numCache>
            </c:numRef>
          </c:yVal>
          <c:smooth val="1"/>
          <c:extLst>
            <c:ext xmlns:c16="http://schemas.microsoft.com/office/drawing/2014/chart" uri="{C3380CC4-5D6E-409C-BE32-E72D297353CC}">
              <c16:uniqueId val="{00000000-BF4E-C54B-B66A-EE0C43EE8DDE}"/>
            </c:ext>
          </c:extLst>
        </c:ser>
        <c:ser>
          <c:idx val="1"/>
          <c:order val="1"/>
          <c:tx>
            <c:v>EXT4 10Mr</c:v>
          </c:tx>
          <c:spPr>
            <a:ln w="19050" cap="rnd">
              <a:solidFill>
                <a:schemeClr val="accent2"/>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'Combined-read'!$M$3:$AF$3</c:f>
              <c:numCache>
                <c:formatCode>General</c:formatCode>
                <c:ptCount val="20"/>
                <c:pt idx="0">
                  <c:v>0</c:v>
                </c:pt>
                <c:pt idx="1">
                  <c:v>4186</c:v>
                </c:pt>
                <c:pt idx="2">
                  <c:v>6791404</c:v>
                </c:pt>
                <c:pt idx="3">
                  <c:v>2665379</c:v>
                </c:pt>
                <c:pt idx="4">
                  <c:v>332201</c:v>
                </c:pt>
                <c:pt idx="5">
                  <c:v>123928</c:v>
                </c:pt>
                <c:pt idx="6">
                  <c:v>45637</c:v>
                </c:pt>
                <c:pt idx="7">
                  <c:v>15056</c:v>
                </c:pt>
                <c:pt idx="8">
                  <c:v>5090</c:v>
                </c:pt>
                <c:pt idx="9">
                  <c:v>1851</c:v>
                </c:pt>
                <c:pt idx="10">
                  <c:v>953</c:v>
                </c:pt>
                <c:pt idx="11">
                  <c:v>778</c:v>
                </c:pt>
                <c:pt idx="12">
                  <c:v>611</c:v>
                </c:pt>
                <c:pt idx="13">
                  <c:v>652</c:v>
                </c:pt>
                <c:pt idx="14">
                  <c:v>597</c:v>
                </c:pt>
                <c:pt idx="15">
                  <c:v>446</c:v>
                </c:pt>
                <c:pt idx="16">
                  <c:v>314</c:v>
                </c:pt>
                <c:pt idx="17">
                  <c:v>255</c:v>
                </c:pt>
                <c:pt idx="18">
                  <c:v>188</c:v>
                </c:pt>
                <c:pt idx="19">
                  <c:v>156</c:v>
                </c:pt>
              </c:numCache>
            </c:numRef>
          </c:yVal>
          <c:smooth val="1"/>
          <c:extLst>
            <c:ext xmlns:c16="http://schemas.microsoft.com/office/drawing/2014/chart" uri="{C3380CC4-5D6E-409C-BE32-E72D297353CC}">
              <c16:uniqueId val="{00000001-BF4E-C54B-B66A-EE0C43EE8DDE}"/>
            </c:ext>
          </c:extLst>
        </c:ser>
        <c:ser>
          <c:idx val="2"/>
          <c:order val="2"/>
          <c:tx>
            <c:v>EXT4 100Ms</c:v>
          </c:tx>
          <c:spPr>
            <a:ln w="19050" cap="rnd">
              <a:solidFill>
                <a:schemeClr val="accent3"/>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'Combined-read'!$M$4:$AF$4</c:f>
              <c:numCache>
                <c:formatCode>General</c:formatCode>
                <c:ptCount val="20"/>
                <c:pt idx="0">
                  <c:v>0</c:v>
                </c:pt>
                <c:pt idx="1">
                  <c:v>4</c:v>
                </c:pt>
                <c:pt idx="2">
                  <c:v>136409</c:v>
                </c:pt>
                <c:pt idx="3">
                  <c:v>401414</c:v>
                </c:pt>
                <c:pt idx="4">
                  <c:v>133214</c:v>
                </c:pt>
                <c:pt idx="5">
                  <c:v>46338</c:v>
                </c:pt>
                <c:pt idx="6">
                  <c:v>24782</c:v>
                </c:pt>
                <c:pt idx="7">
                  <c:v>10993</c:v>
                </c:pt>
                <c:pt idx="8">
                  <c:v>3550</c:v>
                </c:pt>
                <c:pt idx="9">
                  <c:v>46294</c:v>
                </c:pt>
                <c:pt idx="10">
                  <c:v>431194</c:v>
                </c:pt>
                <c:pt idx="11">
                  <c:v>2760088</c:v>
                </c:pt>
                <c:pt idx="12">
                  <c:v>7946280</c:v>
                </c:pt>
                <c:pt idx="13">
                  <c:v>19476286</c:v>
                </c:pt>
                <c:pt idx="14">
                  <c:v>22530490</c:v>
                </c:pt>
                <c:pt idx="15">
                  <c:v>9638744</c:v>
                </c:pt>
                <c:pt idx="16">
                  <c:v>4327306</c:v>
                </c:pt>
                <c:pt idx="17">
                  <c:v>3864343</c:v>
                </c:pt>
                <c:pt idx="18">
                  <c:v>4714239</c:v>
                </c:pt>
                <c:pt idx="19">
                  <c:v>3751564</c:v>
                </c:pt>
              </c:numCache>
            </c:numRef>
          </c:yVal>
          <c:smooth val="1"/>
          <c:extLst>
            <c:ext xmlns:c16="http://schemas.microsoft.com/office/drawing/2014/chart" uri="{C3380CC4-5D6E-409C-BE32-E72D297353CC}">
              <c16:uniqueId val="{00000002-BF4E-C54B-B66A-EE0C43EE8DDE}"/>
            </c:ext>
          </c:extLst>
        </c:ser>
        <c:ser>
          <c:idx val="3"/>
          <c:order val="3"/>
          <c:tx>
            <c:v>EXT4 100Mr</c:v>
          </c:tx>
          <c:spPr>
            <a:ln w="19050" cap="rnd">
              <a:solidFill>
                <a:schemeClr val="accent4"/>
              </a:solidFill>
              <a:round/>
            </a:ln>
            <a:effectLst/>
          </c:spPr>
          <c:marker>
            <c:symbol val="none"/>
          </c:marker>
          <c:dLbls>
            <c:dLbl>
              <c:idx val="13"/>
              <c:layout>
                <c:manualLayout>
                  <c:x val="1.0647737950952663E-3"/>
                  <c:y val="-7.1604938271604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F4E-C54B-B66A-EE0C43EE8DD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'Combined-read'!$M$5:$AF$5</c:f>
              <c:numCache>
                <c:formatCode>General</c:formatCode>
                <c:ptCount val="20"/>
                <c:pt idx="0">
                  <c:v>0</c:v>
                </c:pt>
                <c:pt idx="1">
                  <c:v>2</c:v>
                </c:pt>
                <c:pt idx="2">
                  <c:v>22607</c:v>
                </c:pt>
                <c:pt idx="3">
                  <c:v>35452</c:v>
                </c:pt>
                <c:pt idx="4">
                  <c:v>22807</c:v>
                </c:pt>
                <c:pt idx="5">
                  <c:v>8334</c:v>
                </c:pt>
                <c:pt idx="6">
                  <c:v>1882</c:v>
                </c:pt>
                <c:pt idx="7">
                  <c:v>585</c:v>
                </c:pt>
                <c:pt idx="8">
                  <c:v>354</c:v>
                </c:pt>
                <c:pt idx="9">
                  <c:v>17112</c:v>
                </c:pt>
                <c:pt idx="10">
                  <c:v>536025</c:v>
                </c:pt>
                <c:pt idx="11">
                  <c:v>4533562</c:v>
                </c:pt>
                <c:pt idx="12">
                  <c:v>7188526</c:v>
                </c:pt>
                <c:pt idx="13">
                  <c:v>27055557</c:v>
                </c:pt>
                <c:pt idx="14">
                  <c:v>17434939</c:v>
                </c:pt>
                <c:pt idx="15">
                  <c:v>5521198</c:v>
                </c:pt>
                <c:pt idx="16">
                  <c:v>3278218</c:v>
                </c:pt>
                <c:pt idx="17">
                  <c:v>3444307</c:v>
                </c:pt>
                <c:pt idx="18">
                  <c:v>4912674</c:v>
                </c:pt>
                <c:pt idx="19">
                  <c:v>3534474</c:v>
                </c:pt>
              </c:numCache>
            </c:numRef>
          </c:yVal>
          <c:smooth val="1"/>
          <c:extLst>
            <c:ext xmlns:c16="http://schemas.microsoft.com/office/drawing/2014/chart" uri="{C3380CC4-5D6E-409C-BE32-E72D297353CC}">
              <c16:uniqueId val="{00000003-BF4E-C54B-B66A-EE0C43EE8DDE}"/>
            </c:ext>
          </c:extLst>
        </c:ser>
        <c:ser>
          <c:idx val="4"/>
          <c:order val="4"/>
          <c:tx>
            <c:v>XFS 10Ms</c:v>
          </c:tx>
          <c:spPr>
            <a:ln w="19050" cap="rnd">
              <a:solidFill>
                <a:schemeClr val="accent5"/>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'Combined-read'!$M$6:$AF$6</c:f>
              <c:numCache>
                <c:formatCode>0</c:formatCode>
                <c:ptCount val="20"/>
                <c:pt idx="0" formatCode="General">
                  <c:v>0</c:v>
                </c:pt>
                <c:pt idx="1">
                  <c:v>0</c:v>
                </c:pt>
                <c:pt idx="2">
                  <c:v>49154</c:v>
                </c:pt>
                <c:pt idx="3">
                  <c:v>6988398</c:v>
                </c:pt>
                <c:pt idx="4">
                  <c:v>684573</c:v>
                </c:pt>
                <c:pt idx="5">
                  <c:v>181539</c:v>
                </c:pt>
                <c:pt idx="6">
                  <c:v>148601</c:v>
                </c:pt>
                <c:pt idx="7">
                  <c:v>53408</c:v>
                </c:pt>
                <c:pt idx="8">
                  <c:v>17030</c:v>
                </c:pt>
                <c:pt idx="9">
                  <c:v>6613</c:v>
                </c:pt>
                <c:pt idx="10">
                  <c:v>2441</c:v>
                </c:pt>
                <c:pt idx="11">
                  <c:v>7204</c:v>
                </c:pt>
                <c:pt idx="12">
                  <c:v>42726</c:v>
                </c:pt>
                <c:pt idx="13">
                  <c:v>113272</c:v>
                </c:pt>
                <c:pt idx="14">
                  <c:v>424683</c:v>
                </c:pt>
                <c:pt idx="15">
                  <c:v>342202</c:v>
                </c:pt>
                <c:pt idx="16">
                  <c:v>127224</c:v>
                </c:pt>
                <c:pt idx="17">
                  <c:v>75382</c:v>
                </c:pt>
                <c:pt idx="18">
                  <c:v>58254</c:v>
                </c:pt>
                <c:pt idx="19">
                  <c:v>58299</c:v>
                </c:pt>
              </c:numCache>
            </c:numRef>
          </c:yVal>
          <c:smooth val="1"/>
          <c:extLst>
            <c:ext xmlns:c16="http://schemas.microsoft.com/office/drawing/2014/chart" uri="{C3380CC4-5D6E-409C-BE32-E72D297353CC}">
              <c16:uniqueId val="{00000004-BF4E-C54B-B66A-EE0C43EE8DDE}"/>
            </c:ext>
          </c:extLst>
        </c:ser>
        <c:ser>
          <c:idx val="5"/>
          <c:order val="5"/>
          <c:tx>
            <c:v>XFS 10Mr</c:v>
          </c:tx>
          <c:spPr>
            <a:ln w="19050" cap="rnd">
              <a:solidFill>
                <a:schemeClr val="accent6"/>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'Combined-read'!$M$7:$AF$7</c:f>
              <c:numCache>
                <c:formatCode>0</c:formatCode>
                <c:ptCount val="20"/>
                <c:pt idx="0" formatCode="General">
                  <c:v>0</c:v>
                </c:pt>
                <c:pt idx="1">
                  <c:v>2665</c:v>
                </c:pt>
                <c:pt idx="2">
                  <c:v>8129569</c:v>
                </c:pt>
                <c:pt idx="3">
                  <c:v>1392707</c:v>
                </c:pt>
                <c:pt idx="4">
                  <c:v>310048</c:v>
                </c:pt>
                <c:pt idx="5">
                  <c:v>105308</c:v>
                </c:pt>
                <c:pt idx="6">
                  <c:v>29206</c:v>
                </c:pt>
                <c:pt idx="7">
                  <c:v>11288</c:v>
                </c:pt>
                <c:pt idx="8">
                  <c:v>3630</c:v>
                </c:pt>
                <c:pt idx="9">
                  <c:v>1594</c:v>
                </c:pt>
                <c:pt idx="10">
                  <c:v>779</c:v>
                </c:pt>
                <c:pt idx="11">
                  <c:v>545</c:v>
                </c:pt>
                <c:pt idx="12">
                  <c:v>622</c:v>
                </c:pt>
                <c:pt idx="13">
                  <c:v>569</c:v>
                </c:pt>
                <c:pt idx="14">
                  <c:v>523</c:v>
                </c:pt>
                <c:pt idx="15">
                  <c:v>390</c:v>
                </c:pt>
                <c:pt idx="16">
                  <c:v>267</c:v>
                </c:pt>
                <c:pt idx="17">
                  <c:v>206</c:v>
                </c:pt>
                <c:pt idx="18">
                  <c:v>154</c:v>
                </c:pt>
                <c:pt idx="19">
                  <c:v>152</c:v>
                </c:pt>
              </c:numCache>
            </c:numRef>
          </c:yVal>
          <c:smooth val="1"/>
          <c:extLst>
            <c:ext xmlns:c16="http://schemas.microsoft.com/office/drawing/2014/chart" uri="{C3380CC4-5D6E-409C-BE32-E72D297353CC}">
              <c16:uniqueId val="{00000005-BF4E-C54B-B66A-EE0C43EE8DDE}"/>
            </c:ext>
          </c:extLst>
        </c:ser>
        <c:ser>
          <c:idx val="6"/>
          <c:order val="6"/>
          <c:tx>
            <c:v>XFS 100Ms</c:v>
          </c:tx>
          <c:spPr>
            <a:ln w="19050" cap="rnd">
              <a:solidFill>
                <a:schemeClr val="accent1">
                  <a:lumMod val="6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'Combined-read'!$M$8:$AF$8</c:f>
              <c:numCache>
                <c:formatCode>0</c:formatCode>
                <c:ptCount val="20"/>
                <c:pt idx="0" formatCode="General">
                  <c:v>0</c:v>
                </c:pt>
                <c:pt idx="1">
                  <c:v>0</c:v>
                </c:pt>
                <c:pt idx="2">
                  <c:v>24358</c:v>
                </c:pt>
                <c:pt idx="3">
                  <c:v>11533</c:v>
                </c:pt>
                <c:pt idx="4">
                  <c:v>1510</c:v>
                </c:pt>
                <c:pt idx="5">
                  <c:v>611</c:v>
                </c:pt>
                <c:pt idx="6">
                  <c:v>204</c:v>
                </c:pt>
                <c:pt idx="7">
                  <c:v>118</c:v>
                </c:pt>
                <c:pt idx="8">
                  <c:v>48</c:v>
                </c:pt>
                <c:pt idx="9">
                  <c:v>17</c:v>
                </c:pt>
                <c:pt idx="10">
                  <c:v>108</c:v>
                </c:pt>
                <c:pt idx="11">
                  <c:v>15526</c:v>
                </c:pt>
                <c:pt idx="12">
                  <c:v>100852</c:v>
                </c:pt>
                <c:pt idx="13">
                  <c:v>827972</c:v>
                </c:pt>
                <c:pt idx="14">
                  <c:v>3164865</c:v>
                </c:pt>
                <c:pt idx="15">
                  <c:v>7180724</c:v>
                </c:pt>
                <c:pt idx="16">
                  <c:v>21423655</c:v>
                </c:pt>
                <c:pt idx="17">
                  <c:v>12456216</c:v>
                </c:pt>
                <c:pt idx="18">
                  <c:v>4507655</c:v>
                </c:pt>
                <c:pt idx="19">
                  <c:v>3580162</c:v>
                </c:pt>
              </c:numCache>
            </c:numRef>
          </c:yVal>
          <c:smooth val="1"/>
          <c:extLst>
            <c:ext xmlns:c16="http://schemas.microsoft.com/office/drawing/2014/chart" uri="{C3380CC4-5D6E-409C-BE32-E72D297353CC}">
              <c16:uniqueId val="{00000006-BF4E-C54B-B66A-EE0C43EE8DDE}"/>
            </c:ext>
          </c:extLst>
        </c:ser>
        <c:ser>
          <c:idx val="7"/>
          <c:order val="7"/>
          <c:tx>
            <c:v>XFS 100Mr</c:v>
          </c:tx>
          <c:spPr>
            <a:ln w="19050" cap="rnd">
              <a:solidFill>
                <a:schemeClr val="accent2">
                  <a:lumMod val="6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'Combined-read'!$M$9:$AF$9</c:f>
              <c:numCache>
                <c:formatCode>0</c:formatCode>
                <c:ptCount val="20"/>
                <c:pt idx="0" formatCode="General">
                  <c:v>0</c:v>
                </c:pt>
                <c:pt idx="1">
                  <c:v>485</c:v>
                </c:pt>
                <c:pt idx="2">
                  <c:v>155271</c:v>
                </c:pt>
                <c:pt idx="3">
                  <c:v>317728</c:v>
                </c:pt>
                <c:pt idx="4">
                  <c:v>281333</c:v>
                </c:pt>
                <c:pt idx="5">
                  <c:v>41228</c:v>
                </c:pt>
                <c:pt idx="6">
                  <c:v>17565</c:v>
                </c:pt>
                <c:pt idx="7">
                  <c:v>10000</c:v>
                </c:pt>
                <c:pt idx="8">
                  <c:v>7601</c:v>
                </c:pt>
                <c:pt idx="9">
                  <c:v>3199</c:v>
                </c:pt>
                <c:pt idx="10">
                  <c:v>4105</c:v>
                </c:pt>
                <c:pt idx="11">
                  <c:v>71154</c:v>
                </c:pt>
                <c:pt idx="12">
                  <c:v>692628</c:v>
                </c:pt>
                <c:pt idx="13">
                  <c:v>2879241</c:v>
                </c:pt>
                <c:pt idx="14">
                  <c:v>8654376</c:v>
                </c:pt>
                <c:pt idx="15">
                  <c:v>16724402</c:v>
                </c:pt>
                <c:pt idx="16">
                  <c:v>8115594</c:v>
                </c:pt>
                <c:pt idx="17">
                  <c:v>4412250</c:v>
                </c:pt>
                <c:pt idx="18">
                  <c:v>4722447</c:v>
                </c:pt>
                <c:pt idx="19">
                  <c:v>9455322</c:v>
                </c:pt>
              </c:numCache>
            </c:numRef>
          </c:yVal>
          <c:smooth val="1"/>
          <c:extLst>
            <c:ext xmlns:c16="http://schemas.microsoft.com/office/drawing/2014/chart" uri="{C3380CC4-5D6E-409C-BE32-E72D297353CC}">
              <c16:uniqueId val="{00000007-BF4E-C54B-B66A-EE0C43EE8DDE}"/>
            </c:ext>
          </c:extLst>
        </c:ser>
        <c:ser>
          <c:idx val="8"/>
          <c:order val="8"/>
          <c:tx>
            <c:v>XFS 1Bs</c:v>
          </c:tx>
          <c:spPr>
            <a:ln w="19050" cap="rnd">
              <a:solidFill>
                <a:schemeClr val="accent3">
                  <a:lumMod val="60000"/>
                </a:schemeClr>
              </a:solidFill>
              <a:round/>
            </a:ln>
            <a:effectLst/>
          </c:spPr>
          <c:marker>
            <c:symbol val="none"/>
          </c:marker>
          <c:dLbls>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F4E-C54B-B66A-EE0C43EE8DDE}"/>
                </c:ext>
              </c:extLst>
            </c:dLbl>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F4E-C54B-B66A-EE0C43EE8DDE}"/>
                </c:ext>
              </c:extLst>
            </c:dLbl>
            <c:dLbl>
              <c:idx val="14"/>
              <c:layout>
                <c:manualLayout>
                  <c:x val="2.6537307369568056E-2"/>
                  <c:y val="3.7475834792692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F4E-C54B-B66A-EE0C43EE8D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'Combined-read'!$M$10:$AF$10</c:f>
              <c:numCache>
                <c:formatCode>General</c:formatCode>
                <c:ptCount val="20"/>
                <c:pt idx="0">
                  <c:v>0</c:v>
                </c:pt>
                <c:pt idx="1">
                  <c:v>0</c:v>
                </c:pt>
                <c:pt idx="2">
                  <c:v>0</c:v>
                </c:pt>
                <c:pt idx="3">
                  <c:v>0</c:v>
                </c:pt>
                <c:pt idx="4">
                  <c:v>0</c:v>
                </c:pt>
                <c:pt idx="5">
                  <c:v>0</c:v>
                </c:pt>
                <c:pt idx="6">
                  <c:v>0</c:v>
                </c:pt>
                <c:pt idx="7">
                  <c:v>0</c:v>
                </c:pt>
                <c:pt idx="8">
                  <c:v>0</c:v>
                </c:pt>
                <c:pt idx="9">
                  <c:v>3691</c:v>
                </c:pt>
                <c:pt idx="10">
                  <c:v>8637695</c:v>
                </c:pt>
                <c:pt idx="11">
                  <c:v>13724280</c:v>
                </c:pt>
                <c:pt idx="12">
                  <c:v>131702581</c:v>
                </c:pt>
                <c:pt idx="13">
                  <c:v>143990621</c:v>
                </c:pt>
                <c:pt idx="14">
                  <c:v>215826045</c:v>
                </c:pt>
                <c:pt idx="15">
                  <c:v>107991690</c:v>
                </c:pt>
                <c:pt idx="16">
                  <c:v>30308493</c:v>
                </c:pt>
                <c:pt idx="17">
                  <c:v>15993939</c:v>
                </c:pt>
                <c:pt idx="18">
                  <c:v>14245431</c:v>
                </c:pt>
                <c:pt idx="19">
                  <c:v>30951816</c:v>
                </c:pt>
              </c:numCache>
            </c:numRef>
          </c:yVal>
          <c:smooth val="1"/>
          <c:extLst>
            <c:ext xmlns:c16="http://schemas.microsoft.com/office/drawing/2014/chart" uri="{C3380CC4-5D6E-409C-BE32-E72D297353CC}">
              <c16:uniqueId val="{00000008-BF4E-C54B-B66A-EE0C43EE8DDE}"/>
            </c:ext>
          </c:extLst>
        </c:ser>
        <c:ser>
          <c:idx val="9"/>
          <c:order val="9"/>
          <c:tx>
            <c:v>BTRFS 10Mr</c:v>
          </c:tx>
          <c:spPr>
            <a:ln w="19050" cap="rnd">
              <a:solidFill>
                <a:schemeClr val="accent4">
                  <a:lumMod val="6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'Combined-read'!$M$11:$AF$11</c:f>
              <c:numCache>
                <c:formatCode>General</c:formatCode>
                <c:ptCount val="20"/>
                <c:pt idx="0">
                  <c:v>0</c:v>
                </c:pt>
                <c:pt idx="1">
                  <c:v>0</c:v>
                </c:pt>
                <c:pt idx="2">
                  <c:v>474145</c:v>
                </c:pt>
                <c:pt idx="3">
                  <c:v>7548533</c:v>
                </c:pt>
                <c:pt idx="4">
                  <c:v>1088702</c:v>
                </c:pt>
                <c:pt idx="5">
                  <c:v>354753</c:v>
                </c:pt>
                <c:pt idx="6">
                  <c:v>293253</c:v>
                </c:pt>
                <c:pt idx="7">
                  <c:v>139880</c:v>
                </c:pt>
                <c:pt idx="8">
                  <c:v>42582</c:v>
                </c:pt>
                <c:pt idx="9">
                  <c:v>21839</c:v>
                </c:pt>
                <c:pt idx="10">
                  <c:v>9800</c:v>
                </c:pt>
                <c:pt idx="11">
                  <c:v>3339</c:v>
                </c:pt>
                <c:pt idx="12">
                  <c:v>2046</c:v>
                </c:pt>
                <c:pt idx="13">
                  <c:v>1662</c:v>
                </c:pt>
                <c:pt idx="14">
                  <c:v>1255</c:v>
                </c:pt>
                <c:pt idx="15">
                  <c:v>1132</c:v>
                </c:pt>
                <c:pt idx="16">
                  <c:v>932</c:v>
                </c:pt>
                <c:pt idx="17">
                  <c:v>735</c:v>
                </c:pt>
                <c:pt idx="18">
                  <c:v>593</c:v>
                </c:pt>
                <c:pt idx="19">
                  <c:v>479</c:v>
                </c:pt>
              </c:numCache>
            </c:numRef>
          </c:yVal>
          <c:smooth val="1"/>
          <c:extLst>
            <c:ext xmlns:c16="http://schemas.microsoft.com/office/drawing/2014/chart" uri="{C3380CC4-5D6E-409C-BE32-E72D297353CC}">
              <c16:uniqueId val="{00000009-BF4E-C54B-B66A-EE0C43EE8DDE}"/>
            </c:ext>
          </c:extLst>
        </c:ser>
        <c:ser>
          <c:idx val="10"/>
          <c:order val="10"/>
          <c:tx>
            <c:v>BTRFS 10Ms</c:v>
          </c:tx>
          <c:spPr>
            <a:ln w="19050" cap="rnd">
              <a:solidFill>
                <a:schemeClr val="accent5">
                  <a:lumMod val="6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'Combined-read'!$M$12:$AF$12</c:f>
              <c:numCache>
                <c:formatCode>General</c:formatCode>
                <c:ptCount val="20"/>
                <c:pt idx="0">
                  <c:v>0</c:v>
                </c:pt>
                <c:pt idx="1">
                  <c:v>68893</c:v>
                </c:pt>
                <c:pt idx="2">
                  <c:v>8219108</c:v>
                </c:pt>
                <c:pt idx="3">
                  <c:v>1311173</c:v>
                </c:pt>
                <c:pt idx="4">
                  <c:v>241310</c:v>
                </c:pt>
                <c:pt idx="5">
                  <c:v>103698</c:v>
                </c:pt>
                <c:pt idx="6">
                  <c:v>25597</c:v>
                </c:pt>
                <c:pt idx="7">
                  <c:v>6739</c:v>
                </c:pt>
                <c:pt idx="8">
                  <c:v>5595</c:v>
                </c:pt>
                <c:pt idx="9">
                  <c:v>1746</c:v>
                </c:pt>
                <c:pt idx="10">
                  <c:v>674</c:v>
                </c:pt>
                <c:pt idx="11">
                  <c:v>506</c:v>
                </c:pt>
                <c:pt idx="12">
                  <c:v>330</c:v>
                </c:pt>
                <c:pt idx="13">
                  <c:v>318</c:v>
                </c:pt>
                <c:pt idx="14">
                  <c:v>312</c:v>
                </c:pt>
                <c:pt idx="15">
                  <c:v>308</c:v>
                </c:pt>
                <c:pt idx="16">
                  <c:v>291</c:v>
                </c:pt>
                <c:pt idx="17">
                  <c:v>322</c:v>
                </c:pt>
                <c:pt idx="18">
                  <c:v>432</c:v>
                </c:pt>
                <c:pt idx="19">
                  <c:v>525</c:v>
                </c:pt>
              </c:numCache>
            </c:numRef>
          </c:yVal>
          <c:smooth val="1"/>
          <c:extLst>
            <c:ext xmlns:c16="http://schemas.microsoft.com/office/drawing/2014/chart" uri="{C3380CC4-5D6E-409C-BE32-E72D297353CC}">
              <c16:uniqueId val="{0000000A-BF4E-C54B-B66A-EE0C43EE8DDE}"/>
            </c:ext>
          </c:extLst>
        </c:ser>
        <c:ser>
          <c:idx val="11"/>
          <c:order val="11"/>
          <c:tx>
            <c:v>BTRFS 10Ms</c:v>
          </c:tx>
          <c:spPr>
            <a:ln w="19050" cap="rnd">
              <a:solidFill>
                <a:schemeClr val="accent6">
                  <a:lumMod val="6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'Combined-read'!$M$13:$AF$13</c:f>
              <c:numCache>
                <c:formatCode>General</c:formatCode>
                <c:ptCount val="20"/>
                <c:pt idx="0">
                  <c:v>0</c:v>
                </c:pt>
                <c:pt idx="1">
                  <c:v>0</c:v>
                </c:pt>
                <c:pt idx="2">
                  <c:v>0</c:v>
                </c:pt>
                <c:pt idx="3">
                  <c:v>0</c:v>
                </c:pt>
                <c:pt idx="4">
                  <c:v>0</c:v>
                </c:pt>
                <c:pt idx="5">
                  <c:v>16457</c:v>
                </c:pt>
                <c:pt idx="6">
                  <c:v>7615</c:v>
                </c:pt>
                <c:pt idx="7">
                  <c:v>1580</c:v>
                </c:pt>
                <c:pt idx="8">
                  <c:v>478</c:v>
                </c:pt>
                <c:pt idx="9">
                  <c:v>262</c:v>
                </c:pt>
                <c:pt idx="10">
                  <c:v>248</c:v>
                </c:pt>
                <c:pt idx="11">
                  <c:v>433</c:v>
                </c:pt>
                <c:pt idx="12">
                  <c:v>21466</c:v>
                </c:pt>
                <c:pt idx="13">
                  <c:v>3330725</c:v>
                </c:pt>
                <c:pt idx="14">
                  <c:v>6033215</c:v>
                </c:pt>
                <c:pt idx="15">
                  <c:v>38592325</c:v>
                </c:pt>
                <c:pt idx="16">
                  <c:v>21896393</c:v>
                </c:pt>
                <c:pt idx="17">
                  <c:v>7407931</c:v>
                </c:pt>
                <c:pt idx="18">
                  <c:v>2982762</c:v>
                </c:pt>
                <c:pt idx="19">
                  <c:v>2003370</c:v>
                </c:pt>
              </c:numCache>
            </c:numRef>
          </c:yVal>
          <c:smooth val="1"/>
          <c:extLst>
            <c:ext xmlns:c16="http://schemas.microsoft.com/office/drawing/2014/chart" uri="{C3380CC4-5D6E-409C-BE32-E72D297353CC}">
              <c16:uniqueId val="{0000000B-BF4E-C54B-B66A-EE0C43EE8DDE}"/>
            </c:ext>
          </c:extLst>
        </c:ser>
        <c:ser>
          <c:idx val="12"/>
          <c:order val="12"/>
          <c:tx>
            <c:v>BTRS 100Ms</c:v>
          </c:tx>
          <c:spPr>
            <a:ln w="19050" cap="rnd">
              <a:solidFill>
                <a:schemeClr val="accent1">
                  <a:lumMod val="80000"/>
                  <a:lumOff val="20000"/>
                </a:schemeClr>
              </a:solidFill>
              <a:round/>
            </a:ln>
            <a:effectLst/>
          </c:spPr>
          <c:marker>
            <c:symbol val="none"/>
          </c:marker>
          <c:dLbls>
            <c:dLbl>
              <c:idx val="15"/>
              <c:layout>
                <c:manualLayout>
                  <c:x val="-6.3735683649539368E-2"/>
                  <c:y val="-9.565797447001114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F4E-C54B-B66A-EE0C43EE8D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'Combined-read'!$M$14:$AF$14</c:f>
              <c:numCache>
                <c:formatCode>General</c:formatCode>
                <c:ptCount val="20"/>
                <c:pt idx="0">
                  <c:v>0</c:v>
                </c:pt>
                <c:pt idx="1">
                  <c:v>2</c:v>
                </c:pt>
                <c:pt idx="2">
                  <c:v>75015</c:v>
                </c:pt>
                <c:pt idx="3">
                  <c:v>21657</c:v>
                </c:pt>
                <c:pt idx="4">
                  <c:v>2132</c:v>
                </c:pt>
                <c:pt idx="5">
                  <c:v>15986</c:v>
                </c:pt>
                <c:pt idx="6">
                  <c:v>9651</c:v>
                </c:pt>
                <c:pt idx="7">
                  <c:v>1316</c:v>
                </c:pt>
                <c:pt idx="8">
                  <c:v>330</c:v>
                </c:pt>
                <c:pt idx="9">
                  <c:v>181</c:v>
                </c:pt>
                <c:pt idx="10">
                  <c:v>194</c:v>
                </c:pt>
                <c:pt idx="11">
                  <c:v>4243</c:v>
                </c:pt>
                <c:pt idx="12">
                  <c:v>99371</c:v>
                </c:pt>
                <c:pt idx="13">
                  <c:v>4348720</c:v>
                </c:pt>
                <c:pt idx="14">
                  <c:v>5914254</c:v>
                </c:pt>
                <c:pt idx="15">
                  <c:v>49021670</c:v>
                </c:pt>
                <c:pt idx="16">
                  <c:v>20549517</c:v>
                </c:pt>
                <c:pt idx="17">
                  <c:v>8255282</c:v>
                </c:pt>
                <c:pt idx="18">
                  <c:v>2111758</c:v>
                </c:pt>
                <c:pt idx="19">
                  <c:v>1113585</c:v>
                </c:pt>
              </c:numCache>
            </c:numRef>
          </c:yVal>
          <c:smooth val="1"/>
          <c:extLst>
            <c:ext xmlns:c16="http://schemas.microsoft.com/office/drawing/2014/chart" uri="{C3380CC4-5D6E-409C-BE32-E72D297353CC}">
              <c16:uniqueId val="{0000000C-BF4E-C54B-B66A-EE0C43EE8DDE}"/>
            </c:ext>
          </c:extLst>
        </c:ser>
        <c:ser>
          <c:idx val="13"/>
          <c:order val="13"/>
          <c:tx>
            <c:v>F2FS 1Mr</c:v>
          </c:tx>
          <c:spPr>
            <a:ln w="19050" cap="rnd">
              <a:solidFill>
                <a:schemeClr val="accent2">
                  <a:lumMod val="80000"/>
                  <a:lumOff val="2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'Combined-read'!$M$15:$AF$15</c:f>
              <c:numCache>
                <c:formatCode>General</c:formatCode>
                <c:ptCount val="20"/>
                <c:pt idx="0">
                  <c:v>0</c:v>
                </c:pt>
                <c:pt idx="1">
                  <c:v>0</c:v>
                </c:pt>
                <c:pt idx="2">
                  <c:v>160325</c:v>
                </c:pt>
                <c:pt idx="3">
                  <c:v>505698</c:v>
                </c:pt>
                <c:pt idx="4">
                  <c:v>246327</c:v>
                </c:pt>
                <c:pt idx="5">
                  <c:v>58139</c:v>
                </c:pt>
                <c:pt idx="6">
                  <c:v>15748</c:v>
                </c:pt>
                <c:pt idx="7">
                  <c:v>5439</c:v>
                </c:pt>
                <c:pt idx="8">
                  <c:v>3391</c:v>
                </c:pt>
                <c:pt idx="9">
                  <c:v>1696</c:v>
                </c:pt>
                <c:pt idx="10">
                  <c:v>513</c:v>
                </c:pt>
                <c:pt idx="11">
                  <c:v>239</c:v>
                </c:pt>
                <c:pt idx="12">
                  <c:v>111</c:v>
                </c:pt>
                <c:pt idx="13">
                  <c:v>92</c:v>
                </c:pt>
                <c:pt idx="14">
                  <c:v>78</c:v>
                </c:pt>
                <c:pt idx="15">
                  <c:v>64</c:v>
                </c:pt>
                <c:pt idx="16">
                  <c:v>70</c:v>
                </c:pt>
                <c:pt idx="17">
                  <c:v>85</c:v>
                </c:pt>
                <c:pt idx="18">
                  <c:v>98</c:v>
                </c:pt>
                <c:pt idx="19">
                  <c:v>102</c:v>
                </c:pt>
              </c:numCache>
            </c:numRef>
          </c:yVal>
          <c:smooth val="1"/>
          <c:extLst>
            <c:ext xmlns:c16="http://schemas.microsoft.com/office/drawing/2014/chart" uri="{C3380CC4-5D6E-409C-BE32-E72D297353CC}">
              <c16:uniqueId val="{0000000D-BF4E-C54B-B66A-EE0C43EE8DDE}"/>
            </c:ext>
          </c:extLst>
        </c:ser>
        <c:ser>
          <c:idx val="14"/>
          <c:order val="14"/>
          <c:tx>
            <c:v>F2FS 1Ms</c:v>
          </c:tx>
          <c:spPr>
            <a:ln w="19050" cap="rnd">
              <a:solidFill>
                <a:schemeClr val="accent3">
                  <a:lumMod val="80000"/>
                  <a:lumOff val="2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'Combined-read'!$M$16:$AF$16</c:f>
              <c:numCache>
                <c:formatCode>General</c:formatCode>
                <c:ptCount val="20"/>
                <c:pt idx="0">
                  <c:v>0</c:v>
                </c:pt>
                <c:pt idx="1">
                  <c:v>0</c:v>
                </c:pt>
                <c:pt idx="2">
                  <c:v>346046</c:v>
                </c:pt>
                <c:pt idx="3">
                  <c:v>423596</c:v>
                </c:pt>
                <c:pt idx="4">
                  <c:v>171562</c:v>
                </c:pt>
                <c:pt idx="5">
                  <c:v>37721</c:v>
                </c:pt>
                <c:pt idx="6">
                  <c:v>9839</c:v>
                </c:pt>
                <c:pt idx="7">
                  <c:v>5245</c:v>
                </c:pt>
                <c:pt idx="8">
                  <c:v>2145</c:v>
                </c:pt>
                <c:pt idx="9">
                  <c:v>802</c:v>
                </c:pt>
                <c:pt idx="10">
                  <c:v>420</c:v>
                </c:pt>
                <c:pt idx="11">
                  <c:v>307</c:v>
                </c:pt>
                <c:pt idx="12">
                  <c:v>140</c:v>
                </c:pt>
                <c:pt idx="13">
                  <c:v>94</c:v>
                </c:pt>
                <c:pt idx="14">
                  <c:v>71</c:v>
                </c:pt>
                <c:pt idx="15">
                  <c:v>68</c:v>
                </c:pt>
                <c:pt idx="16">
                  <c:v>77</c:v>
                </c:pt>
                <c:pt idx="17">
                  <c:v>50</c:v>
                </c:pt>
                <c:pt idx="18">
                  <c:v>53</c:v>
                </c:pt>
                <c:pt idx="19">
                  <c:v>68</c:v>
                </c:pt>
              </c:numCache>
            </c:numRef>
          </c:yVal>
          <c:smooth val="1"/>
          <c:extLst>
            <c:ext xmlns:c16="http://schemas.microsoft.com/office/drawing/2014/chart" uri="{C3380CC4-5D6E-409C-BE32-E72D297353CC}">
              <c16:uniqueId val="{0000000E-BF4E-C54B-B66A-EE0C43EE8DDE}"/>
            </c:ext>
          </c:extLst>
        </c:ser>
        <c:ser>
          <c:idx val="15"/>
          <c:order val="15"/>
          <c:tx>
            <c:v>F2FS 6Ms</c:v>
          </c:tx>
          <c:spPr>
            <a:ln w="19050" cap="rnd">
              <a:solidFill>
                <a:schemeClr val="accent4">
                  <a:lumMod val="80000"/>
                  <a:lumOff val="2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'Combined-read'!$M$17:$AF$17</c:f>
              <c:numCache>
                <c:formatCode>General</c:formatCode>
                <c:ptCount val="20"/>
                <c:pt idx="0">
                  <c:v>0</c:v>
                </c:pt>
                <c:pt idx="1">
                  <c:v>597</c:v>
                </c:pt>
                <c:pt idx="2">
                  <c:v>2302763</c:v>
                </c:pt>
                <c:pt idx="3">
                  <c:v>1070797</c:v>
                </c:pt>
                <c:pt idx="4">
                  <c:v>169405</c:v>
                </c:pt>
                <c:pt idx="5">
                  <c:v>45738</c:v>
                </c:pt>
                <c:pt idx="6">
                  <c:v>32386</c:v>
                </c:pt>
                <c:pt idx="7">
                  <c:v>5677</c:v>
                </c:pt>
                <c:pt idx="8">
                  <c:v>3609</c:v>
                </c:pt>
                <c:pt idx="9">
                  <c:v>1963</c:v>
                </c:pt>
                <c:pt idx="10">
                  <c:v>5280</c:v>
                </c:pt>
                <c:pt idx="11">
                  <c:v>6804</c:v>
                </c:pt>
                <c:pt idx="12">
                  <c:v>12559</c:v>
                </c:pt>
                <c:pt idx="13">
                  <c:v>6018</c:v>
                </c:pt>
                <c:pt idx="14">
                  <c:v>24022</c:v>
                </c:pt>
                <c:pt idx="15">
                  <c:v>15449</c:v>
                </c:pt>
                <c:pt idx="16">
                  <c:v>56241</c:v>
                </c:pt>
                <c:pt idx="17">
                  <c:v>49237</c:v>
                </c:pt>
                <c:pt idx="18">
                  <c:v>344060</c:v>
                </c:pt>
                <c:pt idx="19">
                  <c:v>302166</c:v>
                </c:pt>
              </c:numCache>
            </c:numRef>
          </c:yVal>
          <c:smooth val="1"/>
          <c:extLst>
            <c:ext xmlns:c16="http://schemas.microsoft.com/office/drawing/2014/chart" uri="{C3380CC4-5D6E-409C-BE32-E72D297353CC}">
              <c16:uniqueId val="{0000000F-BF4E-C54B-B66A-EE0C43EE8DDE}"/>
            </c:ext>
          </c:extLst>
        </c:ser>
        <c:ser>
          <c:idx val="16"/>
          <c:order val="16"/>
          <c:tx>
            <c:v>F2FS 6Mr</c:v>
          </c:tx>
          <c:spPr>
            <a:ln w="19050" cap="rnd">
              <a:solidFill>
                <a:schemeClr val="accent5">
                  <a:lumMod val="80000"/>
                  <a:lumOff val="2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'Combined-read'!$M$18:$AF$18</c:f>
              <c:numCache>
                <c:formatCode>General</c:formatCode>
                <c:ptCount val="20"/>
                <c:pt idx="1">
                  <c:v>7015</c:v>
                </c:pt>
                <c:pt idx="2">
                  <c:v>3244975</c:v>
                </c:pt>
                <c:pt idx="3">
                  <c:v>2029146</c:v>
                </c:pt>
                <c:pt idx="4">
                  <c:v>499745</c:v>
                </c:pt>
                <c:pt idx="5">
                  <c:v>91519</c:v>
                </c:pt>
                <c:pt idx="6">
                  <c:v>32648</c:v>
                </c:pt>
                <c:pt idx="7">
                  <c:v>13774</c:v>
                </c:pt>
                <c:pt idx="8">
                  <c:v>19798</c:v>
                </c:pt>
                <c:pt idx="9">
                  <c:v>7741</c:v>
                </c:pt>
                <c:pt idx="10">
                  <c:v>2067</c:v>
                </c:pt>
                <c:pt idx="11">
                  <c:v>972</c:v>
                </c:pt>
                <c:pt idx="12">
                  <c:v>1953</c:v>
                </c:pt>
                <c:pt idx="13">
                  <c:v>1890</c:v>
                </c:pt>
                <c:pt idx="14">
                  <c:v>10046</c:v>
                </c:pt>
                <c:pt idx="15">
                  <c:v>4110</c:v>
                </c:pt>
                <c:pt idx="16">
                  <c:v>2706</c:v>
                </c:pt>
                <c:pt idx="17">
                  <c:v>2910</c:v>
                </c:pt>
                <c:pt idx="18">
                  <c:v>7965</c:v>
                </c:pt>
                <c:pt idx="19">
                  <c:v>3834</c:v>
                </c:pt>
              </c:numCache>
            </c:numRef>
          </c:yVal>
          <c:smooth val="1"/>
          <c:extLst>
            <c:ext xmlns:c16="http://schemas.microsoft.com/office/drawing/2014/chart" uri="{C3380CC4-5D6E-409C-BE32-E72D297353CC}">
              <c16:uniqueId val="{00000010-BF4E-C54B-B66A-EE0C43EE8DDE}"/>
            </c:ext>
          </c:extLst>
        </c:ser>
        <c:dLbls>
          <c:showLegendKey val="0"/>
          <c:showVal val="0"/>
          <c:showCatName val="0"/>
          <c:showSerName val="0"/>
          <c:showPercent val="0"/>
          <c:showBubbleSize val="0"/>
        </c:dLbls>
        <c:axId val="1343930352"/>
        <c:axId val="1343893616"/>
      </c:scatterChart>
      <c:valAx>
        <c:axId val="1343930352"/>
        <c:scaling>
          <c:orientation val="minMax"/>
          <c:max val="20"/>
          <c:min val="1"/>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93616"/>
        <c:crosses val="autoZero"/>
        <c:crossBetween val="midCat"/>
      </c:valAx>
      <c:valAx>
        <c:axId val="1343893616"/>
        <c:scaling>
          <c:orientation val="minMax"/>
          <c:min val="-20000000"/>
        </c:scaling>
        <c:delete val="1"/>
        <c:axPos val="l"/>
        <c:numFmt formatCode="General" sourceLinked="1"/>
        <c:majorTickMark val="none"/>
        <c:minorTickMark val="none"/>
        <c:tickLblPos val="nextTo"/>
        <c:crossAx val="1343930352"/>
        <c:crosses val="autoZero"/>
        <c:crossBetween val="midCat"/>
      </c:valAx>
      <c:spPr>
        <a:noFill/>
        <a:ln>
          <a:noFill/>
        </a:ln>
        <a:effectLst/>
      </c:spPr>
    </c:plotArea>
    <c:legend>
      <c:legendPos val="b"/>
      <c:layout>
        <c:manualLayout>
          <c:xMode val="edge"/>
          <c:yMode val="edge"/>
          <c:x val="0.84913553275461107"/>
          <c:y val="4.7552162227826433E-2"/>
          <c:w val="0.13628962689417959"/>
          <c:h val="0.7408625717620628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613780376039658E-2"/>
          <c:y val="1.2676059149619419E-2"/>
          <c:w val="0.93877243924792064"/>
          <c:h val="0.94084505730177603"/>
        </c:manualLayout>
      </c:layout>
      <c:scatterChart>
        <c:scatterStyle val="smoothMarker"/>
        <c:varyColors val="0"/>
        <c:ser>
          <c:idx val="0"/>
          <c:order val="0"/>
          <c:spPr>
            <a:ln w="19050" cap="rnd">
              <a:solidFill>
                <a:schemeClr val="accent1"/>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'Combined-read'!$M$2:$AF$2</c:f>
              <c:numCache>
                <c:formatCode>General</c:formatCode>
                <c:ptCount val="20"/>
                <c:pt idx="0">
                  <c:v>0</c:v>
                </c:pt>
                <c:pt idx="1">
                  <c:v>0</c:v>
                </c:pt>
                <c:pt idx="2">
                  <c:v>1888641</c:v>
                </c:pt>
                <c:pt idx="3">
                  <c:v>7121598</c:v>
                </c:pt>
                <c:pt idx="4">
                  <c:v>606362</c:v>
                </c:pt>
                <c:pt idx="5">
                  <c:v>215008</c:v>
                </c:pt>
                <c:pt idx="6">
                  <c:v>101429</c:v>
                </c:pt>
                <c:pt idx="7">
                  <c:v>30033</c:v>
                </c:pt>
                <c:pt idx="8">
                  <c:v>12268</c:v>
                </c:pt>
                <c:pt idx="9">
                  <c:v>3863</c:v>
                </c:pt>
                <c:pt idx="10">
                  <c:v>1700</c:v>
                </c:pt>
                <c:pt idx="11">
                  <c:v>944</c:v>
                </c:pt>
                <c:pt idx="12">
                  <c:v>804</c:v>
                </c:pt>
                <c:pt idx="13">
                  <c:v>867</c:v>
                </c:pt>
                <c:pt idx="14">
                  <c:v>857</c:v>
                </c:pt>
                <c:pt idx="15">
                  <c:v>775</c:v>
                </c:pt>
                <c:pt idx="16">
                  <c:v>604</c:v>
                </c:pt>
                <c:pt idx="17">
                  <c:v>451</c:v>
                </c:pt>
                <c:pt idx="18">
                  <c:v>330</c:v>
                </c:pt>
                <c:pt idx="19">
                  <c:v>315</c:v>
                </c:pt>
              </c:numCache>
            </c:numRef>
          </c:yVal>
          <c:smooth val="1"/>
          <c:extLst>
            <c:ext xmlns:c16="http://schemas.microsoft.com/office/drawing/2014/chart" uri="{C3380CC4-5D6E-409C-BE32-E72D297353CC}">
              <c16:uniqueId val="{00000000-5B74-6248-8D01-56294B537536}"/>
            </c:ext>
          </c:extLst>
        </c:ser>
        <c:ser>
          <c:idx val="1"/>
          <c:order val="1"/>
          <c:spPr>
            <a:ln w="19050" cap="rnd">
              <a:solidFill>
                <a:schemeClr val="accent2"/>
              </a:solidFill>
              <a:round/>
            </a:ln>
            <a:effectLst/>
          </c:spPr>
          <c:marker>
            <c:symbol val="none"/>
          </c:marker>
          <c:dLbls>
            <c:dLbl>
              <c:idx val="2"/>
              <c:layout>
                <c:manualLayout>
                  <c:x val="-0.20967745739639634"/>
                  <c:y val="-2.535211829923883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B74-6248-8D01-56294B5375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'Combined-read'!$M$3:$AF$3</c:f>
              <c:numCache>
                <c:formatCode>General</c:formatCode>
                <c:ptCount val="20"/>
                <c:pt idx="0">
                  <c:v>0</c:v>
                </c:pt>
                <c:pt idx="1">
                  <c:v>4186</c:v>
                </c:pt>
                <c:pt idx="2">
                  <c:v>6791404</c:v>
                </c:pt>
                <c:pt idx="3">
                  <c:v>2665379</c:v>
                </c:pt>
                <c:pt idx="4">
                  <c:v>332201</c:v>
                </c:pt>
                <c:pt idx="5">
                  <c:v>123928</c:v>
                </c:pt>
                <c:pt idx="6">
                  <c:v>45637</c:v>
                </c:pt>
                <c:pt idx="7">
                  <c:v>15056</c:v>
                </c:pt>
                <c:pt idx="8">
                  <c:v>5090</c:v>
                </c:pt>
                <c:pt idx="9">
                  <c:v>1851</c:v>
                </c:pt>
                <c:pt idx="10">
                  <c:v>953</c:v>
                </c:pt>
                <c:pt idx="11">
                  <c:v>778</c:v>
                </c:pt>
                <c:pt idx="12">
                  <c:v>611</c:v>
                </c:pt>
                <c:pt idx="13">
                  <c:v>652</c:v>
                </c:pt>
                <c:pt idx="14">
                  <c:v>597</c:v>
                </c:pt>
                <c:pt idx="15">
                  <c:v>446</c:v>
                </c:pt>
                <c:pt idx="16">
                  <c:v>314</c:v>
                </c:pt>
                <c:pt idx="17">
                  <c:v>255</c:v>
                </c:pt>
                <c:pt idx="18">
                  <c:v>188</c:v>
                </c:pt>
                <c:pt idx="19">
                  <c:v>156</c:v>
                </c:pt>
              </c:numCache>
            </c:numRef>
          </c:yVal>
          <c:smooth val="1"/>
          <c:extLst>
            <c:ext xmlns:c16="http://schemas.microsoft.com/office/drawing/2014/chart" uri="{C3380CC4-5D6E-409C-BE32-E72D297353CC}">
              <c16:uniqueId val="{00000001-5B74-6248-8D01-56294B537536}"/>
            </c:ext>
          </c:extLst>
        </c:ser>
        <c:ser>
          <c:idx val="4"/>
          <c:order val="2"/>
          <c:spPr>
            <a:ln w="19050" cap="rnd">
              <a:solidFill>
                <a:schemeClr val="accent5"/>
              </a:solidFill>
              <a:round/>
            </a:ln>
            <a:effectLst/>
          </c:spPr>
          <c:marker>
            <c:symbol val="none"/>
          </c:marker>
          <c:dLbls>
            <c:dLbl>
              <c:idx val="3"/>
              <c:layout>
                <c:manualLayout>
                  <c:x val="0.10604170913387222"/>
                  <c:y val="0.1183098853964478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B74-6248-8D01-56294B5375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'Combined-read'!$M$6:$AF$6</c:f>
              <c:numCache>
                <c:formatCode>0</c:formatCode>
                <c:ptCount val="20"/>
                <c:pt idx="0" formatCode="General">
                  <c:v>0</c:v>
                </c:pt>
                <c:pt idx="1">
                  <c:v>0</c:v>
                </c:pt>
                <c:pt idx="2">
                  <c:v>49154</c:v>
                </c:pt>
                <c:pt idx="3">
                  <c:v>6988398</c:v>
                </c:pt>
                <c:pt idx="4">
                  <c:v>684573</c:v>
                </c:pt>
                <c:pt idx="5">
                  <c:v>181539</c:v>
                </c:pt>
                <c:pt idx="6">
                  <c:v>148601</c:v>
                </c:pt>
                <c:pt idx="7">
                  <c:v>53408</c:v>
                </c:pt>
                <c:pt idx="8">
                  <c:v>17030</c:v>
                </c:pt>
                <c:pt idx="9">
                  <c:v>6613</c:v>
                </c:pt>
                <c:pt idx="10">
                  <c:v>2441</c:v>
                </c:pt>
                <c:pt idx="11">
                  <c:v>7204</c:v>
                </c:pt>
                <c:pt idx="12">
                  <c:v>42726</c:v>
                </c:pt>
                <c:pt idx="13">
                  <c:v>113272</c:v>
                </c:pt>
                <c:pt idx="14">
                  <c:v>424683</c:v>
                </c:pt>
                <c:pt idx="15">
                  <c:v>342202</c:v>
                </c:pt>
                <c:pt idx="16">
                  <c:v>127224</c:v>
                </c:pt>
                <c:pt idx="17">
                  <c:v>75382</c:v>
                </c:pt>
                <c:pt idx="18">
                  <c:v>58254</c:v>
                </c:pt>
                <c:pt idx="19">
                  <c:v>58299</c:v>
                </c:pt>
              </c:numCache>
            </c:numRef>
          </c:yVal>
          <c:smooth val="1"/>
          <c:extLst>
            <c:ext xmlns:c16="http://schemas.microsoft.com/office/drawing/2014/chart" uri="{C3380CC4-5D6E-409C-BE32-E72D297353CC}">
              <c16:uniqueId val="{00000004-5B74-6248-8D01-56294B537536}"/>
            </c:ext>
          </c:extLst>
        </c:ser>
        <c:ser>
          <c:idx val="5"/>
          <c:order val="3"/>
          <c:spPr>
            <a:ln w="19050" cap="rnd">
              <a:solidFill>
                <a:schemeClr val="accent6"/>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'Combined-read'!$M$7:$AF$7</c:f>
              <c:numCache>
                <c:formatCode>0</c:formatCode>
                <c:ptCount val="20"/>
                <c:pt idx="0" formatCode="General">
                  <c:v>0</c:v>
                </c:pt>
                <c:pt idx="1">
                  <c:v>2665</c:v>
                </c:pt>
                <c:pt idx="2">
                  <c:v>8129569</c:v>
                </c:pt>
                <c:pt idx="3">
                  <c:v>1392707</c:v>
                </c:pt>
                <c:pt idx="4">
                  <c:v>310048</c:v>
                </c:pt>
                <c:pt idx="5">
                  <c:v>105308</c:v>
                </c:pt>
                <c:pt idx="6">
                  <c:v>29206</c:v>
                </c:pt>
                <c:pt idx="7">
                  <c:v>11288</c:v>
                </c:pt>
                <c:pt idx="8">
                  <c:v>3630</c:v>
                </c:pt>
                <c:pt idx="9">
                  <c:v>1594</c:v>
                </c:pt>
                <c:pt idx="10">
                  <c:v>779</c:v>
                </c:pt>
                <c:pt idx="11">
                  <c:v>545</c:v>
                </c:pt>
                <c:pt idx="12">
                  <c:v>622</c:v>
                </c:pt>
                <c:pt idx="13">
                  <c:v>569</c:v>
                </c:pt>
                <c:pt idx="14">
                  <c:v>523</c:v>
                </c:pt>
                <c:pt idx="15">
                  <c:v>390</c:v>
                </c:pt>
                <c:pt idx="16">
                  <c:v>267</c:v>
                </c:pt>
                <c:pt idx="17">
                  <c:v>206</c:v>
                </c:pt>
                <c:pt idx="18">
                  <c:v>154</c:v>
                </c:pt>
                <c:pt idx="19">
                  <c:v>152</c:v>
                </c:pt>
              </c:numCache>
            </c:numRef>
          </c:yVal>
          <c:smooth val="1"/>
          <c:extLst>
            <c:ext xmlns:c16="http://schemas.microsoft.com/office/drawing/2014/chart" uri="{C3380CC4-5D6E-409C-BE32-E72D297353CC}">
              <c16:uniqueId val="{00000005-5B74-6248-8D01-56294B537536}"/>
            </c:ext>
          </c:extLst>
        </c:ser>
        <c:ser>
          <c:idx val="9"/>
          <c:order val="4"/>
          <c:spPr>
            <a:ln w="19050" cap="rnd">
              <a:solidFill>
                <a:schemeClr val="accent4">
                  <a:lumMod val="60000"/>
                </a:schemeClr>
              </a:solidFill>
              <a:round/>
            </a:ln>
            <a:effectLst/>
          </c:spPr>
          <c:marker>
            <c:symbol val="none"/>
          </c:marker>
          <c:dLbls>
            <c:dLbl>
              <c:idx val="3"/>
              <c:layout>
                <c:manualLayout>
                  <c:x val="5.5299549203445188E-2"/>
                  <c:y val="-1.9365977761157562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B74-6248-8D01-56294B5375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'Combined-read'!$M$11:$AF$11</c:f>
              <c:numCache>
                <c:formatCode>General</c:formatCode>
                <c:ptCount val="20"/>
                <c:pt idx="0">
                  <c:v>0</c:v>
                </c:pt>
                <c:pt idx="1">
                  <c:v>0</c:v>
                </c:pt>
                <c:pt idx="2">
                  <c:v>474145</c:v>
                </c:pt>
                <c:pt idx="3">
                  <c:v>7548533</c:v>
                </c:pt>
                <c:pt idx="4">
                  <c:v>1088702</c:v>
                </c:pt>
                <c:pt idx="5">
                  <c:v>354753</c:v>
                </c:pt>
                <c:pt idx="6">
                  <c:v>293253</c:v>
                </c:pt>
                <c:pt idx="7">
                  <c:v>139880</c:v>
                </c:pt>
                <c:pt idx="8">
                  <c:v>42582</c:v>
                </c:pt>
                <c:pt idx="9">
                  <c:v>21839</c:v>
                </c:pt>
                <c:pt idx="10">
                  <c:v>9800</c:v>
                </c:pt>
                <c:pt idx="11">
                  <c:v>3339</c:v>
                </c:pt>
                <c:pt idx="12">
                  <c:v>2046</c:v>
                </c:pt>
                <c:pt idx="13">
                  <c:v>1662</c:v>
                </c:pt>
                <c:pt idx="14">
                  <c:v>1255</c:v>
                </c:pt>
                <c:pt idx="15">
                  <c:v>1132</c:v>
                </c:pt>
                <c:pt idx="16">
                  <c:v>932</c:v>
                </c:pt>
                <c:pt idx="17">
                  <c:v>735</c:v>
                </c:pt>
                <c:pt idx="18">
                  <c:v>593</c:v>
                </c:pt>
                <c:pt idx="19">
                  <c:v>479</c:v>
                </c:pt>
              </c:numCache>
            </c:numRef>
          </c:yVal>
          <c:smooth val="1"/>
          <c:extLst>
            <c:ext xmlns:c16="http://schemas.microsoft.com/office/drawing/2014/chart" uri="{C3380CC4-5D6E-409C-BE32-E72D297353CC}">
              <c16:uniqueId val="{00000009-5B74-6248-8D01-56294B537536}"/>
            </c:ext>
          </c:extLst>
        </c:ser>
        <c:ser>
          <c:idx val="10"/>
          <c:order val="5"/>
          <c:spPr>
            <a:ln w="19050" cap="rnd">
              <a:solidFill>
                <a:schemeClr val="accent5">
                  <a:lumMod val="60000"/>
                </a:schemeClr>
              </a:solidFill>
              <a:round/>
            </a:ln>
            <a:effectLst/>
          </c:spPr>
          <c:marker>
            <c:symbol val="none"/>
          </c:marker>
          <c:dLbls>
            <c:dLbl>
              <c:idx val="2"/>
              <c:layout>
                <c:manualLayout>
                  <c:x val="3.2257045683792E-2"/>
                  <c:y val="1.26760591496194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B74-6248-8D01-56294B5375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'Combined-read'!$M$12:$AF$12</c:f>
              <c:numCache>
                <c:formatCode>General</c:formatCode>
                <c:ptCount val="20"/>
                <c:pt idx="0">
                  <c:v>0</c:v>
                </c:pt>
                <c:pt idx="1">
                  <c:v>68893</c:v>
                </c:pt>
                <c:pt idx="2">
                  <c:v>8219108</c:v>
                </c:pt>
                <c:pt idx="3">
                  <c:v>1311173</c:v>
                </c:pt>
                <c:pt idx="4">
                  <c:v>241310</c:v>
                </c:pt>
                <c:pt idx="5">
                  <c:v>103698</c:v>
                </c:pt>
                <c:pt idx="6">
                  <c:v>25597</c:v>
                </c:pt>
                <c:pt idx="7">
                  <c:v>6739</c:v>
                </c:pt>
                <c:pt idx="8">
                  <c:v>5595</c:v>
                </c:pt>
                <c:pt idx="9">
                  <c:v>1746</c:v>
                </c:pt>
                <c:pt idx="10">
                  <c:v>674</c:v>
                </c:pt>
                <c:pt idx="11">
                  <c:v>506</c:v>
                </c:pt>
                <c:pt idx="12">
                  <c:v>330</c:v>
                </c:pt>
                <c:pt idx="13">
                  <c:v>318</c:v>
                </c:pt>
                <c:pt idx="14">
                  <c:v>312</c:v>
                </c:pt>
                <c:pt idx="15">
                  <c:v>308</c:v>
                </c:pt>
                <c:pt idx="16">
                  <c:v>291</c:v>
                </c:pt>
                <c:pt idx="17">
                  <c:v>322</c:v>
                </c:pt>
                <c:pt idx="18">
                  <c:v>432</c:v>
                </c:pt>
                <c:pt idx="19">
                  <c:v>525</c:v>
                </c:pt>
              </c:numCache>
            </c:numRef>
          </c:yVal>
          <c:smooth val="1"/>
          <c:extLst>
            <c:ext xmlns:c16="http://schemas.microsoft.com/office/drawing/2014/chart" uri="{C3380CC4-5D6E-409C-BE32-E72D297353CC}">
              <c16:uniqueId val="{0000000A-5B74-6248-8D01-56294B537536}"/>
            </c:ext>
          </c:extLst>
        </c:ser>
        <c:ser>
          <c:idx val="13"/>
          <c:order val="6"/>
          <c:spPr>
            <a:ln w="19050" cap="rnd">
              <a:solidFill>
                <a:schemeClr val="accent2">
                  <a:lumMod val="80000"/>
                  <a:lumOff val="2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'Combined-read'!$M$15:$AF$15</c:f>
              <c:numCache>
                <c:formatCode>General</c:formatCode>
                <c:ptCount val="20"/>
                <c:pt idx="0">
                  <c:v>0</c:v>
                </c:pt>
                <c:pt idx="1">
                  <c:v>0</c:v>
                </c:pt>
                <c:pt idx="2">
                  <c:v>160325</c:v>
                </c:pt>
                <c:pt idx="3">
                  <c:v>505698</c:v>
                </c:pt>
                <c:pt idx="4">
                  <c:v>246327</c:v>
                </c:pt>
                <c:pt idx="5">
                  <c:v>58139</c:v>
                </c:pt>
                <c:pt idx="6">
                  <c:v>15748</c:v>
                </c:pt>
                <c:pt idx="7">
                  <c:v>5439</c:v>
                </c:pt>
                <c:pt idx="8">
                  <c:v>3391</c:v>
                </c:pt>
                <c:pt idx="9">
                  <c:v>1696</c:v>
                </c:pt>
                <c:pt idx="10">
                  <c:v>513</c:v>
                </c:pt>
                <c:pt idx="11">
                  <c:v>239</c:v>
                </c:pt>
                <c:pt idx="12">
                  <c:v>111</c:v>
                </c:pt>
                <c:pt idx="13">
                  <c:v>92</c:v>
                </c:pt>
                <c:pt idx="14">
                  <c:v>78</c:v>
                </c:pt>
                <c:pt idx="15">
                  <c:v>64</c:v>
                </c:pt>
                <c:pt idx="16">
                  <c:v>70</c:v>
                </c:pt>
                <c:pt idx="17">
                  <c:v>85</c:v>
                </c:pt>
                <c:pt idx="18">
                  <c:v>98</c:v>
                </c:pt>
                <c:pt idx="19">
                  <c:v>102</c:v>
                </c:pt>
              </c:numCache>
            </c:numRef>
          </c:yVal>
          <c:smooth val="1"/>
          <c:extLst>
            <c:ext xmlns:c16="http://schemas.microsoft.com/office/drawing/2014/chart" uri="{C3380CC4-5D6E-409C-BE32-E72D297353CC}">
              <c16:uniqueId val="{0000000D-5B74-6248-8D01-56294B537536}"/>
            </c:ext>
          </c:extLst>
        </c:ser>
        <c:ser>
          <c:idx val="14"/>
          <c:order val="7"/>
          <c:spPr>
            <a:ln w="19050" cap="rnd">
              <a:solidFill>
                <a:schemeClr val="accent3">
                  <a:lumMod val="80000"/>
                  <a:lumOff val="2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'Combined-read'!$M$16:$AF$16</c:f>
              <c:numCache>
                <c:formatCode>General</c:formatCode>
                <c:ptCount val="20"/>
                <c:pt idx="0">
                  <c:v>0</c:v>
                </c:pt>
                <c:pt idx="1">
                  <c:v>0</c:v>
                </c:pt>
                <c:pt idx="2">
                  <c:v>346046</c:v>
                </c:pt>
                <c:pt idx="3">
                  <c:v>423596</c:v>
                </c:pt>
                <c:pt idx="4">
                  <c:v>171562</c:v>
                </c:pt>
                <c:pt idx="5">
                  <c:v>37721</c:v>
                </c:pt>
                <c:pt idx="6">
                  <c:v>9839</c:v>
                </c:pt>
                <c:pt idx="7">
                  <c:v>5245</c:v>
                </c:pt>
                <c:pt idx="8">
                  <c:v>2145</c:v>
                </c:pt>
                <c:pt idx="9">
                  <c:v>802</c:v>
                </c:pt>
                <c:pt idx="10">
                  <c:v>420</c:v>
                </c:pt>
                <c:pt idx="11">
                  <c:v>307</c:v>
                </c:pt>
                <c:pt idx="12">
                  <c:v>140</c:v>
                </c:pt>
                <c:pt idx="13">
                  <c:v>94</c:v>
                </c:pt>
                <c:pt idx="14">
                  <c:v>71</c:v>
                </c:pt>
                <c:pt idx="15">
                  <c:v>68</c:v>
                </c:pt>
                <c:pt idx="16">
                  <c:v>77</c:v>
                </c:pt>
                <c:pt idx="17">
                  <c:v>50</c:v>
                </c:pt>
                <c:pt idx="18">
                  <c:v>53</c:v>
                </c:pt>
                <c:pt idx="19">
                  <c:v>68</c:v>
                </c:pt>
              </c:numCache>
            </c:numRef>
          </c:yVal>
          <c:smooth val="1"/>
          <c:extLst>
            <c:ext xmlns:c16="http://schemas.microsoft.com/office/drawing/2014/chart" uri="{C3380CC4-5D6E-409C-BE32-E72D297353CC}">
              <c16:uniqueId val="{0000000E-5B74-6248-8D01-56294B537536}"/>
            </c:ext>
          </c:extLst>
        </c:ser>
        <c:ser>
          <c:idx val="15"/>
          <c:order val="8"/>
          <c:spPr>
            <a:ln w="19050" cap="rnd">
              <a:solidFill>
                <a:schemeClr val="accent4">
                  <a:lumMod val="80000"/>
                  <a:lumOff val="20000"/>
                </a:schemeClr>
              </a:solidFill>
              <a:round/>
            </a:ln>
            <a:effectLst/>
          </c:spPr>
          <c:marker>
            <c:symbol val="none"/>
          </c:marker>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'Combined-read'!$M$17:$AF$17</c:f>
              <c:numCache>
                <c:formatCode>General</c:formatCode>
                <c:ptCount val="20"/>
                <c:pt idx="0">
                  <c:v>0</c:v>
                </c:pt>
                <c:pt idx="1">
                  <c:v>597</c:v>
                </c:pt>
                <c:pt idx="2">
                  <c:v>2302763</c:v>
                </c:pt>
                <c:pt idx="3">
                  <c:v>1070797</c:v>
                </c:pt>
                <c:pt idx="4">
                  <c:v>169405</c:v>
                </c:pt>
                <c:pt idx="5">
                  <c:v>45738</c:v>
                </c:pt>
                <c:pt idx="6">
                  <c:v>32386</c:v>
                </c:pt>
                <c:pt idx="7">
                  <c:v>5677</c:v>
                </c:pt>
                <c:pt idx="8">
                  <c:v>3609</c:v>
                </c:pt>
                <c:pt idx="9">
                  <c:v>1963</c:v>
                </c:pt>
                <c:pt idx="10">
                  <c:v>5280</c:v>
                </c:pt>
                <c:pt idx="11">
                  <c:v>6804</c:v>
                </c:pt>
                <c:pt idx="12">
                  <c:v>12559</c:v>
                </c:pt>
                <c:pt idx="13">
                  <c:v>6018</c:v>
                </c:pt>
                <c:pt idx="14">
                  <c:v>24022</c:v>
                </c:pt>
                <c:pt idx="15">
                  <c:v>15449</c:v>
                </c:pt>
                <c:pt idx="16">
                  <c:v>56241</c:v>
                </c:pt>
                <c:pt idx="17">
                  <c:v>49237</c:v>
                </c:pt>
                <c:pt idx="18">
                  <c:v>344060</c:v>
                </c:pt>
                <c:pt idx="19">
                  <c:v>302166</c:v>
                </c:pt>
              </c:numCache>
            </c:numRef>
          </c:yVal>
          <c:smooth val="1"/>
          <c:extLst>
            <c:ext xmlns:c16="http://schemas.microsoft.com/office/drawing/2014/chart" uri="{C3380CC4-5D6E-409C-BE32-E72D297353CC}">
              <c16:uniqueId val="{0000000F-5B74-6248-8D01-56294B537536}"/>
            </c:ext>
          </c:extLst>
        </c:ser>
        <c:ser>
          <c:idx val="16"/>
          <c:order val="9"/>
          <c:spPr>
            <a:ln w="19050" cap="rnd">
              <a:solidFill>
                <a:schemeClr val="accent5">
                  <a:lumMod val="80000"/>
                  <a:lumOff val="20000"/>
                </a:schemeClr>
              </a:solidFill>
              <a:round/>
            </a:ln>
            <a:effectLst/>
          </c:spPr>
          <c:marker>
            <c:symbol val="none"/>
          </c:marker>
          <c:dLbls>
            <c:dLbl>
              <c:idx val="2"/>
              <c:layout>
                <c:manualLayout>
                  <c:x val="-0.23271893623116519"/>
                  <c:y val="-0.1056338262468284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B74-6248-8D01-56294B5375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'Combined-read'!$M$1:$AF$1</c:f>
              <c:strCache>
                <c:ptCount val="20"/>
                <c:pt idx="0">
                  <c:v>rb-0</c:v>
                </c:pt>
                <c:pt idx="1">
                  <c:v>rb-1</c:v>
                </c:pt>
                <c:pt idx="2">
                  <c:v>rb-2</c:v>
                </c:pt>
                <c:pt idx="3">
                  <c:v>rb-3</c:v>
                </c:pt>
                <c:pt idx="4">
                  <c:v>rb-4</c:v>
                </c:pt>
                <c:pt idx="5">
                  <c:v>rb-5</c:v>
                </c:pt>
                <c:pt idx="6">
                  <c:v>rb-6</c:v>
                </c:pt>
                <c:pt idx="7">
                  <c:v>rb-7</c:v>
                </c:pt>
                <c:pt idx="8">
                  <c:v>rb-8</c:v>
                </c:pt>
                <c:pt idx="9">
                  <c:v>rb-9</c:v>
                </c:pt>
                <c:pt idx="10">
                  <c:v>rb-10</c:v>
                </c:pt>
                <c:pt idx="11">
                  <c:v>rb-11</c:v>
                </c:pt>
                <c:pt idx="12">
                  <c:v>rb-12</c:v>
                </c:pt>
                <c:pt idx="13">
                  <c:v>rb-13</c:v>
                </c:pt>
                <c:pt idx="14">
                  <c:v>rb-14</c:v>
                </c:pt>
                <c:pt idx="15">
                  <c:v>rb-15</c:v>
                </c:pt>
                <c:pt idx="16">
                  <c:v>rb-16</c:v>
                </c:pt>
                <c:pt idx="17">
                  <c:v>rb-17</c:v>
                </c:pt>
                <c:pt idx="18">
                  <c:v>rb-18</c:v>
                </c:pt>
                <c:pt idx="19">
                  <c:v>rb-19</c:v>
                </c:pt>
              </c:strCache>
            </c:strRef>
          </c:xVal>
          <c:yVal>
            <c:numRef>
              <c:f>'Combined-read'!$M$18:$AF$18</c:f>
              <c:numCache>
                <c:formatCode>General</c:formatCode>
                <c:ptCount val="20"/>
                <c:pt idx="1">
                  <c:v>7015</c:v>
                </c:pt>
                <c:pt idx="2">
                  <c:v>3244975</c:v>
                </c:pt>
                <c:pt idx="3">
                  <c:v>2029146</c:v>
                </c:pt>
                <c:pt idx="4">
                  <c:v>499745</c:v>
                </c:pt>
                <c:pt idx="5">
                  <c:v>91519</c:v>
                </c:pt>
                <c:pt idx="6">
                  <c:v>32648</c:v>
                </c:pt>
                <c:pt idx="7">
                  <c:v>13774</c:v>
                </c:pt>
                <c:pt idx="8">
                  <c:v>19798</c:v>
                </c:pt>
                <c:pt idx="9">
                  <c:v>7741</c:v>
                </c:pt>
                <c:pt idx="10">
                  <c:v>2067</c:v>
                </c:pt>
                <c:pt idx="11">
                  <c:v>972</c:v>
                </c:pt>
                <c:pt idx="12">
                  <c:v>1953</c:v>
                </c:pt>
                <c:pt idx="13">
                  <c:v>1890</c:v>
                </c:pt>
                <c:pt idx="14">
                  <c:v>10046</c:v>
                </c:pt>
                <c:pt idx="15">
                  <c:v>4110</c:v>
                </c:pt>
                <c:pt idx="16">
                  <c:v>2706</c:v>
                </c:pt>
                <c:pt idx="17">
                  <c:v>2910</c:v>
                </c:pt>
                <c:pt idx="18">
                  <c:v>7965</c:v>
                </c:pt>
                <c:pt idx="19">
                  <c:v>3834</c:v>
                </c:pt>
              </c:numCache>
            </c:numRef>
          </c:yVal>
          <c:smooth val="1"/>
          <c:extLst>
            <c:ext xmlns:c16="http://schemas.microsoft.com/office/drawing/2014/chart" uri="{C3380CC4-5D6E-409C-BE32-E72D297353CC}">
              <c16:uniqueId val="{00000010-5B74-6248-8D01-56294B537536}"/>
            </c:ext>
          </c:extLst>
        </c:ser>
        <c:dLbls>
          <c:showLegendKey val="0"/>
          <c:showVal val="0"/>
          <c:showCatName val="0"/>
          <c:showSerName val="0"/>
          <c:showPercent val="0"/>
          <c:showBubbleSize val="0"/>
        </c:dLbls>
        <c:axId val="1377501440"/>
        <c:axId val="1383204320"/>
      </c:scatterChart>
      <c:valAx>
        <c:axId val="1377501440"/>
        <c:scaling>
          <c:orientation val="minMax"/>
          <c:max val="9"/>
          <c:min val="1"/>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04320"/>
        <c:crosses val="autoZero"/>
        <c:crossBetween val="midCat"/>
      </c:valAx>
      <c:valAx>
        <c:axId val="1383204320"/>
        <c:scaling>
          <c:orientation val="minMax"/>
          <c:min val="-1000000"/>
        </c:scaling>
        <c:delete val="1"/>
        <c:axPos val="l"/>
        <c:numFmt formatCode="General" sourceLinked="1"/>
        <c:majorTickMark val="none"/>
        <c:minorTickMark val="none"/>
        <c:tickLblPos val="nextTo"/>
        <c:crossAx val="1377501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BtrFS!$R$3:$AA$3</c:f>
              <c:numCache>
                <c:formatCode>General</c:formatCode>
                <c:ptCount val="10"/>
                <c:pt idx="0">
                  <c:v>0</c:v>
                </c:pt>
                <c:pt idx="1">
                  <c:v>0</c:v>
                </c:pt>
                <c:pt idx="2">
                  <c:v>0</c:v>
                </c:pt>
                <c:pt idx="3">
                  <c:v>0</c:v>
                </c:pt>
                <c:pt idx="4">
                  <c:v>38</c:v>
                </c:pt>
                <c:pt idx="5">
                  <c:v>473</c:v>
                </c:pt>
                <c:pt idx="6">
                  <c:v>113</c:v>
                </c:pt>
                <c:pt idx="7">
                  <c:v>94</c:v>
                </c:pt>
                <c:pt idx="8">
                  <c:v>135</c:v>
                </c:pt>
                <c:pt idx="9">
                  <c:v>65</c:v>
                </c:pt>
              </c:numCache>
            </c:numRef>
          </c:yVal>
          <c:smooth val="1"/>
          <c:extLst>
            <c:ext xmlns:c16="http://schemas.microsoft.com/office/drawing/2014/chart" uri="{C3380CC4-5D6E-409C-BE32-E72D297353CC}">
              <c16:uniqueId val="{00000000-875E-6E48-AFC9-20539F513E82}"/>
            </c:ext>
          </c:extLst>
        </c:ser>
        <c:ser>
          <c:idx val="1"/>
          <c:order val="1"/>
          <c:spPr>
            <a:ln w="19050" cap="rnd">
              <a:solidFill>
                <a:schemeClr val="accent2"/>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BtrFS!$R$4:$AA$4</c:f>
              <c:numCache>
                <c:formatCode>General</c:formatCode>
                <c:ptCount val="10"/>
                <c:pt idx="0">
                  <c:v>0</c:v>
                </c:pt>
                <c:pt idx="1">
                  <c:v>0</c:v>
                </c:pt>
                <c:pt idx="2">
                  <c:v>0</c:v>
                </c:pt>
                <c:pt idx="3">
                  <c:v>2302</c:v>
                </c:pt>
                <c:pt idx="4">
                  <c:v>3947</c:v>
                </c:pt>
                <c:pt idx="5">
                  <c:v>2412</c:v>
                </c:pt>
                <c:pt idx="6">
                  <c:v>731</c:v>
                </c:pt>
                <c:pt idx="7">
                  <c:v>225</c:v>
                </c:pt>
                <c:pt idx="8">
                  <c:v>173</c:v>
                </c:pt>
                <c:pt idx="9">
                  <c:v>100</c:v>
                </c:pt>
              </c:numCache>
            </c:numRef>
          </c:yVal>
          <c:smooth val="1"/>
          <c:extLst>
            <c:ext xmlns:c16="http://schemas.microsoft.com/office/drawing/2014/chart" uri="{C3380CC4-5D6E-409C-BE32-E72D297353CC}">
              <c16:uniqueId val="{00000001-875E-6E48-AFC9-20539F513E82}"/>
            </c:ext>
          </c:extLst>
        </c:ser>
        <c:ser>
          <c:idx val="2"/>
          <c:order val="2"/>
          <c:spPr>
            <a:ln w="19050" cap="rnd">
              <a:solidFill>
                <a:schemeClr val="accent3"/>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BtrFS!$R$5:$AA$5</c:f>
              <c:numCache>
                <c:formatCode>General</c:formatCode>
                <c:ptCount val="10"/>
                <c:pt idx="0">
                  <c:v>0</c:v>
                </c:pt>
                <c:pt idx="1">
                  <c:v>0</c:v>
                </c:pt>
                <c:pt idx="2">
                  <c:v>0</c:v>
                </c:pt>
                <c:pt idx="3">
                  <c:v>37779</c:v>
                </c:pt>
                <c:pt idx="4">
                  <c:v>47771</c:v>
                </c:pt>
                <c:pt idx="5">
                  <c:v>8804</c:v>
                </c:pt>
                <c:pt idx="6">
                  <c:v>1990</c:v>
                </c:pt>
                <c:pt idx="7">
                  <c:v>1182</c:v>
                </c:pt>
                <c:pt idx="8">
                  <c:v>1059</c:v>
                </c:pt>
                <c:pt idx="9">
                  <c:v>651</c:v>
                </c:pt>
              </c:numCache>
            </c:numRef>
          </c:yVal>
          <c:smooth val="1"/>
          <c:extLst>
            <c:ext xmlns:c16="http://schemas.microsoft.com/office/drawing/2014/chart" uri="{C3380CC4-5D6E-409C-BE32-E72D297353CC}">
              <c16:uniqueId val="{00000002-875E-6E48-AFC9-20539F513E82}"/>
            </c:ext>
          </c:extLst>
        </c:ser>
        <c:ser>
          <c:idx val="3"/>
          <c:order val="3"/>
          <c:spPr>
            <a:ln w="19050" cap="rnd">
              <a:solidFill>
                <a:schemeClr val="accent4"/>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BtrFS!$R$6:$AA$6</c:f>
              <c:numCache>
                <c:formatCode>General</c:formatCode>
                <c:ptCount val="10"/>
                <c:pt idx="0">
                  <c:v>0</c:v>
                </c:pt>
                <c:pt idx="1">
                  <c:v>0</c:v>
                </c:pt>
                <c:pt idx="2">
                  <c:v>0</c:v>
                </c:pt>
                <c:pt idx="3">
                  <c:v>475028</c:v>
                </c:pt>
                <c:pt idx="4">
                  <c:v>413424</c:v>
                </c:pt>
                <c:pt idx="5">
                  <c:v>68127</c:v>
                </c:pt>
                <c:pt idx="6">
                  <c:v>14998</c:v>
                </c:pt>
                <c:pt idx="7">
                  <c:v>10806</c:v>
                </c:pt>
                <c:pt idx="8">
                  <c:v>9006</c:v>
                </c:pt>
                <c:pt idx="9">
                  <c:v>4837</c:v>
                </c:pt>
              </c:numCache>
            </c:numRef>
          </c:yVal>
          <c:smooth val="1"/>
          <c:extLst>
            <c:ext xmlns:c16="http://schemas.microsoft.com/office/drawing/2014/chart" uri="{C3380CC4-5D6E-409C-BE32-E72D297353CC}">
              <c16:uniqueId val="{00000003-875E-6E48-AFC9-20539F513E82}"/>
            </c:ext>
          </c:extLst>
        </c:ser>
        <c:ser>
          <c:idx val="4"/>
          <c:order val="4"/>
          <c:spPr>
            <a:ln w="19050" cap="rnd">
              <a:solidFill>
                <a:schemeClr val="accent5"/>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BtrFS!$R$7:$AA$7</c:f>
              <c:numCache>
                <c:formatCode>General</c:formatCode>
                <c:ptCount val="10"/>
                <c:pt idx="0">
                  <c:v>0</c:v>
                </c:pt>
                <c:pt idx="1">
                  <c:v>0</c:v>
                </c:pt>
                <c:pt idx="2">
                  <c:v>0</c:v>
                </c:pt>
                <c:pt idx="3">
                  <c:v>2771279</c:v>
                </c:pt>
                <c:pt idx="4">
                  <c:v>5535633</c:v>
                </c:pt>
                <c:pt idx="5">
                  <c:v>1233727</c:v>
                </c:pt>
                <c:pt idx="6">
                  <c:v>287644</c:v>
                </c:pt>
                <c:pt idx="7">
                  <c:v>75764</c:v>
                </c:pt>
                <c:pt idx="8">
                  <c:v>42538</c:v>
                </c:pt>
                <c:pt idx="9">
                  <c:v>24692</c:v>
                </c:pt>
              </c:numCache>
            </c:numRef>
          </c:yVal>
          <c:smooth val="1"/>
          <c:extLst>
            <c:ext xmlns:c16="http://schemas.microsoft.com/office/drawing/2014/chart" uri="{C3380CC4-5D6E-409C-BE32-E72D297353CC}">
              <c16:uniqueId val="{00000004-875E-6E48-AFC9-20539F513E82}"/>
            </c:ext>
          </c:extLst>
        </c:ser>
        <c:ser>
          <c:idx val="5"/>
          <c:order val="5"/>
          <c:spPr>
            <a:ln w="19050" cap="rnd">
              <a:solidFill>
                <a:schemeClr val="accent6"/>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BtrFS!$R$8:$AA$8</c:f>
              <c:numCache>
                <c:formatCode>General</c:formatCode>
                <c:ptCount val="10"/>
                <c:pt idx="0">
                  <c:v>0</c:v>
                </c:pt>
                <c:pt idx="1">
                  <c:v>0</c:v>
                </c:pt>
                <c:pt idx="2">
                  <c:v>0</c:v>
                </c:pt>
                <c:pt idx="3">
                  <c:v>2161544</c:v>
                </c:pt>
                <c:pt idx="4">
                  <c:v>12038188</c:v>
                </c:pt>
                <c:pt idx="5">
                  <c:v>21370933</c:v>
                </c:pt>
                <c:pt idx="6">
                  <c:v>23501458</c:v>
                </c:pt>
                <c:pt idx="7">
                  <c:v>24395944</c:v>
                </c:pt>
                <c:pt idx="8">
                  <c:v>11964867</c:v>
                </c:pt>
                <c:pt idx="9">
                  <c:v>2085583</c:v>
                </c:pt>
              </c:numCache>
            </c:numRef>
          </c:yVal>
          <c:smooth val="1"/>
          <c:extLst>
            <c:ext xmlns:c16="http://schemas.microsoft.com/office/drawing/2014/chart" uri="{C3380CC4-5D6E-409C-BE32-E72D297353CC}">
              <c16:uniqueId val="{00000005-875E-6E48-AFC9-20539F513E82}"/>
            </c:ext>
          </c:extLst>
        </c:ser>
        <c:ser>
          <c:idx val="6"/>
          <c:order val="6"/>
          <c:spPr>
            <a:ln w="19050" cap="rnd">
              <a:solidFill>
                <a:schemeClr val="accent1">
                  <a:lumMod val="60000"/>
                </a:schemeClr>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BtrFS!$R$9:$AA$9</c:f>
              <c:numCache>
                <c:formatCode>General</c:formatCode>
                <c:ptCount val="10"/>
                <c:pt idx="0">
                  <c:v>0</c:v>
                </c:pt>
                <c:pt idx="1">
                  <c:v>0</c:v>
                </c:pt>
                <c:pt idx="2">
                  <c:v>0</c:v>
                </c:pt>
                <c:pt idx="3">
                  <c:v>301187</c:v>
                </c:pt>
                <c:pt idx="4">
                  <c:v>4595826</c:v>
                </c:pt>
                <c:pt idx="5">
                  <c:v>12948297</c:v>
                </c:pt>
                <c:pt idx="6">
                  <c:v>22748303</c:v>
                </c:pt>
                <c:pt idx="7">
                  <c:v>27340013</c:v>
                </c:pt>
                <c:pt idx="8">
                  <c:v>20878671</c:v>
                </c:pt>
                <c:pt idx="9">
                  <c:v>6839367</c:v>
                </c:pt>
              </c:numCache>
            </c:numRef>
          </c:yVal>
          <c:smooth val="1"/>
          <c:extLst>
            <c:ext xmlns:c16="http://schemas.microsoft.com/office/drawing/2014/chart" uri="{C3380CC4-5D6E-409C-BE32-E72D297353CC}">
              <c16:uniqueId val="{00000006-875E-6E48-AFC9-20539F513E82}"/>
            </c:ext>
          </c:extLst>
        </c:ser>
        <c:ser>
          <c:idx val="7"/>
          <c:order val="7"/>
          <c:spPr>
            <a:ln w="19050" cap="rnd">
              <a:solidFill>
                <a:schemeClr val="accent2">
                  <a:lumMod val="60000"/>
                </a:schemeClr>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BtrFS!$R$10:$AA$10</c:f>
              <c:numCache>
                <c:formatCode>General</c:formatCode>
                <c:ptCount val="10"/>
                <c:pt idx="0">
                  <c:v>0</c:v>
                </c:pt>
                <c:pt idx="1">
                  <c:v>0</c:v>
                </c:pt>
                <c:pt idx="2">
                  <c:v>0</c:v>
                </c:pt>
                <c:pt idx="3">
                  <c:v>54601</c:v>
                </c:pt>
                <c:pt idx="4">
                  <c:v>1863133</c:v>
                </c:pt>
                <c:pt idx="5">
                  <c:v>3970441</c:v>
                </c:pt>
                <c:pt idx="6">
                  <c:v>5805703</c:v>
                </c:pt>
                <c:pt idx="7">
                  <c:v>7339798</c:v>
                </c:pt>
                <c:pt idx="8">
                  <c:v>7462048</c:v>
                </c:pt>
                <c:pt idx="9">
                  <c:v>6956366</c:v>
                </c:pt>
              </c:numCache>
            </c:numRef>
          </c:yVal>
          <c:smooth val="1"/>
          <c:extLst>
            <c:ext xmlns:c16="http://schemas.microsoft.com/office/drawing/2014/chart" uri="{C3380CC4-5D6E-409C-BE32-E72D297353CC}">
              <c16:uniqueId val="{00000007-875E-6E48-AFC9-20539F513E82}"/>
            </c:ext>
          </c:extLst>
        </c:ser>
        <c:ser>
          <c:idx val="8"/>
          <c:order val="8"/>
          <c:spPr>
            <a:ln w="19050" cap="rnd">
              <a:solidFill>
                <a:schemeClr val="accent3">
                  <a:lumMod val="60000"/>
                </a:schemeClr>
              </a:solidFill>
              <a:round/>
            </a:ln>
            <a:effectLst/>
          </c:spPr>
          <c:marker>
            <c:symbol val="none"/>
          </c:marker>
          <c:xVal>
            <c:strRef>
              <c:f>BtrFS!$R$2:$AA$2</c:f>
              <c:strCache>
                <c:ptCount val="10"/>
                <c:pt idx="0">
                  <c:v>ws[0]</c:v>
                </c:pt>
                <c:pt idx="1">
                  <c:v>ws[1]</c:v>
                </c:pt>
                <c:pt idx="2">
                  <c:v>ws[2]</c:v>
                </c:pt>
                <c:pt idx="3">
                  <c:v>ws[3]</c:v>
                </c:pt>
                <c:pt idx="4">
                  <c:v>ws[4]</c:v>
                </c:pt>
                <c:pt idx="5">
                  <c:v>ws[5]</c:v>
                </c:pt>
                <c:pt idx="6">
                  <c:v>ws[6]</c:v>
                </c:pt>
                <c:pt idx="7">
                  <c:v>ws[7]</c:v>
                </c:pt>
                <c:pt idx="8">
                  <c:v>ws[8]</c:v>
                </c:pt>
                <c:pt idx="9">
                  <c:v>ws[9]</c:v>
                </c:pt>
              </c:strCache>
            </c:strRef>
          </c:xVal>
          <c:yVal>
            <c:numRef>
              <c:f>BtrFS!$R$11:$AA$11</c:f>
              <c:numCache>
                <c:formatCode>General</c:formatCode>
                <c:ptCount val="10"/>
                <c:pt idx="0">
                  <c:v>0</c:v>
                </c:pt>
                <c:pt idx="1">
                  <c:v>0</c:v>
                </c:pt>
                <c:pt idx="2">
                  <c:v>3</c:v>
                </c:pt>
                <c:pt idx="3">
                  <c:v>494424</c:v>
                </c:pt>
                <c:pt idx="4">
                  <c:v>5979488</c:v>
                </c:pt>
                <c:pt idx="5">
                  <c:v>14168821</c:v>
                </c:pt>
                <c:pt idx="6">
                  <c:v>20571249</c:v>
                </c:pt>
                <c:pt idx="7">
                  <c:v>25085554</c:v>
                </c:pt>
                <c:pt idx="8">
                  <c:v>25909285</c:v>
                </c:pt>
                <c:pt idx="9">
                  <c:v>25342264</c:v>
                </c:pt>
              </c:numCache>
            </c:numRef>
          </c:yVal>
          <c:smooth val="1"/>
          <c:extLst>
            <c:ext xmlns:c16="http://schemas.microsoft.com/office/drawing/2014/chart" uri="{C3380CC4-5D6E-409C-BE32-E72D297353CC}">
              <c16:uniqueId val="{00000008-875E-6E48-AFC9-20539F513E82}"/>
            </c:ext>
          </c:extLst>
        </c:ser>
        <c:dLbls>
          <c:showLegendKey val="0"/>
          <c:showVal val="0"/>
          <c:showCatName val="0"/>
          <c:showSerName val="0"/>
          <c:showPercent val="0"/>
          <c:showBubbleSize val="0"/>
        </c:dLbls>
        <c:axId val="1474121952"/>
        <c:axId val="1654530336"/>
      </c:scatterChart>
      <c:valAx>
        <c:axId val="14741219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30336"/>
        <c:crosses val="autoZero"/>
        <c:crossBetween val="midCat"/>
      </c:valAx>
      <c:valAx>
        <c:axId val="165453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2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BtrFS!$H$3:$Q$3</c:f>
              <c:numCache>
                <c:formatCode>General</c:formatCode>
                <c:ptCount val="10"/>
                <c:pt idx="0">
                  <c:v>0</c:v>
                </c:pt>
                <c:pt idx="1">
                  <c:v>0</c:v>
                </c:pt>
                <c:pt idx="2">
                  <c:v>5</c:v>
                </c:pt>
                <c:pt idx="3">
                  <c:v>58</c:v>
                </c:pt>
                <c:pt idx="4">
                  <c:v>217</c:v>
                </c:pt>
                <c:pt idx="5">
                  <c:v>403</c:v>
                </c:pt>
                <c:pt idx="6">
                  <c:v>251</c:v>
                </c:pt>
                <c:pt idx="7">
                  <c:v>59</c:v>
                </c:pt>
                <c:pt idx="8">
                  <c:v>7</c:v>
                </c:pt>
                <c:pt idx="9">
                  <c:v>0</c:v>
                </c:pt>
              </c:numCache>
            </c:numRef>
          </c:yVal>
          <c:smooth val="1"/>
          <c:extLst>
            <c:ext xmlns:c16="http://schemas.microsoft.com/office/drawing/2014/chart" uri="{C3380CC4-5D6E-409C-BE32-E72D297353CC}">
              <c16:uniqueId val="{00000000-D204-2844-9A90-0A076E111E0C}"/>
            </c:ext>
          </c:extLst>
        </c:ser>
        <c:ser>
          <c:idx val="1"/>
          <c:order val="1"/>
          <c:spPr>
            <a:ln w="19050" cap="rnd">
              <a:solidFill>
                <a:schemeClr val="accent2"/>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BtrFS!$H$4:$Q$4</c:f>
              <c:numCache>
                <c:formatCode>General</c:formatCode>
                <c:ptCount val="10"/>
                <c:pt idx="0">
                  <c:v>0</c:v>
                </c:pt>
                <c:pt idx="1">
                  <c:v>1</c:v>
                </c:pt>
                <c:pt idx="2">
                  <c:v>51</c:v>
                </c:pt>
                <c:pt idx="3">
                  <c:v>632</c:v>
                </c:pt>
                <c:pt idx="4">
                  <c:v>2457</c:v>
                </c:pt>
                <c:pt idx="5">
                  <c:v>3776</c:v>
                </c:pt>
                <c:pt idx="6">
                  <c:v>2418</c:v>
                </c:pt>
                <c:pt idx="7">
                  <c:v>612</c:v>
                </c:pt>
                <c:pt idx="8">
                  <c:v>52</c:v>
                </c:pt>
                <c:pt idx="9">
                  <c:v>1</c:v>
                </c:pt>
              </c:numCache>
            </c:numRef>
          </c:yVal>
          <c:smooth val="1"/>
          <c:extLst>
            <c:ext xmlns:c16="http://schemas.microsoft.com/office/drawing/2014/chart" uri="{C3380CC4-5D6E-409C-BE32-E72D297353CC}">
              <c16:uniqueId val="{00000001-D204-2844-9A90-0A076E111E0C}"/>
            </c:ext>
          </c:extLst>
        </c:ser>
        <c:ser>
          <c:idx val="2"/>
          <c:order val="2"/>
          <c:spPr>
            <a:ln w="19050" cap="rnd">
              <a:solidFill>
                <a:schemeClr val="accent3"/>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BtrFS!$H$5:$Q$5</c:f>
              <c:numCache>
                <c:formatCode>General</c:formatCode>
                <c:ptCount val="10"/>
                <c:pt idx="0">
                  <c:v>0</c:v>
                </c:pt>
                <c:pt idx="1">
                  <c:v>16</c:v>
                </c:pt>
                <c:pt idx="2">
                  <c:v>604</c:v>
                </c:pt>
                <c:pt idx="3">
                  <c:v>5906</c:v>
                </c:pt>
                <c:pt idx="4">
                  <c:v>24171</c:v>
                </c:pt>
                <c:pt idx="5">
                  <c:v>38438</c:v>
                </c:pt>
                <c:pt idx="6">
                  <c:v>24250</c:v>
                </c:pt>
                <c:pt idx="7">
                  <c:v>6011</c:v>
                </c:pt>
                <c:pt idx="8">
                  <c:v>585</c:v>
                </c:pt>
                <c:pt idx="9">
                  <c:v>18</c:v>
                </c:pt>
              </c:numCache>
            </c:numRef>
          </c:yVal>
          <c:smooth val="1"/>
          <c:extLst>
            <c:ext xmlns:c16="http://schemas.microsoft.com/office/drawing/2014/chart" uri="{C3380CC4-5D6E-409C-BE32-E72D297353CC}">
              <c16:uniqueId val="{00000002-D204-2844-9A90-0A076E111E0C}"/>
            </c:ext>
          </c:extLst>
        </c:ser>
        <c:ser>
          <c:idx val="3"/>
          <c:order val="3"/>
          <c:spPr>
            <a:ln w="19050" cap="rnd">
              <a:solidFill>
                <a:schemeClr val="accent4"/>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BtrFS!$H$6:$Q$6</c:f>
              <c:numCache>
                <c:formatCode>General</c:formatCode>
                <c:ptCount val="10"/>
                <c:pt idx="0">
                  <c:v>3</c:v>
                </c:pt>
                <c:pt idx="1">
                  <c:v>222</c:v>
                </c:pt>
                <c:pt idx="2">
                  <c:v>6106</c:v>
                </c:pt>
                <c:pt idx="3">
                  <c:v>60409</c:v>
                </c:pt>
                <c:pt idx="4">
                  <c:v>241719</c:v>
                </c:pt>
                <c:pt idx="5">
                  <c:v>382809</c:v>
                </c:pt>
                <c:pt idx="6">
                  <c:v>242205</c:v>
                </c:pt>
                <c:pt idx="7">
                  <c:v>60345</c:v>
                </c:pt>
                <c:pt idx="8">
                  <c:v>5955</c:v>
                </c:pt>
                <c:pt idx="9">
                  <c:v>223</c:v>
                </c:pt>
              </c:numCache>
            </c:numRef>
          </c:yVal>
          <c:smooth val="1"/>
          <c:extLst>
            <c:ext xmlns:c16="http://schemas.microsoft.com/office/drawing/2014/chart" uri="{C3380CC4-5D6E-409C-BE32-E72D297353CC}">
              <c16:uniqueId val="{00000003-D204-2844-9A90-0A076E111E0C}"/>
            </c:ext>
          </c:extLst>
        </c:ser>
        <c:ser>
          <c:idx val="4"/>
          <c:order val="4"/>
          <c:spPr>
            <a:ln w="19050" cap="rnd">
              <a:solidFill>
                <a:schemeClr val="accent5"/>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BtrFS!$H$7:$Q$7</c:f>
              <c:numCache>
                <c:formatCode>General</c:formatCode>
                <c:ptCount val="10"/>
                <c:pt idx="0">
                  <c:v>29</c:v>
                </c:pt>
                <c:pt idx="1">
                  <c:v>2359</c:v>
                </c:pt>
                <c:pt idx="2">
                  <c:v>59474</c:v>
                </c:pt>
                <c:pt idx="3">
                  <c:v>604303</c:v>
                </c:pt>
                <c:pt idx="4">
                  <c:v>2416735</c:v>
                </c:pt>
                <c:pt idx="5">
                  <c:v>3830452</c:v>
                </c:pt>
                <c:pt idx="6">
                  <c:v>2417564</c:v>
                </c:pt>
                <c:pt idx="7">
                  <c:v>607302</c:v>
                </c:pt>
                <c:pt idx="8">
                  <c:v>59452</c:v>
                </c:pt>
                <c:pt idx="9">
                  <c:v>2295</c:v>
                </c:pt>
              </c:numCache>
            </c:numRef>
          </c:yVal>
          <c:smooth val="1"/>
          <c:extLst>
            <c:ext xmlns:c16="http://schemas.microsoft.com/office/drawing/2014/chart" uri="{C3380CC4-5D6E-409C-BE32-E72D297353CC}">
              <c16:uniqueId val="{00000004-D204-2844-9A90-0A076E111E0C}"/>
            </c:ext>
          </c:extLst>
        </c:ser>
        <c:ser>
          <c:idx val="5"/>
          <c:order val="5"/>
          <c:spPr>
            <a:ln w="19050" cap="rnd">
              <a:solidFill>
                <a:schemeClr val="accent6"/>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BtrFS!$H$8:$Q$8</c:f>
              <c:numCache>
                <c:formatCode>General</c:formatCode>
                <c:ptCount val="10"/>
                <c:pt idx="0">
                  <c:v>333</c:v>
                </c:pt>
                <c:pt idx="1">
                  <c:v>22663</c:v>
                </c:pt>
                <c:pt idx="2">
                  <c:v>597808</c:v>
                </c:pt>
                <c:pt idx="3">
                  <c:v>6055097</c:v>
                </c:pt>
                <c:pt idx="4">
                  <c:v>24178839</c:v>
                </c:pt>
                <c:pt idx="5">
                  <c:v>38290592</c:v>
                </c:pt>
                <c:pt idx="6">
                  <c:v>24172746</c:v>
                </c:pt>
                <c:pt idx="7">
                  <c:v>6060014</c:v>
                </c:pt>
                <c:pt idx="8">
                  <c:v>598601</c:v>
                </c:pt>
                <c:pt idx="9">
                  <c:v>22989</c:v>
                </c:pt>
              </c:numCache>
            </c:numRef>
          </c:yVal>
          <c:smooth val="1"/>
          <c:extLst>
            <c:ext xmlns:c16="http://schemas.microsoft.com/office/drawing/2014/chart" uri="{C3380CC4-5D6E-409C-BE32-E72D297353CC}">
              <c16:uniqueId val="{00000005-D204-2844-9A90-0A076E111E0C}"/>
            </c:ext>
          </c:extLst>
        </c:ser>
        <c:ser>
          <c:idx val="6"/>
          <c:order val="6"/>
          <c:spPr>
            <a:ln w="19050" cap="rnd">
              <a:solidFill>
                <a:schemeClr val="accent1">
                  <a:lumMod val="60000"/>
                </a:schemeClr>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BtrFS!$H$9:$Q$9</c:f>
              <c:numCache>
                <c:formatCode>General</c:formatCode>
                <c:ptCount val="10"/>
                <c:pt idx="0">
                  <c:v>343</c:v>
                </c:pt>
                <c:pt idx="1">
                  <c:v>22778</c:v>
                </c:pt>
                <c:pt idx="2">
                  <c:v>598627</c:v>
                </c:pt>
                <c:pt idx="3">
                  <c:v>6060609</c:v>
                </c:pt>
                <c:pt idx="4">
                  <c:v>24169589</c:v>
                </c:pt>
                <c:pt idx="5">
                  <c:v>38296968</c:v>
                </c:pt>
                <c:pt idx="6">
                  <c:v>24165294</c:v>
                </c:pt>
                <c:pt idx="7">
                  <c:v>6064474</c:v>
                </c:pt>
                <c:pt idx="8">
                  <c:v>598195</c:v>
                </c:pt>
                <c:pt idx="9">
                  <c:v>22744</c:v>
                </c:pt>
              </c:numCache>
            </c:numRef>
          </c:yVal>
          <c:smooth val="1"/>
          <c:extLst>
            <c:ext xmlns:c16="http://schemas.microsoft.com/office/drawing/2014/chart" uri="{C3380CC4-5D6E-409C-BE32-E72D297353CC}">
              <c16:uniqueId val="{00000006-D204-2844-9A90-0A076E111E0C}"/>
            </c:ext>
          </c:extLst>
        </c:ser>
        <c:ser>
          <c:idx val="7"/>
          <c:order val="7"/>
          <c:spPr>
            <a:ln w="19050" cap="rnd">
              <a:solidFill>
                <a:schemeClr val="accent2">
                  <a:lumMod val="60000"/>
                </a:schemeClr>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BtrFS!$H$10:$Q$10</c:f>
              <c:numCache>
                <c:formatCode>General</c:formatCode>
                <c:ptCount val="10"/>
                <c:pt idx="0">
                  <c:v>334</c:v>
                </c:pt>
                <c:pt idx="1">
                  <c:v>22705</c:v>
                </c:pt>
                <c:pt idx="2">
                  <c:v>598393</c:v>
                </c:pt>
                <c:pt idx="3">
                  <c:v>6057638</c:v>
                </c:pt>
                <c:pt idx="4">
                  <c:v>24171206</c:v>
                </c:pt>
                <c:pt idx="5">
                  <c:v>38297816</c:v>
                </c:pt>
                <c:pt idx="6">
                  <c:v>24173312</c:v>
                </c:pt>
                <c:pt idx="7">
                  <c:v>6057805</c:v>
                </c:pt>
                <c:pt idx="8">
                  <c:v>597347</c:v>
                </c:pt>
                <c:pt idx="9">
                  <c:v>23139</c:v>
                </c:pt>
              </c:numCache>
            </c:numRef>
          </c:yVal>
          <c:smooth val="1"/>
          <c:extLst>
            <c:ext xmlns:c16="http://schemas.microsoft.com/office/drawing/2014/chart" uri="{C3380CC4-5D6E-409C-BE32-E72D297353CC}">
              <c16:uniqueId val="{00000007-D204-2844-9A90-0A076E111E0C}"/>
            </c:ext>
          </c:extLst>
        </c:ser>
        <c:ser>
          <c:idx val="8"/>
          <c:order val="8"/>
          <c:spPr>
            <a:ln w="19050" cap="rnd">
              <a:solidFill>
                <a:schemeClr val="accent3">
                  <a:lumMod val="60000"/>
                </a:schemeClr>
              </a:solidFill>
              <a:round/>
            </a:ln>
            <a:effectLst/>
          </c:spPr>
          <c:marker>
            <c:symbol val="none"/>
          </c:marker>
          <c:xVal>
            <c:strRef>
              <c:f>BtrFS!$H$2:$Q$2</c:f>
              <c:strCache>
                <c:ptCount val="10"/>
                <c:pt idx="0">
                  <c:v>fs[0]</c:v>
                </c:pt>
                <c:pt idx="1">
                  <c:v>fs[1]</c:v>
                </c:pt>
                <c:pt idx="2">
                  <c:v>fs[2]</c:v>
                </c:pt>
                <c:pt idx="3">
                  <c:v>fs[3]</c:v>
                </c:pt>
                <c:pt idx="4">
                  <c:v>fs[4]</c:v>
                </c:pt>
                <c:pt idx="5">
                  <c:v>fs[5]</c:v>
                </c:pt>
                <c:pt idx="6">
                  <c:v>fs[6]</c:v>
                </c:pt>
                <c:pt idx="7">
                  <c:v>fs[7]</c:v>
                </c:pt>
                <c:pt idx="8">
                  <c:v>fs[8]</c:v>
                </c:pt>
                <c:pt idx="9">
                  <c:v>fs[9]</c:v>
                </c:pt>
              </c:strCache>
            </c:strRef>
          </c:xVal>
          <c:yVal>
            <c:numRef>
              <c:f>BtrFS!$H$11:$Q$11</c:f>
              <c:numCache>
                <c:formatCode>General</c:formatCode>
                <c:ptCount val="10"/>
                <c:pt idx="0">
                  <c:v>3392</c:v>
                </c:pt>
                <c:pt idx="1">
                  <c:v>229106</c:v>
                </c:pt>
                <c:pt idx="2">
                  <c:v>5976792</c:v>
                </c:pt>
                <c:pt idx="3">
                  <c:v>60601327</c:v>
                </c:pt>
                <c:pt idx="4">
                  <c:v>241738704</c:v>
                </c:pt>
                <c:pt idx="5">
                  <c:v>382925005</c:v>
                </c:pt>
                <c:pt idx="6">
                  <c:v>241717303</c:v>
                </c:pt>
                <c:pt idx="7">
                  <c:v>60598945</c:v>
                </c:pt>
                <c:pt idx="8">
                  <c:v>5977458</c:v>
                </c:pt>
                <c:pt idx="9">
                  <c:v>228493</c:v>
                </c:pt>
              </c:numCache>
            </c:numRef>
          </c:yVal>
          <c:smooth val="1"/>
          <c:extLst>
            <c:ext xmlns:c16="http://schemas.microsoft.com/office/drawing/2014/chart" uri="{C3380CC4-5D6E-409C-BE32-E72D297353CC}">
              <c16:uniqueId val="{00000008-D204-2844-9A90-0A076E111E0C}"/>
            </c:ext>
          </c:extLst>
        </c:ser>
        <c:dLbls>
          <c:showLegendKey val="0"/>
          <c:showVal val="0"/>
          <c:showCatName val="0"/>
          <c:showSerName val="0"/>
          <c:showPercent val="0"/>
          <c:showBubbleSize val="0"/>
        </c:dLbls>
        <c:axId val="1202529584"/>
        <c:axId val="1202063792"/>
      </c:scatterChart>
      <c:valAx>
        <c:axId val="12025295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63792"/>
        <c:crosses val="autoZero"/>
        <c:crossBetween val="midCat"/>
      </c:valAx>
      <c:valAx>
        <c:axId val="12020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2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61.xml"/><Relationship Id="rId13" Type="http://schemas.openxmlformats.org/officeDocument/2006/relationships/chart" Target="../charts/chart66.xml"/><Relationship Id="rId3" Type="http://schemas.openxmlformats.org/officeDocument/2006/relationships/chart" Target="../charts/chart56.xml"/><Relationship Id="rId7" Type="http://schemas.openxmlformats.org/officeDocument/2006/relationships/chart" Target="../charts/chart60.xml"/><Relationship Id="rId12" Type="http://schemas.openxmlformats.org/officeDocument/2006/relationships/chart" Target="../charts/chart65.xml"/><Relationship Id="rId2" Type="http://schemas.openxmlformats.org/officeDocument/2006/relationships/chart" Target="../charts/chart55.xml"/><Relationship Id="rId1" Type="http://schemas.openxmlformats.org/officeDocument/2006/relationships/chart" Target="../charts/chart54.xml"/><Relationship Id="rId6" Type="http://schemas.openxmlformats.org/officeDocument/2006/relationships/chart" Target="../charts/chart59.xml"/><Relationship Id="rId11" Type="http://schemas.openxmlformats.org/officeDocument/2006/relationships/chart" Target="../charts/chart64.xml"/><Relationship Id="rId5" Type="http://schemas.openxmlformats.org/officeDocument/2006/relationships/chart" Target="../charts/chart58.xml"/><Relationship Id="rId15" Type="http://schemas.openxmlformats.org/officeDocument/2006/relationships/chart" Target="../charts/chart68.xml"/><Relationship Id="rId10" Type="http://schemas.openxmlformats.org/officeDocument/2006/relationships/chart" Target="../charts/chart63.xml"/><Relationship Id="rId4" Type="http://schemas.openxmlformats.org/officeDocument/2006/relationships/chart" Target="../charts/chart57.xml"/><Relationship Id="rId9" Type="http://schemas.openxmlformats.org/officeDocument/2006/relationships/chart" Target="../charts/chart62.xml"/><Relationship Id="rId14"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5" Type="http://schemas.openxmlformats.org/officeDocument/2006/relationships/chart" Target="../charts/chart73.xml"/><Relationship Id="rId4" Type="http://schemas.openxmlformats.org/officeDocument/2006/relationships/chart" Target="../charts/chart7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1</xdr:col>
      <xdr:colOff>641350</xdr:colOff>
      <xdr:row>19</xdr:row>
      <xdr:rowOff>38100</xdr:rowOff>
    </xdr:from>
    <xdr:to>
      <xdr:col>13</xdr:col>
      <xdr:colOff>12700</xdr:colOff>
      <xdr:row>37</xdr:row>
      <xdr:rowOff>63500</xdr:rowOff>
    </xdr:to>
    <xdr:graphicFrame macro="">
      <xdr:nvGraphicFramePr>
        <xdr:cNvPr id="2" name="Chart 1">
          <a:extLst>
            <a:ext uri="{FF2B5EF4-FFF2-40B4-BE49-F238E27FC236}">
              <a16:creationId xmlns:a16="http://schemas.microsoft.com/office/drawing/2014/main" id="{7C7DC733-943A-6F4E-BD95-7F7132F91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12700</xdr:colOff>
      <xdr:row>19</xdr:row>
      <xdr:rowOff>12700</xdr:rowOff>
    </xdr:from>
    <xdr:to>
      <xdr:col>29</xdr:col>
      <xdr:colOff>254000</xdr:colOff>
      <xdr:row>37</xdr:row>
      <xdr:rowOff>101600</xdr:rowOff>
    </xdr:to>
    <xdr:graphicFrame macro="">
      <xdr:nvGraphicFramePr>
        <xdr:cNvPr id="3" name="Chart 2">
          <a:extLst>
            <a:ext uri="{FF2B5EF4-FFF2-40B4-BE49-F238E27FC236}">
              <a16:creationId xmlns:a16="http://schemas.microsoft.com/office/drawing/2014/main" id="{6FDFABEB-D384-0E4E-BA1D-85DD1379B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127000</xdr:colOff>
      <xdr:row>19</xdr:row>
      <xdr:rowOff>25400</xdr:rowOff>
    </xdr:from>
    <xdr:to>
      <xdr:col>43</xdr:col>
      <xdr:colOff>38100</xdr:colOff>
      <xdr:row>37</xdr:row>
      <xdr:rowOff>88900</xdr:rowOff>
    </xdr:to>
    <xdr:graphicFrame macro="">
      <xdr:nvGraphicFramePr>
        <xdr:cNvPr id="4" name="Chart 3">
          <a:extLst>
            <a:ext uri="{FF2B5EF4-FFF2-40B4-BE49-F238E27FC236}">
              <a16:creationId xmlns:a16="http://schemas.microsoft.com/office/drawing/2014/main" id="{6E5E1523-96E8-3946-AE26-E4387785C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8</xdr:row>
      <xdr:rowOff>0</xdr:rowOff>
    </xdr:from>
    <xdr:to>
      <xdr:col>17</xdr:col>
      <xdr:colOff>101600</xdr:colOff>
      <xdr:row>14</xdr:row>
      <xdr:rowOff>6350</xdr:rowOff>
    </xdr:to>
    <xdr:graphicFrame macro="">
      <xdr:nvGraphicFramePr>
        <xdr:cNvPr id="2" name="Chart 1">
          <a:extLst>
            <a:ext uri="{FF2B5EF4-FFF2-40B4-BE49-F238E27FC236}">
              <a16:creationId xmlns:a16="http://schemas.microsoft.com/office/drawing/2014/main" id="{351D4D3F-243C-1316-9D62-FE7B1B33E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8</xdr:row>
      <xdr:rowOff>393700</xdr:rowOff>
    </xdr:from>
    <xdr:to>
      <xdr:col>34</xdr:col>
      <xdr:colOff>127000</xdr:colOff>
      <xdr:row>16</xdr:row>
      <xdr:rowOff>120650</xdr:rowOff>
    </xdr:to>
    <xdr:graphicFrame macro="">
      <xdr:nvGraphicFramePr>
        <xdr:cNvPr id="3" name="Chart 2">
          <a:extLst>
            <a:ext uri="{FF2B5EF4-FFF2-40B4-BE49-F238E27FC236}">
              <a16:creationId xmlns:a16="http://schemas.microsoft.com/office/drawing/2014/main" id="{CCA4D2B0-7D75-3D79-7AA3-9CC9C82FA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25400</xdr:colOff>
      <xdr:row>8</xdr:row>
      <xdr:rowOff>406400</xdr:rowOff>
    </xdr:from>
    <xdr:to>
      <xdr:col>54</xdr:col>
      <xdr:colOff>0</xdr:colOff>
      <xdr:row>20</xdr:row>
      <xdr:rowOff>120650</xdr:rowOff>
    </xdr:to>
    <xdr:graphicFrame macro="">
      <xdr:nvGraphicFramePr>
        <xdr:cNvPr id="4" name="Chart 3">
          <a:extLst>
            <a:ext uri="{FF2B5EF4-FFF2-40B4-BE49-F238E27FC236}">
              <a16:creationId xmlns:a16="http://schemas.microsoft.com/office/drawing/2014/main" id="{813D6664-BF35-C8B4-42C1-28570EA3A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36</xdr:col>
      <xdr:colOff>107950</xdr:colOff>
      <xdr:row>21</xdr:row>
      <xdr:rowOff>50800</xdr:rowOff>
    </xdr:from>
    <xdr:to>
      <xdr:col>45</xdr:col>
      <xdr:colOff>596900</xdr:colOff>
      <xdr:row>47</xdr:row>
      <xdr:rowOff>50800</xdr:rowOff>
    </xdr:to>
    <xdr:graphicFrame macro="">
      <xdr:nvGraphicFramePr>
        <xdr:cNvPr id="2" name="Chart 1">
          <a:extLst>
            <a:ext uri="{FF2B5EF4-FFF2-40B4-BE49-F238E27FC236}">
              <a16:creationId xmlns:a16="http://schemas.microsoft.com/office/drawing/2014/main" id="{9041D96B-08C5-A800-3CF3-8189689C1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9</xdr:row>
      <xdr:rowOff>0</xdr:rowOff>
    </xdr:from>
    <xdr:to>
      <xdr:col>33</xdr:col>
      <xdr:colOff>0</xdr:colOff>
      <xdr:row>38</xdr:row>
      <xdr:rowOff>76200</xdr:rowOff>
    </xdr:to>
    <xdr:graphicFrame macro="">
      <xdr:nvGraphicFramePr>
        <xdr:cNvPr id="3" name="Chart 2">
          <a:extLst>
            <a:ext uri="{FF2B5EF4-FFF2-40B4-BE49-F238E27FC236}">
              <a16:creationId xmlns:a16="http://schemas.microsoft.com/office/drawing/2014/main" id="{A33B3D19-F116-2302-B8CE-889E46FE5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241300</xdr:colOff>
      <xdr:row>8</xdr:row>
      <xdr:rowOff>88900</xdr:rowOff>
    </xdr:from>
    <xdr:to>
      <xdr:col>17</xdr:col>
      <xdr:colOff>63500</xdr:colOff>
      <xdr:row>21</xdr:row>
      <xdr:rowOff>190500</xdr:rowOff>
    </xdr:to>
    <xdr:graphicFrame macro="">
      <xdr:nvGraphicFramePr>
        <xdr:cNvPr id="2" name="Chart 1">
          <a:extLst>
            <a:ext uri="{FF2B5EF4-FFF2-40B4-BE49-F238E27FC236}">
              <a16:creationId xmlns:a16="http://schemas.microsoft.com/office/drawing/2014/main" id="{085A63ED-E3C6-F20F-6657-6B0040BAB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8</xdr:row>
      <xdr:rowOff>88900</xdr:rowOff>
    </xdr:from>
    <xdr:to>
      <xdr:col>34</xdr:col>
      <xdr:colOff>127000</xdr:colOff>
      <xdr:row>21</xdr:row>
      <xdr:rowOff>190500</xdr:rowOff>
    </xdr:to>
    <xdr:graphicFrame macro="">
      <xdr:nvGraphicFramePr>
        <xdr:cNvPr id="3" name="Chart 2">
          <a:extLst>
            <a:ext uri="{FF2B5EF4-FFF2-40B4-BE49-F238E27FC236}">
              <a16:creationId xmlns:a16="http://schemas.microsoft.com/office/drawing/2014/main" id="{7C3EFE3F-C876-1376-ADED-2121E76D1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0</xdr:colOff>
      <xdr:row>8</xdr:row>
      <xdr:rowOff>127000</xdr:rowOff>
    </xdr:from>
    <xdr:to>
      <xdr:col>52</xdr:col>
      <xdr:colOff>101600</xdr:colOff>
      <xdr:row>22</xdr:row>
      <xdr:rowOff>25400</xdr:rowOff>
    </xdr:to>
    <xdr:graphicFrame macro="">
      <xdr:nvGraphicFramePr>
        <xdr:cNvPr id="4" name="Chart 3">
          <a:extLst>
            <a:ext uri="{FF2B5EF4-FFF2-40B4-BE49-F238E27FC236}">
              <a16:creationId xmlns:a16="http://schemas.microsoft.com/office/drawing/2014/main" id="{0C69A761-9DCF-5294-31E7-C0705E934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196850</xdr:colOff>
      <xdr:row>9</xdr:row>
      <xdr:rowOff>12700</xdr:rowOff>
    </xdr:from>
    <xdr:to>
      <xdr:col>32</xdr:col>
      <xdr:colOff>266700</xdr:colOff>
      <xdr:row>31</xdr:row>
      <xdr:rowOff>190500</xdr:rowOff>
    </xdr:to>
    <xdr:graphicFrame macro="">
      <xdr:nvGraphicFramePr>
        <xdr:cNvPr id="2" name="Chart 1">
          <a:extLst>
            <a:ext uri="{FF2B5EF4-FFF2-40B4-BE49-F238E27FC236}">
              <a16:creationId xmlns:a16="http://schemas.microsoft.com/office/drawing/2014/main" id="{E893221D-83D6-A91D-455D-311A5094D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215900</xdr:colOff>
      <xdr:row>7</xdr:row>
      <xdr:rowOff>139700</xdr:rowOff>
    </xdr:from>
    <xdr:to>
      <xdr:col>17</xdr:col>
      <xdr:colOff>38100</xdr:colOff>
      <xdr:row>21</xdr:row>
      <xdr:rowOff>38100</xdr:rowOff>
    </xdr:to>
    <xdr:graphicFrame macro="">
      <xdr:nvGraphicFramePr>
        <xdr:cNvPr id="2" name="Chart 1">
          <a:extLst>
            <a:ext uri="{FF2B5EF4-FFF2-40B4-BE49-F238E27FC236}">
              <a16:creationId xmlns:a16="http://schemas.microsoft.com/office/drawing/2014/main" id="{B3C7D848-69C2-8AD4-CBE5-32A28FF4C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7</xdr:row>
      <xdr:rowOff>152400</xdr:rowOff>
    </xdr:from>
    <xdr:to>
      <xdr:col>34</xdr:col>
      <xdr:colOff>101600</xdr:colOff>
      <xdr:row>21</xdr:row>
      <xdr:rowOff>50800</xdr:rowOff>
    </xdr:to>
    <xdr:graphicFrame macro="">
      <xdr:nvGraphicFramePr>
        <xdr:cNvPr id="3" name="Chart 2">
          <a:extLst>
            <a:ext uri="{FF2B5EF4-FFF2-40B4-BE49-F238E27FC236}">
              <a16:creationId xmlns:a16="http://schemas.microsoft.com/office/drawing/2014/main" id="{296197BE-C69E-0134-DA97-E5E546DFD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25400</xdr:colOff>
      <xdr:row>8</xdr:row>
      <xdr:rowOff>0</xdr:rowOff>
    </xdr:from>
    <xdr:to>
      <xdr:col>59</xdr:col>
      <xdr:colOff>0</xdr:colOff>
      <xdr:row>27</xdr:row>
      <xdr:rowOff>63500</xdr:rowOff>
    </xdr:to>
    <xdr:graphicFrame macro="">
      <xdr:nvGraphicFramePr>
        <xdr:cNvPr id="4" name="Chart 3">
          <a:extLst>
            <a:ext uri="{FF2B5EF4-FFF2-40B4-BE49-F238E27FC236}">
              <a16:creationId xmlns:a16="http://schemas.microsoft.com/office/drawing/2014/main" id="{082F45FA-EA44-3BD2-DBD1-C0B90470B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xdr:colOff>
      <xdr:row>10</xdr:row>
      <xdr:rowOff>25400</xdr:rowOff>
    </xdr:from>
    <xdr:to>
      <xdr:col>31</xdr:col>
      <xdr:colOff>266700</xdr:colOff>
      <xdr:row>27</xdr:row>
      <xdr:rowOff>50800</xdr:rowOff>
    </xdr:to>
    <xdr:graphicFrame macro="">
      <xdr:nvGraphicFramePr>
        <xdr:cNvPr id="2" name="Chart 1">
          <a:extLst>
            <a:ext uri="{FF2B5EF4-FFF2-40B4-BE49-F238E27FC236}">
              <a16:creationId xmlns:a16="http://schemas.microsoft.com/office/drawing/2014/main" id="{34A68250-FAB9-EC2D-56EF-6BA019733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44</xdr:col>
      <xdr:colOff>9768</xdr:colOff>
      <xdr:row>51</xdr:row>
      <xdr:rowOff>7815</xdr:rowOff>
    </xdr:from>
    <xdr:to>
      <xdr:col>57</xdr:col>
      <xdr:colOff>134936</xdr:colOff>
      <xdr:row>65</xdr:row>
      <xdr:rowOff>23813</xdr:rowOff>
    </xdr:to>
    <xdr:graphicFrame macro="">
      <xdr:nvGraphicFramePr>
        <xdr:cNvPr id="3" name="Chart 2">
          <a:extLst>
            <a:ext uri="{FF2B5EF4-FFF2-40B4-BE49-F238E27FC236}">
              <a16:creationId xmlns:a16="http://schemas.microsoft.com/office/drawing/2014/main" id="{F7779FBA-2B4A-2723-254C-28E3957E1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196850</xdr:colOff>
      <xdr:row>64</xdr:row>
      <xdr:rowOff>61383</xdr:rowOff>
    </xdr:from>
    <xdr:to>
      <xdr:col>41</xdr:col>
      <xdr:colOff>165100</xdr:colOff>
      <xdr:row>70</xdr:row>
      <xdr:rowOff>25400</xdr:rowOff>
    </xdr:to>
    <xdr:graphicFrame macro="">
      <xdr:nvGraphicFramePr>
        <xdr:cNvPr id="4" name="Chart 3">
          <a:extLst>
            <a:ext uri="{FF2B5EF4-FFF2-40B4-BE49-F238E27FC236}">
              <a16:creationId xmlns:a16="http://schemas.microsoft.com/office/drawing/2014/main" id="{3E8FAC85-321C-190B-86D5-0A181C31C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98421</xdr:colOff>
      <xdr:row>115</xdr:row>
      <xdr:rowOff>138644</xdr:rowOff>
    </xdr:from>
    <xdr:to>
      <xdr:col>15</xdr:col>
      <xdr:colOff>141814</xdr:colOff>
      <xdr:row>117</xdr:row>
      <xdr:rowOff>46569</xdr:rowOff>
    </xdr:to>
    <xdr:sp macro="" textlink="">
      <xdr:nvSpPr>
        <xdr:cNvPr id="8" name="Right Brace 7">
          <a:extLst>
            <a:ext uri="{FF2B5EF4-FFF2-40B4-BE49-F238E27FC236}">
              <a16:creationId xmlns:a16="http://schemas.microsoft.com/office/drawing/2014/main" id="{3C5D44E2-C959-C0B8-79D4-0F5CE7910398}"/>
            </a:ext>
          </a:extLst>
        </xdr:cNvPr>
        <xdr:cNvSpPr/>
      </xdr:nvSpPr>
      <xdr:spPr>
        <a:xfrm rot="16200000">
          <a:off x="2896655" y="38069310"/>
          <a:ext cx="314325" cy="2557993"/>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46</xdr:col>
      <xdr:colOff>84666</xdr:colOff>
      <xdr:row>68</xdr:row>
      <xdr:rowOff>19050</xdr:rowOff>
    </xdr:from>
    <xdr:to>
      <xdr:col>69</xdr:col>
      <xdr:colOff>211666</xdr:colOff>
      <xdr:row>90</xdr:row>
      <xdr:rowOff>129116</xdr:rowOff>
    </xdr:to>
    <xdr:graphicFrame macro="">
      <xdr:nvGraphicFramePr>
        <xdr:cNvPr id="10" name="Chart 9">
          <a:extLst>
            <a:ext uri="{FF2B5EF4-FFF2-40B4-BE49-F238E27FC236}">
              <a16:creationId xmlns:a16="http://schemas.microsoft.com/office/drawing/2014/main" id="{851D400F-EA31-CD63-DDD5-711CD1614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220134</xdr:colOff>
      <xdr:row>69</xdr:row>
      <xdr:rowOff>6351</xdr:rowOff>
    </xdr:from>
    <xdr:to>
      <xdr:col>92</xdr:col>
      <xdr:colOff>569384</xdr:colOff>
      <xdr:row>75</xdr:row>
      <xdr:rowOff>69850</xdr:rowOff>
    </xdr:to>
    <xdr:graphicFrame macro="">
      <xdr:nvGraphicFramePr>
        <xdr:cNvPr id="2" name="Chart 1">
          <a:extLst>
            <a:ext uri="{FF2B5EF4-FFF2-40B4-BE49-F238E27FC236}">
              <a16:creationId xmlns:a16="http://schemas.microsoft.com/office/drawing/2014/main" id="{B10F7D0E-8513-DDB8-0436-BA6D91E91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218017</xdr:colOff>
      <xdr:row>78</xdr:row>
      <xdr:rowOff>95250</xdr:rowOff>
    </xdr:from>
    <xdr:to>
      <xdr:col>92</xdr:col>
      <xdr:colOff>548217</xdr:colOff>
      <xdr:row>85</xdr:row>
      <xdr:rowOff>173567</xdr:rowOff>
    </xdr:to>
    <xdr:graphicFrame macro="">
      <xdr:nvGraphicFramePr>
        <xdr:cNvPr id="5" name="Chart 4">
          <a:extLst>
            <a:ext uri="{FF2B5EF4-FFF2-40B4-BE49-F238E27FC236}">
              <a16:creationId xmlns:a16="http://schemas.microsoft.com/office/drawing/2014/main" id="{D7EE91FC-6C49-5186-AF82-4AB957117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73</xdr:col>
      <xdr:colOff>139700</xdr:colOff>
      <xdr:row>88</xdr:row>
      <xdr:rowOff>158750</xdr:rowOff>
    </xdr:from>
    <xdr:to>
      <xdr:col>93</xdr:col>
      <xdr:colOff>118533</xdr:colOff>
      <xdr:row>96</xdr:row>
      <xdr:rowOff>63499</xdr:rowOff>
    </xdr:to>
    <xdr:graphicFrame macro="">
      <xdr:nvGraphicFramePr>
        <xdr:cNvPr id="6" name="Chart 5">
          <a:extLst>
            <a:ext uri="{FF2B5EF4-FFF2-40B4-BE49-F238E27FC236}">
              <a16:creationId xmlns:a16="http://schemas.microsoft.com/office/drawing/2014/main" id="{77396F4F-9D85-515E-030D-9F8D19CC6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22431</xdr:colOff>
      <xdr:row>81</xdr:row>
      <xdr:rowOff>185981</xdr:rowOff>
    </xdr:from>
    <xdr:to>
      <xdr:col>44</xdr:col>
      <xdr:colOff>231276</xdr:colOff>
      <xdr:row>98</xdr:row>
      <xdr:rowOff>122718</xdr:rowOff>
    </xdr:to>
    <xdr:graphicFrame macro="">
      <xdr:nvGraphicFramePr>
        <xdr:cNvPr id="7" name="Chart 6">
          <a:extLst>
            <a:ext uri="{FF2B5EF4-FFF2-40B4-BE49-F238E27FC236}">
              <a16:creationId xmlns:a16="http://schemas.microsoft.com/office/drawing/2014/main" id="{D711D9D4-1E0E-4D40-1C03-65C57953A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96</xdr:col>
      <xdr:colOff>165292</xdr:colOff>
      <xdr:row>10</xdr:row>
      <xdr:rowOff>1150845</xdr:rowOff>
    </xdr:from>
    <xdr:to>
      <xdr:col>104</xdr:col>
      <xdr:colOff>694624</xdr:colOff>
      <xdr:row>12</xdr:row>
      <xdr:rowOff>304801</xdr:rowOff>
    </xdr:to>
    <xdr:graphicFrame macro="">
      <xdr:nvGraphicFramePr>
        <xdr:cNvPr id="16" name="Chart 15">
          <a:extLst>
            <a:ext uri="{FF2B5EF4-FFF2-40B4-BE49-F238E27FC236}">
              <a16:creationId xmlns:a16="http://schemas.microsoft.com/office/drawing/2014/main" id="{81EB8336-4830-9C4D-C5C4-FACCB1477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96</xdr:col>
      <xdr:colOff>167215</xdr:colOff>
      <xdr:row>12</xdr:row>
      <xdr:rowOff>414867</xdr:rowOff>
    </xdr:from>
    <xdr:to>
      <xdr:col>104</xdr:col>
      <xdr:colOff>702732</xdr:colOff>
      <xdr:row>13</xdr:row>
      <xdr:rowOff>814918</xdr:rowOff>
    </xdr:to>
    <xdr:graphicFrame macro="">
      <xdr:nvGraphicFramePr>
        <xdr:cNvPr id="17" name="Chart 16">
          <a:extLst>
            <a:ext uri="{FF2B5EF4-FFF2-40B4-BE49-F238E27FC236}">
              <a16:creationId xmlns:a16="http://schemas.microsoft.com/office/drawing/2014/main" id="{CB2199B9-E7F5-063E-915B-C2AC15389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96</xdr:col>
      <xdr:colOff>165100</xdr:colOff>
      <xdr:row>13</xdr:row>
      <xdr:rowOff>855133</xdr:rowOff>
    </xdr:from>
    <xdr:to>
      <xdr:col>104</xdr:col>
      <xdr:colOff>704849</xdr:colOff>
      <xdr:row>14</xdr:row>
      <xdr:rowOff>1234017</xdr:rowOff>
    </xdr:to>
    <xdr:graphicFrame macro="">
      <xdr:nvGraphicFramePr>
        <xdr:cNvPr id="18" name="Chart 17">
          <a:extLst>
            <a:ext uri="{FF2B5EF4-FFF2-40B4-BE49-F238E27FC236}">
              <a16:creationId xmlns:a16="http://schemas.microsoft.com/office/drawing/2014/main" id="{5246F3DF-BE47-5AB7-27A9-CD7E25FC3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144992</xdr:colOff>
      <xdr:row>63</xdr:row>
      <xdr:rowOff>21172</xdr:rowOff>
    </xdr:from>
    <xdr:to>
      <xdr:col>85</xdr:col>
      <xdr:colOff>122979</xdr:colOff>
      <xdr:row>66</xdr:row>
      <xdr:rowOff>131234</xdr:rowOff>
    </xdr:to>
    <xdr:graphicFrame macro="">
      <xdr:nvGraphicFramePr>
        <xdr:cNvPr id="19" name="Chart 18">
          <a:extLst>
            <a:ext uri="{FF2B5EF4-FFF2-40B4-BE49-F238E27FC236}">
              <a16:creationId xmlns:a16="http://schemas.microsoft.com/office/drawing/2014/main" id="{6AF26206-E65C-6A37-8383-5A627D008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150284</xdr:colOff>
      <xdr:row>50</xdr:row>
      <xdr:rowOff>173566</xdr:rowOff>
    </xdr:from>
    <xdr:to>
      <xdr:col>85</xdr:col>
      <xdr:colOff>128271</xdr:colOff>
      <xdr:row>63</xdr:row>
      <xdr:rowOff>13970</xdr:rowOff>
    </xdr:to>
    <xdr:graphicFrame macro="">
      <xdr:nvGraphicFramePr>
        <xdr:cNvPr id="20" name="Chart 19">
          <a:extLst>
            <a:ext uri="{FF2B5EF4-FFF2-40B4-BE49-F238E27FC236}">
              <a16:creationId xmlns:a16="http://schemas.microsoft.com/office/drawing/2014/main" id="{B34CEE83-1F56-BD2B-5394-A7CC3B01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165100</xdr:colOff>
      <xdr:row>33</xdr:row>
      <xdr:rowOff>177800</xdr:rowOff>
    </xdr:from>
    <xdr:to>
      <xdr:col>85</xdr:col>
      <xdr:colOff>114300</xdr:colOff>
      <xdr:row>48</xdr:row>
      <xdr:rowOff>177800</xdr:rowOff>
    </xdr:to>
    <xdr:graphicFrame macro="">
      <xdr:nvGraphicFramePr>
        <xdr:cNvPr id="9" name="Chart 8">
          <a:extLst>
            <a:ext uri="{FF2B5EF4-FFF2-40B4-BE49-F238E27FC236}">
              <a16:creationId xmlns:a16="http://schemas.microsoft.com/office/drawing/2014/main" id="{CCC0945D-3776-6506-7F6A-39A2B5F27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69</xdr:col>
      <xdr:colOff>193430</xdr:colOff>
      <xdr:row>35</xdr:row>
      <xdr:rowOff>165100</xdr:rowOff>
    </xdr:from>
    <xdr:to>
      <xdr:col>84</xdr:col>
      <xdr:colOff>79131</xdr:colOff>
      <xdr:row>45</xdr:row>
      <xdr:rowOff>190501</xdr:rowOff>
    </xdr:to>
    <xdr:graphicFrame macro="">
      <xdr:nvGraphicFramePr>
        <xdr:cNvPr id="11" name="Chart 10">
          <a:extLst>
            <a:ext uri="{FF2B5EF4-FFF2-40B4-BE49-F238E27FC236}">
              <a16:creationId xmlns:a16="http://schemas.microsoft.com/office/drawing/2014/main" id="{D89FB82B-AA91-A05C-20BB-4BD3F2023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96</xdr:col>
      <xdr:colOff>165100</xdr:colOff>
      <xdr:row>6</xdr:row>
      <xdr:rowOff>419100</xdr:rowOff>
    </xdr:from>
    <xdr:to>
      <xdr:col>104</xdr:col>
      <xdr:colOff>679450</xdr:colOff>
      <xdr:row>10</xdr:row>
      <xdr:rowOff>1087967</xdr:rowOff>
    </xdr:to>
    <xdr:graphicFrame macro="">
      <xdr:nvGraphicFramePr>
        <xdr:cNvPr id="21" name="Chart 20">
          <a:extLst>
            <a:ext uri="{FF2B5EF4-FFF2-40B4-BE49-F238E27FC236}">
              <a16:creationId xmlns:a16="http://schemas.microsoft.com/office/drawing/2014/main" id="{17D98827-00E8-FC45-94C4-4F8C93E88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96</xdr:col>
      <xdr:colOff>629202</xdr:colOff>
      <xdr:row>39</xdr:row>
      <xdr:rowOff>39626</xdr:rowOff>
    </xdr:from>
    <xdr:to>
      <xdr:col>99</xdr:col>
      <xdr:colOff>378874</xdr:colOff>
      <xdr:row>40</xdr:row>
      <xdr:rowOff>130477</xdr:rowOff>
    </xdr:to>
    <xdr:sp macro="" textlink="">
      <xdr:nvSpPr>
        <xdr:cNvPr id="13" name="Down Arrow 12">
          <a:extLst>
            <a:ext uri="{FF2B5EF4-FFF2-40B4-BE49-F238E27FC236}">
              <a16:creationId xmlns:a16="http://schemas.microsoft.com/office/drawing/2014/main" id="{A51FC411-C9CF-BF94-B7FC-D0FCFB0901FA}"/>
            </a:ext>
          </a:extLst>
        </xdr:cNvPr>
        <xdr:cNvSpPr/>
      </xdr:nvSpPr>
      <xdr:spPr>
        <a:xfrm rot="14005108">
          <a:off x="31275162" y="22682866"/>
          <a:ext cx="294051" cy="2226172"/>
        </a:xfrm>
        <a:prstGeom prst="downArrow">
          <a:avLst>
            <a:gd name="adj1" fmla="val 49655"/>
            <a:gd name="adj2" fmla="val 50000"/>
          </a:avLst>
        </a:prstGeom>
        <a:solidFill>
          <a:schemeClr val="bg1">
            <a:lumMod val="85000"/>
            <a:alpha val="30179"/>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77</xdr:col>
      <xdr:colOff>87924</xdr:colOff>
      <xdr:row>36</xdr:row>
      <xdr:rowOff>107463</xdr:rowOff>
    </xdr:from>
    <xdr:to>
      <xdr:col>84</xdr:col>
      <xdr:colOff>29307</xdr:colOff>
      <xdr:row>38</xdr:row>
      <xdr:rowOff>78155</xdr:rowOff>
    </xdr:to>
    <xdr:sp macro="" textlink="">
      <xdr:nvSpPr>
        <xdr:cNvPr id="14" name="TextBox 13">
          <a:extLst>
            <a:ext uri="{FF2B5EF4-FFF2-40B4-BE49-F238E27FC236}">
              <a16:creationId xmlns:a16="http://schemas.microsoft.com/office/drawing/2014/main" id="{F0B1327B-1445-9C1E-27AC-5CA6ACCB8900}"/>
            </a:ext>
          </a:extLst>
        </xdr:cNvPr>
        <xdr:cNvSpPr txBox="1"/>
      </xdr:nvSpPr>
      <xdr:spPr>
        <a:xfrm>
          <a:off x="21902616" y="23114001"/>
          <a:ext cx="192453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75000"/>
                </a:schemeClr>
              </a:solidFill>
            </a:rPr>
            <a:t>100 Million</a:t>
          </a:r>
          <a:r>
            <a:rPr lang="en-US" sz="1600" b="1" baseline="0">
              <a:solidFill>
                <a:schemeClr val="accent6">
                  <a:lumMod val="75000"/>
                </a:schemeClr>
              </a:solidFill>
            </a:rPr>
            <a:t> Files</a:t>
          </a:r>
          <a:endParaRPr lang="en-US" sz="1600" b="1">
            <a:solidFill>
              <a:schemeClr val="accent6">
                <a:lumMod val="75000"/>
              </a:schemeClr>
            </a:solidFill>
          </a:endParaRPr>
        </a:p>
      </xdr:txBody>
    </xdr:sp>
    <xdr:clientData/>
  </xdr:twoCellAnchor>
  <xdr:twoCellAnchor>
    <xdr:from>
      <xdr:col>59</xdr:col>
      <xdr:colOff>269632</xdr:colOff>
      <xdr:row>37</xdr:row>
      <xdr:rowOff>191477</xdr:rowOff>
    </xdr:from>
    <xdr:to>
      <xdr:col>63</xdr:col>
      <xdr:colOff>166076</xdr:colOff>
      <xdr:row>40</xdr:row>
      <xdr:rowOff>166078</xdr:rowOff>
    </xdr:to>
    <xdr:sp macro="" textlink="">
      <xdr:nvSpPr>
        <xdr:cNvPr id="22" name="TextBox 21">
          <a:extLst>
            <a:ext uri="{FF2B5EF4-FFF2-40B4-BE49-F238E27FC236}">
              <a16:creationId xmlns:a16="http://schemas.microsoft.com/office/drawing/2014/main" id="{47388285-6355-5E4B-AD2C-C14CF94AF417}"/>
            </a:ext>
          </a:extLst>
        </xdr:cNvPr>
        <xdr:cNvSpPr txBox="1"/>
      </xdr:nvSpPr>
      <xdr:spPr>
        <a:xfrm>
          <a:off x="16984786" y="23403169"/>
          <a:ext cx="1029675" cy="590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75000"/>
                </a:schemeClr>
              </a:solidFill>
            </a:rPr>
            <a:t>1 Billion</a:t>
          </a:r>
          <a:r>
            <a:rPr lang="en-US" sz="1600" b="1" baseline="0">
              <a:solidFill>
                <a:schemeClr val="accent6">
                  <a:lumMod val="75000"/>
                </a:schemeClr>
              </a:solidFill>
            </a:rPr>
            <a:t> Files</a:t>
          </a:r>
          <a:endParaRPr lang="en-US" sz="1600" b="1">
            <a:solidFill>
              <a:schemeClr val="accent6">
                <a:lumMod val="75000"/>
              </a:schemeClr>
            </a:solidFill>
          </a:endParaRPr>
        </a:p>
      </xdr:txBody>
    </xdr:sp>
    <xdr:clientData/>
  </xdr:twoCellAnchor>
  <xdr:twoCellAnchor>
    <xdr:from>
      <xdr:col>69</xdr:col>
      <xdr:colOff>260839</xdr:colOff>
      <xdr:row>47</xdr:row>
      <xdr:rowOff>125045</xdr:rowOff>
    </xdr:from>
    <xdr:to>
      <xdr:col>77</xdr:col>
      <xdr:colOff>140677</xdr:colOff>
      <xdr:row>49</xdr:row>
      <xdr:rowOff>39075</xdr:rowOff>
    </xdr:to>
    <xdr:sp macro="" textlink="">
      <xdr:nvSpPr>
        <xdr:cNvPr id="15" name="TextBox 14">
          <a:extLst>
            <a:ext uri="{FF2B5EF4-FFF2-40B4-BE49-F238E27FC236}">
              <a16:creationId xmlns:a16="http://schemas.microsoft.com/office/drawing/2014/main" id="{F8CF0534-A228-6E1C-0D37-EAA2BDE5AED6}"/>
            </a:ext>
          </a:extLst>
        </xdr:cNvPr>
        <xdr:cNvSpPr txBox="1"/>
      </xdr:nvSpPr>
      <xdr:spPr>
        <a:xfrm>
          <a:off x="19539439" y="25359945"/>
          <a:ext cx="2115038" cy="320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lumMod val="50000"/>
                </a:schemeClr>
              </a:solidFill>
            </a:rPr>
            <a:t>Buckets</a:t>
          </a:r>
        </a:p>
      </xdr:txBody>
    </xdr:sp>
    <xdr:clientData/>
  </xdr:twoCellAnchor>
  <xdr:twoCellAnchor>
    <xdr:from>
      <xdr:col>78</xdr:col>
      <xdr:colOff>222738</xdr:colOff>
      <xdr:row>43</xdr:row>
      <xdr:rowOff>44286</xdr:rowOff>
    </xdr:from>
    <xdr:to>
      <xdr:col>83</xdr:col>
      <xdr:colOff>128303</xdr:colOff>
      <xdr:row>44</xdr:row>
      <xdr:rowOff>161517</xdr:rowOff>
    </xdr:to>
    <xdr:sp macro="" textlink="">
      <xdr:nvSpPr>
        <xdr:cNvPr id="23" name="TextBox 22">
          <a:extLst>
            <a:ext uri="{FF2B5EF4-FFF2-40B4-BE49-F238E27FC236}">
              <a16:creationId xmlns:a16="http://schemas.microsoft.com/office/drawing/2014/main" id="{4A7FD36F-8C39-AC41-82B5-CCC826354AAF}"/>
            </a:ext>
          </a:extLst>
        </xdr:cNvPr>
        <xdr:cNvSpPr txBox="1"/>
      </xdr:nvSpPr>
      <xdr:spPr>
        <a:xfrm>
          <a:off x="22320738" y="24486901"/>
          <a:ext cx="1322103" cy="322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0" i="1">
              <a:solidFill>
                <a:schemeClr val="bg1">
                  <a:lumMod val="75000"/>
                </a:schemeClr>
              </a:solidFill>
            </a:rPr>
            <a:t>Stragglers</a:t>
          </a:r>
        </a:p>
      </xdr:txBody>
    </xdr:sp>
    <xdr:clientData/>
  </xdr:twoCellAnchor>
  <xdr:twoCellAnchor>
    <xdr:from>
      <xdr:col>76</xdr:col>
      <xdr:colOff>135468</xdr:colOff>
      <xdr:row>45</xdr:row>
      <xdr:rowOff>127000</xdr:rowOff>
    </xdr:from>
    <xdr:to>
      <xdr:col>80</xdr:col>
      <xdr:colOff>207434</xdr:colOff>
      <xdr:row>47</xdr:row>
      <xdr:rowOff>39076</xdr:rowOff>
    </xdr:to>
    <xdr:sp macro="" textlink="">
      <xdr:nvSpPr>
        <xdr:cNvPr id="24" name="TextBox 23">
          <a:extLst>
            <a:ext uri="{FF2B5EF4-FFF2-40B4-BE49-F238E27FC236}">
              <a16:creationId xmlns:a16="http://schemas.microsoft.com/office/drawing/2014/main" id="{25F05323-CF2B-4547-B58F-DF9BDE4FD283}"/>
            </a:ext>
          </a:extLst>
        </xdr:cNvPr>
        <xdr:cNvSpPr txBox="1"/>
      </xdr:nvSpPr>
      <xdr:spPr>
        <a:xfrm>
          <a:off x="21369868" y="24955500"/>
          <a:ext cx="1189566" cy="31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0" i="1">
              <a:solidFill>
                <a:schemeClr val="bg1">
                  <a:lumMod val="75000"/>
                </a:schemeClr>
              </a:solidFill>
            </a:rPr>
            <a:t>Stragglers</a:t>
          </a:r>
        </a:p>
      </xdr:txBody>
    </xdr:sp>
    <xdr:clientData/>
  </xdr:twoCellAnchor>
  <xdr:twoCellAnchor>
    <xdr:from>
      <xdr:col>64</xdr:col>
      <xdr:colOff>73594</xdr:colOff>
      <xdr:row>48</xdr:row>
      <xdr:rowOff>69036</xdr:rowOff>
    </xdr:from>
    <xdr:to>
      <xdr:col>69</xdr:col>
      <xdr:colOff>278748</xdr:colOff>
      <xdr:row>48</xdr:row>
      <xdr:rowOff>69036</xdr:rowOff>
    </xdr:to>
    <xdr:cxnSp macro="">
      <xdr:nvCxnSpPr>
        <xdr:cNvPr id="26" name="Straight Arrow Connector 25">
          <a:extLst>
            <a:ext uri="{FF2B5EF4-FFF2-40B4-BE49-F238E27FC236}">
              <a16:creationId xmlns:a16="http://schemas.microsoft.com/office/drawing/2014/main" id="{C55E8357-CE88-A777-6139-ABDDE2C186F0}"/>
            </a:ext>
          </a:extLst>
        </xdr:cNvPr>
        <xdr:cNvCxnSpPr/>
      </xdr:nvCxnSpPr>
      <xdr:spPr>
        <a:xfrm flipH="1">
          <a:off x="17955194" y="25507136"/>
          <a:ext cx="1602154" cy="0"/>
        </a:xfrm>
        <a:prstGeom prst="straightConnector1">
          <a:avLst/>
        </a:prstGeom>
        <a:ln w="19050">
          <a:solidFill>
            <a:schemeClr val="tx1">
              <a:lumMod val="75000"/>
              <a:lumOff val="25000"/>
            </a:schemeClr>
          </a:solidFill>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61</xdr:col>
      <xdr:colOff>189521</xdr:colOff>
      <xdr:row>47</xdr:row>
      <xdr:rowOff>94435</xdr:rowOff>
    </xdr:from>
    <xdr:to>
      <xdr:col>64</xdr:col>
      <xdr:colOff>267024</xdr:colOff>
      <xdr:row>49</xdr:row>
      <xdr:rowOff>8465</xdr:rowOff>
    </xdr:to>
    <xdr:sp macro="" textlink="">
      <xdr:nvSpPr>
        <xdr:cNvPr id="27" name="TextBox 26">
          <a:extLst>
            <a:ext uri="{FF2B5EF4-FFF2-40B4-BE49-F238E27FC236}">
              <a16:creationId xmlns:a16="http://schemas.microsoft.com/office/drawing/2014/main" id="{8A01262F-D227-F641-A84B-9CB6D65082D6}"/>
            </a:ext>
          </a:extLst>
        </xdr:cNvPr>
        <xdr:cNvSpPr txBox="1"/>
      </xdr:nvSpPr>
      <xdr:spPr>
        <a:xfrm>
          <a:off x="17232921" y="25329335"/>
          <a:ext cx="915703" cy="320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1">
              <a:solidFill>
                <a:schemeClr val="bg1">
                  <a:lumMod val="50000"/>
                </a:schemeClr>
              </a:solidFill>
            </a:rPr>
            <a:t>Faster</a:t>
          </a:r>
        </a:p>
      </xdr:txBody>
    </xdr:sp>
    <xdr:clientData/>
  </xdr:twoCellAnchor>
  <xdr:twoCellAnchor>
    <xdr:from>
      <xdr:col>69</xdr:col>
      <xdr:colOff>157609</xdr:colOff>
      <xdr:row>47</xdr:row>
      <xdr:rowOff>100297</xdr:rowOff>
    </xdr:from>
    <xdr:to>
      <xdr:col>72</xdr:col>
      <xdr:colOff>180078</xdr:colOff>
      <xdr:row>49</xdr:row>
      <xdr:rowOff>14327</xdr:rowOff>
    </xdr:to>
    <xdr:sp macro="" textlink="">
      <xdr:nvSpPr>
        <xdr:cNvPr id="28" name="TextBox 27">
          <a:extLst>
            <a:ext uri="{FF2B5EF4-FFF2-40B4-BE49-F238E27FC236}">
              <a16:creationId xmlns:a16="http://schemas.microsoft.com/office/drawing/2014/main" id="{90474E82-369B-8F48-9166-95EE54F80CFD}"/>
            </a:ext>
          </a:extLst>
        </xdr:cNvPr>
        <xdr:cNvSpPr txBox="1"/>
      </xdr:nvSpPr>
      <xdr:spPr>
        <a:xfrm>
          <a:off x="19436209" y="25335197"/>
          <a:ext cx="860669" cy="320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1">
              <a:solidFill>
                <a:schemeClr val="bg1">
                  <a:lumMod val="50000"/>
                </a:schemeClr>
              </a:solidFill>
            </a:rPr>
            <a:t>Slower</a:t>
          </a:r>
        </a:p>
      </xdr:txBody>
    </xdr:sp>
    <xdr:clientData/>
  </xdr:twoCellAnchor>
  <xdr:twoCellAnchor>
    <xdr:from>
      <xdr:col>66</xdr:col>
      <xdr:colOff>20515</xdr:colOff>
      <xdr:row>33</xdr:row>
      <xdr:rowOff>185615</xdr:rowOff>
    </xdr:from>
    <xdr:to>
      <xdr:col>78</xdr:col>
      <xdr:colOff>255954</xdr:colOff>
      <xdr:row>35</xdr:row>
      <xdr:rowOff>158260</xdr:rowOff>
    </xdr:to>
    <xdr:sp macro="" textlink="">
      <xdr:nvSpPr>
        <xdr:cNvPr id="29" name="TextBox 28">
          <a:extLst>
            <a:ext uri="{FF2B5EF4-FFF2-40B4-BE49-F238E27FC236}">
              <a16:creationId xmlns:a16="http://schemas.microsoft.com/office/drawing/2014/main" id="{C66E4E37-CB1F-9040-8B19-233B4C42B58F}"/>
            </a:ext>
          </a:extLst>
        </xdr:cNvPr>
        <xdr:cNvSpPr txBox="1"/>
      </xdr:nvSpPr>
      <xdr:spPr>
        <a:xfrm>
          <a:off x="18718823" y="22576692"/>
          <a:ext cx="3635131" cy="382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75000"/>
                  <a:lumOff val="25000"/>
                </a:schemeClr>
              </a:solidFill>
            </a:rPr>
            <a:t>Write Speed Distribution</a:t>
          </a:r>
        </a:p>
      </xdr:txBody>
    </xdr:sp>
    <xdr:clientData/>
  </xdr:twoCellAnchor>
  <xdr:twoCellAnchor>
    <xdr:from>
      <xdr:col>106</xdr:col>
      <xdr:colOff>275166</xdr:colOff>
      <xdr:row>41</xdr:row>
      <xdr:rowOff>93124</xdr:rowOff>
    </xdr:from>
    <xdr:to>
      <xdr:col>106</xdr:col>
      <xdr:colOff>283633</xdr:colOff>
      <xdr:row>43</xdr:row>
      <xdr:rowOff>143924</xdr:rowOff>
    </xdr:to>
    <xdr:cxnSp macro="">
      <xdr:nvCxnSpPr>
        <xdr:cNvPr id="31" name="Straight Connector 30">
          <a:extLst>
            <a:ext uri="{FF2B5EF4-FFF2-40B4-BE49-F238E27FC236}">
              <a16:creationId xmlns:a16="http://schemas.microsoft.com/office/drawing/2014/main" id="{09DA8716-92B9-EBD9-16A7-D265E97FF59F}"/>
            </a:ext>
          </a:extLst>
        </xdr:cNvPr>
        <xdr:cNvCxnSpPr/>
      </xdr:nvCxnSpPr>
      <xdr:spPr>
        <a:xfrm>
          <a:off x="38210066" y="24108824"/>
          <a:ext cx="8467" cy="457200"/>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100</xdr:col>
      <xdr:colOff>613832</xdr:colOff>
      <xdr:row>45</xdr:row>
      <xdr:rowOff>101600</xdr:rowOff>
    </xdr:from>
    <xdr:to>
      <xdr:col>100</xdr:col>
      <xdr:colOff>622300</xdr:colOff>
      <xdr:row>47</xdr:row>
      <xdr:rowOff>25400</xdr:rowOff>
    </xdr:to>
    <xdr:cxnSp macro="">
      <xdr:nvCxnSpPr>
        <xdr:cNvPr id="32" name="Straight Connector 31">
          <a:extLst>
            <a:ext uri="{FF2B5EF4-FFF2-40B4-BE49-F238E27FC236}">
              <a16:creationId xmlns:a16="http://schemas.microsoft.com/office/drawing/2014/main" id="{5F1B83AF-44E5-E64F-9E4F-3054227ECB3D}"/>
            </a:ext>
          </a:extLst>
        </xdr:cNvPr>
        <xdr:cNvCxnSpPr/>
      </xdr:nvCxnSpPr>
      <xdr:spPr>
        <a:xfrm>
          <a:off x="33595732" y="24930100"/>
          <a:ext cx="8468" cy="330200"/>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71</xdr:col>
      <xdr:colOff>160866</xdr:colOff>
      <xdr:row>46</xdr:row>
      <xdr:rowOff>101600</xdr:rowOff>
    </xdr:from>
    <xdr:to>
      <xdr:col>77</xdr:col>
      <xdr:colOff>86621</xdr:colOff>
      <xdr:row>46</xdr:row>
      <xdr:rowOff>101600</xdr:rowOff>
    </xdr:to>
    <xdr:cxnSp macro="">
      <xdr:nvCxnSpPr>
        <xdr:cNvPr id="34" name="Straight Arrow Connector 33">
          <a:extLst>
            <a:ext uri="{FF2B5EF4-FFF2-40B4-BE49-F238E27FC236}">
              <a16:creationId xmlns:a16="http://schemas.microsoft.com/office/drawing/2014/main" id="{9EC8F891-D85C-DA43-BC99-C7E93CA3A877}"/>
            </a:ext>
          </a:extLst>
        </xdr:cNvPr>
        <xdr:cNvCxnSpPr/>
      </xdr:nvCxnSpPr>
      <xdr:spPr>
        <a:xfrm flipH="1">
          <a:off x="19998266" y="25133300"/>
          <a:ext cx="1602155" cy="0"/>
        </a:xfrm>
        <a:prstGeom prst="straightConnector1">
          <a:avLst/>
        </a:prstGeom>
        <a:ln w="19050">
          <a:solidFill>
            <a:schemeClr val="bg1">
              <a:lumMod val="75000"/>
            </a:schemeClr>
          </a:solidFill>
          <a:headEnd type="non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80</xdr:col>
      <xdr:colOff>241299</xdr:colOff>
      <xdr:row>46</xdr:row>
      <xdr:rowOff>101600</xdr:rowOff>
    </xdr:from>
    <xdr:to>
      <xdr:col>84</xdr:col>
      <xdr:colOff>50800</xdr:colOff>
      <xdr:row>46</xdr:row>
      <xdr:rowOff>110066</xdr:rowOff>
    </xdr:to>
    <xdr:cxnSp macro="">
      <xdr:nvCxnSpPr>
        <xdr:cNvPr id="35" name="Straight Arrow Connector 34">
          <a:extLst>
            <a:ext uri="{FF2B5EF4-FFF2-40B4-BE49-F238E27FC236}">
              <a16:creationId xmlns:a16="http://schemas.microsoft.com/office/drawing/2014/main" id="{F209EF0C-FFF6-5144-9BC3-DC20BACC63EF}"/>
            </a:ext>
          </a:extLst>
        </xdr:cNvPr>
        <xdr:cNvCxnSpPr/>
      </xdr:nvCxnSpPr>
      <xdr:spPr>
        <a:xfrm flipH="1">
          <a:off x="22593299" y="25133300"/>
          <a:ext cx="927101" cy="8466"/>
        </a:xfrm>
        <a:prstGeom prst="straightConnector1">
          <a:avLst/>
        </a:prstGeom>
        <a:ln w="19050">
          <a:solidFill>
            <a:schemeClr val="bg1">
              <a:lumMod val="75000"/>
            </a:schemeClr>
          </a:solidFill>
          <a:headEnd type="triangle"/>
          <a:tailEnd type="non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61</xdr:col>
      <xdr:colOff>38100</xdr:colOff>
      <xdr:row>45</xdr:row>
      <xdr:rowOff>88900</xdr:rowOff>
    </xdr:from>
    <xdr:to>
      <xdr:col>71</xdr:col>
      <xdr:colOff>101600</xdr:colOff>
      <xdr:row>47</xdr:row>
      <xdr:rowOff>114300</xdr:rowOff>
    </xdr:to>
    <xdr:sp macro="" textlink="">
      <xdr:nvSpPr>
        <xdr:cNvPr id="36" name="Rectangle 35">
          <a:extLst>
            <a:ext uri="{FF2B5EF4-FFF2-40B4-BE49-F238E27FC236}">
              <a16:creationId xmlns:a16="http://schemas.microsoft.com/office/drawing/2014/main" id="{59F6103A-9A2F-688D-BC9D-2F1C0F1D53F1}"/>
            </a:ext>
          </a:extLst>
        </xdr:cNvPr>
        <xdr:cNvSpPr/>
      </xdr:nvSpPr>
      <xdr:spPr>
        <a:xfrm>
          <a:off x="17081500" y="24917400"/>
          <a:ext cx="2857500" cy="431800"/>
        </a:xfrm>
        <a:prstGeom prst="rect">
          <a:avLst/>
        </a:prstGeom>
        <a:no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107462</xdr:colOff>
      <xdr:row>38</xdr:row>
      <xdr:rowOff>166077</xdr:rowOff>
    </xdr:from>
    <xdr:to>
      <xdr:col>71</xdr:col>
      <xdr:colOff>214923</xdr:colOff>
      <xdr:row>45</xdr:row>
      <xdr:rowOff>185615</xdr:rowOff>
    </xdr:to>
    <xdr:cxnSp macro="">
      <xdr:nvCxnSpPr>
        <xdr:cNvPr id="30" name="Curved Connector 29">
          <a:extLst>
            <a:ext uri="{FF2B5EF4-FFF2-40B4-BE49-F238E27FC236}">
              <a16:creationId xmlns:a16="http://schemas.microsoft.com/office/drawing/2014/main" id="{A560F398-BAB6-82A1-5282-253B77AB89AA}"/>
            </a:ext>
          </a:extLst>
        </xdr:cNvPr>
        <xdr:cNvCxnSpPr/>
      </xdr:nvCxnSpPr>
      <xdr:spPr>
        <a:xfrm flipV="1">
          <a:off x="18239154" y="23582923"/>
          <a:ext cx="2090615" cy="1455615"/>
        </a:xfrm>
        <a:prstGeom prst="curvedConnector3">
          <a:avLst>
            <a:gd name="adj1" fmla="val 38318"/>
          </a:avLst>
        </a:prstGeom>
        <a:ln w="12700">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47624</xdr:colOff>
      <xdr:row>60</xdr:row>
      <xdr:rowOff>63500</xdr:rowOff>
    </xdr:from>
    <xdr:to>
      <xdr:col>53</xdr:col>
      <xdr:colOff>158749</xdr:colOff>
      <xdr:row>61</xdr:row>
      <xdr:rowOff>111125</xdr:rowOff>
    </xdr:to>
    <xdr:sp macro="" textlink="">
      <xdr:nvSpPr>
        <xdr:cNvPr id="12" name="TextBox 11">
          <a:extLst>
            <a:ext uri="{FF2B5EF4-FFF2-40B4-BE49-F238E27FC236}">
              <a16:creationId xmlns:a16="http://schemas.microsoft.com/office/drawing/2014/main" id="{276F5C5D-EDAC-E3FB-001B-C54417322208}"/>
            </a:ext>
          </a:extLst>
        </xdr:cNvPr>
        <xdr:cNvSpPr txBox="1"/>
      </xdr:nvSpPr>
      <xdr:spPr>
        <a:xfrm>
          <a:off x="13660437" y="28114625"/>
          <a:ext cx="1222375"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μ=5500B</a:t>
          </a:r>
        </a:p>
      </xdr:txBody>
    </xdr:sp>
    <xdr:clientData/>
  </xdr:twoCellAnchor>
</xdr:wsDr>
</file>

<file path=xl/drawings/drawing17.xml><?xml version="1.0" encoding="utf-8"?>
<c:userShapes xmlns:c="http://schemas.openxmlformats.org/drawingml/2006/chart">
  <cdr:relSizeAnchor xmlns:cdr="http://schemas.openxmlformats.org/drawingml/2006/chartDrawing">
    <cdr:from>
      <cdr:x>0.54404</cdr:x>
      <cdr:y>0.6731</cdr:y>
    </cdr:from>
    <cdr:to>
      <cdr:x>0.54663</cdr:x>
      <cdr:y>0.91905</cdr:y>
    </cdr:to>
    <cdr:cxnSp macro="">
      <cdr:nvCxnSpPr>
        <cdr:cNvPr id="3" name="Straight Connector 2">
          <a:extLst xmlns:a="http://schemas.openxmlformats.org/drawingml/2006/main">
            <a:ext uri="{FF2B5EF4-FFF2-40B4-BE49-F238E27FC236}">
              <a16:creationId xmlns:a16="http://schemas.microsoft.com/office/drawing/2014/main" id="{14AEAA2B-4AF5-BAEE-E5E9-16DC070C80B6}"/>
            </a:ext>
          </a:extLst>
        </cdr:cNvPr>
        <cdr:cNvCxnSpPr/>
      </cdr:nvCxnSpPr>
      <cdr:spPr>
        <a:xfrm xmlns:a="http://schemas.openxmlformats.org/drawingml/2006/main" flipH="1">
          <a:off x="2032913" y="1955525"/>
          <a:ext cx="9707" cy="714553"/>
        </a:xfrm>
        <a:prstGeom xmlns:a="http://schemas.openxmlformats.org/drawingml/2006/main" prst="line">
          <a:avLst/>
        </a:prstGeom>
        <a:ln xmlns:a="http://schemas.openxmlformats.org/drawingml/2006/main" w="9525">
          <a:prstDash val="dash"/>
        </a:ln>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0.17643</cdr:x>
      <cdr:y>0.50514</cdr:y>
    </cdr:from>
    <cdr:to>
      <cdr:x>0.33925</cdr:x>
      <cdr:y>0.60432</cdr:y>
    </cdr:to>
    <cdr:sp macro="" textlink="">
      <cdr:nvSpPr>
        <cdr:cNvPr id="2" name="TextBox 1">
          <a:extLst xmlns:a="http://schemas.openxmlformats.org/drawingml/2006/main">
            <a:ext uri="{FF2B5EF4-FFF2-40B4-BE49-F238E27FC236}">
              <a16:creationId xmlns:a16="http://schemas.microsoft.com/office/drawing/2014/main" id="{B458DC58-E3ED-EEBC-A0C8-58B49D30FCDE}"/>
            </a:ext>
          </a:extLst>
        </cdr:cNvPr>
        <cdr:cNvSpPr txBox="1"/>
      </cdr:nvSpPr>
      <cdr:spPr>
        <a:xfrm xmlns:a="http://schemas.openxmlformats.org/drawingml/2006/main">
          <a:off x="1183101" y="1377772"/>
          <a:ext cx="1091860" cy="2705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XFS 100M</a:t>
          </a:r>
        </a:p>
      </cdr:txBody>
    </cdr:sp>
  </cdr:relSizeAnchor>
  <cdr:relSizeAnchor xmlns:cdr="http://schemas.openxmlformats.org/drawingml/2006/chartDrawing">
    <cdr:from>
      <cdr:x>0.64295</cdr:x>
      <cdr:y>0.19938</cdr:y>
    </cdr:from>
    <cdr:to>
      <cdr:x>0.80577</cdr:x>
      <cdr:y>0.2889</cdr:y>
    </cdr:to>
    <cdr:sp macro="" textlink="">
      <cdr:nvSpPr>
        <cdr:cNvPr id="3" name="TextBox 1">
          <a:extLst xmlns:a="http://schemas.openxmlformats.org/drawingml/2006/main">
            <a:ext uri="{FF2B5EF4-FFF2-40B4-BE49-F238E27FC236}">
              <a16:creationId xmlns:a16="http://schemas.microsoft.com/office/drawing/2014/main" id="{56025A67-F49F-B61A-2B33-A4688502EA1E}"/>
            </a:ext>
          </a:extLst>
        </cdr:cNvPr>
        <cdr:cNvSpPr txBox="1"/>
      </cdr:nvSpPr>
      <cdr:spPr>
        <a:xfrm xmlns:a="http://schemas.openxmlformats.org/drawingml/2006/main">
          <a:off x="4290981" y="499262"/>
          <a:ext cx="1086637" cy="2241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EXT4 1B</a:t>
          </a:r>
        </a:p>
      </cdr:txBody>
    </cdr:sp>
  </cdr:relSizeAnchor>
  <cdr:relSizeAnchor xmlns:cdr="http://schemas.openxmlformats.org/drawingml/2006/chartDrawing">
    <cdr:from>
      <cdr:x>0.50413</cdr:x>
      <cdr:y>0.07673</cdr:y>
    </cdr:from>
    <cdr:to>
      <cdr:x>0.66695</cdr:x>
      <cdr:y>0.18357</cdr:y>
    </cdr:to>
    <cdr:sp macro="" textlink="">
      <cdr:nvSpPr>
        <cdr:cNvPr id="4" name="TextBox 1">
          <a:extLst xmlns:a="http://schemas.openxmlformats.org/drawingml/2006/main">
            <a:ext uri="{FF2B5EF4-FFF2-40B4-BE49-F238E27FC236}">
              <a16:creationId xmlns:a16="http://schemas.microsoft.com/office/drawing/2014/main" id="{B6482361-7812-E246-8F6D-C5000A8BB1EF}"/>
            </a:ext>
          </a:extLst>
        </cdr:cNvPr>
        <cdr:cNvSpPr txBox="1"/>
      </cdr:nvSpPr>
      <cdr:spPr>
        <a:xfrm xmlns:a="http://schemas.openxmlformats.org/drawingml/2006/main">
          <a:off x="3364489" y="192136"/>
          <a:ext cx="1086637" cy="2675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XFS 1B</a:t>
          </a:r>
        </a:p>
      </cdr:txBody>
    </cdr:sp>
  </cdr:relSizeAnchor>
</c:userShapes>
</file>

<file path=xl/drawings/drawing19.xml><?xml version="1.0" encoding="utf-8"?>
<c:userShapes xmlns:c="http://schemas.openxmlformats.org/drawingml/2006/chart">
  <cdr:relSizeAnchor xmlns:cdr="http://schemas.openxmlformats.org/drawingml/2006/chartDrawing">
    <cdr:from>
      <cdr:x>0.04195</cdr:x>
      <cdr:y>0.03969</cdr:y>
    </cdr:from>
    <cdr:to>
      <cdr:x>0.1595</cdr:x>
      <cdr:y>0.13472</cdr:y>
    </cdr:to>
    <cdr:sp macro="" textlink="">
      <cdr:nvSpPr>
        <cdr:cNvPr id="2" name="TextBox 1">
          <a:extLst xmlns:a="http://schemas.openxmlformats.org/drawingml/2006/main">
            <a:ext uri="{FF2B5EF4-FFF2-40B4-BE49-F238E27FC236}">
              <a16:creationId xmlns:a16="http://schemas.microsoft.com/office/drawing/2014/main" id="{D84485C5-BAD7-2438-3185-901D312C3B8C}"/>
            </a:ext>
          </a:extLst>
        </cdr:cNvPr>
        <cdr:cNvSpPr txBox="1"/>
      </cdr:nvSpPr>
      <cdr:spPr>
        <a:xfrm xmlns:a="http://schemas.openxmlformats.org/drawingml/2006/main">
          <a:off x="306891" y="122125"/>
          <a:ext cx="859848" cy="2924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XFS 1B</a:t>
          </a:r>
        </a:p>
      </cdr:txBody>
    </cdr:sp>
  </cdr:relSizeAnchor>
  <cdr:relSizeAnchor xmlns:cdr="http://schemas.openxmlformats.org/drawingml/2006/chartDrawing">
    <cdr:from>
      <cdr:x>0.2214</cdr:x>
      <cdr:y>0.08895</cdr:y>
    </cdr:from>
    <cdr:to>
      <cdr:x>0.35673</cdr:x>
      <cdr:y>0.18135</cdr:y>
    </cdr:to>
    <cdr:sp macro="" textlink="">
      <cdr:nvSpPr>
        <cdr:cNvPr id="3" name="TextBox 1">
          <a:extLst xmlns:a="http://schemas.openxmlformats.org/drawingml/2006/main">
            <a:ext uri="{FF2B5EF4-FFF2-40B4-BE49-F238E27FC236}">
              <a16:creationId xmlns:a16="http://schemas.microsoft.com/office/drawing/2014/main" id="{D84485C5-BAD7-2438-3185-901D312C3B8C}"/>
            </a:ext>
          </a:extLst>
        </cdr:cNvPr>
        <cdr:cNvSpPr txBox="1"/>
      </cdr:nvSpPr>
      <cdr:spPr>
        <a:xfrm xmlns:a="http://schemas.openxmlformats.org/drawingml/2006/main">
          <a:off x="1619591" y="273713"/>
          <a:ext cx="989949" cy="2843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EXT4 1B</a:t>
          </a:r>
        </a:p>
      </cdr:txBody>
    </cdr:sp>
  </cdr:relSizeAnchor>
</c:userShapes>
</file>

<file path=xl/drawings/drawing2.xml><?xml version="1.0" encoding="utf-8"?>
<xdr:wsDr xmlns:xdr="http://schemas.openxmlformats.org/drawingml/2006/spreadsheetDrawing" xmlns:a="http://schemas.openxmlformats.org/drawingml/2006/main">
  <xdr:twoCellAnchor>
    <xdr:from>
      <xdr:col>24</xdr:col>
      <xdr:colOff>165100</xdr:colOff>
      <xdr:row>7</xdr:row>
      <xdr:rowOff>165100</xdr:rowOff>
    </xdr:from>
    <xdr:to>
      <xdr:col>33</xdr:col>
      <xdr:colOff>38100</xdr:colOff>
      <xdr:row>32</xdr:row>
      <xdr:rowOff>190500</xdr:rowOff>
    </xdr:to>
    <xdr:graphicFrame macro="">
      <xdr:nvGraphicFramePr>
        <xdr:cNvPr id="12" name="Chart 11">
          <a:extLst>
            <a:ext uri="{FF2B5EF4-FFF2-40B4-BE49-F238E27FC236}">
              <a16:creationId xmlns:a16="http://schemas.microsoft.com/office/drawing/2014/main" id="{59F5B930-4E28-CF44-8429-2EC27EAC1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203200</xdr:colOff>
      <xdr:row>14</xdr:row>
      <xdr:rowOff>101600</xdr:rowOff>
    </xdr:from>
    <xdr:to>
      <xdr:col>23</xdr:col>
      <xdr:colOff>546100</xdr:colOff>
      <xdr:row>39</xdr:row>
      <xdr:rowOff>127000</xdr:rowOff>
    </xdr:to>
    <xdr:graphicFrame macro="">
      <xdr:nvGraphicFramePr>
        <xdr:cNvPr id="13" name="Chart 12">
          <a:extLst>
            <a:ext uri="{FF2B5EF4-FFF2-40B4-BE49-F238E27FC236}">
              <a16:creationId xmlns:a16="http://schemas.microsoft.com/office/drawing/2014/main" id="{0478D2F0-ADB9-E747-A450-5DC121C61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349250</xdr:colOff>
      <xdr:row>34</xdr:row>
      <xdr:rowOff>76200</xdr:rowOff>
    </xdr:from>
    <xdr:to>
      <xdr:col>36</xdr:col>
      <xdr:colOff>88900</xdr:colOff>
      <xdr:row>58</xdr:row>
      <xdr:rowOff>0</xdr:rowOff>
    </xdr:to>
    <xdr:graphicFrame macro="">
      <xdr:nvGraphicFramePr>
        <xdr:cNvPr id="14" name="Chart 13">
          <a:extLst>
            <a:ext uri="{FF2B5EF4-FFF2-40B4-BE49-F238E27FC236}">
              <a16:creationId xmlns:a16="http://schemas.microsoft.com/office/drawing/2014/main" id="{94AAAFF9-6DC7-634C-8CAC-37D9C9110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260350</xdr:colOff>
      <xdr:row>7</xdr:row>
      <xdr:rowOff>50800</xdr:rowOff>
    </xdr:from>
    <xdr:to>
      <xdr:col>16</xdr:col>
      <xdr:colOff>431800</xdr:colOff>
      <xdr:row>40</xdr:row>
      <xdr:rowOff>101600</xdr:rowOff>
    </xdr:to>
    <xdr:graphicFrame macro="">
      <xdr:nvGraphicFramePr>
        <xdr:cNvPr id="15" name="Chart 14">
          <a:extLst>
            <a:ext uri="{FF2B5EF4-FFF2-40B4-BE49-F238E27FC236}">
              <a16:creationId xmlns:a16="http://schemas.microsoft.com/office/drawing/2014/main" id="{13F98D1A-4367-E243-9B53-ADD3B5627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0.23886</cdr:x>
      <cdr:y>0.15079</cdr:y>
    </cdr:from>
    <cdr:to>
      <cdr:x>0.51874</cdr:x>
      <cdr:y>0.28786</cdr:y>
    </cdr:to>
    <cdr:sp macro="" textlink="">
      <cdr:nvSpPr>
        <cdr:cNvPr id="2" name="TextBox 1">
          <a:extLst xmlns:a="http://schemas.openxmlformats.org/drawingml/2006/main">
            <a:ext uri="{FF2B5EF4-FFF2-40B4-BE49-F238E27FC236}">
              <a16:creationId xmlns:a16="http://schemas.microsoft.com/office/drawing/2014/main" id="{1D7653EA-3281-85D2-71A1-7E2CF5AEB549}"/>
            </a:ext>
          </a:extLst>
        </cdr:cNvPr>
        <cdr:cNvSpPr txBox="1"/>
      </cdr:nvSpPr>
      <cdr:spPr>
        <a:xfrm xmlns:a="http://schemas.openxmlformats.org/drawingml/2006/main">
          <a:off x="987742" y="313182"/>
          <a:ext cx="1157426" cy="2846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rgbClr val="FF0000"/>
              </a:solidFill>
            </a:rPr>
            <a:t>XFS 100M</a:t>
          </a:r>
        </a:p>
      </cdr:txBody>
    </cdr:sp>
  </cdr:relSizeAnchor>
  <cdr:relSizeAnchor xmlns:cdr="http://schemas.openxmlformats.org/drawingml/2006/chartDrawing">
    <cdr:from>
      <cdr:x>0.61375</cdr:x>
      <cdr:y>0.46963</cdr:y>
    </cdr:from>
    <cdr:to>
      <cdr:x>0.90327</cdr:x>
      <cdr:y>0.59901</cdr:y>
    </cdr:to>
    <cdr:sp macro="" textlink="">
      <cdr:nvSpPr>
        <cdr:cNvPr id="3" name="TextBox 1">
          <a:extLst xmlns:a="http://schemas.openxmlformats.org/drawingml/2006/main">
            <a:ext uri="{FF2B5EF4-FFF2-40B4-BE49-F238E27FC236}">
              <a16:creationId xmlns:a16="http://schemas.microsoft.com/office/drawing/2014/main" id="{D84485C5-BAD7-2438-3185-901D312C3B8C}"/>
            </a:ext>
          </a:extLst>
        </cdr:cNvPr>
        <cdr:cNvSpPr txBox="1"/>
      </cdr:nvSpPr>
      <cdr:spPr>
        <a:xfrm xmlns:a="http://schemas.openxmlformats.org/drawingml/2006/main">
          <a:off x="2538049" y="975402"/>
          <a:ext cx="1197258" cy="2687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BTRFS 100M</a:t>
          </a:r>
        </a:p>
      </cdr:txBody>
    </cdr:sp>
  </cdr:relSizeAnchor>
  <cdr:relSizeAnchor xmlns:cdr="http://schemas.openxmlformats.org/drawingml/2006/chartDrawing">
    <cdr:from>
      <cdr:x>0.3522</cdr:x>
      <cdr:y>0.37577</cdr:y>
    </cdr:from>
    <cdr:to>
      <cdr:x>0.62043</cdr:x>
      <cdr:y>0.49641</cdr:y>
    </cdr:to>
    <cdr:sp macro="" textlink="">
      <cdr:nvSpPr>
        <cdr:cNvPr id="4" name="TextBox 1">
          <a:extLst xmlns:a="http://schemas.openxmlformats.org/drawingml/2006/main">
            <a:ext uri="{FF2B5EF4-FFF2-40B4-BE49-F238E27FC236}">
              <a16:creationId xmlns:a16="http://schemas.microsoft.com/office/drawing/2014/main" id="{D84485C5-BAD7-2438-3185-901D312C3B8C}"/>
            </a:ext>
          </a:extLst>
        </cdr:cNvPr>
        <cdr:cNvSpPr txBox="1"/>
      </cdr:nvSpPr>
      <cdr:spPr>
        <a:xfrm xmlns:a="http://schemas.openxmlformats.org/drawingml/2006/main">
          <a:off x="1456464" y="780442"/>
          <a:ext cx="1109218" cy="250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EXT4 100M</a:t>
          </a:r>
        </a:p>
      </cdr:txBody>
    </cdr:sp>
  </cdr:relSizeAnchor>
</c:userShapes>
</file>

<file path=xl/drawings/drawing21.xml><?xml version="1.0" encoding="utf-8"?>
<xdr:wsDr xmlns:xdr="http://schemas.openxmlformats.org/drawingml/2006/spreadsheetDrawing" xmlns:a="http://schemas.openxmlformats.org/drawingml/2006/main">
  <xdr:twoCellAnchor>
    <xdr:from>
      <xdr:col>40</xdr:col>
      <xdr:colOff>294216</xdr:colOff>
      <xdr:row>3</xdr:row>
      <xdr:rowOff>984249</xdr:rowOff>
    </xdr:from>
    <xdr:to>
      <xdr:col>47</xdr:col>
      <xdr:colOff>663222</xdr:colOff>
      <xdr:row>8</xdr:row>
      <xdr:rowOff>190499</xdr:rowOff>
    </xdr:to>
    <xdr:graphicFrame macro="">
      <xdr:nvGraphicFramePr>
        <xdr:cNvPr id="5" name="Chart 4">
          <a:extLst>
            <a:ext uri="{FF2B5EF4-FFF2-40B4-BE49-F238E27FC236}">
              <a16:creationId xmlns:a16="http://schemas.microsoft.com/office/drawing/2014/main" id="{EE9052F8-069B-09D8-1574-237490784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113595</xdr:colOff>
      <xdr:row>15</xdr:row>
      <xdr:rowOff>594075</xdr:rowOff>
    </xdr:from>
    <xdr:to>
      <xdr:col>51</xdr:col>
      <xdr:colOff>715292</xdr:colOff>
      <xdr:row>20</xdr:row>
      <xdr:rowOff>1126</xdr:rowOff>
    </xdr:to>
    <xdr:graphicFrame macro="">
      <xdr:nvGraphicFramePr>
        <xdr:cNvPr id="2" name="Chart 1">
          <a:extLst>
            <a:ext uri="{FF2B5EF4-FFF2-40B4-BE49-F238E27FC236}">
              <a16:creationId xmlns:a16="http://schemas.microsoft.com/office/drawing/2014/main" id="{9D5C931E-5A8D-75C5-B036-1CB6901C4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11289</xdr:colOff>
      <xdr:row>15</xdr:row>
      <xdr:rowOff>52210</xdr:rowOff>
    </xdr:from>
    <xdr:to>
      <xdr:col>45</xdr:col>
      <xdr:colOff>605932</xdr:colOff>
      <xdr:row>17</xdr:row>
      <xdr:rowOff>1018538</xdr:rowOff>
    </xdr:to>
    <xdr:graphicFrame macro="">
      <xdr:nvGraphicFramePr>
        <xdr:cNvPr id="7" name="Chart 6">
          <a:extLst>
            <a:ext uri="{FF2B5EF4-FFF2-40B4-BE49-F238E27FC236}">
              <a16:creationId xmlns:a16="http://schemas.microsoft.com/office/drawing/2014/main" id="{F03BA44B-486C-6577-3871-1BFB6E485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222251</xdr:colOff>
      <xdr:row>9</xdr:row>
      <xdr:rowOff>825500</xdr:rowOff>
    </xdr:from>
    <xdr:to>
      <xdr:col>52</xdr:col>
      <xdr:colOff>571500</xdr:colOff>
      <xdr:row>13</xdr:row>
      <xdr:rowOff>910166</xdr:rowOff>
    </xdr:to>
    <xdr:graphicFrame macro="">
      <xdr:nvGraphicFramePr>
        <xdr:cNvPr id="3" name="Chart 2">
          <a:extLst>
            <a:ext uri="{FF2B5EF4-FFF2-40B4-BE49-F238E27FC236}">
              <a16:creationId xmlns:a16="http://schemas.microsoft.com/office/drawing/2014/main" id="{411575A6-0A01-4937-E5CF-A285382B9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393701</xdr:colOff>
      <xdr:row>10</xdr:row>
      <xdr:rowOff>211668</xdr:rowOff>
    </xdr:from>
    <xdr:to>
      <xdr:col>47</xdr:col>
      <xdr:colOff>21167</xdr:colOff>
      <xdr:row>12</xdr:row>
      <xdr:rowOff>1058334</xdr:rowOff>
    </xdr:to>
    <xdr:graphicFrame macro="">
      <xdr:nvGraphicFramePr>
        <xdr:cNvPr id="9" name="Chart 8">
          <a:extLst>
            <a:ext uri="{FF2B5EF4-FFF2-40B4-BE49-F238E27FC236}">
              <a16:creationId xmlns:a16="http://schemas.microsoft.com/office/drawing/2014/main" id="{A5CAA33D-6459-BDAD-A517-4FEB9EF5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0.54762</cdr:x>
      <cdr:y>0.06397</cdr:y>
    </cdr:from>
    <cdr:to>
      <cdr:x>0.71267</cdr:x>
      <cdr:y>0.12577</cdr:y>
    </cdr:to>
    <cdr:sp macro="" textlink="">
      <cdr:nvSpPr>
        <cdr:cNvPr id="2" name="TextBox 1">
          <a:extLst xmlns:a="http://schemas.openxmlformats.org/drawingml/2006/main">
            <a:ext uri="{FF2B5EF4-FFF2-40B4-BE49-F238E27FC236}">
              <a16:creationId xmlns:a16="http://schemas.microsoft.com/office/drawing/2014/main" id="{5B601057-3ABC-5458-38F5-07436B1CB729}"/>
            </a:ext>
          </a:extLst>
        </cdr:cNvPr>
        <cdr:cNvSpPr txBox="1"/>
      </cdr:nvSpPr>
      <cdr:spPr>
        <a:xfrm xmlns:a="http://schemas.openxmlformats.org/drawingml/2006/main">
          <a:off x="2153206" y="210581"/>
          <a:ext cx="648946" cy="2034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XFS 1B</a:t>
          </a:r>
        </a:p>
      </cdr:txBody>
    </cdr:sp>
  </cdr:relSizeAnchor>
  <cdr:relSizeAnchor xmlns:cdr="http://schemas.openxmlformats.org/drawingml/2006/chartDrawing">
    <cdr:from>
      <cdr:x>0.60607</cdr:x>
      <cdr:y>0.42056</cdr:y>
    </cdr:from>
    <cdr:to>
      <cdr:x>0.85325</cdr:x>
      <cdr:y>0.49297</cdr:y>
    </cdr:to>
    <cdr:sp macro="" textlink="">
      <cdr:nvSpPr>
        <cdr:cNvPr id="6" name="TextBox 1">
          <a:extLst xmlns:a="http://schemas.openxmlformats.org/drawingml/2006/main">
            <a:ext uri="{FF2B5EF4-FFF2-40B4-BE49-F238E27FC236}">
              <a16:creationId xmlns:a16="http://schemas.microsoft.com/office/drawing/2014/main" id="{FE5A4672-014B-6E8E-2A13-C47C98A18491}"/>
            </a:ext>
          </a:extLst>
        </cdr:cNvPr>
        <cdr:cNvSpPr txBox="1"/>
      </cdr:nvSpPr>
      <cdr:spPr>
        <a:xfrm xmlns:a="http://schemas.openxmlformats.org/drawingml/2006/main">
          <a:off x="2383001" y="1384428"/>
          <a:ext cx="971915" cy="2383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BTRFS 100M</a:t>
          </a:r>
        </a:p>
      </cdr:txBody>
    </cdr:sp>
  </cdr:relSizeAnchor>
  <cdr:relSizeAnchor xmlns:cdr="http://schemas.openxmlformats.org/drawingml/2006/chartDrawing">
    <cdr:from>
      <cdr:x>0.3544</cdr:x>
      <cdr:y>0.56676</cdr:y>
    </cdr:from>
    <cdr:to>
      <cdr:x>0.6031</cdr:x>
      <cdr:y>0.64729</cdr:y>
    </cdr:to>
    <cdr:sp macro="" textlink="">
      <cdr:nvSpPr>
        <cdr:cNvPr id="7" name="TextBox 1">
          <a:extLst xmlns:a="http://schemas.openxmlformats.org/drawingml/2006/main">
            <a:ext uri="{FF2B5EF4-FFF2-40B4-BE49-F238E27FC236}">
              <a16:creationId xmlns:a16="http://schemas.microsoft.com/office/drawing/2014/main" id="{FE5A4672-014B-6E8E-2A13-C47C98A18491}"/>
            </a:ext>
          </a:extLst>
        </cdr:cNvPr>
        <cdr:cNvSpPr txBox="1"/>
      </cdr:nvSpPr>
      <cdr:spPr>
        <a:xfrm xmlns:a="http://schemas.openxmlformats.org/drawingml/2006/main">
          <a:off x="1393472" y="1865686"/>
          <a:ext cx="977851" cy="2650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EXT4 100M</a:t>
          </a:r>
        </a:p>
      </cdr:txBody>
    </cdr:sp>
  </cdr:relSizeAnchor>
  <cdr:relSizeAnchor xmlns:cdr="http://schemas.openxmlformats.org/drawingml/2006/chartDrawing">
    <cdr:from>
      <cdr:x>0.68484</cdr:x>
      <cdr:y>0.68641</cdr:y>
    </cdr:from>
    <cdr:to>
      <cdr:x>0.89711</cdr:x>
      <cdr:y>0.75176</cdr:y>
    </cdr:to>
    <cdr:sp macro="" textlink="">
      <cdr:nvSpPr>
        <cdr:cNvPr id="8" name="TextBox 1">
          <a:extLst xmlns:a="http://schemas.openxmlformats.org/drawingml/2006/main">
            <a:ext uri="{FF2B5EF4-FFF2-40B4-BE49-F238E27FC236}">
              <a16:creationId xmlns:a16="http://schemas.microsoft.com/office/drawing/2014/main" id="{5D8E12FE-E835-B33A-ED32-E93A51D7E11E}"/>
            </a:ext>
          </a:extLst>
        </cdr:cNvPr>
        <cdr:cNvSpPr txBox="1"/>
      </cdr:nvSpPr>
      <cdr:spPr>
        <a:xfrm xmlns:a="http://schemas.openxmlformats.org/drawingml/2006/main">
          <a:off x="2692717" y="2259541"/>
          <a:ext cx="834662" cy="2151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XFS 100M</a:t>
          </a:r>
        </a:p>
      </cdr:txBody>
    </cdr:sp>
  </cdr:relSizeAnchor>
</c:userShapes>
</file>

<file path=xl/drawings/drawing23.xml><?xml version="1.0" encoding="utf-8"?>
<c:userShapes xmlns:c="http://schemas.openxmlformats.org/drawingml/2006/chart">
  <cdr:relSizeAnchor xmlns:cdr="http://schemas.openxmlformats.org/drawingml/2006/chartDrawing">
    <cdr:from>
      <cdr:x>0.76015</cdr:x>
      <cdr:y>0.0461</cdr:y>
    </cdr:from>
    <cdr:to>
      <cdr:x>0.82529</cdr:x>
      <cdr:y>0.11098</cdr:y>
    </cdr:to>
    <cdr:sp macro="" textlink="">
      <cdr:nvSpPr>
        <cdr:cNvPr id="2" name="TextBox 1">
          <a:extLst xmlns:a="http://schemas.openxmlformats.org/drawingml/2006/main">
            <a:ext uri="{FF2B5EF4-FFF2-40B4-BE49-F238E27FC236}">
              <a16:creationId xmlns:a16="http://schemas.microsoft.com/office/drawing/2014/main" id="{AB1922A4-62BA-EBE5-E4C9-38D19CB15CF2}"/>
            </a:ext>
          </a:extLst>
        </cdr:cNvPr>
        <cdr:cNvSpPr txBox="1"/>
      </cdr:nvSpPr>
      <cdr:spPr>
        <a:xfrm xmlns:a="http://schemas.openxmlformats.org/drawingml/2006/main">
          <a:off x="7873997" y="214312"/>
          <a:ext cx="674689" cy="3016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b="1">
              <a:solidFill>
                <a:srgbClr val="FF0000"/>
              </a:solidFill>
            </a:rPr>
            <a:t>XFS 1Bs</a:t>
          </a:r>
        </a:p>
      </cdr:txBody>
    </cdr:sp>
  </cdr:relSizeAnchor>
  <cdr:relSizeAnchor xmlns:cdr="http://schemas.openxmlformats.org/drawingml/2006/chartDrawing">
    <cdr:from>
      <cdr:x>0.69211</cdr:x>
      <cdr:y>0.5317</cdr:y>
    </cdr:from>
    <cdr:to>
      <cdr:x>0.8072</cdr:x>
      <cdr:y>0.59659</cdr:y>
    </cdr:to>
    <cdr:sp macro="" textlink="">
      <cdr:nvSpPr>
        <cdr:cNvPr id="3" name="TextBox 1">
          <a:extLst xmlns:a="http://schemas.openxmlformats.org/drawingml/2006/main">
            <a:ext uri="{FF2B5EF4-FFF2-40B4-BE49-F238E27FC236}">
              <a16:creationId xmlns:a16="http://schemas.microsoft.com/office/drawing/2014/main" id="{CE4389D8-1F8D-1017-8FD5-EA08990D3710}"/>
            </a:ext>
          </a:extLst>
        </cdr:cNvPr>
        <cdr:cNvSpPr txBox="1"/>
      </cdr:nvSpPr>
      <cdr:spPr>
        <a:xfrm xmlns:a="http://schemas.openxmlformats.org/drawingml/2006/main">
          <a:off x="7196043" y="2475959"/>
          <a:ext cx="1196603" cy="30214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FF0000"/>
              </a:solidFill>
            </a:rPr>
            <a:t>BTRFS 100Mr</a:t>
          </a:r>
        </a:p>
      </cdr:txBody>
    </cdr:sp>
  </cdr:relSizeAnchor>
  <cdr:relSizeAnchor xmlns:cdr="http://schemas.openxmlformats.org/drawingml/2006/chartDrawing">
    <cdr:from>
      <cdr:x>0.66084</cdr:x>
      <cdr:y>0.63415</cdr:y>
    </cdr:from>
    <cdr:to>
      <cdr:x>0.76996</cdr:x>
      <cdr:y>0.69903</cdr:y>
    </cdr:to>
    <cdr:sp macro="" textlink="">
      <cdr:nvSpPr>
        <cdr:cNvPr id="4" name="TextBox 1">
          <a:extLst xmlns:a="http://schemas.openxmlformats.org/drawingml/2006/main">
            <a:ext uri="{FF2B5EF4-FFF2-40B4-BE49-F238E27FC236}">
              <a16:creationId xmlns:a16="http://schemas.microsoft.com/office/drawing/2014/main" id="{7E779852-C8FD-460B-D8BA-B244773B677F}"/>
            </a:ext>
          </a:extLst>
        </cdr:cNvPr>
        <cdr:cNvSpPr txBox="1"/>
      </cdr:nvSpPr>
      <cdr:spPr>
        <a:xfrm xmlns:a="http://schemas.openxmlformats.org/drawingml/2006/main">
          <a:off x="6845300" y="2947988"/>
          <a:ext cx="1130303" cy="3016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FF0000"/>
              </a:solidFill>
            </a:rPr>
            <a:t>EXT4 100Mr</a:t>
          </a:r>
        </a:p>
      </cdr:txBody>
    </cdr:sp>
  </cdr:relSizeAnchor>
  <cdr:relSizeAnchor xmlns:cdr="http://schemas.openxmlformats.org/drawingml/2006/chartDrawing">
    <cdr:from>
      <cdr:x>0.32904</cdr:x>
      <cdr:y>0.03483</cdr:y>
    </cdr:from>
    <cdr:to>
      <cdr:x>0.67507</cdr:x>
      <cdr:y>0.09641</cdr:y>
    </cdr:to>
    <cdr:sp macro="" textlink="">
      <cdr:nvSpPr>
        <cdr:cNvPr id="5" name="TextBox 28">
          <a:extLst xmlns:a="http://schemas.openxmlformats.org/drawingml/2006/main">
            <a:ext uri="{FF2B5EF4-FFF2-40B4-BE49-F238E27FC236}">
              <a16:creationId xmlns:a16="http://schemas.microsoft.com/office/drawing/2014/main" id="{C66E4E37-CB1F-9040-8B19-233B4C42B58F}"/>
            </a:ext>
          </a:extLst>
        </cdr:cNvPr>
        <cdr:cNvSpPr txBox="1"/>
      </cdr:nvSpPr>
      <cdr:spPr>
        <a:xfrm xmlns:a="http://schemas.openxmlformats.org/drawingml/2006/main">
          <a:off x="3408363" y="161925"/>
          <a:ext cx="3584331" cy="28623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b="1">
              <a:solidFill>
                <a:schemeClr val="tx1">
                  <a:lumMod val="75000"/>
                  <a:lumOff val="25000"/>
                </a:schemeClr>
              </a:solidFill>
            </a:rPr>
            <a:t>Read Speed Distribution</a:t>
          </a:r>
        </a:p>
      </cdr:txBody>
    </cdr:sp>
  </cdr:relSizeAnchor>
  <cdr:relSizeAnchor xmlns:cdr="http://schemas.openxmlformats.org/drawingml/2006/chartDrawing">
    <cdr:from>
      <cdr:x>0.62253</cdr:x>
      <cdr:y>0.4395</cdr:y>
    </cdr:from>
    <cdr:to>
      <cdr:x>0.77626</cdr:x>
      <cdr:y>0.50044</cdr:y>
    </cdr:to>
    <cdr:sp macro="" textlink="">
      <cdr:nvSpPr>
        <cdr:cNvPr id="6" name="TextBox 13">
          <a:extLst xmlns:a="http://schemas.openxmlformats.org/drawingml/2006/main">
            <a:ext uri="{FF2B5EF4-FFF2-40B4-BE49-F238E27FC236}">
              <a16:creationId xmlns:a16="http://schemas.microsoft.com/office/drawing/2014/main" id="{F0B1327B-1445-9C1E-27AC-5CA6ACCB8900}"/>
            </a:ext>
          </a:extLst>
        </cdr:cNvPr>
        <cdr:cNvSpPr txBox="1"/>
      </cdr:nvSpPr>
      <cdr:spPr>
        <a:xfrm xmlns:a="http://schemas.openxmlformats.org/drawingml/2006/main">
          <a:off x="6448425" y="2043113"/>
          <a:ext cx="1592384" cy="2833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b="1">
              <a:solidFill>
                <a:schemeClr val="accent6">
                  <a:lumMod val="75000"/>
                </a:schemeClr>
              </a:solidFill>
            </a:rPr>
            <a:t>&gt;10 Million</a:t>
          </a:r>
          <a:r>
            <a:rPr lang="en-US" sz="1600" b="1" baseline="0">
              <a:solidFill>
                <a:schemeClr val="accent6">
                  <a:lumMod val="75000"/>
                </a:schemeClr>
              </a:solidFill>
            </a:rPr>
            <a:t> Files</a:t>
          </a:r>
          <a:endParaRPr lang="en-US" sz="1600" b="1">
            <a:solidFill>
              <a:schemeClr val="accent6">
                <a:lumMod val="75000"/>
              </a:schemeClr>
            </a:solidFill>
          </a:endParaRPr>
        </a:p>
      </cdr:txBody>
    </cdr:sp>
  </cdr:relSizeAnchor>
  <cdr:relSizeAnchor xmlns:cdr="http://schemas.openxmlformats.org/drawingml/2006/chartDrawing">
    <cdr:from>
      <cdr:x>0.11754</cdr:x>
      <cdr:y>0.95071</cdr:y>
    </cdr:from>
    <cdr:to>
      <cdr:x>0.27222</cdr:x>
      <cdr:y>0.95071</cdr:y>
    </cdr:to>
    <cdr:cxnSp macro="">
      <cdr:nvCxnSpPr>
        <cdr:cNvPr id="7" name="Straight Arrow Connector 6">
          <a:extLst xmlns:a="http://schemas.openxmlformats.org/drawingml/2006/main">
            <a:ext uri="{FF2B5EF4-FFF2-40B4-BE49-F238E27FC236}">
              <a16:creationId xmlns:a16="http://schemas.microsoft.com/office/drawing/2014/main" id="{C55E8357-CE88-A777-6139-ABDDE2C186F0}"/>
            </a:ext>
          </a:extLst>
        </cdr:cNvPr>
        <cdr:cNvCxnSpPr/>
      </cdr:nvCxnSpPr>
      <cdr:spPr>
        <a:xfrm xmlns:a="http://schemas.openxmlformats.org/drawingml/2006/main" flipH="1">
          <a:off x="1217573" y="4419601"/>
          <a:ext cx="1602154" cy="0"/>
        </a:xfrm>
        <a:prstGeom xmlns:a="http://schemas.openxmlformats.org/drawingml/2006/main" prst="straightConnector1">
          <a:avLst/>
        </a:prstGeom>
        <a:ln xmlns:a="http://schemas.openxmlformats.org/drawingml/2006/main" w="19050">
          <a:solidFill>
            <a:schemeClr val="tx1">
              <a:lumMod val="75000"/>
              <a:lumOff val="25000"/>
            </a:schemeClr>
          </a:solidFill>
          <a:headEnd type="triangle"/>
          <a:tailEnd type="triangle"/>
        </a:ln>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cxnSp>
  </cdr:relSizeAnchor>
  <cdr:relSizeAnchor xmlns:cdr="http://schemas.openxmlformats.org/drawingml/2006/chartDrawing">
    <cdr:from>
      <cdr:x>0.04782</cdr:x>
      <cdr:y>0.91246</cdr:y>
    </cdr:from>
    <cdr:to>
      <cdr:x>0.13622</cdr:x>
      <cdr:y>0.98139</cdr:y>
    </cdr:to>
    <cdr:sp macro="" textlink="">
      <cdr:nvSpPr>
        <cdr:cNvPr id="8" name="TextBox 26">
          <a:extLst xmlns:a="http://schemas.openxmlformats.org/drawingml/2006/main">
            <a:ext uri="{FF2B5EF4-FFF2-40B4-BE49-F238E27FC236}">
              <a16:creationId xmlns:a16="http://schemas.microsoft.com/office/drawing/2014/main" id="{8A01262F-D227-F641-A84B-9CB6D65082D6}"/>
            </a:ext>
          </a:extLst>
        </cdr:cNvPr>
        <cdr:cNvSpPr txBox="1"/>
      </cdr:nvSpPr>
      <cdr:spPr>
        <a:xfrm xmlns:a="http://schemas.openxmlformats.org/drawingml/2006/main">
          <a:off x="495300" y="4241800"/>
          <a:ext cx="915703" cy="3204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1" i="1">
              <a:solidFill>
                <a:schemeClr val="bg1">
                  <a:lumMod val="50000"/>
                </a:schemeClr>
              </a:solidFill>
            </a:rPr>
            <a:t>Faster</a:t>
          </a:r>
        </a:p>
      </cdr:txBody>
    </cdr:sp>
  </cdr:relSizeAnchor>
  <cdr:relSizeAnchor xmlns:cdr="http://schemas.openxmlformats.org/drawingml/2006/chartDrawing">
    <cdr:from>
      <cdr:x>0.26052</cdr:x>
      <cdr:y>0.91373</cdr:y>
    </cdr:from>
    <cdr:to>
      <cdr:x>0.34361</cdr:x>
      <cdr:y>0.98265</cdr:y>
    </cdr:to>
    <cdr:sp macro="" textlink="">
      <cdr:nvSpPr>
        <cdr:cNvPr id="9" name="TextBox 27">
          <a:extLst xmlns:a="http://schemas.openxmlformats.org/drawingml/2006/main">
            <a:ext uri="{FF2B5EF4-FFF2-40B4-BE49-F238E27FC236}">
              <a16:creationId xmlns:a16="http://schemas.microsoft.com/office/drawing/2014/main" id="{90474E82-369B-8F48-9166-95EE54F80CFD}"/>
            </a:ext>
          </a:extLst>
        </cdr:cNvPr>
        <cdr:cNvSpPr txBox="1"/>
      </cdr:nvSpPr>
      <cdr:spPr>
        <a:xfrm xmlns:a="http://schemas.openxmlformats.org/drawingml/2006/main">
          <a:off x="2698588" y="4247662"/>
          <a:ext cx="860669" cy="3204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1" i="1">
              <a:solidFill>
                <a:schemeClr val="bg1">
                  <a:lumMod val="50000"/>
                </a:schemeClr>
              </a:solidFill>
            </a:rPr>
            <a:t>Slower</a:t>
          </a:r>
        </a:p>
      </cdr:txBody>
    </cdr:sp>
  </cdr:relSizeAnchor>
  <cdr:relSizeAnchor xmlns:cdr="http://schemas.openxmlformats.org/drawingml/2006/chartDrawing">
    <cdr:from>
      <cdr:x>0.39801</cdr:x>
      <cdr:y>0.91246</cdr:y>
    </cdr:from>
    <cdr:to>
      <cdr:x>0.60219</cdr:x>
      <cdr:y>0.98139</cdr:y>
    </cdr:to>
    <cdr:sp macro="" textlink="">
      <cdr:nvSpPr>
        <cdr:cNvPr id="10" name="TextBox 14">
          <a:extLst xmlns:a="http://schemas.openxmlformats.org/drawingml/2006/main">
            <a:ext uri="{FF2B5EF4-FFF2-40B4-BE49-F238E27FC236}">
              <a16:creationId xmlns:a16="http://schemas.microsoft.com/office/drawing/2014/main" id="{F8CF0534-A228-6E1C-0D37-EAA2BDE5AED6}"/>
            </a:ext>
          </a:extLst>
        </cdr:cNvPr>
        <cdr:cNvSpPr txBox="1"/>
      </cdr:nvSpPr>
      <cdr:spPr>
        <a:xfrm xmlns:a="http://schemas.openxmlformats.org/drawingml/2006/main">
          <a:off x="4122737" y="4241800"/>
          <a:ext cx="2115038" cy="3204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i="0">
              <a:solidFill>
                <a:schemeClr val="bg1">
                  <a:lumMod val="50000"/>
                </a:schemeClr>
              </a:solidFill>
            </a:rPr>
            <a:t>Buckets</a:t>
          </a:r>
        </a:p>
      </cdr:txBody>
    </cdr:sp>
  </cdr:relSizeAnchor>
  <cdr:relSizeAnchor xmlns:cdr="http://schemas.openxmlformats.org/drawingml/2006/chartDrawing">
    <cdr:from>
      <cdr:x>0.26161</cdr:x>
      <cdr:y>0.81343</cdr:y>
    </cdr:from>
    <cdr:to>
      <cdr:x>0.38736</cdr:x>
      <cdr:y>0.88194</cdr:y>
    </cdr:to>
    <cdr:sp macro="" textlink="">
      <cdr:nvSpPr>
        <cdr:cNvPr id="11" name="TextBox 22">
          <a:extLst xmlns:a="http://schemas.openxmlformats.org/drawingml/2006/main">
            <a:ext uri="{FF2B5EF4-FFF2-40B4-BE49-F238E27FC236}">
              <a16:creationId xmlns:a16="http://schemas.microsoft.com/office/drawing/2014/main" id="{4A7FD36F-8C39-AC41-82B5-CCC826354AAF}"/>
            </a:ext>
          </a:extLst>
        </cdr:cNvPr>
        <cdr:cNvSpPr txBox="1"/>
      </cdr:nvSpPr>
      <cdr:spPr>
        <a:xfrm xmlns:a="http://schemas.openxmlformats.org/drawingml/2006/main">
          <a:off x="2709863" y="3781425"/>
          <a:ext cx="1302565" cy="31847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200" b="0" i="1">
              <a:solidFill>
                <a:schemeClr val="bg1">
                  <a:lumMod val="75000"/>
                </a:schemeClr>
              </a:solidFill>
            </a:rPr>
            <a:t>Stragglers</a:t>
          </a:r>
        </a:p>
      </cdr:txBody>
    </cdr:sp>
  </cdr:relSizeAnchor>
  <cdr:relSizeAnchor xmlns:cdr="http://schemas.openxmlformats.org/drawingml/2006/chartDrawing">
    <cdr:from>
      <cdr:x>0.27007</cdr:x>
      <cdr:y>0.82352</cdr:y>
    </cdr:from>
    <cdr:to>
      <cdr:x>0.27088</cdr:x>
      <cdr:y>0.92187</cdr:y>
    </cdr:to>
    <cdr:cxnSp macro="">
      <cdr:nvCxnSpPr>
        <cdr:cNvPr id="12" name="Straight Connector 11">
          <a:extLst xmlns:a="http://schemas.openxmlformats.org/drawingml/2006/main">
            <a:ext uri="{FF2B5EF4-FFF2-40B4-BE49-F238E27FC236}">
              <a16:creationId xmlns:a16="http://schemas.microsoft.com/office/drawing/2014/main" id="{09DA8716-92B9-EBD9-16A7-D265E97FF59F}"/>
            </a:ext>
          </a:extLst>
        </cdr:cNvPr>
        <cdr:cNvCxnSpPr/>
      </cdr:nvCxnSpPr>
      <cdr:spPr>
        <a:xfrm xmlns:a="http://schemas.openxmlformats.org/drawingml/2006/main">
          <a:off x="2797461" y="3828310"/>
          <a:ext cx="8467" cy="457200"/>
        </a:xfrm>
        <a:prstGeom xmlns:a="http://schemas.openxmlformats.org/drawingml/2006/main" prst="line">
          <a:avLst/>
        </a:prstGeom>
        <a:ln xmlns:a="http://schemas.openxmlformats.org/drawingml/2006/main" w="9525" cap="flat" cmpd="sng" algn="ctr">
          <a:solidFill>
            <a:schemeClr val="accent3"/>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4.xml><?xml version="1.0" encoding="utf-8"?>
<c:userShapes xmlns:c="http://schemas.openxmlformats.org/drawingml/2006/chart">
  <cdr:relSizeAnchor xmlns:cdr="http://schemas.openxmlformats.org/drawingml/2006/chartDrawing">
    <cdr:from>
      <cdr:x>0.41408</cdr:x>
      <cdr:y>0.04151</cdr:y>
    </cdr:from>
    <cdr:to>
      <cdr:x>0.60426</cdr:x>
      <cdr:y>0.14187</cdr:y>
    </cdr:to>
    <cdr:sp macro="" textlink="">
      <cdr:nvSpPr>
        <cdr:cNvPr id="2" name="TextBox 1">
          <a:extLst xmlns:a="http://schemas.openxmlformats.org/drawingml/2006/main">
            <a:ext uri="{FF2B5EF4-FFF2-40B4-BE49-F238E27FC236}">
              <a16:creationId xmlns:a16="http://schemas.microsoft.com/office/drawing/2014/main" id="{E4661210-CCC1-A9DB-4515-253A06DB214B}"/>
            </a:ext>
          </a:extLst>
        </cdr:cNvPr>
        <cdr:cNvSpPr txBox="1"/>
      </cdr:nvSpPr>
      <cdr:spPr>
        <a:xfrm xmlns:a="http://schemas.openxmlformats.org/drawingml/2006/main">
          <a:off x="2293122" y="125180"/>
          <a:ext cx="1053206" cy="30260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FF0000"/>
              </a:solidFill>
            </a:rPr>
            <a:t>BTRFS 10Mr</a:t>
          </a:r>
        </a:p>
      </cdr:txBody>
    </cdr:sp>
  </cdr:relSizeAnchor>
  <cdr:relSizeAnchor xmlns:cdr="http://schemas.openxmlformats.org/drawingml/2006/chartDrawing">
    <cdr:from>
      <cdr:x>0.26312</cdr:x>
      <cdr:y>3.31627E-7</cdr:y>
    </cdr:from>
    <cdr:to>
      <cdr:x>0.46829</cdr:x>
      <cdr:y>0.07559</cdr:y>
    </cdr:to>
    <cdr:sp macro="" textlink="">
      <cdr:nvSpPr>
        <cdr:cNvPr id="3" name="TextBox 1">
          <a:extLst xmlns:a="http://schemas.openxmlformats.org/drawingml/2006/main">
            <a:ext uri="{FF2B5EF4-FFF2-40B4-BE49-F238E27FC236}">
              <a16:creationId xmlns:a16="http://schemas.microsoft.com/office/drawing/2014/main" id="{E4661210-CCC1-A9DB-4515-253A06DB214B}"/>
            </a:ext>
          </a:extLst>
        </cdr:cNvPr>
        <cdr:cNvSpPr txBox="1"/>
      </cdr:nvSpPr>
      <cdr:spPr>
        <a:xfrm xmlns:a="http://schemas.openxmlformats.org/drawingml/2006/main">
          <a:off x="1457132" y="1"/>
          <a:ext cx="1136191" cy="22794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FF0000"/>
              </a:solidFill>
            </a:rPr>
            <a:t>BTRFS 10Ms</a:t>
          </a:r>
        </a:p>
      </cdr:txBody>
    </cdr:sp>
  </cdr:relSizeAnchor>
  <cdr:relSizeAnchor xmlns:cdr="http://schemas.openxmlformats.org/drawingml/2006/chartDrawing">
    <cdr:from>
      <cdr:x>0.02363</cdr:x>
      <cdr:y>0.0882</cdr:y>
    </cdr:from>
    <cdr:to>
      <cdr:x>0.2288</cdr:x>
      <cdr:y>0.18856</cdr:y>
    </cdr:to>
    <cdr:sp macro="" textlink="">
      <cdr:nvSpPr>
        <cdr:cNvPr id="4" name="TextBox 1">
          <a:extLst xmlns:a="http://schemas.openxmlformats.org/drawingml/2006/main">
            <a:ext uri="{FF2B5EF4-FFF2-40B4-BE49-F238E27FC236}">
              <a16:creationId xmlns:a16="http://schemas.microsoft.com/office/drawing/2014/main" id="{E4661210-CCC1-A9DB-4515-253A06DB214B}"/>
            </a:ext>
          </a:extLst>
        </cdr:cNvPr>
        <cdr:cNvSpPr txBox="1"/>
      </cdr:nvSpPr>
      <cdr:spPr>
        <a:xfrm xmlns:a="http://schemas.openxmlformats.org/drawingml/2006/main">
          <a:off x="130175" y="265112"/>
          <a:ext cx="1130303" cy="3016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FF0000"/>
              </a:solidFill>
            </a:rPr>
            <a:t>EXT4 10Mr</a:t>
          </a:r>
        </a:p>
      </cdr:txBody>
    </cdr:sp>
  </cdr:relSizeAnchor>
  <cdr:relSizeAnchor xmlns:cdr="http://schemas.openxmlformats.org/drawingml/2006/chartDrawing">
    <cdr:from>
      <cdr:x>0.0049</cdr:x>
      <cdr:y>0.34173</cdr:y>
    </cdr:from>
    <cdr:to>
      <cdr:x>0.21007</cdr:x>
      <cdr:y>0.44208</cdr:y>
    </cdr:to>
    <cdr:sp macro="" textlink="">
      <cdr:nvSpPr>
        <cdr:cNvPr id="5" name="TextBox 1">
          <a:extLst xmlns:a="http://schemas.openxmlformats.org/drawingml/2006/main">
            <a:ext uri="{FF2B5EF4-FFF2-40B4-BE49-F238E27FC236}">
              <a16:creationId xmlns:a16="http://schemas.microsoft.com/office/drawing/2014/main" id="{E4661210-CCC1-A9DB-4515-253A06DB214B}"/>
            </a:ext>
          </a:extLst>
        </cdr:cNvPr>
        <cdr:cNvSpPr txBox="1"/>
      </cdr:nvSpPr>
      <cdr:spPr>
        <a:xfrm xmlns:a="http://schemas.openxmlformats.org/drawingml/2006/main">
          <a:off x="26987" y="1027112"/>
          <a:ext cx="1130303" cy="3016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FF0000"/>
              </a:solidFill>
            </a:rPr>
            <a:t>F2FS 6Mr</a:t>
          </a:r>
        </a:p>
      </cdr:txBody>
    </cdr:sp>
  </cdr:relSizeAnchor>
  <cdr:relSizeAnchor xmlns:cdr="http://schemas.openxmlformats.org/drawingml/2006/chartDrawing">
    <cdr:from>
      <cdr:x>0.45298</cdr:x>
      <cdr:y>0.20968</cdr:y>
    </cdr:from>
    <cdr:to>
      <cdr:x>0.65815</cdr:x>
      <cdr:y>0.31004</cdr:y>
    </cdr:to>
    <cdr:sp macro="" textlink="">
      <cdr:nvSpPr>
        <cdr:cNvPr id="6" name="TextBox 1">
          <a:extLst xmlns:a="http://schemas.openxmlformats.org/drawingml/2006/main">
            <a:ext uri="{FF2B5EF4-FFF2-40B4-BE49-F238E27FC236}">
              <a16:creationId xmlns:a16="http://schemas.microsoft.com/office/drawing/2014/main" id="{E4661210-CCC1-A9DB-4515-253A06DB214B}"/>
            </a:ext>
          </a:extLst>
        </cdr:cNvPr>
        <cdr:cNvSpPr txBox="1"/>
      </cdr:nvSpPr>
      <cdr:spPr>
        <a:xfrm xmlns:a="http://schemas.openxmlformats.org/drawingml/2006/main">
          <a:off x="2495550" y="630238"/>
          <a:ext cx="1130303" cy="3016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FF0000"/>
              </a:solidFill>
            </a:rPr>
            <a:t>XFS 10Ms</a:t>
          </a:r>
        </a:p>
      </cdr:txBody>
    </cdr:sp>
  </cdr:relSizeAnchor>
  <cdr:relSizeAnchor xmlns:cdr="http://schemas.openxmlformats.org/drawingml/2006/chartDrawing">
    <cdr:from>
      <cdr:x>0.57401</cdr:x>
      <cdr:y>0.47377</cdr:y>
    </cdr:from>
    <cdr:to>
      <cdr:x>0.86305</cdr:x>
      <cdr:y>0.56803</cdr:y>
    </cdr:to>
    <cdr:sp macro="" textlink="">
      <cdr:nvSpPr>
        <cdr:cNvPr id="7" name="TextBox 13">
          <a:extLst xmlns:a="http://schemas.openxmlformats.org/drawingml/2006/main">
            <a:ext uri="{FF2B5EF4-FFF2-40B4-BE49-F238E27FC236}">
              <a16:creationId xmlns:a16="http://schemas.microsoft.com/office/drawing/2014/main" id="{F0B1327B-1445-9C1E-27AC-5CA6ACCB8900}"/>
            </a:ext>
          </a:extLst>
        </cdr:cNvPr>
        <cdr:cNvSpPr txBox="1"/>
      </cdr:nvSpPr>
      <cdr:spPr>
        <a:xfrm xmlns:a="http://schemas.openxmlformats.org/drawingml/2006/main">
          <a:off x="3162300" y="1423987"/>
          <a:ext cx="1592384" cy="2833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b="1">
              <a:solidFill>
                <a:schemeClr val="accent6">
                  <a:lumMod val="75000"/>
                </a:schemeClr>
              </a:solidFill>
            </a:rPr>
            <a:t>&lt;10 Million</a:t>
          </a:r>
          <a:r>
            <a:rPr lang="en-US" sz="1600" b="1" baseline="0">
              <a:solidFill>
                <a:schemeClr val="accent6">
                  <a:lumMod val="75000"/>
                </a:schemeClr>
              </a:solidFill>
            </a:rPr>
            <a:t> Files</a:t>
          </a:r>
          <a:endParaRPr lang="en-US" sz="1600" b="1">
            <a:solidFill>
              <a:schemeClr val="accent6">
                <a:lumMod val="75000"/>
              </a:schemeClr>
            </a:solidFill>
          </a:endParaRPr>
        </a:p>
      </cdr:txBody>
    </cdr:sp>
  </cdr:relSizeAnchor>
  <cdr:relSizeAnchor xmlns:cdr="http://schemas.openxmlformats.org/drawingml/2006/chartDrawing">
    <cdr:from>
      <cdr:x>0.74391</cdr:x>
      <cdr:y>0.73785</cdr:y>
    </cdr:from>
    <cdr:to>
      <cdr:x>0.943</cdr:x>
      <cdr:y>0.84381</cdr:y>
    </cdr:to>
    <cdr:sp macro="" textlink="">
      <cdr:nvSpPr>
        <cdr:cNvPr id="8" name="TextBox 22">
          <a:extLst xmlns:a="http://schemas.openxmlformats.org/drawingml/2006/main">
            <a:ext uri="{FF2B5EF4-FFF2-40B4-BE49-F238E27FC236}">
              <a16:creationId xmlns:a16="http://schemas.microsoft.com/office/drawing/2014/main" id="{4A7FD36F-8C39-AC41-82B5-CCC826354AAF}"/>
            </a:ext>
          </a:extLst>
        </cdr:cNvPr>
        <cdr:cNvSpPr txBox="1"/>
      </cdr:nvSpPr>
      <cdr:spPr>
        <a:xfrm xmlns:a="http://schemas.openxmlformats.org/drawingml/2006/main">
          <a:off x="4119684" y="2224946"/>
          <a:ext cx="1102493" cy="31951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0" i="1">
              <a:solidFill>
                <a:schemeClr val="bg1">
                  <a:lumMod val="75000"/>
                </a:schemeClr>
              </a:solidFill>
            </a:rPr>
            <a:t>Stragglers</a:t>
          </a:r>
        </a:p>
      </cdr:txBody>
    </cdr:sp>
  </cdr:relSizeAnchor>
  <cdr:relSizeAnchor xmlns:cdr="http://schemas.openxmlformats.org/drawingml/2006/chartDrawing">
    <cdr:from>
      <cdr:x>0.70517</cdr:x>
      <cdr:y>0.7693</cdr:y>
    </cdr:from>
    <cdr:to>
      <cdr:x>0.70671</cdr:x>
      <cdr:y>0.92141</cdr:y>
    </cdr:to>
    <cdr:cxnSp macro="">
      <cdr:nvCxnSpPr>
        <cdr:cNvPr id="9" name="Straight Connector 8">
          <a:extLst xmlns:a="http://schemas.openxmlformats.org/drawingml/2006/main">
            <a:ext uri="{FF2B5EF4-FFF2-40B4-BE49-F238E27FC236}">
              <a16:creationId xmlns:a16="http://schemas.microsoft.com/office/drawing/2014/main" id="{09DA8716-92B9-EBD9-16A7-D265E97FF59F}"/>
            </a:ext>
          </a:extLst>
        </cdr:cNvPr>
        <cdr:cNvCxnSpPr/>
      </cdr:nvCxnSpPr>
      <cdr:spPr>
        <a:xfrm xmlns:a="http://schemas.openxmlformats.org/drawingml/2006/main">
          <a:off x="3884898" y="2312248"/>
          <a:ext cx="8467" cy="457200"/>
        </a:xfrm>
        <a:prstGeom xmlns:a="http://schemas.openxmlformats.org/drawingml/2006/main" prst="line">
          <a:avLst/>
        </a:prstGeom>
        <a:ln xmlns:a="http://schemas.openxmlformats.org/drawingml/2006/main" w="9525" cap="flat" cmpd="sng" algn="ctr">
          <a:solidFill>
            <a:schemeClr val="accent3"/>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12</xdr:col>
      <xdr:colOff>69850</xdr:colOff>
      <xdr:row>19</xdr:row>
      <xdr:rowOff>57150</xdr:rowOff>
    </xdr:from>
    <xdr:to>
      <xdr:col>24</xdr:col>
      <xdr:colOff>50800</xdr:colOff>
      <xdr:row>43</xdr:row>
      <xdr:rowOff>88900</xdr:rowOff>
    </xdr:to>
    <xdr:graphicFrame macro="">
      <xdr:nvGraphicFramePr>
        <xdr:cNvPr id="2" name="Chart 1">
          <a:extLst>
            <a:ext uri="{FF2B5EF4-FFF2-40B4-BE49-F238E27FC236}">
              <a16:creationId xmlns:a16="http://schemas.microsoft.com/office/drawing/2014/main" id="{C77FE596-E2E6-436A-0A09-17B26DE4A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488950</xdr:colOff>
      <xdr:row>19</xdr:row>
      <xdr:rowOff>19050</xdr:rowOff>
    </xdr:from>
    <xdr:to>
      <xdr:col>11</xdr:col>
      <xdr:colOff>361950</xdr:colOff>
      <xdr:row>32</xdr:row>
      <xdr:rowOff>120650</xdr:rowOff>
    </xdr:to>
    <xdr:graphicFrame macro="">
      <xdr:nvGraphicFramePr>
        <xdr:cNvPr id="3" name="Chart 2">
          <a:extLst>
            <a:ext uri="{FF2B5EF4-FFF2-40B4-BE49-F238E27FC236}">
              <a16:creationId xmlns:a16="http://schemas.microsoft.com/office/drawing/2014/main" id="{34774C7B-35D8-7862-4852-EBB3CCAA9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53</xdr:row>
      <xdr:rowOff>0</xdr:rowOff>
    </xdr:from>
    <xdr:to>
      <xdr:col>10</xdr:col>
      <xdr:colOff>12700</xdr:colOff>
      <xdr:row>75</xdr:row>
      <xdr:rowOff>127000</xdr:rowOff>
    </xdr:to>
    <xdr:graphicFrame macro="">
      <xdr:nvGraphicFramePr>
        <xdr:cNvPr id="4" name="Chart 3">
          <a:extLst>
            <a:ext uri="{FF2B5EF4-FFF2-40B4-BE49-F238E27FC236}">
              <a16:creationId xmlns:a16="http://schemas.microsoft.com/office/drawing/2014/main" id="{366C0C59-9E05-FC42-91DF-EA58DEAF9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311150</xdr:colOff>
      <xdr:row>25</xdr:row>
      <xdr:rowOff>190500</xdr:rowOff>
    </xdr:from>
    <xdr:to>
      <xdr:col>13</xdr:col>
      <xdr:colOff>508000</xdr:colOff>
      <xdr:row>51</xdr:row>
      <xdr:rowOff>76200</xdr:rowOff>
    </xdr:to>
    <xdr:graphicFrame macro="">
      <xdr:nvGraphicFramePr>
        <xdr:cNvPr id="7" name="Chart 6">
          <a:extLst>
            <a:ext uri="{FF2B5EF4-FFF2-40B4-BE49-F238E27FC236}">
              <a16:creationId xmlns:a16="http://schemas.microsoft.com/office/drawing/2014/main" id="{2DAAC70D-DA08-6C48-8E20-8E20F2F42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44450</xdr:colOff>
      <xdr:row>28</xdr:row>
      <xdr:rowOff>63500</xdr:rowOff>
    </xdr:from>
    <xdr:to>
      <xdr:col>29</xdr:col>
      <xdr:colOff>215900</xdr:colOff>
      <xdr:row>53</xdr:row>
      <xdr:rowOff>101600</xdr:rowOff>
    </xdr:to>
    <xdr:graphicFrame macro="">
      <xdr:nvGraphicFramePr>
        <xdr:cNvPr id="9" name="Chart 8">
          <a:extLst>
            <a:ext uri="{FF2B5EF4-FFF2-40B4-BE49-F238E27FC236}">
              <a16:creationId xmlns:a16="http://schemas.microsoft.com/office/drawing/2014/main" id="{C994F5D0-CC86-C741-A4C0-B8A99F1AB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101600</xdr:colOff>
      <xdr:row>30</xdr:row>
      <xdr:rowOff>133350</xdr:rowOff>
    </xdr:from>
    <xdr:to>
      <xdr:col>39</xdr:col>
      <xdr:colOff>469900</xdr:colOff>
      <xdr:row>59</xdr:row>
      <xdr:rowOff>165100</xdr:rowOff>
    </xdr:to>
    <xdr:graphicFrame macro="">
      <xdr:nvGraphicFramePr>
        <xdr:cNvPr id="2" name="Chart 1">
          <a:extLst>
            <a:ext uri="{FF2B5EF4-FFF2-40B4-BE49-F238E27FC236}">
              <a16:creationId xmlns:a16="http://schemas.microsoft.com/office/drawing/2014/main" id="{FD9114D6-79C6-3441-9109-0609D73BC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863600</xdr:colOff>
      <xdr:row>13</xdr:row>
      <xdr:rowOff>107950</xdr:rowOff>
    </xdr:from>
    <xdr:to>
      <xdr:col>34</xdr:col>
      <xdr:colOff>800100</xdr:colOff>
      <xdr:row>27</xdr:row>
      <xdr:rowOff>88900</xdr:rowOff>
    </xdr:to>
    <xdr:graphicFrame macro="">
      <xdr:nvGraphicFramePr>
        <xdr:cNvPr id="3" name="Chart 2">
          <a:extLst>
            <a:ext uri="{FF2B5EF4-FFF2-40B4-BE49-F238E27FC236}">
              <a16:creationId xmlns:a16="http://schemas.microsoft.com/office/drawing/2014/main" id="{B4663808-CE87-724F-BE4B-A94C58B28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781050</xdr:colOff>
      <xdr:row>13</xdr:row>
      <xdr:rowOff>190500</xdr:rowOff>
    </xdr:from>
    <xdr:to>
      <xdr:col>44</xdr:col>
      <xdr:colOff>281215</xdr:colOff>
      <xdr:row>25</xdr:row>
      <xdr:rowOff>127000</xdr:rowOff>
    </xdr:to>
    <xdr:graphicFrame macro="">
      <xdr:nvGraphicFramePr>
        <xdr:cNvPr id="6" name="Chart 5">
          <a:extLst>
            <a:ext uri="{FF2B5EF4-FFF2-40B4-BE49-F238E27FC236}">
              <a16:creationId xmlns:a16="http://schemas.microsoft.com/office/drawing/2014/main" id="{543FD006-4CDD-E5E5-8D4D-9E64D7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838200</xdr:colOff>
      <xdr:row>13</xdr:row>
      <xdr:rowOff>177800</xdr:rowOff>
    </xdr:from>
    <xdr:to>
      <xdr:col>56</xdr:col>
      <xdr:colOff>152400</xdr:colOff>
      <xdr:row>52</xdr:row>
      <xdr:rowOff>152400</xdr:rowOff>
    </xdr:to>
    <xdr:graphicFrame macro="">
      <xdr:nvGraphicFramePr>
        <xdr:cNvPr id="2" name="Chart 1">
          <a:extLst>
            <a:ext uri="{FF2B5EF4-FFF2-40B4-BE49-F238E27FC236}">
              <a16:creationId xmlns:a16="http://schemas.microsoft.com/office/drawing/2014/main" id="{029DB36C-D682-0C4C-8962-0EB099A2A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114300</xdr:colOff>
      <xdr:row>18</xdr:row>
      <xdr:rowOff>146050</xdr:rowOff>
    </xdr:from>
    <xdr:to>
      <xdr:col>37</xdr:col>
      <xdr:colOff>508000</xdr:colOff>
      <xdr:row>41</xdr:row>
      <xdr:rowOff>165100</xdr:rowOff>
    </xdr:to>
    <xdr:graphicFrame macro="">
      <xdr:nvGraphicFramePr>
        <xdr:cNvPr id="3" name="Chart 2">
          <a:extLst>
            <a:ext uri="{FF2B5EF4-FFF2-40B4-BE49-F238E27FC236}">
              <a16:creationId xmlns:a16="http://schemas.microsoft.com/office/drawing/2014/main" id="{53DF0375-9420-5442-984F-7B0AEFE3D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431800</xdr:colOff>
      <xdr:row>14</xdr:row>
      <xdr:rowOff>50800</xdr:rowOff>
    </xdr:from>
    <xdr:to>
      <xdr:col>14</xdr:col>
      <xdr:colOff>114300</xdr:colOff>
      <xdr:row>38</xdr:row>
      <xdr:rowOff>88900</xdr:rowOff>
    </xdr:to>
    <xdr:graphicFrame macro="">
      <xdr:nvGraphicFramePr>
        <xdr:cNvPr id="4" name="Chart 3">
          <a:extLst>
            <a:ext uri="{FF2B5EF4-FFF2-40B4-BE49-F238E27FC236}">
              <a16:creationId xmlns:a16="http://schemas.microsoft.com/office/drawing/2014/main" id="{4FCCC833-B19C-9F86-852E-9C0CED745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469900</xdr:colOff>
      <xdr:row>7</xdr:row>
      <xdr:rowOff>44450</xdr:rowOff>
    </xdr:from>
    <xdr:to>
      <xdr:col>13</xdr:col>
      <xdr:colOff>203200</xdr:colOff>
      <xdr:row>20</xdr:row>
      <xdr:rowOff>146050</xdr:rowOff>
    </xdr:to>
    <xdr:graphicFrame macro="">
      <xdr:nvGraphicFramePr>
        <xdr:cNvPr id="5" name="Chart 4">
          <a:extLst>
            <a:ext uri="{FF2B5EF4-FFF2-40B4-BE49-F238E27FC236}">
              <a16:creationId xmlns:a16="http://schemas.microsoft.com/office/drawing/2014/main" id="{D67A4951-B4C5-0E42-9C50-0DBC49D8E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368300</xdr:colOff>
      <xdr:row>7</xdr:row>
      <xdr:rowOff>196850</xdr:rowOff>
    </xdr:from>
    <xdr:to>
      <xdr:col>28</xdr:col>
      <xdr:colOff>139700</xdr:colOff>
      <xdr:row>25</xdr:row>
      <xdr:rowOff>177800</xdr:rowOff>
    </xdr:to>
    <xdr:graphicFrame macro="">
      <xdr:nvGraphicFramePr>
        <xdr:cNvPr id="6" name="Chart 5">
          <a:extLst>
            <a:ext uri="{FF2B5EF4-FFF2-40B4-BE49-F238E27FC236}">
              <a16:creationId xmlns:a16="http://schemas.microsoft.com/office/drawing/2014/main" id="{8F33CA4B-4CAF-AE46-88F1-11333C50C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47</xdr:col>
      <xdr:colOff>660400</xdr:colOff>
      <xdr:row>9</xdr:row>
      <xdr:rowOff>146050</xdr:rowOff>
    </xdr:from>
    <xdr:to>
      <xdr:col>57</xdr:col>
      <xdr:colOff>330200</xdr:colOff>
      <xdr:row>32</xdr:row>
      <xdr:rowOff>165100</xdr:rowOff>
    </xdr:to>
    <xdr:graphicFrame macro="">
      <xdr:nvGraphicFramePr>
        <xdr:cNvPr id="7" name="Chart 6">
          <a:extLst>
            <a:ext uri="{FF2B5EF4-FFF2-40B4-BE49-F238E27FC236}">
              <a16:creationId xmlns:a16="http://schemas.microsoft.com/office/drawing/2014/main" id="{A92EA74C-3D12-F24C-B34C-32E93D4D8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76200</xdr:colOff>
      <xdr:row>12</xdr:row>
      <xdr:rowOff>158750</xdr:rowOff>
    </xdr:from>
    <xdr:to>
      <xdr:col>38</xdr:col>
      <xdr:colOff>177800</xdr:colOff>
      <xdr:row>38</xdr:row>
      <xdr:rowOff>190500</xdr:rowOff>
    </xdr:to>
    <xdr:graphicFrame macro="">
      <xdr:nvGraphicFramePr>
        <xdr:cNvPr id="8" name="Chart 7">
          <a:extLst>
            <a:ext uri="{FF2B5EF4-FFF2-40B4-BE49-F238E27FC236}">
              <a16:creationId xmlns:a16="http://schemas.microsoft.com/office/drawing/2014/main" id="{2F844D9E-93B7-8B4F-B4DE-6057CF6AF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152400</xdr:colOff>
      <xdr:row>14</xdr:row>
      <xdr:rowOff>69850</xdr:rowOff>
    </xdr:from>
    <xdr:to>
      <xdr:col>49</xdr:col>
      <xdr:colOff>558800</xdr:colOff>
      <xdr:row>40</xdr:row>
      <xdr:rowOff>114300</xdr:rowOff>
    </xdr:to>
    <xdr:graphicFrame macro="">
      <xdr:nvGraphicFramePr>
        <xdr:cNvPr id="12" name="Chart 11">
          <a:extLst>
            <a:ext uri="{FF2B5EF4-FFF2-40B4-BE49-F238E27FC236}">
              <a16:creationId xmlns:a16="http://schemas.microsoft.com/office/drawing/2014/main" id="{B2D328B7-F33D-5842-874F-4E1C2987D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660400</xdr:colOff>
      <xdr:row>40</xdr:row>
      <xdr:rowOff>679450</xdr:rowOff>
    </xdr:from>
    <xdr:to>
      <xdr:col>47</xdr:col>
      <xdr:colOff>190500</xdr:colOff>
      <xdr:row>53</xdr:row>
      <xdr:rowOff>196850</xdr:rowOff>
    </xdr:to>
    <xdr:graphicFrame macro="">
      <xdr:nvGraphicFramePr>
        <xdr:cNvPr id="13" name="Chart 12">
          <a:extLst>
            <a:ext uri="{FF2B5EF4-FFF2-40B4-BE49-F238E27FC236}">
              <a16:creationId xmlns:a16="http://schemas.microsoft.com/office/drawing/2014/main" id="{C2C467C2-2F7B-B642-9B38-6A6651C15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10582</xdr:colOff>
      <xdr:row>18</xdr:row>
      <xdr:rowOff>90439</xdr:rowOff>
    </xdr:from>
    <xdr:to>
      <xdr:col>5</xdr:col>
      <xdr:colOff>517620</xdr:colOff>
      <xdr:row>30</xdr:row>
      <xdr:rowOff>13085</xdr:rowOff>
    </xdr:to>
    <xdr:graphicFrame macro="">
      <xdr:nvGraphicFramePr>
        <xdr:cNvPr id="2" name="Chart 1">
          <a:extLst>
            <a:ext uri="{FF2B5EF4-FFF2-40B4-BE49-F238E27FC236}">
              <a16:creationId xmlns:a16="http://schemas.microsoft.com/office/drawing/2014/main" id="{E17BA7EC-EBBE-2716-3681-066B14260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9621</xdr:colOff>
      <xdr:row>18</xdr:row>
      <xdr:rowOff>100446</xdr:rowOff>
    </xdr:from>
    <xdr:to>
      <xdr:col>13</xdr:col>
      <xdr:colOff>0</xdr:colOff>
      <xdr:row>29</xdr:row>
      <xdr:rowOff>190500</xdr:rowOff>
    </xdr:to>
    <xdr:graphicFrame macro="">
      <xdr:nvGraphicFramePr>
        <xdr:cNvPr id="3" name="Chart 2">
          <a:extLst>
            <a:ext uri="{FF2B5EF4-FFF2-40B4-BE49-F238E27FC236}">
              <a16:creationId xmlns:a16="http://schemas.microsoft.com/office/drawing/2014/main" id="{5C3246C7-5718-D916-6417-6E5F9BD6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703791</xdr:colOff>
      <xdr:row>16</xdr:row>
      <xdr:rowOff>51859</xdr:rowOff>
    </xdr:from>
    <xdr:to>
      <xdr:col>52</xdr:col>
      <xdr:colOff>412749</xdr:colOff>
      <xdr:row>30</xdr:row>
      <xdr:rowOff>179918</xdr:rowOff>
    </xdr:to>
    <xdr:graphicFrame macro="">
      <xdr:nvGraphicFramePr>
        <xdr:cNvPr id="4" name="Chart 3">
          <a:extLst>
            <a:ext uri="{FF2B5EF4-FFF2-40B4-BE49-F238E27FC236}">
              <a16:creationId xmlns:a16="http://schemas.microsoft.com/office/drawing/2014/main" id="{19BB34AA-1DF3-4909-F739-9A5F10BF9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185209</xdr:colOff>
      <xdr:row>16</xdr:row>
      <xdr:rowOff>73025</xdr:rowOff>
    </xdr:from>
    <xdr:to>
      <xdr:col>22</xdr:col>
      <xdr:colOff>407459</xdr:colOff>
      <xdr:row>30</xdr:row>
      <xdr:rowOff>1058</xdr:rowOff>
    </xdr:to>
    <xdr:graphicFrame macro="">
      <xdr:nvGraphicFramePr>
        <xdr:cNvPr id="5" name="Chart 4">
          <a:extLst>
            <a:ext uri="{FF2B5EF4-FFF2-40B4-BE49-F238E27FC236}">
              <a16:creationId xmlns:a16="http://schemas.microsoft.com/office/drawing/2014/main" id="{785C8E71-FD6E-1832-C961-BB4480C11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15875</xdr:colOff>
      <xdr:row>16</xdr:row>
      <xdr:rowOff>83609</xdr:rowOff>
    </xdr:from>
    <xdr:to>
      <xdr:col>32</xdr:col>
      <xdr:colOff>206375</xdr:colOff>
      <xdr:row>30</xdr:row>
      <xdr:rowOff>11642</xdr:rowOff>
    </xdr:to>
    <xdr:graphicFrame macro="">
      <xdr:nvGraphicFramePr>
        <xdr:cNvPr id="6" name="Chart 5">
          <a:extLst>
            <a:ext uri="{FF2B5EF4-FFF2-40B4-BE49-F238E27FC236}">
              <a16:creationId xmlns:a16="http://schemas.microsoft.com/office/drawing/2014/main" id="{916DCAFA-E402-0690-8587-1447FA378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52</xdr:col>
      <xdr:colOff>661457</xdr:colOff>
      <xdr:row>16</xdr:row>
      <xdr:rowOff>51859</xdr:rowOff>
    </xdr:from>
    <xdr:to>
      <xdr:col>58</xdr:col>
      <xdr:colOff>597957</xdr:colOff>
      <xdr:row>29</xdr:row>
      <xdr:rowOff>180976</xdr:rowOff>
    </xdr:to>
    <xdr:graphicFrame macro="">
      <xdr:nvGraphicFramePr>
        <xdr:cNvPr id="7" name="Chart 6">
          <a:extLst>
            <a:ext uri="{FF2B5EF4-FFF2-40B4-BE49-F238E27FC236}">
              <a16:creationId xmlns:a16="http://schemas.microsoft.com/office/drawing/2014/main" id="{992D7D22-6548-C019-6351-6249BC188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158750</xdr:colOff>
      <xdr:row>13</xdr:row>
      <xdr:rowOff>19050</xdr:rowOff>
    </xdr:from>
    <xdr:to>
      <xdr:col>17</xdr:col>
      <xdr:colOff>0</xdr:colOff>
      <xdr:row>31</xdr:row>
      <xdr:rowOff>12700</xdr:rowOff>
    </xdr:to>
    <xdr:graphicFrame macro="">
      <xdr:nvGraphicFramePr>
        <xdr:cNvPr id="2" name="Chart 1">
          <a:extLst>
            <a:ext uri="{FF2B5EF4-FFF2-40B4-BE49-F238E27FC236}">
              <a16:creationId xmlns:a16="http://schemas.microsoft.com/office/drawing/2014/main" id="{2EDD4B3F-134E-C641-A969-95805B108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76200</xdr:colOff>
      <xdr:row>13</xdr:row>
      <xdr:rowOff>6350</xdr:rowOff>
    </xdr:from>
    <xdr:to>
      <xdr:col>36</xdr:col>
      <xdr:colOff>266700</xdr:colOff>
      <xdr:row>31</xdr:row>
      <xdr:rowOff>0</xdr:rowOff>
    </xdr:to>
    <xdr:graphicFrame macro="">
      <xdr:nvGraphicFramePr>
        <xdr:cNvPr id="4" name="Chart 3">
          <a:extLst>
            <a:ext uri="{FF2B5EF4-FFF2-40B4-BE49-F238E27FC236}">
              <a16:creationId xmlns:a16="http://schemas.microsoft.com/office/drawing/2014/main" id="{4DDC4FC3-DADD-AD4E-B6D4-755D3ACF2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273050</xdr:colOff>
      <xdr:row>46</xdr:row>
      <xdr:rowOff>69850</xdr:rowOff>
    </xdr:from>
    <xdr:to>
      <xdr:col>51</xdr:col>
      <xdr:colOff>647700</xdr:colOff>
      <xdr:row>57</xdr:row>
      <xdr:rowOff>177800</xdr:rowOff>
    </xdr:to>
    <xdr:graphicFrame macro="">
      <xdr:nvGraphicFramePr>
        <xdr:cNvPr id="5" name="Chart 4">
          <a:extLst>
            <a:ext uri="{FF2B5EF4-FFF2-40B4-BE49-F238E27FC236}">
              <a16:creationId xmlns:a16="http://schemas.microsoft.com/office/drawing/2014/main" id="{829D9517-DDA4-414B-98B0-2DAA41614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400050</xdr:colOff>
      <xdr:row>31</xdr:row>
      <xdr:rowOff>107950</xdr:rowOff>
    </xdr:from>
    <xdr:to>
      <xdr:col>42</xdr:col>
      <xdr:colOff>234950</xdr:colOff>
      <xdr:row>45</xdr:row>
      <xdr:rowOff>6350</xdr:rowOff>
    </xdr:to>
    <xdr:graphicFrame macro="">
      <xdr:nvGraphicFramePr>
        <xdr:cNvPr id="6" name="Chart 5">
          <a:extLst>
            <a:ext uri="{FF2B5EF4-FFF2-40B4-BE49-F238E27FC236}">
              <a16:creationId xmlns:a16="http://schemas.microsoft.com/office/drawing/2014/main" id="{E089DC03-04BB-6E43-8B32-676E6A031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628650</xdr:colOff>
      <xdr:row>46</xdr:row>
      <xdr:rowOff>57150</xdr:rowOff>
    </xdr:from>
    <xdr:to>
      <xdr:col>46</xdr:col>
      <xdr:colOff>146050</xdr:colOff>
      <xdr:row>57</xdr:row>
      <xdr:rowOff>184150</xdr:rowOff>
    </xdr:to>
    <xdr:graphicFrame macro="">
      <xdr:nvGraphicFramePr>
        <xdr:cNvPr id="7" name="Chart 6">
          <a:extLst>
            <a:ext uri="{FF2B5EF4-FFF2-40B4-BE49-F238E27FC236}">
              <a16:creationId xmlns:a16="http://schemas.microsoft.com/office/drawing/2014/main" id="{18987270-33FE-2342-B667-7945D840B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768350</xdr:colOff>
      <xdr:row>10</xdr:row>
      <xdr:rowOff>133350</xdr:rowOff>
    </xdr:from>
    <xdr:to>
      <xdr:col>58</xdr:col>
      <xdr:colOff>736600</xdr:colOff>
      <xdr:row>34</xdr:row>
      <xdr:rowOff>177800</xdr:rowOff>
    </xdr:to>
    <xdr:graphicFrame macro="">
      <xdr:nvGraphicFramePr>
        <xdr:cNvPr id="10" name="Chart 9">
          <a:extLst>
            <a:ext uri="{FF2B5EF4-FFF2-40B4-BE49-F238E27FC236}">
              <a16:creationId xmlns:a16="http://schemas.microsoft.com/office/drawing/2014/main" id="{A84C5229-7D4B-FE4B-8BC3-00790A96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114300</xdr:colOff>
      <xdr:row>13</xdr:row>
      <xdr:rowOff>107950</xdr:rowOff>
    </xdr:from>
    <xdr:to>
      <xdr:col>23</xdr:col>
      <xdr:colOff>304800</xdr:colOff>
      <xdr:row>32</xdr:row>
      <xdr:rowOff>38100</xdr:rowOff>
    </xdr:to>
    <xdr:graphicFrame macro="">
      <xdr:nvGraphicFramePr>
        <xdr:cNvPr id="2" name="Chart 1">
          <a:extLst>
            <a:ext uri="{FF2B5EF4-FFF2-40B4-BE49-F238E27FC236}">
              <a16:creationId xmlns:a16="http://schemas.microsoft.com/office/drawing/2014/main" id="{BBC3A040-7163-0AC3-A45A-579296A62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571500</xdr:colOff>
      <xdr:row>3</xdr:row>
      <xdr:rowOff>431800</xdr:rowOff>
    </xdr:from>
    <xdr:to>
      <xdr:col>46</xdr:col>
      <xdr:colOff>0</xdr:colOff>
      <xdr:row>6</xdr:row>
      <xdr:rowOff>812800</xdr:rowOff>
    </xdr:to>
    <xdr:graphicFrame macro="">
      <xdr:nvGraphicFramePr>
        <xdr:cNvPr id="3" name="Chart 2">
          <a:extLst>
            <a:ext uri="{FF2B5EF4-FFF2-40B4-BE49-F238E27FC236}">
              <a16:creationId xmlns:a16="http://schemas.microsoft.com/office/drawing/2014/main" id="{F792FCC8-44A4-D113-1213-71B25E53B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742950</xdr:colOff>
      <xdr:row>4</xdr:row>
      <xdr:rowOff>571500</xdr:rowOff>
    </xdr:from>
    <xdr:to>
      <xdr:col>42</xdr:col>
      <xdr:colOff>495300</xdr:colOff>
      <xdr:row>6</xdr:row>
      <xdr:rowOff>44450</xdr:rowOff>
    </xdr:to>
    <xdr:graphicFrame macro="">
      <xdr:nvGraphicFramePr>
        <xdr:cNvPr id="4" name="Chart 3">
          <a:extLst>
            <a:ext uri="{FF2B5EF4-FFF2-40B4-BE49-F238E27FC236}">
              <a16:creationId xmlns:a16="http://schemas.microsoft.com/office/drawing/2014/main" id="{3F76120C-308B-38E6-6CB0-431B4EC9C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635000</xdr:colOff>
      <xdr:row>7</xdr:row>
      <xdr:rowOff>1079500</xdr:rowOff>
    </xdr:from>
    <xdr:to>
      <xdr:col>46</xdr:col>
      <xdr:colOff>12700</xdr:colOff>
      <xdr:row>9</xdr:row>
      <xdr:rowOff>387350</xdr:rowOff>
    </xdr:to>
    <xdr:graphicFrame macro="">
      <xdr:nvGraphicFramePr>
        <xdr:cNvPr id="5" name="Chart 4">
          <a:extLst>
            <a:ext uri="{FF2B5EF4-FFF2-40B4-BE49-F238E27FC236}">
              <a16:creationId xmlns:a16="http://schemas.microsoft.com/office/drawing/2014/main" id="{D100E341-55E5-677F-529A-D90DA8147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hail Shaikh" id="{9014BAB5-2921-9F46-9A49-88457D2BA871}" userId="e9db24dcff54b3e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trFS V2 stats" connectionId="2" xr16:uid="{53568FB9-1119-6441-AA5C-950FA13B60E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4-V2_2" connectionId="17" xr16:uid="{1D23DFB0-118A-414C-AC37-7E6ABDF78424}"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4-V2_1" connectionId="16" xr16:uid="{F633A3CD-4E05-6545-9BC3-4EDF805BD909}"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XFS" connectionId="27" xr16:uid="{BF6A6A15-C960-BB4B-A341-7BA0948710D4}"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XFS-write_3" connectionId="35" xr16:uid="{6F8B1097-2AE0-E045-8D35-81A70C88EC61}"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XFS-read" connectionId="29" xr16:uid="{E46A0A28-A0D4-A849-B98D-4D3140CB17D9}"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XFS-read_1" connectionId="30" xr16:uid="{A77D48A6-C263-5842-B9CA-B64A25D43C76}"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4-write" connectionId="18" xr16:uid="{C3928FA9-D287-3A47-9855-47A26096C0FA}"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4-read" connectionId="10" xr16:uid="{4AE3D499-48EB-3949-ACA3-A9874ABE8335}"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4-read_1" connectionId="11" xr16:uid="{CCE799E8-D4E0-B545-8EF8-FBB0838FBAF1}"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BtrFS-write_1" connectionId="6" xr16:uid="{4A517AB0-518A-E84A-A1A5-D22DDA6C2A4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XFS-write" connectionId="36" xr16:uid="{BE5A7B99-B6A7-1641-BB8B-CD0116CD8FA3}"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BtrFS-read" connectionId="4" xr16:uid="{06C15D66-2760-1F46-8086-A92770F2FDCE}"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F2FS-write" connectionId="24" xr16:uid="{B8023E99-348F-1040-8925-F6D7FFAFA807}"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F2FS-read" connectionId="22" xr16:uid="{5DC50B3A-3E7B-0648-9B57-B90E8AED6DEF}" autoFormatId="16"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4-write" connectionId="20" xr16:uid="{B8B18582-312D-824F-94B3-BD4C2A295C1A}" autoFormatId="16"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4-write" connectionId="19" xr16:uid="{D747F1B5-8023-854A-B995-F30D11E1BDDC}" autoFormatId="16" applyNumberFormats="0" applyBorderFormats="0" applyFontFormats="1" applyPatternFormats="1" applyAlignmentFormats="0" applyWidthHeightFormats="0"/>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F2FS-write" connectionId="25" xr16:uid="{9D33C681-634A-FB45-9C80-426729C89DBE}" autoFormatId="16" applyNumberFormats="0" applyBorderFormats="0" applyFontFormats="1" applyPatternFormats="1" applyAlignmentFormats="0" applyWidthHeightFormats="0"/>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BtrFS-write_1" connectionId="7" xr16:uid="{3416367A-1569-6548-817C-A0C01E25152C}" autoFormatId="16" applyNumberFormats="0" applyBorderFormats="0" applyFontFormats="1" applyPatternFormats="1" applyAlignmentFormats="0" applyWidthHeightFormats="0"/>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XFS-write_1" connectionId="33" xr16:uid="{DD61C8A2-B3CF-2747-8206-AB8340B00CDB}" autoFormatId="16" applyNumberFormats="0" applyBorderFormats="0" applyFontFormats="1" applyPatternFormats="1" applyAlignmentFormats="0" applyWidthHeightFormats="0"/>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F2FS-read" connectionId="23" xr16:uid="{33012606-89D3-A84C-A09B-95A95B8D9D2C}" autoFormatId="16" applyNumberFormats="0" applyBorderFormats="0" applyFontFormats="1" applyPatternFormats="1" applyAlignmentFormats="0" applyWidthHeightFormats="0"/>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EXT4-read_1" connectionId="12" xr16:uid="{86F4970F-DD4F-CA44-80DE-141FBCBA95E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XFS-write_1" connectionId="34" xr16:uid="{0F1154EE-C5E1-3A40-8F25-4E589A904D11}" autoFormatId="16" applyNumberFormats="0" applyBorderFormats="0" applyFontFormats="1" applyPatternFormats="1" applyAlignmentFormats="0" applyWidthHeightFormats="0"/>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BtrFS-read" connectionId="5" xr16:uid="{D820CF93-62E8-8B42-9924-E3D9FEA9231C}" autoFormatId="16" applyNumberFormats="0" applyBorderFormats="0" applyFontFormats="1" applyPatternFormats="1" applyAlignmentFormats="0" applyWidthHeightFormats="0"/>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EXT4-read_2" connectionId="14" xr16:uid="{B685024C-BEBE-B047-B702-BD65FAB825FB}" autoFormatId="16" applyNumberFormats="0" applyBorderFormats="0" applyFontFormats="1" applyPatternFormats="1" applyAlignmentFormats="0" applyWidthHeightFormats="0"/>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XFS-read" connectionId="31" xr16:uid="{7DB8FFB6-01C9-7849-81C9-1E68023604FC}" autoFormatId="16" applyNumberFormats="0" applyBorderFormats="0" applyFontFormats="1" applyPatternFormats="1" applyAlignmentFormats="0" applyWidthHeightFormats="0"/>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EXT4-read" connectionId="13" xr16:uid="{373B15ED-36F2-434D-8730-F25316B03F84}" autoFormatId="16" applyNumberFormats="0" applyBorderFormats="0" applyFontFormats="1" applyPatternFormats="1" applyAlignmentFormats="0" applyWidthHeightFormats="0"/>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XFS-write" connectionId="32" xr16:uid="{B806B877-F747-9549-B0D7-0861350C7361}" autoFormatId="16" applyNumberFormats="0" applyBorderFormats="0" applyFontFormats="1" applyPatternFormats="1" applyAlignmentFormats="0" applyWidthHeightFormats="0"/>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F2FS-write" connectionId="26" xr16:uid="{D9D14537-C82F-BC43-BD7D-8A8ABF6288D6}" autoFormatId="16" applyNumberFormats="0" applyBorderFormats="0" applyFontFormats="1" applyPatternFormats="1" applyAlignmentFormats="0" applyWidthHeightFormats="0"/>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BtrFS-write_1" connectionId="8" xr16:uid="{8D96D8FC-C544-EA4D-8CF5-8D3B83AFAA16}"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trFS Stats" connectionId="1" xr16:uid="{E36302CC-E8A5-F241-A29A-31CF601DA533}"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XFS Stats" connectionId="28" xr16:uid="{90E742A5-1B57-6443-890B-519F0D02173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4 Stats.csv" connectionId="9" xr16:uid="{782F028E-F97C-974C-A22B-3925A2FB6A53}"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F2FS" connectionId="21" xr16:uid="{340E85E9-9C54-674E-B3C7-FF410E3AB774}"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trFS V2 stats" connectionId="3" xr16:uid="{FE1D19A5-F544-5240-8604-45F9A1E1C5F6}"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4-V2" connectionId="15" xr16:uid="{8DFEB8D3-9972-BB4D-9144-92F12E49584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N1" dT="2022-04-06T15:11:37.64" personId="{9014BAB5-2921-9F46-9A49-88457D2BA871}" id="{C0DB7731-CDCE-A942-99BB-045DB48E54B0}">
    <text>The value captured in the log corresponds to df command but that value needs to be multiplied by 1024 because df displays the size in 1K blocks. However, BtrFS block size is 4K.</text>
  </threadedComment>
  <threadedComment ref="R2" dT="2022-04-06T15:15:45.93" personId="{9014BAB5-2921-9F46-9A49-88457D2BA871}" id="{1A576BDA-43A3-164C-8EC2-3C93B72C04AC}">
    <text>0-25 nsec</text>
  </threadedComment>
  <threadedComment ref="S2" dT="2022-04-06T15:16:03.69" personId="{9014BAB5-2921-9F46-9A49-88457D2BA871}" id="{04C64853-27CA-E547-9322-E108391922AA}">
    <text>25-50 nsec</text>
  </threadedComment>
</ThreadedComments>
</file>

<file path=xl/threadedComments/threadedComment2.xml><?xml version="1.0" encoding="utf-8"?>
<ThreadedComments xmlns="http://schemas.microsoft.com/office/spreadsheetml/2018/threadedcomments" xmlns:x="http://schemas.openxmlformats.org/spreadsheetml/2006/main">
  <threadedComment ref="AL9" dT="2022-04-04T18:39:50.01" personId="{9014BAB5-2921-9F46-9A49-88457D2BA871}" id="{E8854DB1-7FB6-AE49-809A-B682D541E0DD}">
    <text>1 day + 14 hours = 38 hours</text>
  </threadedComment>
</ThreadedComments>
</file>

<file path=xl/threadedComments/threadedComment3.xml><?xml version="1.0" encoding="utf-8"?>
<ThreadedComments xmlns="http://schemas.microsoft.com/office/spreadsheetml/2018/threadedcomments" xmlns:x="http://schemas.openxmlformats.org/spreadsheetml/2006/main">
  <threadedComment ref="AL10" dT="2022-04-04T19:03:25.75" personId="{9014BAB5-2921-9F46-9A49-88457D2BA871}" id="{2B457375-0F24-2F4D-B062-615F7CBF5D73}">
    <text>24 + 12:23:38 hours = 36:23:38</text>
  </threadedComment>
</ThreadedComment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2.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queryTable" Target="../queryTables/queryTable14.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queryTable" Target="../queryTables/queryTable16.xm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openxmlformats.org/officeDocument/2006/relationships/queryTable" Target="../queryTables/queryTable18.xml"/><Relationship Id="rId2" Type="http://schemas.openxmlformats.org/officeDocument/2006/relationships/queryTable" Target="../queryTables/queryTable17.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queryTable" Target="../queryTables/queryTable19.x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queryTable" Target="../queryTables/queryTable20.x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22.xml"/><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23.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queryTable" Target="../queryTables/queryTable25.xml"/><Relationship Id="rId2" Type="http://schemas.openxmlformats.org/officeDocument/2006/relationships/queryTable" Target="../queryTables/queryTable24.xml"/><Relationship Id="rId1" Type="http://schemas.openxmlformats.org/officeDocument/2006/relationships/drawing" Target="../drawings/drawing16.xml"/><Relationship Id="rId5" Type="http://schemas.openxmlformats.org/officeDocument/2006/relationships/queryTable" Target="../queryTables/queryTable27.xml"/><Relationship Id="rId4" Type="http://schemas.openxmlformats.org/officeDocument/2006/relationships/queryTable" Target="../queryTables/queryTable26.xml"/></Relationships>
</file>

<file path=xl/worksheets/_rels/sheet21.xml.rels><?xml version="1.0" encoding="UTF-8" standalone="yes"?>
<Relationships xmlns="http://schemas.openxmlformats.org/package/2006/relationships"><Relationship Id="rId3" Type="http://schemas.openxmlformats.org/officeDocument/2006/relationships/queryTable" Target="../queryTables/queryTable29.xml"/><Relationship Id="rId7" Type="http://schemas.openxmlformats.org/officeDocument/2006/relationships/queryTable" Target="../queryTables/queryTable33.xml"/><Relationship Id="rId2" Type="http://schemas.openxmlformats.org/officeDocument/2006/relationships/queryTable" Target="../queryTables/queryTable28.xml"/><Relationship Id="rId1" Type="http://schemas.openxmlformats.org/officeDocument/2006/relationships/drawing" Target="../drawings/drawing21.xml"/><Relationship Id="rId6" Type="http://schemas.openxmlformats.org/officeDocument/2006/relationships/queryTable" Target="../queryTables/queryTable32.xml"/><Relationship Id="rId5" Type="http://schemas.openxmlformats.org/officeDocument/2006/relationships/queryTable" Target="../queryTables/queryTable31.xml"/><Relationship Id="rId4" Type="http://schemas.openxmlformats.org/officeDocument/2006/relationships/queryTable" Target="../queryTables/queryTable30.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34.xml"/></Relationships>
</file>

<file path=xl/worksheets/_rels/sheet23.xml.rels><?xml version="1.0" encoding="UTF-8" standalone="yes"?>
<Relationships xmlns="http://schemas.openxmlformats.org/package/2006/relationships"><Relationship Id="rId2" Type="http://schemas.openxmlformats.org/officeDocument/2006/relationships/queryTable" Target="../queryTables/queryTable36.xml"/><Relationship Id="rId1" Type="http://schemas.openxmlformats.org/officeDocument/2006/relationships/queryTable" Target="../queryTables/queryTable35.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vmlDrawing" Target="../drawings/vmlDrawing3.vml"/><Relationship Id="rId1" Type="http://schemas.openxmlformats.org/officeDocument/2006/relationships/drawing" Target="../drawings/drawing4.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0.xml"/><Relationship Id="rId2" Type="http://schemas.openxmlformats.org/officeDocument/2006/relationships/queryTable" Target="../queryTables/queryTable9.xml"/><Relationship Id="rId1" Type="http://schemas.openxmlformats.org/officeDocument/2006/relationships/drawing" Target="../drawings/drawing7.xm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7A22C-5670-C645-88EA-72649F1456ED}">
  <dimension ref="A1:A24"/>
  <sheetViews>
    <sheetView tabSelected="1" workbookViewId="0">
      <selection activeCell="A28" sqref="A28"/>
    </sheetView>
  </sheetViews>
  <sheetFormatPr baseColWidth="10" defaultRowHeight="16" x14ac:dyDescent="0.2"/>
  <sheetData>
    <row r="1" spans="1:1" ht="21" x14ac:dyDescent="0.25">
      <c r="A1" s="198" t="s">
        <v>311</v>
      </c>
    </row>
    <row r="3" spans="1:1" x14ac:dyDescent="0.2">
      <c r="A3" t="s">
        <v>300</v>
      </c>
    </row>
    <row r="5" spans="1:1" x14ac:dyDescent="0.2">
      <c r="A5" t="s">
        <v>301</v>
      </c>
    </row>
    <row r="7" spans="1:1" x14ac:dyDescent="0.2">
      <c r="A7" t="s">
        <v>302</v>
      </c>
    </row>
    <row r="9" spans="1:1" x14ac:dyDescent="0.2">
      <c r="A9" t="s">
        <v>303</v>
      </c>
    </row>
    <row r="11" spans="1:1" x14ac:dyDescent="0.2">
      <c r="A11" t="s">
        <v>304</v>
      </c>
    </row>
    <row r="13" spans="1:1" x14ac:dyDescent="0.2">
      <c r="A13" t="s">
        <v>305</v>
      </c>
    </row>
    <row r="15" spans="1:1" x14ac:dyDescent="0.2">
      <c r="A15" t="s">
        <v>306</v>
      </c>
    </row>
    <row r="17" spans="1:1" x14ac:dyDescent="0.2">
      <c r="A17" t="s">
        <v>307</v>
      </c>
    </row>
    <row r="19" spans="1:1" x14ac:dyDescent="0.2">
      <c r="A19" t="s">
        <v>308</v>
      </c>
    </row>
    <row r="22" spans="1:1" x14ac:dyDescent="0.2">
      <c r="A22" t="s">
        <v>309</v>
      </c>
    </row>
    <row r="24" spans="1:1" x14ac:dyDescent="0.2">
      <c r="A24" t="s">
        <v>310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348E-17FC-DF4E-B4D5-347CC3995430}">
  <dimension ref="A1:CF54"/>
  <sheetViews>
    <sheetView workbookViewId="0">
      <selection activeCell="J54" sqref="J54"/>
    </sheetView>
  </sheetViews>
  <sheetFormatPr baseColWidth="10" defaultRowHeight="16" x14ac:dyDescent="0.2"/>
  <cols>
    <col min="1" max="1" width="4.1640625" bestFit="1" customWidth="1"/>
    <col min="2" max="2" width="11.6640625" bestFit="1" customWidth="1"/>
    <col min="3" max="3" width="19.6640625" bestFit="1" customWidth="1"/>
    <col min="4" max="4" width="5.1640625" bestFit="1" customWidth="1"/>
    <col min="5" max="5" width="9" bestFit="1" customWidth="1"/>
    <col min="6" max="6" width="12.5" bestFit="1" customWidth="1"/>
    <col min="7" max="7" width="2.1640625" bestFit="1" customWidth="1"/>
    <col min="8" max="8" width="4.1640625" bestFit="1" customWidth="1"/>
    <col min="9" max="9" width="6.1640625" bestFit="1" customWidth="1"/>
    <col min="10" max="10" width="7.1640625" bestFit="1" customWidth="1"/>
    <col min="11" max="11" width="8.1640625" bestFit="1" customWidth="1"/>
    <col min="12" max="14" width="9.1640625" bestFit="1" customWidth="1"/>
    <col min="15" max="15" width="8.1640625" bestFit="1" customWidth="1"/>
    <col min="16" max="16" width="7.1640625" bestFit="1" customWidth="1"/>
    <col min="17" max="17" width="6.1640625" bestFit="1" customWidth="1"/>
    <col min="18" max="18" width="2.1640625" bestFit="1" customWidth="1"/>
    <col min="19" max="20" width="9.1640625" bestFit="1" customWidth="1"/>
    <col min="21" max="23" width="8.1640625" bestFit="1" customWidth="1"/>
    <col min="24" max="25" width="7.1640625" bestFit="1" customWidth="1"/>
    <col min="26" max="29" width="6.1640625" bestFit="1" customWidth="1"/>
    <col min="30" max="34" width="5.1640625" bestFit="1" customWidth="1"/>
    <col min="35" max="37" width="4.1640625" bestFit="1" customWidth="1"/>
    <col min="38" max="38" width="12.5" bestFit="1" customWidth="1"/>
    <col min="39" max="39" width="18.6640625" bestFit="1" customWidth="1"/>
    <col min="40" max="40" width="11.5" bestFit="1" customWidth="1"/>
    <col min="41" max="41" width="14" bestFit="1" customWidth="1"/>
    <col min="42" max="42" width="9" bestFit="1" customWidth="1"/>
    <col min="43" max="43" width="16" bestFit="1" customWidth="1"/>
    <col min="44" max="44" width="7" bestFit="1" customWidth="1"/>
    <col min="45" max="46" width="10.1640625" bestFit="1" customWidth="1"/>
    <col min="47" max="47" width="9.1640625" bestFit="1" customWidth="1"/>
    <col min="48" max="61" width="10.1640625" bestFit="1" customWidth="1"/>
    <col min="62" max="62" width="9.1640625" bestFit="1" customWidth="1"/>
    <col min="63" max="65" width="10.1640625" bestFit="1" customWidth="1"/>
    <col min="66" max="70" width="18.6640625" bestFit="1" customWidth="1"/>
    <col min="71" max="71" width="19.6640625" bestFit="1" customWidth="1"/>
    <col min="72" max="72" width="11.6640625" bestFit="1" customWidth="1"/>
    <col min="73" max="73" width="14" bestFit="1" customWidth="1"/>
    <col min="74" max="74" width="12.5" bestFit="1" customWidth="1"/>
    <col min="75" max="75" width="14" bestFit="1" customWidth="1"/>
    <col min="76" max="76" width="3.6640625" bestFit="1" customWidth="1"/>
    <col min="77" max="77" width="15" bestFit="1" customWidth="1"/>
    <col min="78" max="78" width="12.5" bestFit="1" customWidth="1"/>
    <col min="79" max="79" width="15" bestFit="1" customWidth="1"/>
    <col min="80" max="80" width="3.6640625" bestFit="1" customWidth="1"/>
    <col min="81" max="81" width="4.1640625" bestFit="1" customWidth="1"/>
    <col min="82" max="83" width="5.5" bestFit="1" customWidth="1"/>
    <col min="84" max="84" width="4.1640625" bestFit="1" customWidth="1"/>
    <col min="85" max="85" width="3.6640625" bestFit="1" customWidth="1"/>
  </cols>
  <sheetData>
    <row r="1" spans="1:84" ht="145"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24</v>
      </c>
      <c r="AN1" s="20" t="s">
        <v>26</v>
      </c>
      <c r="AO1" s="20" t="s">
        <v>27</v>
      </c>
      <c r="AP1" s="20" t="s">
        <v>28</v>
      </c>
      <c r="AQ1" s="21" t="s">
        <v>41</v>
      </c>
      <c r="AR1" s="20" t="s">
        <v>42</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row>
    <row r="2" spans="1:84" x14ac:dyDescent="0.2">
      <c r="A2" t="s">
        <v>62</v>
      </c>
      <c r="B2" s="15">
        <v>0.54585515046296296</v>
      </c>
      <c r="C2" s="16">
        <v>609578738191250</v>
      </c>
      <c r="D2">
        <v>20</v>
      </c>
      <c r="E2" s="16">
        <v>500</v>
      </c>
      <c r="F2" s="16">
        <v>10000</v>
      </c>
      <c r="G2">
        <v>1</v>
      </c>
      <c r="H2">
        <v>0</v>
      </c>
      <c r="I2">
        <v>3</v>
      </c>
      <c r="J2">
        <v>61</v>
      </c>
      <c r="K2">
        <v>634</v>
      </c>
      <c r="L2">
        <v>2430</v>
      </c>
      <c r="M2">
        <v>3850</v>
      </c>
      <c r="N2">
        <v>2368</v>
      </c>
      <c r="O2">
        <v>599</v>
      </c>
      <c r="P2">
        <v>54</v>
      </c>
      <c r="Q2">
        <v>1</v>
      </c>
      <c r="R2">
        <v>0</v>
      </c>
      <c r="S2">
        <v>0</v>
      </c>
      <c r="T2">
        <v>4411</v>
      </c>
      <c r="U2">
        <v>3617</v>
      </c>
      <c r="V2">
        <v>1211</v>
      </c>
      <c r="W2">
        <v>377</v>
      </c>
      <c r="X2">
        <v>179</v>
      </c>
      <c r="Y2">
        <v>116</v>
      </c>
      <c r="Z2">
        <v>46</v>
      </c>
      <c r="AA2">
        <v>16</v>
      </c>
      <c r="AB2">
        <v>10</v>
      </c>
      <c r="AC2">
        <v>5</v>
      </c>
      <c r="AD2">
        <v>3</v>
      </c>
      <c r="AE2">
        <v>2</v>
      </c>
      <c r="AF2">
        <v>2</v>
      </c>
      <c r="AG2">
        <v>0</v>
      </c>
      <c r="AH2">
        <v>0</v>
      </c>
      <c r="AI2">
        <v>1</v>
      </c>
      <c r="AJ2">
        <v>0</v>
      </c>
      <c r="AK2">
        <v>1</v>
      </c>
      <c r="AL2" s="16">
        <v>9840921</v>
      </c>
      <c r="AM2" s="16">
        <v>866820794</v>
      </c>
      <c r="AN2" s="16">
        <v>50050</v>
      </c>
      <c r="AO2" s="16">
        <v>3772774</v>
      </c>
      <c r="AP2" s="16">
        <v>86682</v>
      </c>
      <c r="AQ2" s="16">
        <v>54874984</v>
      </c>
      <c r="AR2" s="16">
        <v>5487</v>
      </c>
      <c r="AS2">
        <v>63.306033999999997</v>
      </c>
      <c r="AT2">
        <v>34.829749999999997</v>
      </c>
      <c r="AU2">
        <v>51.276560000000003</v>
      </c>
      <c r="AV2">
        <v>51.839733000000003</v>
      </c>
      <c r="AW2">
        <v>46.122154000000002</v>
      </c>
      <c r="AX2">
        <v>57.063020000000002</v>
      </c>
      <c r="AY2">
        <v>61.259666000000003</v>
      </c>
      <c r="AZ2">
        <v>62.269416999999997</v>
      </c>
      <c r="BA2">
        <v>68.677430000000001</v>
      </c>
      <c r="BB2">
        <v>71.407240000000002</v>
      </c>
      <c r="BC2">
        <v>71.593890000000002</v>
      </c>
      <c r="BD2">
        <v>66.454123999999993</v>
      </c>
      <c r="BE2">
        <v>78.444659999999999</v>
      </c>
      <c r="BF2">
        <v>71.403564000000003</v>
      </c>
      <c r="BG2">
        <v>82.350710000000007</v>
      </c>
      <c r="BH2">
        <v>79.376649999999998</v>
      </c>
      <c r="BI2">
        <v>70.837074000000001</v>
      </c>
      <c r="BJ2">
        <v>82.374709999999993</v>
      </c>
      <c r="BK2">
        <v>74.366259999999997</v>
      </c>
      <c r="BL2">
        <v>68.869895999999997</v>
      </c>
      <c r="BM2">
        <v>73.427986000000004</v>
      </c>
      <c r="BN2" s="16">
        <v>11998001627136</v>
      </c>
      <c r="BO2" s="16">
        <v>11914315698176</v>
      </c>
      <c r="BP2" s="16">
        <v>11914026651648</v>
      </c>
      <c r="BQ2" s="16">
        <v>11914315698176</v>
      </c>
      <c r="BR2" s="16">
        <v>11914026651648</v>
      </c>
      <c r="BS2" s="16">
        <v>609579836103283</v>
      </c>
      <c r="BT2" s="15">
        <v>0.54586790509259264</v>
      </c>
      <c r="BU2" s="16">
        <v>1171888512</v>
      </c>
      <c r="BV2" s="16">
        <v>10024</v>
      </c>
      <c r="BW2" s="16">
        <v>1171878488</v>
      </c>
      <c r="BX2" s="19">
        <v>0.01</v>
      </c>
      <c r="BY2" s="16">
        <v>11716798464</v>
      </c>
      <c r="BZ2" s="16">
        <v>81806812</v>
      </c>
      <c r="CA2" s="16">
        <v>11634991652</v>
      </c>
      <c r="CB2" s="19">
        <v>0.01</v>
      </c>
      <c r="CC2" t="s">
        <v>209</v>
      </c>
      <c r="CD2" t="s">
        <v>65</v>
      </c>
      <c r="CE2" t="s">
        <v>209</v>
      </c>
      <c r="CF2" s="19">
        <v>0.01</v>
      </c>
    </row>
    <row r="3" spans="1:84" x14ac:dyDescent="0.2">
      <c r="A3" t="s">
        <v>62</v>
      </c>
      <c r="B3" s="15">
        <v>0.54251442129629635</v>
      </c>
      <c r="C3" s="16">
        <v>609290098656051</v>
      </c>
      <c r="D3">
        <v>100</v>
      </c>
      <c r="E3" s="16">
        <v>1000</v>
      </c>
      <c r="F3" s="16">
        <v>100000</v>
      </c>
      <c r="G3">
        <v>1</v>
      </c>
      <c r="H3">
        <v>0</v>
      </c>
      <c r="I3">
        <v>27</v>
      </c>
      <c r="J3">
        <v>570</v>
      </c>
      <c r="K3">
        <v>6178</v>
      </c>
      <c r="L3">
        <v>24081</v>
      </c>
      <c r="M3">
        <v>38401</v>
      </c>
      <c r="N3">
        <v>24097</v>
      </c>
      <c r="O3">
        <v>6064</v>
      </c>
      <c r="P3">
        <v>558</v>
      </c>
      <c r="Q3">
        <v>24</v>
      </c>
      <c r="R3">
        <v>0</v>
      </c>
      <c r="S3">
        <v>30</v>
      </c>
      <c r="T3">
        <v>80860</v>
      </c>
      <c r="U3">
        <v>10895</v>
      </c>
      <c r="V3">
        <v>4417</v>
      </c>
      <c r="W3">
        <v>2502</v>
      </c>
      <c r="X3">
        <v>759</v>
      </c>
      <c r="Y3">
        <v>251</v>
      </c>
      <c r="Z3">
        <v>137</v>
      </c>
      <c r="AA3">
        <v>68</v>
      </c>
      <c r="AB3">
        <v>31</v>
      </c>
      <c r="AC3">
        <v>17</v>
      </c>
      <c r="AD3">
        <v>5</v>
      </c>
      <c r="AE3">
        <v>7</v>
      </c>
      <c r="AF3">
        <v>4</v>
      </c>
      <c r="AG3">
        <v>0</v>
      </c>
      <c r="AH3">
        <v>3</v>
      </c>
      <c r="AI3">
        <v>0</v>
      </c>
      <c r="AJ3">
        <v>0</v>
      </c>
      <c r="AK3">
        <v>0</v>
      </c>
      <c r="AL3" s="16">
        <v>13157132</v>
      </c>
      <c r="AM3" s="16">
        <v>7168719294</v>
      </c>
      <c r="AN3" s="16">
        <v>47821</v>
      </c>
      <c r="AO3" s="16">
        <v>13808796</v>
      </c>
      <c r="AP3" s="16">
        <v>71687</v>
      </c>
      <c r="AQ3" s="16">
        <v>549862444</v>
      </c>
      <c r="AR3" s="16">
        <v>5498</v>
      </c>
      <c r="AS3">
        <v>76.703025999999994</v>
      </c>
      <c r="AT3">
        <v>68.784800000000004</v>
      </c>
      <c r="AU3">
        <v>82.864109999999997</v>
      </c>
      <c r="AV3">
        <v>83.807625000000002</v>
      </c>
      <c r="AW3">
        <v>85.413920000000005</v>
      </c>
      <c r="AX3">
        <v>91.539090000000002</v>
      </c>
      <c r="AY3">
        <v>80.806309999999996</v>
      </c>
      <c r="AZ3">
        <v>81.945949999999996</v>
      </c>
      <c r="BA3">
        <v>85.563190000000006</v>
      </c>
      <c r="BB3">
        <v>84.933530000000005</v>
      </c>
      <c r="BC3">
        <v>67.605095000000006</v>
      </c>
      <c r="BD3">
        <v>84.882355000000004</v>
      </c>
      <c r="BE3">
        <v>75.896834999999996</v>
      </c>
      <c r="BF3">
        <v>77.852000000000004</v>
      </c>
      <c r="BG3">
        <v>76.806076000000004</v>
      </c>
      <c r="BH3">
        <v>80.170689999999993</v>
      </c>
      <c r="BI3">
        <v>83.696174999999997</v>
      </c>
      <c r="BJ3">
        <v>84.155199999999994</v>
      </c>
      <c r="BK3">
        <v>77.007744000000002</v>
      </c>
      <c r="BL3">
        <v>75.010059999999996</v>
      </c>
      <c r="BM3">
        <v>67.201965000000001</v>
      </c>
      <c r="BN3" s="16">
        <v>11998001627136</v>
      </c>
      <c r="BO3" s="16">
        <v>11914315698176</v>
      </c>
      <c r="BP3" s="16">
        <v>11911541239808</v>
      </c>
      <c r="BQ3" s="16">
        <v>11914315698176</v>
      </c>
      <c r="BR3" s="16">
        <v>11911541239808</v>
      </c>
      <c r="BS3" s="16">
        <v>609298010635565</v>
      </c>
      <c r="BT3" s="15">
        <v>0.54260603009259256</v>
      </c>
      <c r="BU3" s="16">
        <v>1171888512</v>
      </c>
      <c r="BV3" s="16">
        <v>100104</v>
      </c>
      <c r="BW3" s="16">
        <v>1171788408</v>
      </c>
      <c r="BX3" s="19">
        <v>0.01</v>
      </c>
      <c r="BY3" s="16">
        <v>11716798464</v>
      </c>
      <c r="BZ3" s="16">
        <v>82548672</v>
      </c>
      <c r="CA3" s="16">
        <v>11634249792</v>
      </c>
      <c r="CB3" s="19">
        <v>0.01</v>
      </c>
      <c r="CC3" t="s">
        <v>209</v>
      </c>
      <c r="CD3" t="s">
        <v>65</v>
      </c>
      <c r="CE3" t="s">
        <v>209</v>
      </c>
      <c r="CF3" s="19">
        <v>0.01</v>
      </c>
    </row>
    <row r="4" spans="1:84" x14ac:dyDescent="0.2">
      <c r="A4" t="s">
        <v>62</v>
      </c>
      <c r="B4" s="15">
        <v>0.53805368055555558</v>
      </c>
      <c r="C4" s="16">
        <v>608904691203880</v>
      </c>
      <c r="D4">
        <v>100</v>
      </c>
      <c r="E4" s="16">
        <v>10000</v>
      </c>
      <c r="F4" s="16">
        <v>1000000</v>
      </c>
      <c r="G4">
        <v>1</v>
      </c>
      <c r="H4">
        <v>7</v>
      </c>
      <c r="I4">
        <v>217</v>
      </c>
      <c r="J4">
        <v>6019</v>
      </c>
      <c r="K4">
        <v>60698</v>
      </c>
      <c r="L4">
        <v>241368</v>
      </c>
      <c r="M4">
        <v>383437</v>
      </c>
      <c r="N4">
        <v>241437</v>
      </c>
      <c r="O4">
        <v>60463</v>
      </c>
      <c r="P4">
        <v>6094</v>
      </c>
      <c r="Q4">
        <v>258</v>
      </c>
      <c r="R4">
        <v>0</v>
      </c>
      <c r="S4">
        <v>317</v>
      </c>
      <c r="T4">
        <v>864560</v>
      </c>
      <c r="U4">
        <v>73662</v>
      </c>
      <c r="V4">
        <v>27033</v>
      </c>
      <c r="W4">
        <v>25030</v>
      </c>
      <c r="X4">
        <v>4839</v>
      </c>
      <c r="Y4">
        <v>1938</v>
      </c>
      <c r="Z4">
        <v>1270</v>
      </c>
      <c r="AA4">
        <v>667</v>
      </c>
      <c r="AB4">
        <v>260</v>
      </c>
      <c r="AC4">
        <v>115</v>
      </c>
      <c r="AD4">
        <v>53</v>
      </c>
      <c r="AE4">
        <v>37</v>
      </c>
      <c r="AF4">
        <v>22</v>
      </c>
      <c r="AG4">
        <v>13</v>
      </c>
      <c r="AH4">
        <v>18</v>
      </c>
      <c r="AI4">
        <v>5</v>
      </c>
      <c r="AJ4">
        <v>8</v>
      </c>
      <c r="AK4">
        <v>7</v>
      </c>
      <c r="AL4" s="16">
        <v>20003058</v>
      </c>
      <c r="AM4" s="16">
        <v>76965554294</v>
      </c>
      <c r="AN4" s="16">
        <v>46147</v>
      </c>
      <c r="AO4" s="16">
        <v>3449887873</v>
      </c>
      <c r="AP4" s="16">
        <v>76965</v>
      </c>
      <c r="AQ4" s="16">
        <v>5499596251</v>
      </c>
      <c r="AR4" s="16">
        <v>5499</v>
      </c>
      <c r="AS4">
        <v>71.455290000000005</v>
      </c>
      <c r="AT4">
        <v>78.312939999999998</v>
      </c>
      <c r="AU4">
        <v>77.230959999999996</v>
      </c>
      <c r="AV4">
        <v>74.310569999999998</v>
      </c>
      <c r="AW4">
        <v>81.584159999999997</v>
      </c>
      <c r="AX4">
        <v>75.667119999999997</v>
      </c>
      <c r="AY4">
        <v>78.406720000000007</v>
      </c>
      <c r="AZ4">
        <v>79.263400000000004</v>
      </c>
      <c r="BA4">
        <v>79.882164000000003</v>
      </c>
      <c r="BB4">
        <v>78.254459999999995</v>
      </c>
      <c r="BC4">
        <v>82.470129999999997</v>
      </c>
      <c r="BD4">
        <v>78.945815999999994</v>
      </c>
      <c r="BE4">
        <v>78.180139999999994</v>
      </c>
      <c r="BF4">
        <v>86.001959999999997</v>
      </c>
      <c r="BG4">
        <v>81.69838</v>
      </c>
      <c r="BH4">
        <v>84.342309999999998</v>
      </c>
      <c r="BI4">
        <v>82.40361</v>
      </c>
      <c r="BJ4">
        <v>81.93741</v>
      </c>
      <c r="BK4">
        <v>13.305527</v>
      </c>
      <c r="BL4">
        <v>78.642030000000005</v>
      </c>
      <c r="BM4">
        <v>79.203530000000001</v>
      </c>
      <c r="BN4" s="16">
        <v>11998001627136</v>
      </c>
      <c r="BO4" s="16">
        <v>11914315698176</v>
      </c>
      <c r="BP4" s="16">
        <v>11893929771008</v>
      </c>
      <c r="BQ4" s="16">
        <v>11914315698176</v>
      </c>
      <c r="BR4" s="16">
        <v>11893929771008</v>
      </c>
      <c r="BS4" s="16">
        <v>608985660615155</v>
      </c>
      <c r="BT4" s="15">
        <v>0.53899086805555563</v>
      </c>
      <c r="BU4" s="16">
        <v>1171888512</v>
      </c>
      <c r="BV4" s="16">
        <v>1000104</v>
      </c>
      <c r="BW4" s="16">
        <v>1170888408</v>
      </c>
      <c r="BX4" s="19">
        <v>0.01</v>
      </c>
      <c r="BY4" s="16">
        <v>11716798464</v>
      </c>
      <c r="BZ4" s="16">
        <v>95965192</v>
      </c>
      <c r="CA4" s="16">
        <v>11620833272</v>
      </c>
      <c r="CB4" s="19">
        <v>0.01</v>
      </c>
      <c r="CC4" t="s">
        <v>209</v>
      </c>
      <c r="CD4" t="s">
        <v>210</v>
      </c>
      <c r="CE4" t="s">
        <v>209</v>
      </c>
      <c r="CF4" s="19">
        <v>0.01</v>
      </c>
    </row>
    <row r="5" spans="1:84" x14ac:dyDescent="0.2">
      <c r="A5" t="s">
        <v>62</v>
      </c>
      <c r="B5" s="15">
        <v>0.52134402777777777</v>
      </c>
      <c r="C5" s="16">
        <v>607460977497685</v>
      </c>
      <c r="D5">
        <v>500</v>
      </c>
      <c r="E5" s="16">
        <v>20000</v>
      </c>
      <c r="F5" s="16">
        <v>10000000</v>
      </c>
      <c r="G5">
        <v>1</v>
      </c>
      <c r="H5">
        <v>37</v>
      </c>
      <c r="I5">
        <v>2299</v>
      </c>
      <c r="J5">
        <v>60254</v>
      </c>
      <c r="K5">
        <v>605938</v>
      </c>
      <c r="L5">
        <v>2417696</v>
      </c>
      <c r="M5">
        <v>3829345</v>
      </c>
      <c r="N5">
        <v>2416547</v>
      </c>
      <c r="O5">
        <v>606151</v>
      </c>
      <c r="P5">
        <v>59360</v>
      </c>
      <c r="Q5">
        <v>2335</v>
      </c>
      <c r="R5">
        <v>0</v>
      </c>
      <c r="S5">
        <v>46041</v>
      </c>
      <c r="T5">
        <v>8821328</v>
      </c>
      <c r="U5">
        <v>632569</v>
      </c>
      <c r="V5">
        <v>230740</v>
      </c>
      <c r="W5">
        <v>196815</v>
      </c>
      <c r="X5">
        <v>30570</v>
      </c>
      <c r="Y5">
        <v>13294</v>
      </c>
      <c r="Z5">
        <v>10361</v>
      </c>
      <c r="AA5">
        <v>6538</v>
      </c>
      <c r="AB5">
        <v>3971</v>
      </c>
      <c r="AC5">
        <v>1741</v>
      </c>
      <c r="AD5">
        <v>762</v>
      </c>
      <c r="AE5">
        <v>309</v>
      </c>
      <c r="AF5">
        <v>183</v>
      </c>
      <c r="AG5">
        <v>96</v>
      </c>
      <c r="AH5">
        <v>78</v>
      </c>
      <c r="AI5">
        <v>52</v>
      </c>
      <c r="AJ5">
        <v>46</v>
      </c>
      <c r="AK5">
        <v>52</v>
      </c>
      <c r="AL5" s="16">
        <v>365101690</v>
      </c>
      <c r="AM5" s="16">
        <v>1008460195834</v>
      </c>
      <c r="AN5" s="16">
        <v>37769</v>
      </c>
      <c r="AO5" s="16">
        <v>4570409308</v>
      </c>
      <c r="AP5" s="16">
        <v>100846</v>
      </c>
      <c r="AQ5" s="16">
        <v>54990746673</v>
      </c>
      <c r="AR5" s="16">
        <v>5499</v>
      </c>
      <c r="AS5">
        <v>54.529420000000002</v>
      </c>
      <c r="AT5">
        <v>77.106064000000003</v>
      </c>
      <c r="AU5">
        <v>77.568359999999998</v>
      </c>
      <c r="AV5">
        <v>82.532393999999996</v>
      </c>
      <c r="AW5">
        <v>80.232253999999998</v>
      </c>
      <c r="AX5">
        <v>84.715540000000004</v>
      </c>
      <c r="AY5">
        <v>86.162689999999998</v>
      </c>
      <c r="AZ5">
        <v>81.858509999999995</v>
      </c>
      <c r="BA5">
        <v>83.544039999999995</v>
      </c>
      <c r="BB5">
        <v>84.840339999999998</v>
      </c>
      <c r="BC5">
        <v>85.208340000000007</v>
      </c>
      <c r="BD5">
        <v>81.990610000000004</v>
      </c>
      <c r="BE5">
        <v>85.035020000000003</v>
      </c>
      <c r="BF5">
        <v>18.628399000000002</v>
      </c>
      <c r="BG5">
        <v>80.601169999999996</v>
      </c>
      <c r="BH5">
        <v>78.861779999999996</v>
      </c>
      <c r="BI5">
        <v>80.073654000000005</v>
      </c>
      <c r="BJ5">
        <v>78.032989999999998</v>
      </c>
      <c r="BK5">
        <v>18.265519999999999</v>
      </c>
      <c r="BL5">
        <v>15.011697</v>
      </c>
      <c r="BM5">
        <v>19.682390000000002</v>
      </c>
      <c r="BN5" s="16">
        <v>11998001627136</v>
      </c>
      <c r="BO5" s="16">
        <v>11914315698176</v>
      </c>
      <c r="BP5" s="16">
        <v>11790044463104</v>
      </c>
      <c r="BQ5" s="16">
        <v>11914315698176</v>
      </c>
      <c r="BR5" s="16">
        <v>11790044463104</v>
      </c>
      <c r="BS5" s="16">
        <v>608502603194878</v>
      </c>
      <c r="BT5" s="15">
        <v>0.53339993055555557</v>
      </c>
      <c r="BU5" s="16">
        <v>1171888512</v>
      </c>
      <c r="BV5" s="16">
        <v>10000504</v>
      </c>
      <c r="BW5" s="16">
        <v>1161888008</v>
      </c>
      <c r="BX5" s="19">
        <v>0.01</v>
      </c>
      <c r="BY5" s="16">
        <v>11716798464</v>
      </c>
      <c r="BZ5" s="16">
        <v>190938948</v>
      </c>
      <c r="CA5" s="16">
        <v>11525859516</v>
      </c>
      <c r="CB5" s="19">
        <v>0.02</v>
      </c>
      <c r="CC5" t="s">
        <v>209</v>
      </c>
      <c r="CD5" t="s">
        <v>211</v>
      </c>
      <c r="CE5" t="s">
        <v>209</v>
      </c>
      <c r="CF5" s="19">
        <v>0.02</v>
      </c>
    </row>
    <row r="6" spans="1:84" x14ac:dyDescent="0.2">
      <c r="A6" t="s">
        <v>62</v>
      </c>
      <c r="B6" s="15">
        <v>0.38588055555555556</v>
      </c>
      <c r="C6" s="16">
        <v>595756933330280</v>
      </c>
      <c r="D6">
        <v>1000</v>
      </c>
      <c r="E6" s="16">
        <v>100000</v>
      </c>
      <c r="F6" s="16">
        <v>100000000</v>
      </c>
      <c r="G6">
        <v>1</v>
      </c>
      <c r="H6">
        <v>340</v>
      </c>
      <c r="I6">
        <v>23103</v>
      </c>
      <c r="J6">
        <v>598523</v>
      </c>
      <c r="K6">
        <v>6057983</v>
      </c>
      <c r="L6">
        <v>24172428</v>
      </c>
      <c r="M6">
        <v>38286795</v>
      </c>
      <c r="N6">
        <v>24177972</v>
      </c>
      <c r="O6">
        <v>6061629</v>
      </c>
      <c r="P6">
        <v>597888</v>
      </c>
      <c r="Q6">
        <v>22998</v>
      </c>
      <c r="R6">
        <v>0</v>
      </c>
      <c r="S6">
        <v>19517266</v>
      </c>
      <c r="T6">
        <v>71659237</v>
      </c>
      <c r="U6">
        <v>5034034</v>
      </c>
      <c r="V6">
        <v>1517802</v>
      </c>
      <c r="W6">
        <v>1671784</v>
      </c>
      <c r="X6">
        <v>225633</v>
      </c>
      <c r="Y6">
        <v>112489</v>
      </c>
      <c r="Z6">
        <v>76548</v>
      </c>
      <c r="AA6">
        <v>39558</v>
      </c>
      <c r="AB6">
        <v>20665</v>
      </c>
      <c r="AC6">
        <v>10788</v>
      </c>
      <c r="AD6">
        <v>5586</v>
      </c>
      <c r="AE6">
        <v>3010</v>
      </c>
      <c r="AF6">
        <v>1860</v>
      </c>
      <c r="AG6">
        <v>1310</v>
      </c>
      <c r="AH6">
        <v>1109</v>
      </c>
      <c r="AI6">
        <v>872</v>
      </c>
      <c r="AJ6">
        <v>627</v>
      </c>
      <c r="AK6">
        <v>645</v>
      </c>
      <c r="AL6" s="16">
        <v>833862063</v>
      </c>
      <c r="AM6" s="16">
        <v>10879234147442</v>
      </c>
      <c r="AN6" s="16">
        <v>36334</v>
      </c>
      <c r="AO6" s="16">
        <v>4842893290</v>
      </c>
      <c r="AP6" s="16">
        <v>108792</v>
      </c>
      <c r="AQ6" s="16">
        <v>549959223390</v>
      </c>
      <c r="AR6" s="16">
        <v>5499</v>
      </c>
      <c r="AS6">
        <v>50.551285</v>
      </c>
      <c r="AT6">
        <v>53.190685000000002</v>
      </c>
      <c r="AU6">
        <v>42.895780000000002</v>
      </c>
      <c r="AV6">
        <v>46.717326999999997</v>
      </c>
      <c r="AW6">
        <v>81.684460000000001</v>
      </c>
      <c r="AX6">
        <v>81.636985999999993</v>
      </c>
      <c r="AY6">
        <v>45.267066999999997</v>
      </c>
      <c r="AZ6">
        <v>80.405209999999997</v>
      </c>
      <c r="BA6">
        <v>70.699759999999998</v>
      </c>
      <c r="BB6">
        <v>53.979903999999998</v>
      </c>
      <c r="BC6">
        <v>36.236781999999998</v>
      </c>
      <c r="BD6">
        <v>49.025739999999999</v>
      </c>
      <c r="BE6">
        <v>38.822409999999998</v>
      </c>
      <c r="BF6">
        <v>49.044719999999998</v>
      </c>
      <c r="BG6">
        <v>47.185279999999999</v>
      </c>
      <c r="BH6">
        <v>48.769745</v>
      </c>
      <c r="BI6">
        <v>47.310093000000002</v>
      </c>
      <c r="BJ6">
        <v>49.424280000000003</v>
      </c>
      <c r="BK6">
        <v>50.782744999999998</v>
      </c>
      <c r="BL6">
        <v>50.475166000000002</v>
      </c>
      <c r="BM6">
        <v>49.143120000000003</v>
      </c>
      <c r="BN6" s="16">
        <v>11998001627136</v>
      </c>
      <c r="BO6" s="16">
        <v>11914315698176</v>
      </c>
      <c r="BP6" s="16">
        <v>11036125679616</v>
      </c>
      <c r="BQ6" s="16">
        <v>11914315698176</v>
      </c>
      <c r="BR6" s="16">
        <v>11036125700096</v>
      </c>
      <c r="BS6" s="16">
        <v>606914638670560</v>
      </c>
      <c r="BT6" s="15">
        <v>0.51502070601851846</v>
      </c>
      <c r="BU6" s="16">
        <v>1171888512</v>
      </c>
      <c r="BV6" s="16">
        <v>100001004</v>
      </c>
      <c r="BW6" s="16">
        <v>1071887508</v>
      </c>
      <c r="BX6" s="19">
        <v>0.09</v>
      </c>
      <c r="BY6" s="16">
        <v>11716798464</v>
      </c>
      <c r="BZ6" s="16">
        <v>923244048</v>
      </c>
      <c r="CA6" s="16">
        <v>10793554416</v>
      </c>
      <c r="CB6" s="19">
        <v>0.08</v>
      </c>
      <c r="CC6" t="s">
        <v>209</v>
      </c>
      <c r="CD6" t="s">
        <v>212</v>
      </c>
      <c r="CE6" t="s">
        <v>209</v>
      </c>
      <c r="CF6" s="19">
        <v>0.08</v>
      </c>
    </row>
    <row r="49" spans="37:40" ht="46" x14ac:dyDescent="0.2">
      <c r="AK49" s="20"/>
      <c r="AL49" s="20" t="s">
        <v>25</v>
      </c>
      <c r="AM49" s="20" t="s">
        <v>0</v>
      </c>
      <c r="AN49" s="20" t="s">
        <v>213</v>
      </c>
    </row>
    <row r="50" spans="37:40" x14ac:dyDescent="0.2">
      <c r="AL50" s="16">
        <v>9840921</v>
      </c>
      <c r="AM50">
        <v>20</v>
      </c>
      <c r="AN50" s="31">
        <f>AL50/AM50</f>
        <v>492046.05</v>
      </c>
    </row>
    <row r="51" spans="37:40" x14ac:dyDescent="0.2">
      <c r="AL51" s="16">
        <v>13157132</v>
      </c>
      <c r="AM51">
        <v>100</v>
      </c>
      <c r="AN51" s="31">
        <f t="shared" ref="AN51:AN54" si="0">AL51/AM51</f>
        <v>131571.32</v>
      </c>
    </row>
    <row r="52" spans="37:40" x14ac:dyDescent="0.2">
      <c r="AL52" s="16">
        <v>20003058</v>
      </c>
      <c r="AM52">
        <v>100</v>
      </c>
      <c r="AN52" s="31">
        <f t="shared" si="0"/>
        <v>200030.58</v>
      </c>
    </row>
    <row r="53" spans="37:40" x14ac:dyDescent="0.2">
      <c r="AL53" s="16">
        <v>365101690</v>
      </c>
      <c r="AM53">
        <v>500</v>
      </c>
      <c r="AN53" s="31">
        <f t="shared" si="0"/>
        <v>730203.38</v>
      </c>
    </row>
    <row r="54" spans="37:40" x14ac:dyDescent="0.2">
      <c r="AL54" s="16">
        <v>833862063</v>
      </c>
      <c r="AM54">
        <v>1000</v>
      </c>
      <c r="AN54" s="31">
        <f t="shared" si="0"/>
        <v>833862.06299999997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A073-77C0-CD4B-A739-387BD83357B3}">
  <dimension ref="A1:CP10"/>
  <sheetViews>
    <sheetView workbookViewId="0">
      <selection activeCell="R14" sqref="R14"/>
    </sheetView>
  </sheetViews>
  <sheetFormatPr baseColWidth="10" defaultRowHeight="16" x14ac:dyDescent="0.2"/>
  <cols>
    <col min="1" max="86" width="3.6640625" style="46" bestFit="1" customWidth="1"/>
    <col min="87" max="92" width="10.83203125" style="46"/>
    <col min="93" max="93" width="5.33203125" style="46" bestFit="1" customWidth="1"/>
    <col min="94" max="94" width="18.6640625" style="46" bestFit="1" customWidth="1"/>
    <col min="95" max="16384" width="10.83203125" style="46"/>
  </cols>
  <sheetData>
    <row r="1" spans="1:94" ht="184" customHeight="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26</v>
      </c>
      <c r="AO1" s="20" t="s">
        <v>27</v>
      </c>
      <c r="AP1" s="20" t="s">
        <v>28</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c r="CG1" s="20" t="s">
        <v>280</v>
      </c>
      <c r="CH1" s="20" t="s">
        <v>281</v>
      </c>
    </row>
    <row r="2" spans="1:94" ht="85" x14ac:dyDescent="0.2">
      <c r="A2" s="50" t="s">
        <v>62</v>
      </c>
      <c r="B2" s="47">
        <v>0.53948442129629626</v>
      </c>
      <c r="C2" s="48">
        <v>530860334103</v>
      </c>
      <c r="D2" s="50">
        <v>500</v>
      </c>
      <c r="E2" s="49">
        <v>20000</v>
      </c>
      <c r="F2" s="49">
        <v>10000000</v>
      </c>
      <c r="G2" s="50">
        <v>1</v>
      </c>
      <c r="H2" s="50">
        <v>36</v>
      </c>
      <c r="I2" s="50">
        <v>2295</v>
      </c>
      <c r="J2" s="50">
        <v>59725</v>
      </c>
      <c r="K2" s="50">
        <v>606688</v>
      </c>
      <c r="L2" s="50">
        <v>2414647</v>
      </c>
      <c r="M2" s="50">
        <v>3828268</v>
      </c>
      <c r="N2" s="50">
        <v>2419702</v>
      </c>
      <c r="O2" s="50">
        <v>606543</v>
      </c>
      <c r="P2" s="50">
        <v>59820</v>
      </c>
      <c r="Q2" s="50">
        <v>2246</v>
      </c>
      <c r="R2" s="50">
        <v>0</v>
      </c>
      <c r="S2" s="50">
        <v>406</v>
      </c>
      <c r="T2" s="50">
        <v>8961001</v>
      </c>
      <c r="U2" s="50">
        <v>644862</v>
      </c>
      <c r="V2" s="50">
        <v>211960</v>
      </c>
      <c r="W2" s="50">
        <v>113722</v>
      </c>
      <c r="X2" s="50">
        <v>23331</v>
      </c>
      <c r="Y2" s="50">
        <v>10035</v>
      </c>
      <c r="Z2" s="50">
        <v>10066</v>
      </c>
      <c r="AA2" s="50">
        <v>8603</v>
      </c>
      <c r="AB2" s="50">
        <v>6717</v>
      </c>
      <c r="AC2" s="50">
        <v>3175</v>
      </c>
      <c r="AD2" s="50">
        <v>1316</v>
      </c>
      <c r="AE2" s="50">
        <v>555</v>
      </c>
      <c r="AF2" s="50">
        <v>303</v>
      </c>
      <c r="AG2" s="50">
        <v>184</v>
      </c>
      <c r="AH2" s="50">
        <v>154</v>
      </c>
      <c r="AI2" s="50">
        <v>88</v>
      </c>
      <c r="AJ2" s="50">
        <v>43</v>
      </c>
      <c r="AK2" s="50">
        <v>37</v>
      </c>
      <c r="AL2" s="50">
        <v>33926497</v>
      </c>
      <c r="AM2" s="48">
        <v>994690184135</v>
      </c>
      <c r="AN2" s="50">
        <v>45576</v>
      </c>
      <c r="AO2" s="50">
        <v>4974370908</v>
      </c>
      <c r="AP2" s="50">
        <v>99469</v>
      </c>
      <c r="AQ2" s="50">
        <v>54999867897</v>
      </c>
      <c r="AR2" s="50">
        <v>5499</v>
      </c>
      <c r="AS2" s="50">
        <v>55.293464999999998</v>
      </c>
      <c r="AT2" s="50">
        <v>78.726910000000004</v>
      </c>
      <c r="AU2" s="50">
        <v>78.762569999999997</v>
      </c>
      <c r="AV2" s="50">
        <v>83.590866000000005</v>
      </c>
      <c r="AW2" s="50">
        <v>82.286100000000005</v>
      </c>
      <c r="AX2" s="50">
        <v>83.415580000000006</v>
      </c>
      <c r="AY2" s="50">
        <v>82.293139999999994</v>
      </c>
      <c r="AZ2" s="50">
        <v>84.608109999999996</v>
      </c>
      <c r="BA2" s="50">
        <v>83.622280000000003</v>
      </c>
      <c r="BB2" s="50">
        <v>82.822100000000006</v>
      </c>
      <c r="BC2" s="50">
        <v>22.684570000000001</v>
      </c>
      <c r="BD2" s="50">
        <v>83.140379999999993</v>
      </c>
      <c r="BE2" s="50">
        <v>83.912890000000004</v>
      </c>
      <c r="BF2" s="50">
        <v>82.506675999999999</v>
      </c>
      <c r="BG2" s="50">
        <v>80.876419999999996</v>
      </c>
      <c r="BH2" s="50">
        <v>82.489919999999998</v>
      </c>
      <c r="BI2" s="50">
        <v>82.484780000000001</v>
      </c>
      <c r="BJ2" s="50">
        <v>80.825789999999998</v>
      </c>
      <c r="BK2" s="50">
        <v>62.40616</v>
      </c>
      <c r="BL2" s="50">
        <v>80.309430000000006</v>
      </c>
      <c r="BM2" s="50">
        <v>83.806049999999999</v>
      </c>
      <c r="BN2" s="48">
        <v>3998833524736</v>
      </c>
      <c r="BO2" s="48">
        <v>3970919317504</v>
      </c>
      <c r="BP2" s="48">
        <v>3845025173504</v>
      </c>
      <c r="BQ2" s="48">
        <v>3970919317504</v>
      </c>
      <c r="BR2" s="48">
        <v>3845025173504</v>
      </c>
      <c r="BS2" s="48">
        <v>1560920296845</v>
      </c>
      <c r="BT2" s="47">
        <v>0.55140644675925932</v>
      </c>
      <c r="BU2" s="50">
        <v>781403712</v>
      </c>
      <c r="BV2" s="50">
        <v>10000504</v>
      </c>
      <c r="BW2" s="50">
        <v>771403208</v>
      </c>
      <c r="BX2" s="51">
        <v>0.02</v>
      </c>
      <c r="BY2" s="50">
        <v>3905110864</v>
      </c>
      <c r="BZ2" s="50">
        <v>109602308</v>
      </c>
      <c r="CA2" s="50">
        <v>3795508556</v>
      </c>
      <c r="CB2" s="51">
        <v>0.03</v>
      </c>
      <c r="CC2" s="50" t="s">
        <v>254</v>
      </c>
      <c r="CD2" s="50" t="s">
        <v>255</v>
      </c>
      <c r="CE2" s="50" t="s">
        <v>256</v>
      </c>
      <c r="CF2" s="51">
        <v>0.03</v>
      </c>
      <c r="CG2" s="68">
        <f t="shared" ref="CG2:CG3" si="0">((BO2-BP2)-AQ2)/(BO2-BP2)</f>
        <v>0.56312608236170225</v>
      </c>
      <c r="CH2" s="84">
        <f>(AM2-AM5)/AM2</f>
        <v>0.99968634830424985</v>
      </c>
    </row>
    <row r="3" spans="1:94" ht="136" customHeight="1" x14ac:dyDescent="0.2">
      <c r="A3" s="50" t="s">
        <v>62</v>
      </c>
      <c r="B3" s="47">
        <v>0.56641527777777778</v>
      </c>
      <c r="C3" s="48">
        <v>2857686716640</v>
      </c>
      <c r="D3" s="50">
        <v>1000</v>
      </c>
      <c r="E3" s="49">
        <v>100000</v>
      </c>
      <c r="F3" s="49">
        <v>100000000</v>
      </c>
      <c r="G3" s="50">
        <v>1</v>
      </c>
      <c r="H3" s="50">
        <v>316</v>
      </c>
      <c r="I3" s="50">
        <v>23069</v>
      </c>
      <c r="J3" s="50">
        <v>599115</v>
      </c>
      <c r="K3" s="50">
        <v>6058317</v>
      </c>
      <c r="L3" s="50">
        <v>24176023</v>
      </c>
      <c r="M3" s="50">
        <v>38285282</v>
      </c>
      <c r="N3" s="50">
        <v>24175345</v>
      </c>
      <c r="O3" s="50">
        <v>6061001</v>
      </c>
      <c r="P3" s="50">
        <v>598495</v>
      </c>
      <c r="Q3" s="50">
        <v>22722</v>
      </c>
      <c r="R3" s="50">
        <v>0</v>
      </c>
      <c r="S3" s="50">
        <v>2999540</v>
      </c>
      <c r="T3" s="50">
        <v>86666419</v>
      </c>
      <c r="U3" s="50">
        <v>6750712</v>
      </c>
      <c r="V3" s="50">
        <v>1804658</v>
      </c>
      <c r="W3" s="50">
        <v>1087950</v>
      </c>
      <c r="X3" s="50">
        <v>267725</v>
      </c>
      <c r="Y3" s="50">
        <v>124053</v>
      </c>
      <c r="Z3" s="50">
        <v>94076</v>
      </c>
      <c r="AA3" s="50">
        <v>62809</v>
      </c>
      <c r="AB3" s="50">
        <v>36289</v>
      </c>
      <c r="AC3" s="50">
        <v>16397</v>
      </c>
      <c r="AD3" s="50">
        <v>8234</v>
      </c>
      <c r="AE3" s="50">
        <v>5795</v>
      </c>
      <c r="AF3" s="50">
        <v>3300</v>
      </c>
      <c r="AG3" s="50">
        <v>1718</v>
      </c>
      <c r="AH3" s="50">
        <v>1151</v>
      </c>
      <c r="AI3" s="50">
        <v>898</v>
      </c>
      <c r="AJ3" s="50">
        <v>705</v>
      </c>
      <c r="AK3" s="50">
        <v>596</v>
      </c>
      <c r="AL3" s="50">
        <v>185237105</v>
      </c>
      <c r="AM3" s="48">
        <v>11168543986465</v>
      </c>
      <c r="AN3" s="50">
        <v>38979</v>
      </c>
      <c r="AO3" s="50">
        <v>5367533012</v>
      </c>
      <c r="AP3" s="50">
        <v>111685</v>
      </c>
      <c r="AQ3" s="48">
        <v>549947533505</v>
      </c>
      <c r="AR3" s="50">
        <v>5499</v>
      </c>
      <c r="AS3" s="50">
        <v>49.240749999999998</v>
      </c>
      <c r="AT3" s="50">
        <v>54.544727000000002</v>
      </c>
      <c r="AU3" s="50">
        <v>39.055267000000001</v>
      </c>
      <c r="AV3" s="50">
        <v>32.254528000000001</v>
      </c>
      <c r="AW3" s="50">
        <v>48.684837000000002</v>
      </c>
      <c r="AX3" s="50">
        <v>48.096428000000003</v>
      </c>
      <c r="AY3" s="50">
        <v>43.268566</v>
      </c>
      <c r="AZ3" s="50">
        <v>44.380740000000003</v>
      </c>
      <c r="BA3" s="50">
        <v>48.705112</v>
      </c>
      <c r="BB3" s="50">
        <v>45.845753000000002</v>
      </c>
      <c r="BC3" s="50">
        <v>44.737834999999997</v>
      </c>
      <c r="BD3" s="50">
        <v>44.653606000000003</v>
      </c>
      <c r="BE3" s="50">
        <v>49.124003999999999</v>
      </c>
      <c r="BF3" s="50">
        <v>45.452025999999996</v>
      </c>
      <c r="BG3" s="50">
        <v>49.04148</v>
      </c>
      <c r="BH3" s="50">
        <v>45.256880000000002</v>
      </c>
      <c r="BI3" s="50">
        <v>44.869155999999997</v>
      </c>
      <c r="BJ3" s="50">
        <v>44.907432999999997</v>
      </c>
      <c r="BK3" s="50">
        <v>46.20279</v>
      </c>
      <c r="BL3" s="50">
        <v>46.933585999999998</v>
      </c>
      <c r="BM3" s="50">
        <v>47.136580000000002</v>
      </c>
      <c r="BN3" s="48">
        <v>3998833524736</v>
      </c>
      <c r="BO3" s="48">
        <v>3970919317504</v>
      </c>
      <c r="BP3" s="48">
        <v>3091714732032</v>
      </c>
      <c r="BQ3" s="48">
        <v>3970919317504</v>
      </c>
      <c r="BR3" s="48">
        <v>3091714732032</v>
      </c>
      <c r="BS3" s="48">
        <v>14307041587122</v>
      </c>
      <c r="BT3" s="47">
        <v>0.6989309953703704</v>
      </c>
      <c r="BU3" s="50">
        <v>781403712</v>
      </c>
      <c r="BV3" s="50">
        <v>100001004</v>
      </c>
      <c r="BW3" s="50">
        <v>681402708</v>
      </c>
      <c r="BX3" s="51">
        <v>0.13</v>
      </c>
      <c r="BY3" s="50">
        <v>3905110864</v>
      </c>
      <c r="BZ3" s="50">
        <v>850901236</v>
      </c>
      <c r="CA3" s="50">
        <v>3054209628</v>
      </c>
      <c r="CB3" s="51">
        <v>0.22</v>
      </c>
      <c r="CC3" s="50" t="s">
        <v>254</v>
      </c>
      <c r="CD3" s="50" t="s">
        <v>270</v>
      </c>
      <c r="CE3" s="50" t="s">
        <v>271</v>
      </c>
      <c r="CF3" s="51">
        <v>0.22</v>
      </c>
      <c r="CG3" s="68">
        <f t="shared" si="0"/>
        <v>0.37449423877860999</v>
      </c>
      <c r="CH3" s="85">
        <f>(AM3-AM4)/AM3</f>
        <v>0.99973823895079406</v>
      </c>
    </row>
    <row r="4" spans="1:94" s="76" customFormat="1" ht="91" x14ac:dyDescent="0.2">
      <c r="A4" s="75" t="s">
        <v>62</v>
      </c>
      <c r="B4" s="77">
        <v>0.71151358796296293</v>
      </c>
      <c r="C4" s="74">
        <v>15394180389710</v>
      </c>
      <c r="D4" s="75">
        <v>1000</v>
      </c>
      <c r="E4" s="188">
        <v>100000</v>
      </c>
      <c r="F4" s="188">
        <v>100000000</v>
      </c>
      <c r="G4" s="75">
        <v>1</v>
      </c>
      <c r="H4" s="75">
        <v>336</v>
      </c>
      <c r="I4" s="75">
        <v>23116</v>
      </c>
      <c r="J4" s="75">
        <v>597760</v>
      </c>
      <c r="K4" s="75">
        <v>6059626</v>
      </c>
      <c r="L4" s="75">
        <v>24165352</v>
      </c>
      <c r="M4" s="75">
        <v>38301314</v>
      </c>
      <c r="N4" s="75">
        <v>24176413</v>
      </c>
      <c r="O4" s="75">
        <v>6056100</v>
      </c>
      <c r="P4" s="75">
        <v>596682</v>
      </c>
      <c r="Q4" s="75">
        <v>22994</v>
      </c>
      <c r="R4" s="75">
        <v>99999990</v>
      </c>
      <c r="S4" s="75">
        <v>7</v>
      </c>
      <c r="T4" s="75">
        <v>0</v>
      </c>
      <c r="U4" s="75">
        <v>0</v>
      </c>
      <c r="V4" s="75">
        <v>1</v>
      </c>
      <c r="W4" s="75">
        <v>1</v>
      </c>
      <c r="X4" s="75">
        <v>0</v>
      </c>
      <c r="Y4" s="75">
        <v>0</v>
      </c>
      <c r="Z4" s="75">
        <v>0</v>
      </c>
      <c r="AA4" s="75">
        <v>0</v>
      </c>
      <c r="AB4" s="75">
        <v>0</v>
      </c>
      <c r="AC4" s="75">
        <v>0</v>
      </c>
      <c r="AD4" s="75">
        <v>0</v>
      </c>
      <c r="AE4" s="75">
        <v>0</v>
      </c>
      <c r="AF4" s="75">
        <v>0</v>
      </c>
      <c r="AG4" s="75">
        <v>0</v>
      </c>
      <c r="AH4" s="75">
        <v>0</v>
      </c>
      <c r="AI4" s="75">
        <v>0</v>
      </c>
      <c r="AJ4" s="75">
        <v>0</v>
      </c>
      <c r="AK4" s="75">
        <v>0</v>
      </c>
      <c r="AL4" s="75">
        <v>352348</v>
      </c>
      <c r="AM4" s="74">
        <v>2923489792</v>
      </c>
      <c r="AN4" s="75">
        <v>26</v>
      </c>
      <c r="AO4" s="75">
        <v>4359773</v>
      </c>
      <c r="AP4" s="75">
        <v>29</v>
      </c>
      <c r="AQ4" s="48">
        <v>549948581295</v>
      </c>
      <c r="AR4" s="75">
        <v>5499</v>
      </c>
      <c r="AS4" s="75">
        <v>188113.72</v>
      </c>
      <c r="AT4" s="75">
        <v>186501.97</v>
      </c>
      <c r="AU4" s="75">
        <v>188102.22</v>
      </c>
      <c r="AV4" s="75">
        <v>187386.19</v>
      </c>
      <c r="AW4" s="75">
        <v>188311.48</v>
      </c>
      <c r="AX4" s="75">
        <v>175827.56</v>
      </c>
      <c r="AY4" s="75">
        <v>190905.28</v>
      </c>
      <c r="AZ4" s="75">
        <v>188642.27</v>
      </c>
      <c r="BA4" s="75">
        <v>191610.31</v>
      </c>
      <c r="BB4" s="75">
        <v>187606.48</v>
      </c>
      <c r="BC4" s="75">
        <v>192210.75</v>
      </c>
      <c r="BD4" s="75">
        <v>191772.92</v>
      </c>
      <c r="BE4" s="75">
        <v>191194.8</v>
      </c>
      <c r="BF4" s="75">
        <v>190862.39</v>
      </c>
      <c r="BG4" s="75">
        <v>191861.8</v>
      </c>
      <c r="BH4" s="75">
        <v>189330.3</v>
      </c>
      <c r="BI4" s="75">
        <v>192292.16</v>
      </c>
      <c r="BJ4" s="75">
        <v>191959.44</v>
      </c>
      <c r="BK4" s="75">
        <v>191752.23</v>
      </c>
      <c r="BL4" s="75">
        <v>191505.64</v>
      </c>
      <c r="BM4" s="75">
        <v>183876.03</v>
      </c>
      <c r="BN4" s="74">
        <v>3998833524736</v>
      </c>
      <c r="BO4" s="74">
        <v>3127510659072</v>
      </c>
      <c r="BP4" s="74">
        <v>3127510659072</v>
      </c>
      <c r="BQ4" s="74">
        <v>3127510659072</v>
      </c>
      <c r="BR4" s="74">
        <v>3127510659072</v>
      </c>
      <c r="BS4" s="74">
        <v>15487725350677</v>
      </c>
      <c r="BT4" s="77">
        <v>0.71259631944444435</v>
      </c>
      <c r="BU4" s="75">
        <v>781403712</v>
      </c>
      <c r="BV4" s="75">
        <v>100001004</v>
      </c>
      <c r="BW4" s="75">
        <v>681402708</v>
      </c>
      <c r="BX4" s="78">
        <v>0.13</v>
      </c>
      <c r="BY4" s="75">
        <v>3905110864</v>
      </c>
      <c r="BZ4" s="75">
        <v>850901236</v>
      </c>
      <c r="CA4" s="75">
        <v>3054209628</v>
      </c>
      <c r="CB4" s="78">
        <v>0.22</v>
      </c>
      <c r="CC4" s="75" t="s">
        <v>254</v>
      </c>
      <c r="CD4" s="75" t="s">
        <v>270</v>
      </c>
      <c r="CE4" s="75" t="s">
        <v>271</v>
      </c>
      <c r="CF4" s="78">
        <v>0.22</v>
      </c>
      <c r="CG4" s="79"/>
      <c r="CH4" s="84"/>
    </row>
    <row r="5" spans="1:94" ht="73" x14ac:dyDescent="0.2">
      <c r="A5" s="50" t="s">
        <v>62</v>
      </c>
      <c r="B5" s="57">
        <v>0.74167540509259255</v>
      </c>
      <c r="C5" s="50">
        <v>18000161635848</v>
      </c>
      <c r="D5" s="50">
        <v>500</v>
      </c>
      <c r="E5" s="49">
        <v>20000</v>
      </c>
      <c r="F5" s="49">
        <v>10000000</v>
      </c>
      <c r="G5" s="50">
        <v>1</v>
      </c>
      <c r="H5" s="50">
        <v>38</v>
      </c>
      <c r="I5" s="50">
        <v>2316</v>
      </c>
      <c r="J5" s="50">
        <v>59819</v>
      </c>
      <c r="K5" s="50">
        <v>606892</v>
      </c>
      <c r="L5" s="50">
        <v>2417204</v>
      </c>
      <c r="M5" s="50">
        <v>3829920</v>
      </c>
      <c r="N5" s="50">
        <v>2416750</v>
      </c>
      <c r="O5" s="50">
        <v>605320</v>
      </c>
      <c r="P5" s="50">
        <v>59475</v>
      </c>
      <c r="Q5" s="50">
        <v>2240</v>
      </c>
      <c r="R5" s="50">
        <v>10000000</v>
      </c>
      <c r="S5" s="50">
        <v>0</v>
      </c>
      <c r="T5" s="50">
        <v>0</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49500</v>
      </c>
      <c r="AM5" s="50">
        <v>311986263</v>
      </c>
      <c r="AN5" s="50">
        <v>26</v>
      </c>
      <c r="AO5" s="50">
        <v>21603</v>
      </c>
      <c r="AP5" s="50">
        <v>31</v>
      </c>
      <c r="AQ5" s="50">
        <v>54992710493</v>
      </c>
      <c r="AR5" s="50">
        <v>5499</v>
      </c>
      <c r="AS5" s="50">
        <v>176266.45</v>
      </c>
      <c r="AT5" s="50">
        <v>166660.54999999999</v>
      </c>
      <c r="AU5" s="50">
        <v>169447.44</v>
      </c>
      <c r="AV5" s="50">
        <v>174157.94</v>
      </c>
      <c r="AW5" s="50">
        <v>177885.23</v>
      </c>
      <c r="AX5" s="50">
        <v>182037.97</v>
      </c>
      <c r="AY5" s="50">
        <v>181666.75</v>
      </c>
      <c r="AZ5" s="50">
        <v>181892.34</v>
      </c>
      <c r="BA5" s="50">
        <v>181788.7</v>
      </c>
      <c r="BB5" s="50">
        <v>181593.78</v>
      </c>
      <c r="BC5" s="50">
        <v>182135.11</v>
      </c>
      <c r="BD5" s="50">
        <v>181990.62</v>
      </c>
      <c r="BE5" s="50">
        <v>150861.29999999999</v>
      </c>
      <c r="BF5" s="50">
        <v>182283.06</v>
      </c>
      <c r="BG5" s="50">
        <v>181640.19</v>
      </c>
      <c r="BH5" s="50">
        <v>181769.56</v>
      </c>
      <c r="BI5" s="50">
        <v>181743.22</v>
      </c>
      <c r="BJ5" s="50">
        <v>181875.53</v>
      </c>
      <c r="BK5" s="50">
        <v>182017.12</v>
      </c>
      <c r="BL5" s="50">
        <v>181277.77</v>
      </c>
      <c r="BM5" s="50">
        <v>181546.28</v>
      </c>
      <c r="BN5" s="50">
        <v>3998833524736</v>
      </c>
      <c r="BO5" s="50">
        <v>3127510659072</v>
      </c>
      <c r="BP5" s="50">
        <v>3127510659072</v>
      </c>
      <c r="BQ5" s="50">
        <v>3127510659072</v>
      </c>
      <c r="BR5" s="50">
        <v>3127510659072</v>
      </c>
      <c r="BS5" s="50">
        <v>18012509516922</v>
      </c>
      <c r="BT5" s="57">
        <v>0.74181835648148153</v>
      </c>
      <c r="BU5" s="50">
        <v>781403712</v>
      </c>
      <c r="BV5" s="50">
        <v>100001004</v>
      </c>
      <c r="BW5" s="50">
        <v>681402708</v>
      </c>
      <c r="BX5" s="51">
        <v>0.13</v>
      </c>
      <c r="BY5" s="50">
        <v>3905110864</v>
      </c>
      <c r="BZ5" s="50">
        <v>850901236</v>
      </c>
      <c r="CA5" s="50">
        <v>3054209628</v>
      </c>
      <c r="CB5" s="51">
        <v>0.22</v>
      </c>
      <c r="CC5" s="50" t="s">
        <v>254</v>
      </c>
      <c r="CD5" s="50" t="s">
        <v>270</v>
      </c>
      <c r="CE5" s="50" t="s">
        <v>271</v>
      </c>
      <c r="CF5" s="51">
        <v>0.22</v>
      </c>
      <c r="CG5" s="50"/>
      <c r="CH5" s="50"/>
    </row>
    <row r="7" spans="1:94" x14ac:dyDescent="0.2">
      <c r="CO7" s="81" t="s">
        <v>282</v>
      </c>
      <c r="CP7" s="82">
        <v>11168543986465</v>
      </c>
    </row>
    <row r="8" spans="1:94" x14ac:dyDescent="0.2">
      <c r="CO8" s="81" t="s">
        <v>283</v>
      </c>
      <c r="CP8" s="83">
        <v>2923489792</v>
      </c>
    </row>
    <row r="9" spans="1:94" x14ac:dyDescent="0.2">
      <c r="CO9" s="81" t="s">
        <v>284</v>
      </c>
      <c r="CP9" s="83">
        <f>CP7-CP8</f>
        <v>11165620496673</v>
      </c>
    </row>
    <row r="10" spans="1:94" x14ac:dyDescent="0.2">
      <c r="CO10" s="81"/>
      <c r="CP10" s="80">
        <f>CP9/CP7</f>
        <v>0.99973823895079406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6E297-7833-1B4D-BF73-4E4B5FDB9305}">
  <dimension ref="A1:AI12"/>
  <sheetViews>
    <sheetView workbookViewId="0">
      <selection activeCell="AK38" sqref="AK38"/>
    </sheetView>
  </sheetViews>
  <sheetFormatPr baseColWidth="10" defaultRowHeight="16" x14ac:dyDescent="0.2"/>
  <cols>
    <col min="1" max="35" width="3.6640625" bestFit="1" customWidth="1"/>
  </cols>
  <sheetData>
    <row r="1" spans="1:35" ht="161" x14ac:dyDescent="0.2">
      <c r="A1" s="52" t="s">
        <v>38</v>
      </c>
      <c r="B1" s="52" t="s">
        <v>2</v>
      </c>
      <c r="C1" s="52" t="s">
        <v>267</v>
      </c>
      <c r="D1" s="52" t="s">
        <v>223</v>
      </c>
      <c r="E1" s="52" t="s">
        <v>224</v>
      </c>
      <c r="F1" s="52" t="s">
        <v>225</v>
      </c>
      <c r="G1" s="52" t="s">
        <v>226</v>
      </c>
      <c r="H1" s="52" t="s">
        <v>227</v>
      </c>
      <c r="I1" s="52" t="s">
        <v>228</v>
      </c>
      <c r="J1" s="52" t="s">
        <v>229</v>
      </c>
      <c r="K1" s="52" t="s">
        <v>230</v>
      </c>
      <c r="L1" s="52" t="s">
        <v>231</v>
      </c>
      <c r="M1" s="52" t="s">
        <v>232</v>
      </c>
      <c r="N1" s="52" t="s">
        <v>233</v>
      </c>
      <c r="O1" s="52" t="s">
        <v>234</v>
      </c>
      <c r="P1" s="52" t="s">
        <v>235</v>
      </c>
      <c r="Q1" s="52" t="s">
        <v>236</v>
      </c>
      <c r="R1" s="52" t="s">
        <v>237</v>
      </c>
      <c r="S1" s="52" t="s">
        <v>238</v>
      </c>
      <c r="T1" s="52" t="s">
        <v>239</v>
      </c>
      <c r="U1" s="52" t="s">
        <v>240</v>
      </c>
      <c r="V1" s="52" t="s">
        <v>241</v>
      </c>
      <c r="W1" s="52" t="s">
        <v>242</v>
      </c>
      <c r="X1" s="52" t="s">
        <v>243</v>
      </c>
      <c r="Y1" s="52" t="s">
        <v>244</v>
      </c>
      <c r="Z1" s="52" t="s">
        <v>245</v>
      </c>
      <c r="AA1" s="52" t="s">
        <v>246</v>
      </c>
      <c r="AB1" s="52" t="s">
        <v>247</v>
      </c>
      <c r="AC1" s="52" t="s">
        <v>248</v>
      </c>
      <c r="AD1" s="52" t="s">
        <v>249</v>
      </c>
      <c r="AE1" s="52" t="s">
        <v>250</v>
      </c>
      <c r="AF1" s="52" t="s">
        <v>251</v>
      </c>
      <c r="AG1" s="52" t="s">
        <v>253</v>
      </c>
      <c r="AH1" s="52" t="s">
        <v>252</v>
      </c>
    </row>
    <row r="2" spans="1:35" ht="91" x14ac:dyDescent="0.2">
      <c r="A2" s="50" t="s">
        <v>62</v>
      </c>
      <c r="B2" s="50">
        <v>10000000</v>
      </c>
      <c r="C2" s="50" t="s">
        <v>264</v>
      </c>
      <c r="D2" s="47">
        <v>0.58453179398148147</v>
      </c>
      <c r="E2" s="48">
        <v>80604965708290</v>
      </c>
      <c r="F2" s="48">
        <v>433265809920</v>
      </c>
      <c r="G2" s="48">
        <v>54997429121</v>
      </c>
      <c r="H2" s="50">
        <v>15772</v>
      </c>
      <c r="I2" s="50">
        <v>2029077642</v>
      </c>
      <c r="J2" s="50">
        <v>43326</v>
      </c>
      <c r="K2" s="50">
        <v>0</v>
      </c>
      <c r="L2" s="48">
        <v>433265809920</v>
      </c>
      <c r="M2" s="50">
        <v>0</v>
      </c>
      <c r="N2" s="48">
        <v>0</v>
      </c>
      <c r="O2" s="48">
        <v>49154</v>
      </c>
      <c r="P2" s="48">
        <v>6988398</v>
      </c>
      <c r="Q2" s="48">
        <v>684573</v>
      </c>
      <c r="R2" s="48">
        <v>181539</v>
      </c>
      <c r="S2" s="48">
        <v>148601</v>
      </c>
      <c r="T2" s="48">
        <v>53408</v>
      </c>
      <c r="U2" s="48">
        <v>17030</v>
      </c>
      <c r="V2" s="48">
        <v>6613</v>
      </c>
      <c r="W2" s="48">
        <v>2441</v>
      </c>
      <c r="X2" s="48">
        <v>7204</v>
      </c>
      <c r="Y2" s="48">
        <v>42726</v>
      </c>
      <c r="Z2" s="48">
        <v>113272</v>
      </c>
      <c r="AA2" s="48">
        <v>424683</v>
      </c>
      <c r="AB2" s="48">
        <v>342202</v>
      </c>
      <c r="AC2" s="48">
        <v>127224</v>
      </c>
      <c r="AD2" s="48">
        <v>75382</v>
      </c>
      <c r="AE2" s="48">
        <v>58254</v>
      </c>
      <c r="AF2" s="48">
        <v>58299</v>
      </c>
      <c r="AG2" s="48">
        <v>81065749761804</v>
      </c>
      <c r="AH2" s="47">
        <v>0.58986497685185191</v>
      </c>
    </row>
    <row r="3" spans="1:35" ht="91" x14ac:dyDescent="0.2">
      <c r="A3" s="50" t="s">
        <v>62</v>
      </c>
      <c r="B3" s="50">
        <v>10000000</v>
      </c>
      <c r="C3" s="50" t="s">
        <v>265</v>
      </c>
      <c r="D3" s="47">
        <v>0.68517299768518525</v>
      </c>
      <c r="E3" s="48">
        <v>89300366426538</v>
      </c>
      <c r="F3" s="48">
        <v>171098473685</v>
      </c>
      <c r="G3" s="48">
        <v>54997429121</v>
      </c>
      <c r="H3" s="50">
        <v>10825</v>
      </c>
      <c r="I3" s="50">
        <v>45922083</v>
      </c>
      <c r="J3" s="50">
        <v>17109</v>
      </c>
      <c r="K3" s="50">
        <v>0</v>
      </c>
      <c r="L3" s="48">
        <v>171098473685</v>
      </c>
      <c r="M3" s="50">
        <v>0</v>
      </c>
      <c r="N3" s="48">
        <v>2665</v>
      </c>
      <c r="O3" s="48">
        <v>8129569</v>
      </c>
      <c r="P3" s="48">
        <v>1392707</v>
      </c>
      <c r="Q3" s="48">
        <v>310048</v>
      </c>
      <c r="R3" s="48">
        <v>105308</v>
      </c>
      <c r="S3" s="48">
        <v>29206</v>
      </c>
      <c r="T3" s="48">
        <v>11288</v>
      </c>
      <c r="U3" s="48">
        <v>3630</v>
      </c>
      <c r="V3" s="48">
        <v>1594</v>
      </c>
      <c r="W3" s="48">
        <v>779</v>
      </c>
      <c r="X3" s="48">
        <v>545</v>
      </c>
      <c r="Y3" s="48">
        <v>622</v>
      </c>
      <c r="Z3" s="48">
        <v>569</v>
      </c>
      <c r="AA3" s="48">
        <v>523</v>
      </c>
      <c r="AB3" s="48">
        <v>390</v>
      </c>
      <c r="AC3" s="48">
        <v>267</v>
      </c>
      <c r="AD3" s="48">
        <v>206</v>
      </c>
      <c r="AE3" s="48">
        <v>154</v>
      </c>
      <c r="AF3" s="48">
        <v>152</v>
      </c>
      <c r="AG3" s="48">
        <v>89484647227583</v>
      </c>
      <c r="AH3" s="47">
        <v>0.68730592592592599</v>
      </c>
    </row>
    <row r="4" spans="1:35" ht="98" x14ac:dyDescent="0.2">
      <c r="A4" s="50" t="s">
        <v>62</v>
      </c>
      <c r="B4" s="50">
        <v>100000000</v>
      </c>
      <c r="C4" s="50" t="s">
        <v>264</v>
      </c>
      <c r="D4" s="47">
        <v>0.94319782407407404</v>
      </c>
      <c r="E4" s="48">
        <v>111593710917871</v>
      </c>
      <c r="F4" s="48">
        <v>20148316398747</v>
      </c>
      <c r="G4" s="48">
        <v>549944003390</v>
      </c>
      <c r="H4" s="50">
        <v>12646</v>
      </c>
      <c r="I4" s="50">
        <v>610526681</v>
      </c>
      <c r="J4" s="50">
        <v>201483</v>
      </c>
      <c r="K4" s="50">
        <v>0</v>
      </c>
      <c r="L4" s="48">
        <v>20148316398747</v>
      </c>
      <c r="M4" s="50">
        <v>0</v>
      </c>
      <c r="N4" s="48">
        <v>0</v>
      </c>
      <c r="O4" s="48">
        <v>24358</v>
      </c>
      <c r="P4" s="48">
        <v>11533</v>
      </c>
      <c r="Q4" s="48">
        <v>1510</v>
      </c>
      <c r="R4" s="48">
        <v>611</v>
      </c>
      <c r="S4" s="48">
        <v>204</v>
      </c>
      <c r="T4" s="48">
        <v>118</v>
      </c>
      <c r="U4" s="48">
        <v>48</v>
      </c>
      <c r="V4" s="48">
        <v>17</v>
      </c>
      <c r="W4" s="48">
        <v>108</v>
      </c>
      <c r="X4" s="48">
        <v>15526</v>
      </c>
      <c r="Y4" s="48">
        <v>100852</v>
      </c>
      <c r="Z4" s="48">
        <v>827972</v>
      </c>
      <c r="AA4" s="48">
        <v>3164865</v>
      </c>
      <c r="AB4" s="48">
        <v>7180724</v>
      </c>
      <c r="AC4" s="48">
        <v>21423655</v>
      </c>
      <c r="AD4" s="48">
        <v>12456216</v>
      </c>
      <c r="AE4" s="48">
        <v>4507655</v>
      </c>
      <c r="AF4" s="48">
        <v>3580162</v>
      </c>
      <c r="AG4" s="48">
        <v>132102231439866</v>
      </c>
      <c r="AH4" s="47">
        <v>0.180565</v>
      </c>
    </row>
    <row r="5" spans="1:35" ht="98" x14ac:dyDescent="0.2">
      <c r="A5" s="50" t="s">
        <v>62</v>
      </c>
      <c r="B5" s="50">
        <v>100000000</v>
      </c>
      <c r="C5" s="50" t="s">
        <v>265</v>
      </c>
      <c r="D5" s="47">
        <v>0.31937077546296294</v>
      </c>
      <c r="E5" s="48">
        <v>144095054206831</v>
      </c>
      <c r="F5" s="48">
        <v>20620646144182</v>
      </c>
      <c r="G5" s="48">
        <v>549944003390</v>
      </c>
      <c r="H5" s="50">
        <v>9813</v>
      </c>
      <c r="I5" s="50">
        <v>86711093</v>
      </c>
      <c r="J5" s="50">
        <v>206206</v>
      </c>
      <c r="K5" s="50">
        <v>0</v>
      </c>
      <c r="L5" s="48">
        <v>20620646144182</v>
      </c>
      <c r="M5" s="50">
        <v>0</v>
      </c>
      <c r="N5" s="48">
        <v>485</v>
      </c>
      <c r="O5" s="48">
        <v>155271</v>
      </c>
      <c r="P5" s="48">
        <v>317728</v>
      </c>
      <c r="Q5" s="48">
        <v>281333</v>
      </c>
      <c r="R5" s="48">
        <v>41228</v>
      </c>
      <c r="S5" s="48">
        <v>17565</v>
      </c>
      <c r="T5" s="48">
        <v>10000</v>
      </c>
      <c r="U5" s="48">
        <v>7601</v>
      </c>
      <c r="V5" s="48">
        <v>3199</v>
      </c>
      <c r="W5" s="48">
        <v>4105</v>
      </c>
      <c r="X5" s="48">
        <v>71154</v>
      </c>
      <c r="Y5" s="48">
        <v>692628</v>
      </c>
      <c r="Z5" s="48">
        <v>2879241</v>
      </c>
      <c r="AA5" s="48">
        <v>8654376</v>
      </c>
      <c r="AB5" s="48">
        <v>16724402</v>
      </c>
      <c r="AC5" s="48">
        <v>8115594</v>
      </c>
      <c r="AD5" s="48">
        <v>4412250</v>
      </c>
      <c r="AE5" s="48">
        <v>4722447</v>
      </c>
      <c r="AF5" s="48">
        <v>9455322</v>
      </c>
      <c r="AG5" s="48">
        <v>165062537543291</v>
      </c>
      <c r="AH5" s="47">
        <v>0.56205002314814811</v>
      </c>
    </row>
    <row r="6" spans="1:35" ht="91" x14ac:dyDescent="0.2">
      <c r="A6" s="50" t="s">
        <v>62</v>
      </c>
      <c r="B6" s="50">
        <v>10000000</v>
      </c>
      <c r="C6" s="50" t="s">
        <v>264</v>
      </c>
      <c r="D6" s="47">
        <v>0.58453179398148147</v>
      </c>
      <c r="E6" s="48">
        <v>80604965708290</v>
      </c>
      <c r="F6" s="48">
        <v>433265809920</v>
      </c>
      <c r="G6" s="48">
        <v>54997429121</v>
      </c>
      <c r="H6" s="50">
        <v>15772</v>
      </c>
      <c r="I6" s="50">
        <v>2029077642</v>
      </c>
      <c r="J6" s="50">
        <v>43326</v>
      </c>
      <c r="K6" s="50">
        <v>0</v>
      </c>
      <c r="L6" s="48">
        <v>433265809920</v>
      </c>
      <c r="M6" s="50">
        <v>0</v>
      </c>
      <c r="N6" s="50">
        <v>0</v>
      </c>
      <c r="O6" s="50">
        <v>49154</v>
      </c>
      <c r="P6" s="50">
        <v>6988398</v>
      </c>
      <c r="Q6" s="50">
        <v>684573</v>
      </c>
      <c r="R6" s="50">
        <v>181539</v>
      </c>
      <c r="S6" s="50">
        <v>148601</v>
      </c>
      <c r="T6" s="50">
        <v>53408</v>
      </c>
      <c r="U6" s="50">
        <v>17030</v>
      </c>
      <c r="V6" s="50">
        <v>6613</v>
      </c>
      <c r="W6" s="50">
        <v>2441</v>
      </c>
      <c r="X6" s="50">
        <v>7204</v>
      </c>
      <c r="Y6" s="50">
        <v>42726</v>
      </c>
      <c r="Z6" s="50">
        <v>113272</v>
      </c>
      <c r="AA6" s="50">
        <v>424683</v>
      </c>
      <c r="AB6" s="50">
        <v>342202</v>
      </c>
      <c r="AC6" s="50">
        <v>127224</v>
      </c>
      <c r="AD6" s="50">
        <v>75382</v>
      </c>
      <c r="AE6" s="50">
        <v>58254</v>
      </c>
      <c r="AF6" s="50">
        <v>58299</v>
      </c>
      <c r="AG6" s="48">
        <v>81065749761804</v>
      </c>
      <c r="AH6" s="47">
        <v>0.58986497685185191</v>
      </c>
    </row>
    <row r="7" spans="1:35" ht="91" x14ac:dyDescent="0.2">
      <c r="A7" s="50" t="s">
        <v>62</v>
      </c>
      <c r="B7" s="50">
        <v>10000000</v>
      </c>
      <c r="C7" s="50" t="s">
        <v>265</v>
      </c>
      <c r="D7" s="47">
        <v>0.68517299768518525</v>
      </c>
      <c r="E7" s="48">
        <v>89300366426538</v>
      </c>
      <c r="F7" s="48">
        <v>171098473685</v>
      </c>
      <c r="G7" s="48">
        <v>54997429121</v>
      </c>
      <c r="H7" s="50">
        <v>10825</v>
      </c>
      <c r="I7" s="50">
        <v>45922083</v>
      </c>
      <c r="J7" s="50">
        <v>17109</v>
      </c>
      <c r="K7" s="50">
        <v>0</v>
      </c>
      <c r="L7" s="48">
        <v>171098473685</v>
      </c>
      <c r="M7" s="50">
        <v>0</v>
      </c>
      <c r="N7" s="50">
        <v>2665</v>
      </c>
      <c r="O7" s="50">
        <v>8129569</v>
      </c>
      <c r="P7" s="50">
        <v>1392707</v>
      </c>
      <c r="Q7" s="50">
        <v>310048</v>
      </c>
      <c r="R7" s="50">
        <v>105308</v>
      </c>
      <c r="S7" s="50">
        <v>29206</v>
      </c>
      <c r="T7" s="50">
        <v>11288</v>
      </c>
      <c r="U7" s="50">
        <v>3630</v>
      </c>
      <c r="V7" s="50">
        <v>1594</v>
      </c>
      <c r="W7" s="50">
        <v>779</v>
      </c>
      <c r="X7" s="50">
        <v>545</v>
      </c>
      <c r="Y7" s="50">
        <v>622</v>
      </c>
      <c r="Z7" s="50">
        <v>569</v>
      </c>
      <c r="AA7" s="50">
        <v>523</v>
      </c>
      <c r="AB7" s="50">
        <v>390</v>
      </c>
      <c r="AC7" s="50">
        <v>267</v>
      </c>
      <c r="AD7" s="50">
        <v>206</v>
      </c>
      <c r="AE7" s="50">
        <v>154</v>
      </c>
      <c r="AF7" s="50">
        <v>152</v>
      </c>
      <c r="AG7" s="48">
        <v>89484647227583</v>
      </c>
      <c r="AH7" s="47">
        <v>0.68730592592592599</v>
      </c>
    </row>
    <row r="8" spans="1:35" ht="98" x14ac:dyDescent="0.2">
      <c r="A8" s="50" t="s">
        <v>62</v>
      </c>
      <c r="B8" s="50">
        <v>100000000</v>
      </c>
      <c r="C8" s="50" t="s">
        <v>264</v>
      </c>
      <c r="D8" s="47">
        <v>0.94319782407407404</v>
      </c>
      <c r="E8" s="48">
        <v>111593710917871</v>
      </c>
      <c r="F8" s="48">
        <v>20148316398747</v>
      </c>
      <c r="G8" s="48">
        <v>549944003390</v>
      </c>
      <c r="H8" s="50">
        <v>12646</v>
      </c>
      <c r="I8" s="50">
        <v>610526681</v>
      </c>
      <c r="J8" s="50">
        <v>201483</v>
      </c>
      <c r="K8" s="50">
        <v>0</v>
      </c>
      <c r="L8" s="48">
        <v>20148316398747</v>
      </c>
      <c r="M8" s="50">
        <v>0</v>
      </c>
      <c r="N8" s="50">
        <v>0</v>
      </c>
      <c r="O8" s="50">
        <v>24358</v>
      </c>
      <c r="P8" s="50">
        <v>11533</v>
      </c>
      <c r="Q8" s="50">
        <v>1510</v>
      </c>
      <c r="R8" s="50">
        <v>611</v>
      </c>
      <c r="S8" s="50">
        <v>204</v>
      </c>
      <c r="T8" s="50">
        <v>118</v>
      </c>
      <c r="U8" s="50">
        <v>48</v>
      </c>
      <c r="V8" s="50">
        <v>17</v>
      </c>
      <c r="W8" s="50">
        <v>108</v>
      </c>
      <c r="X8" s="50">
        <v>15526</v>
      </c>
      <c r="Y8" s="50">
        <v>100852</v>
      </c>
      <c r="Z8" s="50">
        <v>827972</v>
      </c>
      <c r="AA8" s="50">
        <v>3164865</v>
      </c>
      <c r="AB8" s="50">
        <v>7180724</v>
      </c>
      <c r="AC8" s="50">
        <v>21423655</v>
      </c>
      <c r="AD8" s="50">
        <v>12456216</v>
      </c>
      <c r="AE8" s="50">
        <v>4507655</v>
      </c>
      <c r="AF8" s="50">
        <v>3580162</v>
      </c>
      <c r="AG8" s="48">
        <v>132102231439866</v>
      </c>
      <c r="AH8" s="47">
        <v>0.180565</v>
      </c>
    </row>
    <row r="9" spans="1:35" ht="98" x14ac:dyDescent="0.2">
      <c r="A9" s="50" t="s">
        <v>62</v>
      </c>
      <c r="B9" s="50">
        <v>100000000</v>
      </c>
      <c r="C9" s="50" t="s">
        <v>265</v>
      </c>
      <c r="D9" s="47">
        <v>0.31937077546296294</v>
      </c>
      <c r="E9" s="48">
        <v>144095054206831</v>
      </c>
      <c r="F9" s="48">
        <v>20620646144182</v>
      </c>
      <c r="G9" s="48">
        <v>549944003390</v>
      </c>
      <c r="H9" s="50">
        <v>9813</v>
      </c>
      <c r="I9" s="50">
        <v>86711093</v>
      </c>
      <c r="J9" s="50">
        <v>206206</v>
      </c>
      <c r="K9" s="50">
        <v>0</v>
      </c>
      <c r="L9" s="48">
        <v>20620646144182</v>
      </c>
      <c r="M9" s="50">
        <v>0</v>
      </c>
      <c r="N9" s="50">
        <v>485</v>
      </c>
      <c r="O9" s="50">
        <v>155271</v>
      </c>
      <c r="P9" s="50">
        <v>317728</v>
      </c>
      <c r="Q9" s="50">
        <v>281333</v>
      </c>
      <c r="R9" s="50">
        <v>41228</v>
      </c>
      <c r="S9" s="50">
        <v>17565</v>
      </c>
      <c r="T9" s="50">
        <v>10000</v>
      </c>
      <c r="U9" s="50">
        <v>7601</v>
      </c>
      <c r="V9" s="50">
        <v>3199</v>
      </c>
      <c r="W9" s="50">
        <v>4105</v>
      </c>
      <c r="X9" s="50">
        <v>71154</v>
      </c>
      <c r="Y9" s="50">
        <v>692628</v>
      </c>
      <c r="Z9" s="50">
        <v>2879241</v>
      </c>
      <c r="AA9" s="50">
        <v>8654376</v>
      </c>
      <c r="AB9" s="50">
        <v>16724402</v>
      </c>
      <c r="AC9" s="50">
        <v>8115594</v>
      </c>
      <c r="AD9" s="50">
        <v>4412250</v>
      </c>
      <c r="AE9" s="50">
        <v>4722447</v>
      </c>
      <c r="AF9" s="50">
        <v>9455322</v>
      </c>
      <c r="AG9" s="48">
        <v>165062537543291</v>
      </c>
      <c r="AH9" s="47">
        <v>0.56205002314814811</v>
      </c>
    </row>
    <row r="10" spans="1:35" ht="98" x14ac:dyDescent="0.2">
      <c r="A10" s="50" t="s">
        <v>62</v>
      </c>
      <c r="B10" s="118">
        <v>1000000000</v>
      </c>
      <c r="C10" s="50" t="s">
        <v>264</v>
      </c>
      <c r="D10" s="47">
        <v>0.90736483796296297</v>
      </c>
      <c r="E10" s="48">
        <v>550715729109950</v>
      </c>
      <c r="F10" s="48">
        <v>126236932692889</v>
      </c>
      <c r="G10" s="48">
        <v>5499406575568</v>
      </c>
      <c r="H10" s="50">
        <v>56628</v>
      </c>
      <c r="I10" s="50">
        <v>807810619</v>
      </c>
      <c r="J10" s="50">
        <v>126236</v>
      </c>
      <c r="K10" s="50">
        <v>0</v>
      </c>
      <c r="L10" s="48">
        <v>126236932692889</v>
      </c>
      <c r="M10" s="50">
        <v>0</v>
      </c>
      <c r="N10" s="50">
        <v>0</v>
      </c>
      <c r="O10" s="50">
        <v>0</v>
      </c>
      <c r="P10" s="50">
        <v>0</v>
      </c>
      <c r="Q10" s="50">
        <v>0</v>
      </c>
      <c r="R10" s="50">
        <v>0</v>
      </c>
      <c r="S10" s="50">
        <v>0</v>
      </c>
      <c r="T10" s="50">
        <v>0</v>
      </c>
      <c r="U10" s="50">
        <v>0</v>
      </c>
      <c r="V10" s="50">
        <v>3691</v>
      </c>
      <c r="W10" s="50">
        <v>8637695</v>
      </c>
      <c r="X10" s="50">
        <v>13724280</v>
      </c>
      <c r="Y10" s="50">
        <v>131702581</v>
      </c>
      <c r="Z10" s="50">
        <v>143990621</v>
      </c>
      <c r="AA10" s="50">
        <v>215826045</v>
      </c>
      <c r="AB10" s="50">
        <v>107991690</v>
      </c>
      <c r="AC10" s="50">
        <v>30308493</v>
      </c>
      <c r="AD10" s="50">
        <v>15993939</v>
      </c>
      <c r="AE10" s="50">
        <v>14245431</v>
      </c>
      <c r="AF10" s="50">
        <v>30951816</v>
      </c>
      <c r="AG10" s="48">
        <v>699491454187400</v>
      </c>
      <c r="AH10" s="47">
        <v>0.62930614583333333</v>
      </c>
      <c r="AI10" s="47"/>
    </row>
    <row r="11" spans="1:35" x14ac:dyDescent="0.2">
      <c r="AG11" s="48"/>
      <c r="AH11" s="47"/>
    </row>
    <row r="12" spans="1:35" x14ac:dyDescent="0.2">
      <c r="AG12" s="54"/>
      <c r="AH12" s="5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6C9D-A19A-4547-A189-163004FEB57C}">
  <dimension ref="A1:CF10"/>
  <sheetViews>
    <sheetView zoomScaleNormal="100" workbookViewId="0">
      <selection activeCell="AM3" sqref="AM3"/>
    </sheetView>
  </sheetViews>
  <sheetFormatPr baseColWidth="10" defaultRowHeight="16" x14ac:dyDescent="0.2"/>
  <cols>
    <col min="1" max="84" width="3.6640625" bestFit="1" customWidth="1"/>
  </cols>
  <sheetData>
    <row r="1" spans="1:84" s="46" customFormat="1" ht="17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26</v>
      </c>
      <c r="AO1" s="20" t="s">
        <v>27</v>
      </c>
      <c r="AP1" s="20" t="s">
        <v>28</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row>
    <row r="2" spans="1:84" s="50" customFormat="1" ht="98" x14ac:dyDescent="0.2">
      <c r="A2" s="50" t="s">
        <v>69</v>
      </c>
      <c r="B2" s="47">
        <v>0.59586245370370372</v>
      </c>
      <c r="C2" s="48">
        <v>167983935561351</v>
      </c>
      <c r="D2" s="50">
        <v>500</v>
      </c>
      <c r="E2" s="50">
        <v>20000</v>
      </c>
      <c r="F2" s="50">
        <v>10000000</v>
      </c>
      <c r="G2" s="50">
        <v>1</v>
      </c>
      <c r="H2" s="50">
        <v>39</v>
      </c>
      <c r="I2" s="50">
        <v>2326</v>
      </c>
      <c r="J2" s="50">
        <v>59639</v>
      </c>
      <c r="K2" s="50">
        <v>606858</v>
      </c>
      <c r="L2" s="50">
        <v>2415419</v>
      </c>
      <c r="M2" s="50">
        <v>3833682</v>
      </c>
      <c r="N2" s="50">
        <v>2414922</v>
      </c>
      <c r="O2" s="50">
        <v>605293</v>
      </c>
      <c r="P2" s="50">
        <v>59524</v>
      </c>
      <c r="Q2" s="50">
        <v>2267</v>
      </c>
      <c r="R2" s="50">
        <v>0</v>
      </c>
      <c r="S2" s="50">
        <v>0</v>
      </c>
      <c r="T2" s="50">
        <v>1010</v>
      </c>
      <c r="U2" s="50">
        <v>5620647</v>
      </c>
      <c r="V2" s="50">
        <v>3878101</v>
      </c>
      <c r="W2" s="50">
        <v>218641</v>
      </c>
      <c r="X2" s="50">
        <v>103873</v>
      </c>
      <c r="Y2" s="50">
        <v>64497</v>
      </c>
      <c r="Z2" s="50">
        <v>38336</v>
      </c>
      <c r="AA2" s="50">
        <v>15260</v>
      </c>
      <c r="AB2" s="50">
        <v>7228</v>
      </c>
      <c r="AC2" s="50">
        <v>3902</v>
      </c>
      <c r="AD2" s="50">
        <v>1664</v>
      </c>
      <c r="AE2" s="50">
        <v>631</v>
      </c>
      <c r="AF2" s="50">
        <v>284</v>
      </c>
      <c r="AG2" s="50">
        <v>131</v>
      </c>
      <c r="AH2" s="50">
        <v>90</v>
      </c>
      <c r="AI2" s="50">
        <v>81</v>
      </c>
      <c r="AJ2" s="50">
        <v>44</v>
      </c>
      <c r="AK2" s="50">
        <v>31</v>
      </c>
      <c r="AL2" s="50">
        <v>53344224</v>
      </c>
      <c r="AM2" s="48">
        <v>1455504083113</v>
      </c>
      <c r="AN2" s="50">
        <v>68792</v>
      </c>
      <c r="AO2" s="50">
        <v>470560439</v>
      </c>
      <c r="AP2" s="50">
        <v>145550</v>
      </c>
      <c r="AQ2" s="50">
        <v>54991632226</v>
      </c>
      <c r="AR2" s="50">
        <v>5499</v>
      </c>
      <c r="AS2" s="50">
        <v>37.781844999999997</v>
      </c>
      <c r="AT2" s="50">
        <v>35.91319</v>
      </c>
      <c r="AU2" s="50">
        <v>40.700436000000003</v>
      </c>
      <c r="AV2" s="50">
        <v>38.073616000000001</v>
      </c>
      <c r="AW2" s="50">
        <v>40.213017000000001</v>
      </c>
      <c r="AX2" s="50">
        <v>36.868651999999997</v>
      </c>
      <c r="AY2" s="50">
        <v>37.630245000000002</v>
      </c>
      <c r="AZ2" s="50">
        <v>34.791218000000001</v>
      </c>
      <c r="BA2" s="50">
        <v>35.048319999999997</v>
      </c>
      <c r="BB2" s="50">
        <v>39.038654000000001</v>
      </c>
      <c r="BC2" s="50">
        <v>41.883614000000001</v>
      </c>
      <c r="BD2" s="50">
        <v>39.544795999999998</v>
      </c>
      <c r="BE2" s="50">
        <v>40.909633999999997</v>
      </c>
      <c r="BF2" s="50">
        <v>39.301929999999999</v>
      </c>
      <c r="BG2" s="50">
        <v>41.012782999999999</v>
      </c>
      <c r="BH2" s="50">
        <v>36.602997000000002</v>
      </c>
      <c r="BI2" s="50">
        <v>35.549050000000001</v>
      </c>
      <c r="BJ2" s="50">
        <v>31.685438000000001</v>
      </c>
      <c r="BK2" s="50">
        <v>37.871299999999998</v>
      </c>
      <c r="BL2" s="50">
        <v>35.317352</v>
      </c>
      <c r="BM2" s="50">
        <v>37.682960000000001</v>
      </c>
      <c r="BN2" s="48">
        <v>3665926332416</v>
      </c>
      <c r="BO2" s="48">
        <v>3465777897472</v>
      </c>
      <c r="BP2" s="48">
        <v>3386668740608</v>
      </c>
      <c r="BQ2" s="48">
        <v>3665834024960</v>
      </c>
      <c r="BR2" s="48">
        <v>3586724868096</v>
      </c>
      <c r="BS2" s="48">
        <v>169471590983333</v>
      </c>
      <c r="BT2" s="47">
        <v>0.61308072916666667</v>
      </c>
      <c r="BU2" s="50">
        <v>1302364160</v>
      </c>
      <c r="BV2" s="50">
        <v>10000512</v>
      </c>
      <c r="BW2" s="50">
        <v>1292363648</v>
      </c>
      <c r="BX2" s="51">
        <v>0.01</v>
      </c>
      <c r="BY2" s="50">
        <v>3580006184</v>
      </c>
      <c r="BZ2" s="50">
        <v>77345180</v>
      </c>
      <c r="CA2" s="50">
        <v>3307293692</v>
      </c>
      <c r="CB2" s="51">
        <v>0.03</v>
      </c>
      <c r="CC2" s="50" t="s">
        <v>257</v>
      </c>
      <c r="CD2" s="50" t="s">
        <v>72</v>
      </c>
      <c r="CE2" s="50" t="s">
        <v>258</v>
      </c>
      <c r="CF2" s="51">
        <v>0.03</v>
      </c>
    </row>
    <row r="3" spans="1:84" s="50" customFormat="1" ht="98" x14ac:dyDescent="0.2">
      <c r="A3" s="50" t="s">
        <v>69</v>
      </c>
      <c r="B3" s="47">
        <v>0.65543012731481476</v>
      </c>
      <c r="C3" s="48">
        <v>173130582502860</v>
      </c>
      <c r="D3" s="50">
        <v>1000</v>
      </c>
      <c r="E3" s="50">
        <v>100000</v>
      </c>
      <c r="F3" s="50">
        <v>100000000</v>
      </c>
      <c r="G3" s="50">
        <v>1</v>
      </c>
      <c r="H3" s="50">
        <v>334</v>
      </c>
      <c r="I3" s="50">
        <v>22921</v>
      </c>
      <c r="J3" s="50">
        <v>598633</v>
      </c>
      <c r="K3" s="50">
        <v>6062379</v>
      </c>
      <c r="L3" s="50">
        <v>24181653</v>
      </c>
      <c r="M3" s="50">
        <v>38282347</v>
      </c>
      <c r="N3" s="50">
        <v>24169224</v>
      </c>
      <c r="O3" s="50">
        <v>6061047</v>
      </c>
      <c r="P3" s="50">
        <v>597990</v>
      </c>
      <c r="Q3" s="50">
        <v>23151</v>
      </c>
      <c r="R3" s="50">
        <v>0</v>
      </c>
      <c r="S3" s="50">
        <v>0</v>
      </c>
      <c r="T3" s="50">
        <v>4654670</v>
      </c>
      <c r="U3" s="50">
        <v>56410596</v>
      </c>
      <c r="V3" s="50">
        <v>34917501</v>
      </c>
      <c r="W3" s="50">
        <v>1777402</v>
      </c>
      <c r="X3" s="50">
        <v>823726</v>
      </c>
      <c r="Y3" s="50">
        <v>474070</v>
      </c>
      <c r="Z3" s="50">
        <v>340726</v>
      </c>
      <c r="AA3" s="50">
        <v>102859</v>
      </c>
      <c r="AB3" s="50">
        <v>28650</v>
      </c>
      <c r="AC3" s="50">
        <v>12196</v>
      </c>
      <c r="AD3" s="50">
        <v>8818</v>
      </c>
      <c r="AE3" s="50">
        <v>4006</v>
      </c>
      <c r="AF3" s="50">
        <v>1509</v>
      </c>
      <c r="AG3" s="50">
        <v>573</v>
      </c>
      <c r="AH3" s="50">
        <v>226</v>
      </c>
      <c r="AI3" s="50">
        <v>117</v>
      </c>
      <c r="AJ3" s="50">
        <v>57</v>
      </c>
      <c r="AK3" s="50">
        <v>51</v>
      </c>
      <c r="AL3" s="50">
        <v>152037204</v>
      </c>
      <c r="AM3" s="48">
        <v>14161128896088</v>
      </c>
      <c r="AN3" s="50">
        <v>56141</v>
      </c>
      <c r="AO3" s="50">
        <v>490761886</v>
      </c>
      <c r="AP3" s="50">
        <v>141611</v>
      </c>
      <c r="AQ3" s="50">
        <v>549936047508</v>
      </c>
      <c r="AR3" s="50">
        <v>5499</v>
      </c>
      <c r="AS3" s="50">
        <v>38.834193999999997</v>
      </c>
      <c r="AT3" s="50">
        <v>36.109139999999996</v>
      </c>
      <c r="AU3" s="50">
        <v>36.839157</v>
      </c>
      <c r="AV3" s="50">
        <v>35.926789999999997</v>
      </c>
      <c r="AW3" s="50">
        <v>37.097459999999998</v>
      </c>
      <c r="AX3" s="50">
        <v>39.002505999999997</v>
      </c>
      <c r="AY3" s="50">
        <v>39.592599999999997</v>
      </c>
      <c r="AZ3" s="50">
        <v>38.254240000000003</v>
      </c>
      <c r="BA3" s="50">
        <v>38.830418000000002</v>
      </c>
      <c r="BB3" s="50">
        <v>37.802334000000002</v>
      </c>
      <c r="BC3" s="50">
        <v>42.551067000000003</v>
      </c>
      <c r="BD3" s="50">
        <v>39.075090000000003</v>
      </c>
      <c r="BE3" s="50">
        <v>42.328560000000003</v>
      </c>
      <c r="BF3" s="50">
        <v>44.516719999999999</v>
      </c>
      <c r="BG3" s="50">
        <v>40.696423000000003</v>
      </c>
      <c r="BH3" s="50">
        <v>42.038853000000003</v>
      </c>
      <c r="BI3" s="50">
        <v>43.141747000000002</v>
      </c>
      <c r="BJ3" s="50">
        <v>37.4754</v>
      </c>
      <c r="BK3" s="50">
        <v>38.162394999999997</v>
      </c>
      <c r="BL3" s="50">
        <v>39.658065999999998</v>
      </c>
      <c r="BM3" s="50">
        <v>38.040264000000001</v>
      </c>
      <c r="BN3" s="48">
        <v>3665926332416</v>
      </c>
      <c r="BO3" s="48">
        <v>3465777897472</v>
      </c>
      <c r="BP3" s="48">
        <v>2674452516864</v>
      </c>
      <c r="BQ3" s="48">
        <v>3665834024960</v>
      </c>
      <c r="BR3" s="48">
        <v>2874508644352</v>
      </c>
      <c r="BS3" s="48">
        <v>187626995613661</v>
      </c>
      <c r="BT3" s="47">
        <v>0.82321273148148144</v>
      </c>
      <c r="BU3" s="50">
        <v>1302364160</v>
      </c>
      <c r="BV3" s="50">
        <v>100001012</v>
      </c>
      <c r="BW3" s="50">
        <v>1202363148</v>
      </c>
      <c r="BX3" s="51">
        <v>0.08</v>
      </c>
      <c r="BY3" s="50">
        <v>3580006184</v>
      </c>
      <c r="BZ3" s="50">
        <v>772868836</v>
      </c>
      <c r="CA3" s="50">
        <v>2611770036</v>
      </c>
      <c r="CB3" s="51">
        <v>0.23</v>
      </c>
      <c r="CC3" s="50" t="s">
        <v>257</v>
      </c>
      <c r="CD3" s="50" t="s">
        <v>71</v>
      </c>
      <c r="CE3" s="50" t="s">
        <v>259</v>
      </c>
      <c r="CF3" s="51">
        <v>0.23</v>
      </c>
    </row>
    <row r="8" spans="1:84" ht="88" x14ac:dyDescent="0.2">
      <c r="BP8" s="49">
        <f>BO2-BP2</f>
        <v>79109156864</v>
      </c>
      <c r="BR8" s="48">
        <f>BQ2-BR2</f>
        <v>79109156864</v>
      </c>
      <c r="BS8" s="48">
        <f>BS2-C2</f>
        <v>1487655421982</v>
      </c>
      <c r="BT8" s="47">
        <f>BT2-B2</f>
        <v>1.7218275462962951E-2</v>
      </c>
    </row>
    <row r="9" spans="1:84" ht="94" x14ac:dyDescent="0.2">
      <c r="BP9" s="49">
        <f>BO3-BP3</f>
        <v>791325380608</v>
      </c>
      <c r="BR9" s="48">
        <f>BQ3-BR3</f>
        <v>791325380608</v>
      </c>
      <c r="BS9" s="48">
        <f>BS3-C3</f>
        <v>14496413110801</v>
      </c>
      <c r="BT9" s="47">
        <f>BT3-B3</f>
        <v>0.16778260416666668</v>
      </c>
    </row>
    <row r="10" spans="1:84" ht="122" x14ac:dyDescent="0.2">
      <c r="BP10" s="20" t="s">
        <v>260</v>
      </c>
      <c r="BR10" s="20" t="s">
        <v>261</v>
      </c>
      <c r="BS10" s="20" t="s">
        <v>268</v>
      </c>
      <c r="BT10" s="20" t="s">
        <v>262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D423-FB09-D64E-A80A-D7D670F6E667}">
  <dimension ref="A1:AJ7"/>
  <sheetViews>
    <sheetView zoomScaleNormal="100" workbookViewId="0">
      <selection activeCell="X57" sqref="X57"/>
    </sheetView>
  </sheetViews>
  <sheetFormatPr baseColWidth="10" defaultRowHeight="16" x14ac:dyDescent="0.2"/>
  <cols>
    <col min="1" max="1" width="5.1640625" bestFit="1" customWidth="1"/>
    <col min="2" max="3" width="4.83203125" bestFit="1" customWidth="1"/>
    <col min="4" max="4" width="11.6640625" bestFit="1" customWidth="1"/>
    <col min="5" max="5" width="19.83203125" bestFit="1" customWidth="1"/>
    <col min="6" max="6" width="16.83203125" bestFit="1" customWidth="1"/>
    <col min="7" max="7" width="12.1640625" bestFit="1" customWidth="1"/>
    <col min="8" max="8" width="6.1640625" bestFit="1" customWidth="1"/>
    <col min="9" max="9" width="10.1640625" bestFit="1" customWidth="1"/>
    <col min="10" max="10" width="7.1640625" bestFit="1" customWidth="1"/>
    <col min="11" max="11" width="2.1640625" bestFit="1" customWidth="1"/>
    <col min="12" max="12" width="16.83203125" bestFit="1" customWidth="1"/>
    <col min="13" max="13" width="2.1640625" bestFit="1" customWidth="1"/>
    <col min="14" max="14" width="3.1640625" bestFit="1" customWidth="1"/>
    <col min="15" max="15" width="7.1640625" bestFit="1" customWidth="1"/>
    <col min="16" max="16" width="8.1640625" bestFit="1" customWidth="1"/>
    <col min="17" max="17" width="7.1640625" bestFit="1" customWidth="1"/>
    <col min="18" max="19" width="6.1640625" bestFit="1" customWidth="1"/>
    <col min="20" max="21" width="5.1640625" bestFit="1" customWidth="1"/>
    <col min="22" max="23" width="6.1640625" bestFit="1" customWidth="1"/>
    <col min="24" max="24" width="7.1640625" bestFit="1" customWidth="1"/>
    <col min="25" max="26" width="8.1640625" bestFit="1" customWidth="1"/>
    <col min="27" max="29" width="7.1640625" bestFit="1" customWidth="1"/>
    <col min="30" max="32" width="8.1640625" bestFit="1" customWidth="1"/>
    <col min="33" max="33" width="19.83203125" bestFit="1" customWidth="1"/>
    <col min="34" max="34" width="11.6640625" bestFit="1" customWidth="1"/>
    <col min="35" max="35" width="8.5" bestFit="1" customWidth="1"/>
    <col min="36" max="36" width="16.33203125" bestFit="1" customWidth="1"/>
  </cols>
  <sheetData>
    <row r="1" spans="1:36" ht="161" x14ac:dyDescent="0.2">
      <c r="A1" s="52" t="s">
        <v>38</v>
      </c>
      <c r="B1" s="52" t="s">
        <v>2</v>
      </c>
      <c r="C1" s="52" t="s">
        <v>267</v>
      </c>
      <c r="D1" s="52" t="s">
        <v>223</v>
      </c>
      <c r="E1" s="52" t="s">
        <v>224</v>
      </c>
      <c r="F1" s="52" t="s">
        <v>225</v>
      </c>
      <c r="G1" s="52" t="s">
        <v>226</v>
      </c>
      <c r="H1" s="52" t="s">
        <v>227</v>
      </c>
      <c r="I1" s="52" t="s">
        <v>228</v>
      </c>
      <c r="J1" s="52" t="s">
        <v>229</v>
      </c>
      <c r="K1" s="52" t="s">
        <v>230</v>
      </c>
      <c r="L1" s="52" t="s">
        <v>231</v>
      </c>
      <c r="M1" s="56" t="s">
        <v>232</v>
      </c>
      <c r="N1" s="56" t="s">
        <v>233</v>
      </c>
      <c r="O1" s="56" t="s">
        <v>234</v>
      </c>
      <c r="P1" s="56" t="s">
        <v>235</v>
      </c>
      <c r="Q1" s="56" t="s">
        <v>236</v>
      </c>
      <c r="R1" s="56" t="s">
        <v>237</v>
      </c>
      <c r="S1" s="56" t="s">
        <v>238</v>
      </c>
      <c r="T1" s="56" t="s">
        <v>239</v>
      </c>
      <c r="U1" s="56" t="s">
        <v>240</v>
      </c>
      <c r="V1" s="56" t="s">
        <v>241</v>
      </c>
      <c r="W1" s="56" t="s">
        <v>242</v>
      </c>
      <c r="X1" s="56" t="s">
        <v>243</v>
      </c>
      <c r="Y1" s="56" t="s">
        <v>244</v>
      </c>
      <c r="Z1" s="56" t="s">
        <v>245</v>
      </c>
      <c r="AA1" s="56" t="s">
        <v>246</v>
      </c>
      <c r="AB1" s="56" t="s">
        <v>247</v>
      </c>
      <c r="AC1" s="56" t="s">
        <v>248</v>
      </c>
      <c r="AD1" s="56" t="s">
        <v>249</v>
      </c>
      <c r="AE1" s="56" t="s">
        <v>250</v>
      </c>
      <c r="AF1" s="56" t="s">
        <v>251</v>
      </c>
      <c r="AG1" s="52" t="s">
        <v>253</v>
      </c>
      <c r="AH1" s="52" t="s">
        <v>252</v>
      </c>
    </row>
    <row r="2" spans="1:36" ht="98" x14ac:dyDescent="0.2">
      <c r="A2" s="50" t="s">
        <v>69</v>
      </c>
      <c r="B2" s="50" t="s">
        <v>263</v>
      </c>
      <c r="C2" s="50" t="s">
        <v>264</v>
      </c>
      <c r="D2" s="47">
        <v>0.61582730324074075</v>
      </c>
      <c r="E2" s="48">
        <v>169708897785515</v>
      </c>
      <c r="F2" s="48">
        <v>209977500894</v>
      </c>
      <c r="G2" s="48">
        <v>54991632226</v>
      </c>
      <c r="H2" s="48">
        <v>13460</v>
      </c>
      <c r="I2" s="48">
        <v>265633484</v>
      </c>
      <c r="J2" s="48">
        <v>20997</v>
      </c>
      <c r="K2" s="48">
        <v>0</v>
      </c>
      <c r="L2" s="48">
        <v>209977500894</v>
      </c>
      <c r="M2" s="50">
        <v>0</v>
      </c>
      <c r="N2" s="50">
        <v>0</v>
      </c>
      <c r="O2" s="50">
        <v>1888641</v>
      </c>
      <c r="P2" s="50">
        <v>7121598</v>
      </c>
      <c r="Q2" s="50">
        <v>606362</v>
      </c>
      <c r="R2" s="50">
        <v>215008</v>
      </c>
      <c r="S2" s="50">
        <v>101429</v>
      </c>
      <c r="T2" s="50">
        <v>30033</v>
      </c>
      <c r="U2" s="50">
        <v>12268</v>
      </c>
      <c r="V2" s="50">
        <v>3863</v>
      </c>
      <c r="W2" s="50">
        <v>1700</v>
      </c>
      <c r="X2" s="50">
        <v>944</v>
      </c>
      <c r="Y2" s="50">
        <v>804</v>
      </c>
      <c r="Z2" s="50">
        <v>867</v>
      </c>
      <c r="AA2" s="50">
        <v>857</v>
      </c>
      <c r="AB2" s="50">
        <v>775</v>
      </c>
      <c r="AC2" s="50">
        <v>604</v>
      </c>
      <c r="AD2" s="50">
        <v>451</v>
      </c>
      <c r="AE2" s="50">
        <v>330</v>
      </c>
      <c r="AF2" s="50">
        <v>315</v>
      </c>
      <c r="AG2" s="48">
        <v>169934895293675</v>
      </c>
      <c r="AH2" s="47">
        <v>0.61844305555555557</v>
      </c>
    </row>
    <row r="3" spans="1:36" ht="98" x14ac:dyDescent="0.2">
      <c r="A3" s="50" t="s">
        <v>69</v>
      </c>
      <c r="B3" s="50" t="s">
        <v>263</v>
      </c>
      <c r="C3" s="50" t="s">
        <v>265</v>
      </c>
      <c r="D3" s="47">
        <v>0.62110711805555552</v>
      </c>
      <c r="E3" s="48">
        <v>170165074294861</v>
      </c>
      <c r="F3" s="48">
        <v>178429957987</v>
      </c>
      <c r="G3" s="48">
        <v>54991632226</v>
      </c>
      <c r="H3" s="48">
        <v>10545</v>
      </c>
      <c r="I3" s="48">
        <v>48198694</v>
      </c>
      <c r="J3" s="48">
        <v>17842</v>
      </c>
      <c r="K3" s="48">
        <v>0</v>
      </c>
      <c r="L3" s="48">
        <v>178429957987</v>
      </c>
      <c r="M3" s="50">
        <v>0</v>
      </c>
      <c r="N3" s="50">
        <v>4186</v>
      </c>
      <c r="O3" s="50">
        <v>6791404</v>
      </c>
      <c r="P3" s="50">
        <v>2665379</v>
      </c>
      <c r="Q3" s="50">
        <v>332201</v>
      </c>
      <c r="R3" s="50">
        <v>123928</v>
      </c>
      <c r="S3" s="50">
        <v>45637</v>
      </c>
      <c r="T3" s="50">
        <v>15056</v>
      </c>
      <c r="U3" s="50">
        <v>5090</v>
      </c>
      <c r="V3" s="50">
        <v>1851</v>
      </c>
      <c r="W3" s="50">
        <v>953</v>
      </c>
      <c r="X3" s="50">
        <v>778</v>
      </c>
      <c r="Y3" s="50">
        <v>611</v>
      </c>
      <c r="Z3" s="50">
        <v>652</v>
      </c>
      <c r="AA3" s="50">
        <v>597</v>
      </c>
      <c r="AB3" s="50">
        <v>446</v>
      </c>
      <c r="AC3" s="50">
        <v>314</v>
      </c>
      <c r="AD3" s="50">
        <v>255</v>
      </c>
      <c r="AE3" s="50">
        <v>188</v>
      </c>
      <c r="AF3" s="50">
        <v>156</v>
      </c>
      <c r="AG3" s="48">
        <v>170360005528793</v>
      </c>
      <c r="AH3" s="47">
        <v>0.6233633101851852</v>
      </c>
    </row>
    <row r="4" spans="1:36" ht="91" x14ac:dyDescent="0.2">
      <c r="A4" s="50" t="s">
        <v>69</v>
      </c>
      <c r="B4" s="50" t="s">
        <v>266</v>
      </c>
      <c r="C4" s="50" t="s">
        <v>264</v>
      </c>
      <c r="D4" s="47">
        <v>0.90354960648148142</v>
      </c>
      <c r="E4" s="48">
        <v>86301061886834</v>
      </c>
      <c r="F4" s="48">
        <v>10735836156648</v>
      </c>
      <c r="G4" s="48">
        <v>549936047508</v>
      </c>
      <c r="H4" s="48">
        <v>11680</v>
      </c>
      <c r="I4" s="48">
        <v>281672268</v>
      </c>
      <c r="J4" s="48">
        <v>107358</v>
      </c>
      <c r="K4" s="48">
        <v>0</v>
      </c>
      <c r="L4" s="48">
        <v>10735836156648</v>
      </c>
      <c r="M4" s="50">
        <v>0</v>
      </c>
      <c r="N4" s="50">
        <v>4</v>
      </c>
      <c r="O4" s="50">
        <v>136409</v>
      </c>
      <c r="P4" s="50">
        <v>401414</v>
      </c>
      <c r="Q4" s="50">
        <v>133214</v>
      </c>
      <c r="R4" s="50">
        <v>46338</v>
      </c>
      <c r="S4" s="50">
        <v>24782</v>
      </c>
      <c r="T4" s="50">
        <v>10993</v>
      </c>
      <c r="U4" s="50">
        <v>3550</v>
      </c>
      <c r="V4" s="50">
        <v>46294</v>
      </c>
      <c r="W4" s="50">
        <v>431194</v>
      </c>
      <c r="X4" s="50">
        <v>2760088</v>
      </c>
      <c r="Y4" s="50">
        <v>7946280</v>
      </c>
      <c r="Z4" s="50">
        <v>19476286</v>
      </c>
      <c r="AA4" s="50">
        <v>22530490</v>
      </c>
      <c r="AB4" s="50">
        <v>9638744</v>
      </c>
      <c r="AC4" s="50">
        <v>4327306</v>
      </c>
      <c r="AD4" s="50">
        <v>3864343</v>
      </c>
      <c r="AE4" s="50">
        <v>4714239</v>
      </c>
      <c r="AF4" s="50">
        <v>3751564</v>
      </c>
      <c r="AG4" s="48">
        <v>99249064939199</v>
      </c>
      <c r="AH4" s="47">
        <v>5.3410798611111109E-2</v>
      </c>
      <c r="AJ4" s="55" t="s">
        <v>272</v>
      </c>
    </row>
    <row r="5" spans="1:36" ht="91" x14ac:dyDescent="0.2">
      <c r="A5" s="50" t="s">
        <v>69</v>
      </c>
      <c r="B5" s="50" t="s">
        <v>266</v>
      </c>
      <c r="C5" s="50" t="s">
        <v>265</v>
      </c>
      <c r="D5" s="47">
        <v>0.21145505787037036</v>
      </c>
      <c r="E5" s="48">
        <v>71787094916614</v>
      </c>
      <c r="F5" s="48">
        <v>10822606873047</v>
      </c>
      <c r="G5" s="48">
        <v>549959488993</v>
      </c>
      <c r="H5" s="48">
        <v>11792</v>
      </c>
      <c r="I5" s="48">
        <v>404092419</v>
      </c>
      <c r="J5" s="48">
        <v>108226</v>
      </c>
      <c r="K5" s="48">
        <v>0</v>
      </c>
      <c r="L5" s="48">
        <v>10822606873047</v>
      </c>
      <c r="M5" s="50">
        <v>0</v>
      </c>
      <c r="N5" s="50">
        <v>2</v>
      </c>
      <c r="O5" s="50">
        <v>22607</v>
      </c>
      <c r="P5" s="50">
        <v>35452</v>
      </c>
      <c r="Q5" s="50">
        <v>22807</v>
      </c>
      <c r="R5" s="50">
        <v>8334</v>
      </c>
      <c r="S5" s="50">
        <v>1882</v>
      </c>
      <c r="T5" s="50">
        <v>585</v>
      </c>
      <c r="U5" s="50">
        <v>354</v>
      </c>
      <c r="V5" s="50">
        <v>17112</v>
      </c>
      <c r="W5" s="50">
        <v>536025</v>
      </c>
      <c r="X5" s="50">
        <v>4533562</v>
      </c>
      <c r="Y5" s="50">
        <v>7188526</v>
      </c>
      <c r="Z5" s="50">
        <v>27055557</v>
      </c>
      <c r="AA5" s="50">
        <v>17434939</v>
      </c>
      <c r="AB5" s="50">
        <v>5521198</v>
      </c>
      <c r="AC5" s="50">
        <v>3278218</v>
      </c>
      <c r="AD5" s="50">
        <v>3444307</v>
      </c>
      <c r="AE5" s="50">
        <v>4912674</v>
      </c>
      <c r="AF5" s="50">
        <v>3534474</v>
      </c>
      <c r="AG5" s="48">
        <v>84867628739455</v>
      </c>
      <c r="AH5" s="47">
        <v>0.36285016203703702</v>
      </c>
      <c r="AJ5" s="55"/>
    </row>
    <row r="6" spans="1:36" x14ac:dyDescent="0.2">
      <c r="A6" s="91" t="s">
        <v>69</v>
      </c>
      <c r="B6" s="91" t="s">
        <v>263</v>
      </c>
      <c r="C6" s="91" t="s">
        <v>265</v>
      </c>
      <c r="D6" s="178">
        <v>0.35963494212962965</v>
      </c>
      <c r="E6" s="179">
        <v>1108191865419750</v>
      </c>
      <c r="F6" s="179">
        <v>3195754333849</v>
      </c>
      <c r="G6" s="91">
        <v>54995610996</v>
      </c>
      <c r="H6" s="91">
        <v>11000</v>
      </c>
      <c r="I6" s="91">
        <v>281308071</v>
      </c>
      <c r="J6" s="91">
        <v>319575</v>
      </c>
      <c r="K6" s="91">
        <v>0</v>
      </c>
      <c r="L6" s="179">
        <v>3195754333849</v>
      </c>
      <c r="M6" s="91">
        <v>0</v>
      </c>
      <c r="N6" s="91">
        <v>98</v>
      </c>
      <c r="O6" s="91">
        <v>227222</v>
      </c>
      <c r="P6" s="91">
        <v>358081</v>
      </c>
      <c r="Q6" s="91">
        <v>57552</v>
      </c>
      <c r="R6" s="91">
        <v>10278</v>
      </c>
      <c r="S6" s="91">
        <v>5115</v>
      </c>
      <c r="T6" s="91">
        <v>1847</v>
      </c>
      <c r="U6" s="91">
        <v>695</v>
      </c>
      <c r="V6" s="91">
        <v>286</v>
      </c>
      <c r="W6" s="91">
        <v>108</v>
      </c>
      <c r="X6" s="91">
        <v>56</v>
      </c>
      <c r="Y6" s="91">
        <v>27</v>
      </c>
      <c r="Z6" s="91">
        <v>58</v>
      </c>
      <c r="AA6" s="91">
        <v>42768</v>
      </c>
      <c r="AB6" s="91">
        <v>93715</v>
      </c>
      <c r="AC6" s="91">
        <v>897022</v>
      </c>
      <c r="AD6" s="91">
        <v>1327754</v>
      </c>
      <c r="AE6" s="91">
        <v>2829399</v>
      </c>
      <c r="AF6" s="91">
        <v>1197836</v>
      </c>
      <c r="AG6" s="179">
        <v>1111606554050670</v>
      </c>
      <c r="AH6" s="178">
        <v>0.39915684027777781</v>
      </c>
      <c r="AI6" s="91" t="s">
        <v>292</v>
      </c>
    </row>
    <row r="7" spans="1:36" x14ac:dyDescent="0.2">
      <c r="A7" s="91" t="s">
        <v>69</v>
      </c>
      <c r="B7" s="91" t="s">
        <v>263</v>
      </c>
      <c r="C7" s="91" t="s">
        <v>264</v>
      </c>
      <c r="D7" s="178">
        <v>0.40204515046296296</v>
      </c>
      <c r="E7" s="179">
        <v>1111856108465630</v>
      </c>
      <c r="F7" s="179">
        <v>921161548255</v>
      </c>
      <c r="G7" s="91">
        <v>54995610996</v>
      </c>
      <c r="H7" s="91">
        <v>11559</v>
      </c>
      <c r="I7" s="91">
        <v>278769715</v>
      </c>
      <c r="J7" s="91">
        <v>92116</v>
      </c>
      <c r="K7" s="91">
        <v>0</v>
      </c>
      <c r="L7" s="179">
        <v>921161548255</v>
      </c>
      <c r="M7" s="91">
        <v>0</v>
      </c>
      <c r="N7" s="91">
        <v>14</v>
      </c>
      <c r="O7" s="91">
        <v>361818</v>
      </c>
      <c r="P7" s="91">
        <v>1228776</v>
      </c>
      <c r="Q7" s="91">
        <v>190681</v>
      </c>
      <c r="R7" s="91">
        <v>41360</v>
      </c>
      <c r="S7" s="91">
        <v>32397</v>
      </c>
      <c r="T7" s="91">
        <v>9318</v>
      </c>
      <c r="U7" s="91">
        <v>2513</v>
      </c>
      <c r="V7" s="91">
        <v>33843</v>
      </c>
      <c r="W7" s="91">
        <v>64982</v>
      </c>
      <c r="X7" s="91">
        <v>644273</v>
      </c>
      <c r="Y7" s="91">
        <v>1052512</v>
      </c>
      <c r="Z7" s="91">
        <v>1610280</v>
      </c>
      <c r="AA7" s="91">
        <v>779428</v>
      </c>
      <c r="AB7" s="91">
        <v>596582</v>
      </c>
      <c r="AC7" s="91">
        <v>495580</v>
      </c>
      <c r="AD7" s="91">
        <v>879680</v>
      </c>
      <c r="AE7" s="91">
        <v>500009</v>
      </c>
      <c r="AF7" s="91">
        <v>320120</v>
      </c>
      <c r="AG7" s="179">
        <v>1112897429027550</v>
      </c>
      <c r="AH7" s="178">
        <v>0.41409752314814813</v>
      </c>
      <c r="AI7" s="91" t="s">
        <v>293</v>
      </c>
    </row>
  </sheetData>
  <phoneticPr fontId="4"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B8587-4CB2-9747-AB3A-34D7212E20D5}">
  <dimension ref="A1:CF3"/>
  <sheetViews>
    <sheetView workbookViewId="0">
      <selection activeCell="H4" sqref="H4"/>
    </sheetView>
  </sheetViews>
  <sheetFormatPr baseColWidth="10" defaultRowHeight="16" x14ac:dyDescent="0.2"/>
  <cols>
    <col min="1" max="84" width="3.6640625" bestFit="1" customWidth="1"/>
  </cols>
  <sheetData>
    <row r="1" spans="1:84" s="46" customFormat="1" ht="17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26</v>
      </c>
      <c r="AO1" s="20" t="s">
        <v>27</v>
      </c>
      <c r="AP1" s="20" t="s">
        <v>28</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row>
    <row r="2" spans="1:84" s="50" customFormat="1" ht="73" x14ac:dyDescent="0.2">
      <c r="A2" s="50" t="s">
        <v>273</v>
      </c>
      <c r="B2" s="57">
        <v>0.38715746527777778</v>
      </c>
      <c r="C2" s="50">
        <v>567783160842</v>
      </c>
      <c r="D2" s="50">
        <v>500</v>
      </c>
      <c r="E2" s="49">
        <v>20000</v>
      </c>
      <c r="F2" s="49">
        <v>10000000</v>
      </c>
      <c r="G2" s="50">
        <v>1</v>
      </c>
      <c r="H2" s="50">
        <v>38</v>
      </c>
      <c r="I2" s="50">
        <v>2305</v>
      </c>
      <c r="J2" s="50">
        <v>59524</v>
      </c>
      <c r="K2" s="50">
        <v>606117</v>
      </c>
      <c r="L2" s="50">
        <v>2415620</v>
      </c>
      <c r="M2" s="50">
        <v>3830367</v>
      </c>
      <c r="N2" s="50">
        <v>2418652</v>
      </c>
      <c r="O2" s="50">
        <v>605286</v>
      </c>
      <c r="P2" s="50">
        <v>59738</v>
      </c>
      <c r="Q2" s="50">
        <v>2316</v>
      </c>
      <c r="R2" s="50">
        <v>0</v>
      </c>
      <c r="S2" s="50">
        <v>0</v>
      </c>
      <c r="T2" s="50">
        <v>43194</v>
      </c>
      <c r="U2" s="50">
        <v>7092295</v>
      </c>
      <c r="V2" s="50">
        <v>2312792</v>
      </c>
      <c r="W2" s="50">
        <v>246026</v>
      </c>
      <c r="X2" s="50">
        <v>106544</v>
      </c>
      <c r="Y2" s="50">
        <v>98360</v>
      </c>
      <c r="Z2" s="50">
        <v>51151</v>
      </c>
      <c r="AA2" s="50">
        <v>23257</v>
      </c>
      <c r="AB2" s="50">
        <v>9525</v>
      </c>
      <c r="AC2" s="50">
        <v>3428</v>
      </c>
      <c r="AD2" s="50">
        <v>1588</v>
      </c>
      <c r="AE2" s="50">
        <v>953</v>
      </c>
      <c r="AF2" s="50">
        <v>824</v>
      </c>
      <c r="AG2" s="50">
        <v>1919</v>
      </c>
      <c r="AH2" s="50">
        <v>2205</v>
      </c>
      <c r="AI2" s="50">
        <v>1407</v>
      </c>
      <c r="AJ2" s="50">
        <v>868</v>
      </c>
      <c r="AK2" s="50">
        <v>593</v>
      </c>
      <c r="AL2" s="50">
        <v>28189919</v>
      </c>
      <c r="AM2" s="50">
        <v>986716371154</v>
      </c>
      <c r="AN2" s="50">
        <v>66196</v>
      </c>
      <c r="AO2" s="50">
        <v>56502971</v>
      </c>
      <c r="AP2" s="50">
        <v>98671</v>
      </c>
      <c r="AQ2" s="50">
        <v>54997050601</v>
      </c>
      <c r="AR2" s="50">
        <v>5499</v>
      </c>
      <c r="AS2" s="50">
        <v>55.737442000000001</v>
      </c>
      <c r="AT2" s="50">
        <v>62.732979999999998</v>
      </c>
      <c r="AU2" s="50">
        <v>58.807630000000003</v>
      </c>
      <c r="AV2" s="50">
        <v>58.373905000000001</v>
      </c>
      <c r="AW2" s="50">
        <v>60.864502000000002</v>
      </c>
      <c r="AX2" s="50">
        <v>57.041137999999997</v>
      </c>
      <c r="AY2" s="50">
        <v>57.913944000000001</v>
      </c>
      <c r="AZ2" s="50">
        <v>55.996986</v>
      </c>
      <c r="BA2" s="50">
        <v>59.048430000000003</v>
      </c>
      <c r="BB2" s="50">
        <v>58.635689999999997</v>
      </c>
      <c r="BC2" s="50">
        <v>56.871009999999998</v>
      </c>
      <c r="BD2" s="50">
        <v>54.703144000000002</v>
      </c>
      <c r="BE2" s="50">
        <v>55.950496999999999</v>
      </c>
      <c r="BF2" s="50">
        <v>54.095576999999999</v>
      </c>
      <c r="BG2" s="50">
        <v>53.793869999999998</v>
      </c>
      <c r="BH2" s="50">
        <v>54.445155999999997</v>
      </c>
      <c r="BI2" s="50">
        <v>54.753487</v>
      </c>
      <c r="BJ2" s="50">
        <v>54.279376999999997</v>
      </c>
      <c r="BK2" s="50">
        <v>55.0852</v>
      </c>
      <c r="BL2" s="50">
        <v>53.684719999999999</v>
      </c>
      <c r="BM2" s="50">
        <v>53.356299999999997</v>
      </c>
      <c r="BN2" s="50">
        <v>4000787030016</v>
      </c>
      <c r="BO2" s="50">
        <v>3998621433856</v>
      </c>
      <c r="BP2" s="50">
        <v>3910464376832</v>
      </c>
      <c r="BQ2" s="50">
        <v>4000783097856</v>
      </c>
      <c r="BR2" s="50">
        <v>3911817785344</v>
      </c>
      <c r="BS2" s="50">
        <v>1594193537195</v>
      </c>
      <c r="BT2" s="57">
        <v>0.39903725694444447</v>
      </c>
      <c r="BU2" s="50">
        <v>0</v>
      </c>
      <c r="BV2" s="50">
        <v>0</v>
      </c>
      <c r="BW2" s="50">
        <v>0</v>
      </c>
      <c r="BX2" s="50" t="s">
        <v>274</v>
      </c>
      <c r="BY2" s="50">
        <v>3907018584</v>
      </c>
      <c r="BZ2" s="50">
        <v>88412432</v>
      </c>
      <c r="CA2" s="50">
        <v>3817478384</v>
      </c>
      <c r="CB2" s="51">
        <v>0.03</v>
      </c>
      <c r="CC2" s="50" t="s">
        <v>254</v>
      </c>
      <c r="CD2" s="50" t="s">
        <v>33</v>
      </c>
      <c r="CE2" s="50" t="s">
        <v>256</v>
      </c>
      <c r="CF2" s="51">
        <v>0.03</v>
      </c>
    </row>
    <row r="3" spans="1:84" s="50" customFormat="1" ht="73" x14ac:dyDescent="0.2">
      <c r="A3" s="50" t="s">
        <v>273</v>
      </c>
      <c r="B3" s="57">
        <v>0.41723770833333335</v>
      </c>
      <c r="C3" s="50">
        <v>3166716280108</v>
      </c>
      <c r="D3" s="50">
        <v>1000</v>
      </c>
      <c r="E3" s="49">
        <v>100000</v>
      </c>
      <c r="F3" s="49">
        <v>100000000</v>
      </c>
      <c r="G3" s="50">
        <v>1</v>
      </c>
      <c r="H3" s="50">
        <v>342</v>
      </c>
      <c r="I3" s="50">
        <v>22650</v>
      </c>
      <c r="J3" s="50">
        <v>598126</v>
      </c>
      <c r="K3" s="50">
        <v>6056049</v>
      </c>
      <c r="L3" s="50">
        <v>24144756</v>
      </c>
      <c r="M3" s="50">
        <v>38254067</v>
      </c>
      <c r="N3" s="50">
        <v>24145490</v>
      </c>
      <c r="O3" s="50">
        <v>6057346</v>
      </c>
      <c r="P3" s="50">
        <v>597897</v>
      </c>
      <c r="Q3" s="50">
        <v>22923</v>
      </c>
      <c r="R3" s="50">
        <v>0</v>
      </c>
      <c r="S3" s="50">
        <v>0</v>
      </c>
      <c r="T3" s="50">
        <v>16340</v>
      </c>
      <c r="U3" s="50">
        <v>8704611</v>
      </c>
      <c r="V3" s="50">
        <v>24110306</v>
      </c>
      <c r="W3" s="50">
        <v>29475535</v>
      </c>
      <c r="X3" s="50">
        <v>28116508</v>
      </c>
      <c r="Y3" s="50">
        <v>6461554</v>
      </c>
      <c r="Z3" s="50">
        <v>999511</v>
      </c>
      <c r="AA3" s="50">
        <v>540411</v>
      </c>
      <c r="AB3" s="50">
        <v>429245</v>
      </c>
      <c r="AC3" s="50">
        <v>329371</v>
      </c>
      <c r="AD3" s="50">
        <v>249782</v>
      </c>
      <c r="AE3" s="50">
        <v>192697</v>
      </c>
      <c r="AF3" s="50">
        <v>144045</v>
      </c>
      <c r="AG3" s="50">
        <v>80071</v>
      </c>
      <c r="AH3" s="50">
        <v>28972</v>
      </c>
      <c r="AI3" s="50">
        <v>8771</v>
      </c>
      <c r="AJ3" s="50">
        <v>2890</v>
      </c>
      <c r="AK3" s="50">
        <v>1118</v>
      </c>
      <c r="AL3" s="50">
        <v>125164798</v>
      </c>
      <c r="AM3" s="50">
        <v>14149591900669</v>
      </c>
      <c r="AN3" s="50">
        <v>63835</v>
      </c>
      <c r="AO3" s="50">
        <v>173578857</v>
      </c>
      <c r="AP3" s="50">
        <v>141495</v>
      </c>
      <c r="AQ3" s="50">
        <v>549405967672</v>
      </c>
      <c r="AR3" s="50">
        <v>5494</v>
      </c>
      <c r="AS3" s="50">
        <v>38.828400000000002</v>
      </c>
      <c r="AT3" s="50">
        <v>57.427019999999999</v>
      </c>
      <c r="AU3" s="50">
        <v>49.656154999999998</v>
      </c>
      <c r="AV3" s="50">
        <v>49.620759999999997</v>
      </c>
      <c r="AW3" s="50">
        <v>46.900753000000002</v>
      </c>
      <c r="AX3" s="50">
        <v>44.457016000000003</v>
      </c>
      <c r="AY3" s="50">
        <v>43.27704</v>
      </c>
      <c r="AZ3" s="50">
        <v>41.215687000000003</v>
      </c>
      <c r="BA3" s="50">
        <v>40.295757000000002</v>
      </c>
      <c r="BB3" s="50">
        <v>39.243639999999999</v>
      </c>
      <c r="BC3" s="50">
        <v>38.326976999999999</v>
      </c>
      <c r="BD3" s="50">
        <v>37.222526999999999</v>
      </c>
      <c r="BE3" s="50">
        <v>36.964973000000001</v>
      </c>
      <c r="BF3" s="50">
        <v>35.456535000000002</v>
      </c>
      <c r="BG3" s="50">
        <v>34.753695999999998</v>
      </c>
      <c r="BH3" s="50">
        <v>34.061424000000002</v>
      </c>
      <c r="BI3" s="50">
        <v>33.791224999999997</v>
      </c>
      <c r="BJ3" s="50">
        <v>31.916094000000001</v>
      </c>
      <c r="BK3" s="50">
        <v>31.929110000000001</v>
      </c>
      <c r="BL3" s="50">
        <v>31.173023000000001</v>
      </c>
      <c r="BM3" s="50">
        <v>30.163329999999998</v>
      </c>
      <c r="BN3" s="50">
        <v>4000787030016</v>
      </c>
      <c r="BO3" s="50">
        <v>3998621433856</v>
      </c>
      <c r="BP3" s="50">
        <v>3100752973824</v>
      </c>
      <c r="BQ3" s="50">
        <v>4000783097856</v>
      </c>
      <c r="BR3" s="50">
        <v>3101570166784</v>
      </c>
      <c r="BS3" s="50">
        <v>17689257426825</v>
      </c>
      <c r="BT3" s="57">
        <v>0.58532271990740747</v>
      </c>
      <c r="BU3" s="50">
        <v>0</v>
      </c>
      <c r="BV3" s="50">
        <v>0</v>
      </c>
      <c r="BW3" s="50">
        <v>0</v>
      </c>
      <c r="BX3" s="50" t="s">
        <v>274</v>
      </c>
      <c r="BY3" s="50">
        <v>3907018584</v>
      </c>
      <c r="BZ3" s="50">
        <v>879425040</v>
      </c>
      <c r="CA3" s="50">
        <v>3026956784</v>
      </c>
      <c r="CB3" s="51">
        <v>0.23</v>
      </c>
      <c r="CC3" s="50" t="s">
        <v>254</v>
      </c>
      <c r="CD3" s="50" t="s">
        <v>275</v>
      </c>
      <c r="CE3" s="50" t="s">
        <v>271</v>
      </c>
      <c r="CF3" s="51">
        <v>0.23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3AEE-4F18-8A40-9250-45581F5F4EB7}">
  <dimension ref="A1:AH5"/>
  <sheetViews>
    <sheetView workbookViewId="0">
      <selection activeCell="AP47" sqref="AP47"/>
    </sheetView>
  </sheetViews>
  <sheetFormatPr baseColWidth="10" defaultRowHeight="16" x14ac:dyDescent="0.2"/>
  <cols>
    <col min="1" max="34" width="3.6640625" bestFit="1" customWidth="1"/>
  </cols>
  <sheetData>
    <row r="1" spans="1:34" ht="161" x14ac:dyDescent="0.2">
      <c r="A1" s="52" t="s">
        <v>38</v>
      </c>
      <c r="B1" s="52" t="s">
        <v>2</v>
      </c>
      <c r="C1" s="52" t="s">
        <v>267</v>
      </c>
      <c r="D1" s="52" t="s">
        <v>223</v>
      </c>
      <c r="E1" s="52" t="s">
        <v>224</v>
      </c>
      <c r="F1" s="52" t="s">
        <v>225</v>
      </c>
      <c r="G1" s="52" t="s">
        <v>226</v>
      </c>
      <c r="H1" s="52" t="s">
        <v>227</v>
      </c>
      <c r="I1" s="52" t="s">
        <v>228</v>
      </c>
      <c r="J1" s="52" t="s">
        <v>229</v>
      </c>
      <c r="K1" s="52" t="s">
        <v>230</v>
      </c>
      <c r="L1" s="52" t="s">
        <v>231</v>
      </c>
      <c r="M1" s="52" t="s">
        <v>232</v>
      </c>
      <c r="N1" s="52" t="s">
        <v>233</v>
      </c>
      <c r="O1" s="52" t="s">
        <v>234</v>
      </c>
      <c r="P1" s="52" t="s">
        <v>235</v>
      </c>
      <c r="Q1" s="52" t="s">
        <v>236</v>
      </c>
      <c r="R1" s="52" t="s">
        <v>237</v>
      </c>
      <c r="S1" s="52" t="s">
        <v>238</v>
      </c>
      <c r="T1" s="52" t="s">
        <v>239</v>
      </c>
      <c r="U1" s="52" t="s">
        <v>240</v>
      </c>
      <c r="V1" s="52" t="s">
        <v>241</v>
      </c>
      <c r="W1" s="52" t="s">
        <v>242</v>
      </c>
      <c r="X1" s="52" t="s">
        <v>243</v>
      </c>
      <c r="Y1" s="52" t="s">
        <v>244</v>
      </c>
      <c r="Z1" s="52" t="s">
        <v>245</v>
      </c>
      <c r="AA1" s="52" t="s">
        <v>246</v>
      </c>
      <c r="AB1" s="52" t="s">
        <v>247</v>
      </c>
      <c r="AC1" s="52" t="s">
        <v>248</v>
      </c>
      <c r="AD1" s="52" t="s">
        <v>249</v>
      </c>
      <c r="AE1" s="52" t="s">
        <v>250</v>
      </c>
      <c r="AF1" s="52" t="s">
        <v>251</v>
      </c>
      <c r="AG1" s="52" t="s">
        <v>253</v>
      </c>
      <c r="AH1" s="52" t="s">
        <v>252</v>
      </c>
    </row>
    <row r="2" spans="1:34" s="50" customFormat="1" ht="85" x14ac:dyDescent="0.2">
      <c r="A2" s="50" t="s">
        <v>273</v>
      </c>
      <c r="B2" s="50" t="s">
        <v>263</v>
      </c>
      <c r="C2" s="50" t="s">
        <v>265</v>
      </c>
      <c r="D2" s="47">
        <v>0.40244069444444447</v>
      </c>
      <c r="E2" s="48">
        <v>1888253746278</v>
      </c>
      <c r="F2" s="48">
        <v>237603102171</v>
      </c>
      <c r="G2" s="48">
        <v>54997050601</v>
      </c>
      <c r="H2" s="50">
        <v>12803</v>
      </c>
      <c r="I2" s="50">
        <v>22086889</v>
      </c>
      <c r="J2" s="50">
        <v>23760</v>
      </c>
      <c r="K2" s="50">
        <v>0</v>
      </c>
      <c r="L2" s="48">
        <v>237603102171</v>
      </c>
      <c r="M2" s="50">
        <v>0</v>
      </c>
      <c r="N2" s="50">
        <v>0</v>
      </c>
      <c r="O2" s="50">
        <v>474145</v>
      </c>
      <c r="P2" s="50">
        <v>7548533</v>
      </c>
      <c r="Q2" s="50">
        <v>1088702</v>
      </c>
      <c r="R2" s="50">
        <v>354753</v>
      </c>
      <c r="S2" s="50">
        <v>293253</v>
      </c>
      <c r="T2" s="50">
        <v>139880</v>
      </c>
      <c r="U2" s="50">
        <v>42582</v>
      </c>
      <c r="V2" s="50">
        <v>21839</v>
      </c>
      <c r="W2" s="50">
        <v>9800</v>
      </c>
      <c r="X2" s="50">
        <v>3339</v>
      </c>
      <c r="Y2" s="50">
        <v>2046</v>
      </c>
      <c r="Z2" s="50">
        <v>1662</v>
      </c>
      <c r="AA2" s="50">
        <v>1255</v>
      </c>
      <c r="AB2" s="50">
        <v>1132</v>
      </c>
      <c r="AC2" s="50">
        <v>932</v>
      </c>
      <c r="AD2" s="50">
        <v>735</v>
      </c>
      <c r="AE2" s="50">
        <v>593</v>
      </c>
      <c r="AF2" s="50">
        <v>479</v>
      </c>
      <c r="AG2" s="48">
        <v>2196931629119</v>
      </c>
      <c r="AH2" s="47">
        <v>0.40601339120370367</v>
      </c>
    </row>
    <row r="3" spans="1:34" s="50" customFormat="1" ht="85" x14ac:dyDescent="0.2">
      <c r="A3" s="50" t="s">
        <v>273</v>
      </c>
      <c r="B3" s="50" t="s">
        <v>263</v>
      </c>
      <c r="C3" s="50" t="s">
        <v>264</v>
      </c>
      <c r="D3" s="47">
        <v>0.40685422453703701</v>
      </c>
      <c r="E3" s="48">
        <v>2269583244946</v>
      </c>
      <c r="F3" s="48">
        <v>161570789752</v>
      </c>
      <c r="G3" s="48">
        <v>54997050601</v>
      </c>
      <c r="H3" s="50">
        <v>10322</v>
      </c>
      <c r="I3" s="50">
        <v>18644441</v>
      </c>
      <c r="J3" s="50">
        <v>16157</v>
      </c>
      <c r="K3" s="50">
        <v>0</v>
      </c>
      <c r="L3" s="48">
        <v>161570789752</v>
      </c>
      <c r="M3" s="50">
        <v>0</v>
      </c>
      <c r="N3" s="50">
        <v>68893</v>
      </c>
      <c r="O3" s="50">
        <v>8219108</v>
      </c>
      <c r="P3" s="50">
        <v>1311173</v>
      </c>
      <c r="Q3" s="50">
        <v>241310</v>
      </c>
      <c r="R3" s="50">
        <v>103698</v>
      </c>
      <c r="S3" s="50">
        <v>25597</v>
      </c>
      <c r="T3" s="50">
        <v>6739</v>
      </c>
      <c r="U3" s="50">
        <v>5595</v>
      </c>
      <c r="V3" s="50">
        <v>1746</v>
      </c>
      <c r="W3" s="50">
        <v>674</v>
      </c>
      <c r="X3" s="50">
        <v>506</v>
      </c>
      <c r="Y3" s="50">
        <v>330</v>
      </c>
      <c r="Z3" s="50">
        <v>318</v>
      </c>
      <c r="AA3" s="50">
        <v>312</v>
      </c>
      <c r="AB3" s="50">
        <v>308</v>
      </c>
      <c r="AC3" s="50">
        <v>291</v>
      </c>
      <c r="AD3" s="50">
        <v>322</v>
      </c>
      <c r="AE3" s="50">
        <v>432</v>
      </c>
      <c r="AF3" s="50">
        <v>525</v>
      </c>
      <c r="AG3" s="48">
        <v>2509928920652</v>
      </c>
      <c r="AH3" s="47">
        <v>0.40963604166666667</v>
      </c>
    </row>
    <row r="4" spans="1:34" s="50" customFormat="1" ht="91" x14ac:dyDescent="0.2">
      <c r="A4" s="50" t="s">
        <v>273</v>
      </c>
      <c r="B4" s="50" t="s">
        <v>266</v>
      </c>
      <c r="C4" s="50" t="s">
        <v>264</v>
      </c>
      <c r="D4" s="47">
        <v>0.60101450231481479</v>
      </c>
      <c r="E4" s="48">
        <v>19045031098387</v>
      </c>
      <c r="F4" s="48">
        <v>11785734199434</v>
      </c>
      <c r="G4" s="48">
        <v>549615776600</v>
      </c>
      <c r="H4" s="50">
        <v>30269</v>
      </c>
      <c r="I4" s="50">
        <v>1007282440</v>
      </c>
      <c r="J4" s="50">
        <v>117857</v>
      </c>
      <c r="K4" s="50">
        <v>0</v>
      </c>
      <c r="L4" s="48">
        <v>11785734199434</v>
      </c>
      <c r="M4" s="50">
        <v>0</v>
      </c>
      <c r="N4" s="50">
        <v>0</v>
      </c>
      <c r="O4" s="50">
        <v>0</v>
      </c>
      <c r="P4" s="50">
        <v>0</v>
      </c>
      <c r="Q4" s="50">
        <v>0</v>
      </c>
      <c r="R4" s="50">
        <v>16457</v>
      </c>
      <c r="S4" s="50">
        <v>7615</v>
      </c>
      <c r="T4" s="50">
        <v>1580</v>
      </c>
      <c r="U4" s="50">
        <v>478</v>
      </c>
      <c r="V4" s="50">
        <v>262</v>
      </c>
      <c r="W4" s="50">
        <v>248</v>
      </c>
      <c r="X4" s="50">
        <v>433</v>
      </c>
      <c r="Y4" s="50">
        <v>21466</v>
      </c>
      <c r="Z4" s="50">
        <v>3330725</v>
      </c>
      <c r="AA4" s="50">
        <v>6033215</v>
      </c>
      <c r="AB4" s="50">
        <v>38592325</v>
      </c>
      <c r="AC4" s="50">
        <v>21896393</v>
      </c>
      <c r="AD4" s="50">
        <v>7407931</v>
      </c>
      <c r="AE4" s="50">
        <v>2982762</v>
      </c>
      <c r="AF4" s="50">
        <v>2003370</v>
      </c>
      <c r="AG4" s="48">
        <v>34708771639869</v>
      </c>
      <c r="AH4" s="47">
        <v>0.78230783564814821</v>
      </c>
    </row>
    <row r="5" spans="1:34" s="50" customFormat="1" ht="91" x14ac:dyDescent="0.2">
      <c r="A5" s="50" t="s">
        <v>273</v>
      </c>
      <c r="B5" s="50" t="s">
        <v>266</v>
      </c>
      <c r="C5" s="50" t="s">
        <v>265</v>
      </c>
      <c r="D5" s="47">
        <v>0.79947827546296291</v>
      </c>
      <c r="E5" s="48">
        <v>36192301474974</v>
      </c>
      <c r="F5" s="48">
        <v>10166217369224</v>
      </c>
      <c r="G5" s="48">
        <v>549615776600</v>
      </c>
      <c r="H5" s="50">
        <v>11825</v>
      </c>
      <c r="I5" s="50">
        <v>85446564</v>
      </c>
      <c r="J5" s="50">
        <v>101662</v>
      </c>
      <c r="K5" s="50">
        <v>0</v>
      </c>
      <c r="L5" s="48">
        <v>10166217369224</v>
      </c>
      <c r="M5" s="50">
        <v>0</v>
      </c>
      <c r="N5" s="50">
        <v>2</v>
      </c>
      <c r="O5" s="50">
        <v>75015</v>
      </c>
      <c r="P5" s="50">
        <v>21657</v>
      </c>
      <c r="Q5" s="50">
        <v>2132</v>
      </c>
      <c r="R5" s="50">
        <v>15986</v>
      </c>
      <c r="S5" s="50">
        <v>9651</v>
      </c>
      <c r="T5" s="50">
        <v>1316</v>
      </c>
      <c r="U5" s="50">
        <v>330</v>
      </c>
      <c r="V5" s="50">
        <v>181</v>
      </c>
      <c r="W5" s="50">
        <v>194</v>
      </c>
      <c r="X5" s="50">
        <v>4243</v>
      </c>
      <c r="Y5" s="50">
        <v>99371</v>
      </c>
      <c r="Z5" s="50">
        <v>4348720</v>
      </c>
      <c r="AA5" s="50">
        <v>5914254</v>
      </c>
      <c r="AB5" s="50">
        <v>49021670</v>
      </c>
      <c r="AC5" s="50">
        <v>20549517</v>
      </c>
      <c r="AD5" s="50">
        <v>8255282</v>
      </c>
      <c r="AE5" s="50">
        <v>2111758</v>
      </c>
      <c r="AF5" s="50">
        <v>1113585</v>
      </c>
      <c r="AG5" s="48">
        <v>48887179069670</v>
      </c>
      <c r="AH5" s="47">
        <v>0.94640976851851855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A3FA8-2C0F-A04A-BDFE-6E6BCE30028A}">
  <dimension ref="A1:CF3"/>
  <sheetViews>
    <sheetView workbookViewId="0">
      <selection activeCell="AX44" sqref="AX44"/>
    </sheetView>
  </sheetViews>
  <sheetFormatPr baseColWidth="10" defaultRowHeight="16" x14ac:dyDescent="0.2"/>
  <cols>
    <col min="1" max="84" width="3.6640625" bestFit="1" customWidth="1"/>
  </cols>
  <sheetData>
    <row r="1" spans="1:84" s="46" customFormat="1" ht="17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26</v>
      </c>
      <c r="AO1" s="20" t="s">
        <v>27</v>
      </c>
      <c r="AP1" s="20" t="s">
        <v>28</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row>
    <row r="2" spans="1:84" s="50" customFormat="1" ht="73" x14ac:dyDescent="0.2">
      <c r="A2" s="50" t="s">
        <v>134</v>
      </c>
      <c r="B2" s="57">
        <v>0.4373679513888889</v>
      </c>
      <c r="C2" s="50">
        <v>91305969908016</v>
      </c>
      <c r="D2" s="50">
        <v>100</v>
      </c>
      <c r="E2" s="50">
        <v>10000</v>
      </c>
      <c r="F2" s="50">
        <v>1000000</v>
      </c>
      <c r="G2" s="50">
        <v>1</v>
      </c>
      <c r="H2" s="50">
        <v>6</v>
      </c>
      <c r="I2" s="50">
        <v>218</v>
      </c>
      <c r="J2" s="50">
        <v>5888</v>
      </c>
      <c r="K2" s="50">
        <v>60593</v>
      </c>
      <c r="L2" s="50">
        <v>241921</v>
      </c>
      <c r="M2" s="50">
        <v>383117</v>
      </c>
      <c r="N2" s="50">
        <v>241787</v>
      </c>
      <c r="O2" s="50">
        <v>60336</v>
      </c>
      <c r="P2" s="50">
        <v>5898</v>
      </c>
      <c r="Q2" s="50">
        <v>231</v>
      </c>
      <c r="R2" s="50">
        <v>0</v>
      </c>
      <c r="S2" s="50">
        <v>7696</v>
      </c>
      <c r="T2" s="50">
        <v>844315</v>
      </c>
      <c r="U2" s="50">
        <v>80347</v>
      </c>
      <c r="V2" s="50">
        <v>30535</v>
      </c>
      <c r="W2" s="50">
        <v>26346</v>
      </c>
      <c r="X2" s="50">
        <v>5575</v>
      </c>
      <c r="Y2" s="50">
        <v>1770</v>
      </c>
      <c r="Z2" s="50">
        <v>1026</v>
      </c>
      <c r="AA2" s="50">
        <v>687</v>
      </c>
      <c r="AB2" s="50">
        <v>404</v>
      </c>
      <c r="AC2" s="50">
        <v>196</v>
      </c>
      <c r="AD2" s="50">
        <v>137</v>
      </c>
      <c r="AE2" s="50">
        <v>71</v>
      </c>
      <c r="AF2" s="50">
        <v>32</v>
      </c>
      <c r="AG2" s="50">
        <v>37</v>
      </c>
      <c r="AH2" s="50">
        <v>20</v>
      </c>
      <c r="AI2" s="50">
        <v>19</v>
      </c>
      <c r="AJ2" s="50">
        <v>9</v>
      </c>
      <c r="AK2" s="50">
        <v>12</v>
      </c>
      <c r="AL2" s="50">
        <v>4907453</v>
      </c>
      <c r="AM2" s="50">
        <v>86448579099</v>
      </c>
      <c r="AN2" s="50">
        <v>38860</v>
      </c>
      <c r="AO2" s="50">
        <v>986818513</v>
      </c>
      <c r="AP2" s="50">
        <v>86448</v>
      </c>
      <c r="AQ2" s="50">
        <v>5499366722</v>
      </c>
      <c r="AR2" s="50">
        <v>5499</v>
      </c>
      <c r="AS2" s="50">
        <v>63.614314999999998</v>
      </c>
      <c r="AT2" s="50">
        <v>79.044700000000006</v>
      </c>
      <c r="AU2" s="50">
        <v>32.9559</v>
      </c>
      <c r="AV2" s="50">
        <v>70.449160000000006</v>
      </c>
      <c r="AW2" s="50">
        <v>68.328149999999994</v>
      </c>
      <c r="AX2" s="50">
        <v>73.485309999999998</v>
      </c>
      <c r="AY2" s="50">
        <v>65.899109999999993</v>
      </c>
      <c r="AZ2" s="50">
        <v>76.067115999999999</v>
      </c>
      <c r="BA2" s="50">
        <v>70.059719999999999</v>
      </c>
      <c r="BB2" s="50">
        <v>62.900894000000001</v>
      </c>
      <c r="BC2" s="50">
        <v>67.353369999999998</v>
      </c>
      <c r="BD2" s="50">
        <v>65.997020000000006</v>
      </c>
      <c r="BE2" s="50">
        <v>75.888159999999999</v>
      </c>
      <c r="BF2" s="50">
        <v>50.111660000000001</v>
      </c>
      <c r="BG2" s="50">
        <v>70.093990000000005</v>
      </c>
      <c r="BH2" s="50">
        <v>69.979879999999994</v>
      </c>
      <c r="BI2" s="50">
        <v>42.643810000000002</v>
      </c>
      <c r="BJ2" s="50">
        <v>69.052440000000004</v>
      </c>
      <c r="BK2" s="50">
        <v>66.827079999999995</v>
      </c>
      <c r="BL2" s="50">
        <v>72.730969999999999</v>
      </c>
      <c r="BM2" s="50">
        <v>76.060929999999999</v>
      </c>
      <c r="BN2" s="50">
        <v>2000396836864</v>
      </c>
      <c r="BO2" s="50">
        <v>1990432116736</v>
      </c>
      <c r="BP2" s="50">
        <v>1978504896512</v>
      </c>
      <c r="BQ2" s="50">
        <v>1990432116736</v>
      </c>
      <c r="BR2" s="50">
        <v>1978504896512</v>
      </c>
      <c r="BS2" s="50">
        <v>91396356406183</v>
      </c>
      <c r="BT2" s="57">
        <v>0.43841414351851848</v>
      </c>
      <c r="BU2" s="50">
        <v>6056957</v>
      </c>
      <c r="BV2" s="50">
        <v>1000102</v>
      </c>
      <c r="BW2" s="50">
        <v>5056855</v>
      </c>
      <c r="BX2" s="51">
        <v>0.17</v>
      </c>
      <c r="BY2" s="50">
        <v>1953512536</v>
      </c>
      <c r="BZ2" s="50">
        <v>21378848</v>
      </c>
      <c r="CA2" s="50">
        <v>1932133688</v>
      </c>
      <c r="CB2" s="51">
        <v>0.02</v>
      </c>
      <c r="CC2" s="50" t="s">
        <v>135</v>
      </c>
      <c r="CD2" s="50" t="s">
        <v>138</v>
      </c>
      <c r="CE2" s="50" t="s">
        <v>139</v>
      </c>
      <c r="CF2" s="51">
        <v>0.02</v>
      </c>
    </row>
    <row r="3" spans="1:84" s="50" customFormat="1" ht="73" x14ac:dyDescent="0.2">
      <c r="A3" s="50" t="s">
        <v>134</v>
      </c>
      <c r="B3" s="57">
        <v>0.44797295138888887</v>
      </c>
      <c r="C3" s="50">
        <v>92222241106453</v>
      </c>
      <c r="D3" s="50">
        <v>300</v>
      </c>
      <c r="E3" s="50">
        <v>20000</v>
      </c>
      <c r="F3" s="50">
        <v>6000000</v>
      </c>
      <c r="G3" s="50">
        <v>1</v>
      </c>
      <c r="H3" s="50">
        <v>20</v>
      </c>
      <c r="I3" s="50">
        <v>1419</v>
      </c>
      <c r="J3" s="50">
        <v>35780</v>
      </c>
      <c r="K3" s="50">
        <v>362248</v>
      </c>
      <c r="L3" s="50">
        <v>1450760</v>
      </c>
      <c r="M3" s="50">
        <v>2297252</v>
      </c>
      <c r="N3" s="50">
        <v>1451902</v>
      </c>
      <c r="O3" s="50">
        <v>363118</v>
      </c>
      <c r="P3" s="50">
        <v>36011</v>
      </c>
      <c r="Q3" s="50">
        <v>1460</v>
      </c>
      <c r="R3" s="50">
        <v>0</v>
      </c>
      <c r="S3" s="50">
        <v>126914</v>
      </c>
      <c r="T3" s="50">
        <v>5206681</v>
      </c>
      <c r="U3" s="50">
        <v>296680</v>
      </c>
      <c r="V3" s="50">
        <v>171787</v>
      </c>
      <c r="W3" s="50">
        <v>146274</v>
      </c>
      <c r="X3" s="50">
        <v>22922</v>
      </c>
      <c r="Y3" s="50">
        <v>9716</v>
      </c>
      <c r="Z3" s="50">
        <v>5263</v>
      </c>
      <c r="AA3" s="50">
        <v>3020</v>
      </c>
      <c r="AB3" s="50">
        <v>1948</v>
      </c>
      <c r="AC3" s="50">
        <v>1278</v>
      </c>
      <c r="AD3" s="50">
        <v>709</v>
      </c>
      <c r="AE3" s="50">
        <v>453</v>
      </c>
      <c r="AF3" s="50">
        <v>284</v>
      </c>
      <c r="AG3" s="50">
        <v>212</v>
      </c>
      <c r="AH3" s="50">
        <v>151</v>
      </c>
      <c r="AI3" s="50">
        <v>118</v>
      </c>
      <c r="AJ3" s="50">
        <v>82</v>
      </c>
      <c r="AK3" s="50">
        <v>58</v>
      </c>
      <c r="AL3" s="50">
        <v>14598168</v>
      </c>
      <c r="AM3" s="50">
        <v>535532314880</v>
      </c>
      <c r="AN3" s="50">
        <v>31325</v>
      </c>
      <c r="AO3" s="50">
        <v>567339606</v>
      </c>
      <c r="AP3" s="50">
        <v>89255</v>
      </c>
      <c r="AQ3" s="50">
        <v>33001067100</v>
      </c>
      <c r="AR3" s="50">
        <v>5500</v>
      </c>
      <c r="AS3" s="50">
        <v>61.622925000000002</v>
      </c>
      <c r="AT3" s="50">
        <v>72.03246</v>
      </c>
      <c r="AU3" s="50">
        <v>48.011257000000001</v>
      </c>
      <c r="AV3" s="50">
        <v>63.059947999999999</v>
      </c>
      <c r="AW3" s="50">
        <v>72.281580000000005</v>
      </c>
      <c r="AX3" s="50">
        <v>72.104470000000006</v>
      </c>
      <c r="AY3" s="50">
        <v>49.598089999999999</v>
      </c>
      <c r="AZ3" s="50">
        <v>69.483270000000005</v>
      </c>
      <c r="BA3" s="50">
        <v>71.620154999999997</v>
      </c>
      <c r="BB3" s="50">
        <v>71.140110000000007</v>
      </c>
      <c r="BC3" s="50">
        <v>43.346393999999997</v>
      </c>
      <c r="BD3" s="50">
        <v>72.511319999999998</v>
      </c>
      <c r="BE3" s="50">
        <v>42.983370000000001</v>
      </c>
      <c r="BF3" s="50">
        <v>71.265820000000005</v>
      </c>
      <c r="BG3" s="50">
        <v>76.576300000000003</v>
      </c>
      <c r="BH3" s="50">
        <v>54.206394000000003</v>
      </c>
      <c r="BI3" s="50">
        <v>73.993269999999995</v>
      </c>
      <c r="BJ3" s="50">
        <v>48.958199999999998</v>
      </c>
      <c r="BK3" s="50">
        <v>57.153748</v>
      </c>
      <c r="BL3" s="50">
        <v>41.646434999999997</v>
      </c>
      <c r="BM3" s="50">
        <v>45.669013999999997</v>
      </c>
      <c r="BN3" s="50">
        <v>2000396836864</v>
      </c>
      <c r="BO3" s="50">
        <v>1990432116736</v>
      </c>
      <c r="BP3" s="50">
        <v>1918866554880</v>
      </c>
      <c r="BQ3" s="50">
        <v>1990432116736</v>
      </c>
      <c r="BR3" s="50">
        <v>1918866554880</v>
      </c>
      <c r="BS3" s="50">
        <v>92776438106410</v>
      </c>
      <c r="BT3" s="57">
        <v>0.45438731481481481</v>
      </c>
      <c r="BU3" s="50">
        <v>6056957</v>
      </c>
      <c r="BV3" s="50">
        <v>6000302</v>
      </c>
      <c r="BW3" s="50">
        <v>56655</v>
      </c>
      <c r="BX3" s="51">
        <v>1</v>
      </c>
      <c r="BY3" s="50">
        <v>1953512536</v>
      </c>
      <c r="BZ3" s="50">
        <v>79619416</v>
      </c>
      <c r="CA3" s="50">
        <v>1873893120</v>
      </c>
      <c r="CB3" s="51">
        <v>0.05</v>
      </c>
      <c r="CC3" s="50" t="s">
        <v>135</v>
      </c>
      <c r="CD3" s="50" t="s">
        <v>140</v>
      </c>
      <c r="CE3" s="50" t="s">
        <v>139</v>
      </c>
      <c r="CF3" s="51">
        <v>0.05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342A0-05B4-364E-B2BD-5F69EB7B6193}">
  <dimension ref="A1:AH5"/>
  <sheetViews>
    <sheetView workbookViewId="0">
      <selection activeCell="AP53" sqref="AP53"/>
    </sheetView>
  </sheetViews>
  <sheetFormatPr baseColWidth="10" defaultRowHeight="16" x14ac:dyDescent="0.2"/>
  <cols>
    <col min="1" max="34" width="3.6640625" bestFit="1" customWidth="1"/>
  </cols>
  <sheetData>
    <row r="1" spans="1:34" ht="161" x14ac:dyDescent="0.2">
      <c r="A1" s="52" t="s">
        <v>38</v>
      </c>
      <c r="B1" s="52" t="s">
        <v>2</v>
      </c>
      <c r="C1" s="52" t="s">
        <v>267</v>
      </c>
      <c r="D1" s="52" t="s">
        <v>223</v>
      </c>
      <c r="E1" s="52" t="s">
        <v>224</v>
      </c>
      <c r="F1" s="52" t="s">
        <v>225</v>
      </c>
      <c r="G1" s="52" t="s">
        <v>226</v>
      </c>
      <c r="H1" s="52" t="s">
        <v>227</v>
      </c>
      <c r="I1" s="52" t="s">
        <v>228</v>
      </c>
      <c r="J1" s="52" t="s">
        <v>229</v>
      </c>
      <c r="K1" s="52" t="s">
        <v>230</v>
      </c>
      <c r="L1" s="52" t="s">
        <v>231</v>
      </c>
      <c r="M1" s="52" t="s">
        <v>232</v>
      </c>
      <c r="N1" s="52" t="s">
        <v>233</v>
      </c>
      <c r="O1" s="52" t="s">
        <v>234</v>
      </c>
      <c r="P1" s="52" t="s">
        <v>235</v>
      </c>
      <c r="Q1" s="52" t="s">
        <v>236</v>
      </c>
      <c r="R1" s="52" t="s">
        <v>237</v>
      </c>
      <c r="S1" s="52" t="s">
        <v>238</v>
      </c>
      <c r="T1" s="52" t="s">
        <v>239</v>
      </c>
      <c r="U1" s="52" t="s">
        <v>240</v>
      </c>
      <c r="V1" s="52" t="s">
        <v>241</v>
      </c>
      <c r="W1" s="52" t="s">
        <v>242</v>
      </c>
      <c r="X1" s="52" t="s">
        <v>243</v>
      </c>
      <c r="Y1" s="52" t="s">
        <v>244</v>
      </c>
      <c r="Z1" s="52" t="s">
        <v>245</v>
      </c>
      <c r="AA1" s="52" t="s">
        <v>246</v>
      </c>
      <c r="AB1" s="52" t="s">
        <v>247</v>
      </c>
      <c r="AC1" s="52" t="s">
        <v>248</v>
      </c>
      <c r="AD1" s="52" t="s">
        <v>249</v>
      </c>
      <c r="AE1" s="52" t="s">
        <v>250</v>
      </c>
      <c r="AF1" s="52" t="s">
        <v>251</v>
      </c>
      <c r="AG1" s="52" t="s">
        <v>253</v>
      </c>
      <c r="AH1" s="52" t="s">
        <v>252</v>
      </c>
    </row>
    <row r="2" spans="1:34" s="50" customFormat="1" ht="73" x14ac:dyDescent="0.2">
      <c r="A2" s="50" t="s">
        <v>134</v>
      </c>
      <c r="B2" s="50" t="s">
        <v>276</v>
      </c>
      <c r="C2" s="50" t="s">
        <v>265</v>
      </c>
      <c r="D2" s="57">
        <v>0.44137324074074075</v>
      </c>
      <c r="E2" s="50">
        <v>91652026079970</v>
      </c>
      <c r="F2" s="50">
        <v>24258124836</v>
      </c>
      <c r="G2" s="50">
        <v>5499366722</v>
      </c>
      <c r="H2" s="50">
        <v>14155</v>
      </c>
      <c r="I2" s="50">
        <v>17930626</v>
      </c>
      <c r="J2" s="50">
        <v>24258</v>
      </c>
      <c r="K2" s="50">
        <v>0</v>
      </c>
      <c r="L2" s="50">
        <v>24258124836</v>
      </c>
      <c r="M2" s="50">
        <v>0</v>
      </c>
      <c r="N2" s="50">
        <v>0</v>
      </c>
      <c r="O2" s="50">
        <v>160325</v>
      </c>
      <c r="P2" s="50">
        <v>505698</v>
      </c>
      <c r="Q2" s="50">
        <v>246327</v>
      </c>
      <c r="R2" s="50">
        <v>58139</v>
      </c>
      <c r="S2" s="50">
        <v>15748</v>
      </c>
      <c r="T2" s="50">
        <v>5439</v>
      </c>
      <c r="U2" s="50">
        <v>3391</v>
      </c>
      <c r="V2" s="50">
        <v>1696</v>
      </c>
      <c r="W2" s="50">
        <v>513</v>
      </c>
      <c r="X2" s="50">
        <v>239</v>
      </c>
      <c r="Y2" s="50">
        <v>111</v>
      </c>
      <c r="Z2" s="50">
        <v>92</v>
      </c>
      <c r="AA2" s="50">
        <v>78</v>
      </c>
      <c r="AB2" s="50">
        <v>64</v>
      </c>
      <c r="AC2" s="50">
        <v>70</v>
      </c>
      <c r="AD2" s="50">
        <v>85</v>
      </c>
      <c r="AE2" s="50">
        <v>98</v>
      </c>
      <c r="AF2" s="50">
        <v>102</v>
      </c>
      <c r="AG2" s="50">
        <v>91685077562818</v>
      </c>
      <c r="AH2" s="57">
        <v>0.44175582175925926</v>
      </c>
    </row>
    <row r="3" spans="1:34" s="50" customFormat="1" ht="73" x14ac:dyDescent="0.2">
      <c r="A3" s="50" t="s">
        <v>134</v>
      </c>
      <c r="B3" s="50" t="s">
        <v>276</v>
      </c>
      <c r="C3" s="50" t="s">
        <v>264</v>
      </c>
      <c r="D3" s="57">
        <v>0.44262780092592591</v>
      </c>
      <c r="E3" s="50">
        <v>91760419762391</v>
      </c>
      <c r="F3" s="50">
        <v>22019650103</v>
      </c>
      <c r="G3" s="50">
        <v>5499366722</v>
      </c>
      <c r="H3" s="50">
        <v>13171</v>
      </c>
      <c r="I3" s="50">
        <v>15678337</v>
      </c>
      <c r="J3" s="50">
        <v>22019</v>
      </c>
      <c r="K3" s="50">
        <v>0</v>
      </c>
      <c r="L3" s="50">
        <v>22019650103</v>
      </c>
      <c r="M3" s="50">
        <v>0</v>
      </c>
      <c r="N3" s="50">
        <v>0</v>
      </c>
      <c r="O3" s="50">
        <v>346046</v>
      </c>
      <c r="P3" s="50">
        <v>423596</v>
      </c>
      <c r="Q3" s="50">
        <v>171562</v>
      </c>
      <c r="R3" s="50">
        <v>37721</v>
      </c>
      <c r="S3" s="50">
        <v>9839</v>
      </c>
      <c r="T3" s="50">
        <v>5245</v>
      </c>
      <c r="U3" s="50">
        <v>2145</v>
      </c>
      <c r="V3" s="50">
        <v>802</v>
      </c>
      <c r="W3" s="50">
        <v>420</v>
      </c>
      <c r="X3" s="50">
        <v>307</v>
      </c>
      <c r="Y3" s="50">
        <v>140</v>
      </c>
      <c r="Z3" s="50">
        <v>94</v>
      </c>
      <c r="AA3" s="50">
        <v>71</v>
      </c>
      <c r="AB3" s="50">
        <v>68</v>
      </c>
      <c r="AC3" s="50">
        <v>77</v>
      </c>
      <c r="AD3" s="50">
        <v>50</v>
      </c>
      <c r="AE3" s="50">
        <v>53</v>
      </c>
      <c r="AF3" s="50">
        <v>68</v>
      </c>
      <c r="AG3" s="50">
        <v>91792252519106</v>
      </c>
      <c r="AH3" s="57">
        <v>0.4429962731481481</v>
      </c>
    </row>
    <row r="4" spans="1:34" s="50" customFormat="1" ht="73" x14ac:dyDescent="0.2">
      <c r="A4" s="50" t="s">
        <v>134</v>
      </c>
      <c r="B4" s="50" t="s">
        <v>277</v>
      </c>
      <c r="C4" s="50" t="s">
        <v>264</v>
      </c>
      <c r="D4" s="57">
        <v>0.45695374999999999</v>
      </c>
      <c r="E4" s="50">
        <v>92998181615214</v>
      </c>
      <c r="F4" s="50">
        <v>361562702195</v>
      </c>
      <c r="G4" s="50">
        <v>33001067100</v>
      </c>
      <c r="H4" s="50">
        <v>11048</v>
      </c>
      <c r="I4" s="50">
        <v>17145756</v>
      </c>
      <c r="J4" s="50">
        <v>60260</v>
      </c>
      <c r="K4" s="50">
        <v>0</v>
      </c>
      <c r="L4" s="50">
        <v>361562702195</v>
      </c>
      <c r="M4" s="50">
        <v>0</v>
      </c>
      <c r="N4" s="50">
        <v>597</v>
      </c>
      <c r="O4" s="50">
        <v>2302763</v>
      </c>
      <c r="P4" s="50">
        <v>1070797</v>
      </c>
      <c r="Q4" s="50">
        <v>169405</v>
      </c>
      <c r="R4" s="50">
        <v>45738</v>
      </c>
      <c r="S4" s="50">
        <v>32386</v>
      </c>
      <c r="T4" s="50">
        <v>5677</v>
      </c>
      <c r="U4" s="50">
        <v>3609</v>
      </c>
      <c r="V4" s="50">
        <v>1963</v>
      </c>
      <c r="W4" s="50">
        <v>5280</v>
      </c>
      <c r="X4" s="50">
        <v>6804</v>
      </c>
      <c r="Y4" s="50">
        <v>12559</v>
      </c>
      <c r="Z4" s="50">
        <v>6018</v>
      </c>
      <c r="AA4" s="50">
        <v>24022</v>
      </c>
      <c r="AB4" s="50">
        <v>15449</v>
      </c>
      <c r="AC4" s="50">
        <v>56241</v>
      </c>
      <c r="AD4" s="50">
        <v>49237</v>
      </c>
      <c r="AE4" s="50">
        <v>344060</v>
      </c>
      <c r="AF4" s="50">
        <v>302166</v>
      </c>
      <c r="AG4" s="50">
        <v>93466988536048</v>
      </c>
      <c r="AH4" s="57">
        <v>0.46237979166666671</v>
      </c>
    </row>
    <row r="5" spans="1:34" s="50" customFormat="1" ht="73" x14ac:dyDescent="0.2">
      <c r="A5" s="50" t="s">
        <v>134</v>
      </c>
      <c r="B5" s="50" t="s">
        <v>277</v>
      </c>
      <c r="C5" s="50" t="s">
        <v>265</v>
      </c>
      <c r="D5" s="57">
        <v>0.47372892361111107</v>
      </c>
      <c r="E5" s="50">
        <v>94447558157990</v>
      </c>
      <c r="F5" s="50">
        <v>120492631207</v>
      </c>
      <c r="G5" s="50">
        <v>33001067100</v>
      </c>
      <c r="H5" s="50">
        <v>10717</v>
      </c>
      <c r="I5" s="50">
        <v>20030677</v>
      </c>
      <c r="J5" s="50">
        <v>20082</v>
      </c>
      <c r="K5" s="50">
        <v>0</v>
      </c>
      <c r="L5" s="50">
        <v>120492631207</v>
      </c>
      <c r="M5" s="50">
        <v>0</v>
      </c>
      <c r="N5" s="50">
        <v>7015</v>
      </c>
      <c r="O5" s="50">
        <v>3244975</v>
      </c>
      <c r="P5" s="50">
        <v>2029146</v>
      </c>
      <c r="Q5" s="50">
        <v>499745</v>
      </c>
      <c r="R5" s="50">
        <v>91519</v>
      </c>
      <c r="S5" s="50">
        <v>32648</v>
      </c>
      <c r="T5" s="50">
        <v>13774</v>
      </c>
      <c r="U5" s="50">
        <v>19798</v>
      </c>
      <c r="V5" s="50">
        <v>7741</v>
      </c>
      <c r="W5" s="50">
        <v>2067</v>
      </c>
      <c r="X5" s="50">
        <v>972</v>
      </c>
      <c r="Y5" s="50">
        <v>1953</v>
      </c>
      <c r="Z5" s="50">
        <v>1890</v>
      </c>
      <c r="AA5" s="50">
        <v>10046</v>
      </c>
      <c r="AB5" s="50">
        <v>4110</v>
      </c>
      <c r="AC5" s="50">
        <v>2706</v>
      </c>
      <c r="AD5" s="50">
        <v>2910</v>
      </c>
      <c r="AE5" s="50">
        <v>7965</v>
      </c>
      <c r="AF5" s="50">
        <v>3834</v>
      </c>
      <c r="AG5" s="50">
        <v>94608448336845</v>
      </c>
      <c r="AH5" s="57">
        <v>0.47559113425925931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366DB-B368-4D47-9433-AF9BEAFFA416}">
  <dimension ref="A1:CL5"/>
  <sheetViews>
    <sheetView workbookViewId="0">
      <selection activeCell="AN8" sqref="AN8"/>
    </sheetView>
  </sheetViews>
  <sheetFormatPr baseColWidth="10" defaultRowHeight="16" x14ac:dyDescent="0.2"/>
  <cols>
    <col min="1" max="84" width="3.6640625" bestFit="1" customWidth="1"/>
    <col min="85" max="85" width="4.6640625" bestFit="1" customWidth="1"/>
    <col min="86" max="89" width="3.6640625" bestFit="1" customWidth="1"/>
  </cols>
  <sheetData>
    <row r="1" spans="1:90" s="46" customFormat="1" ht="17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286</v>
      </c>
      <c r="AO1" s="20" t="s">
        <v>27</v>
      </c>
      <c r="AP1" s="20" t="s">
        <v>285</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c r="CG1" s="20" t="s">
        <v>278</v>
      </c>
      <c r="CH1" s="20" t="s">
        <v>269</v>
      </c>
      <c r="CI1" s="20" t="s">
        <v>279</v>
      </c>
      <c r="CJ1" s="121" t="s">
        <v>291</v>
      </c>
      <c r="CK1" s="121" t="s">
        <v>297</v>
      </c>
    </row>
    <row r="2" spans="1:90" ht="91" x14ac:dyDescent="0.2">
      <c r="A2" s="181" t="s">
        <v>69</v>
      </c>
      <c r="B2" s="182">
        <v>0.54831295138888891</v>
      </c>
      <c r="C2" s="183">
        <v>87693645319688</v>
      </c>
      <c r="D2" s="181">
        <v>500</v>
      </c>
      <c r="E2" s="181">
        <v>20000</v>
      </c>
      <c r="F2" s="184">
        <v>10000000</v>
      </c>
      <c r="G2" s="181">
        <v>1</v>
      </c>
      <c r="H2" s="181">
        <v>41</v>
      </c>
      <c r="I2" s="181">
        <v>2315</v>
      </c>
      <c r="J2" s="181">
        <v>59730</v>
      </c>
      <c r="K2" s="181">
        <v>606532</v>
      </c>
      <c r="L2" s="181">
        <v>2416749</v>
      </c>
      <c r="M2" s="181">
        <v>3829485</v>
      </c>
      <c r="N2" s="181">
        <v>2416249</v>
      </c>
      <c r="O2" s="181">
        <v>606796</v>
      </c>
      <c r="P2" s="181">
        <v>59657</v>
      </c>
      <c r="Q2" s="181">
        <v>2402</v>
      </c>
      <c r="R2" s="181">
        <v>0</v>
      </c>
      <c r="S2" s="181">
        <v>0</v>
      </c>
      <c r="T2" s="181">
        <v>1804</v>
      </c>
      <c r="U2" s="181">
        <v>7036095</v>
      </c>
      <c r="V2" s="181">
        <v>2462947</v>
      </c>
      <c r="W2" s="181">
        <v>221691</v>
      </c>
      <c r="X2" s="181">
        <v>102357</v>
      </c>
      <c r="Y2" s="181">
        <v>66142</v>
      </c>
      <c r="Z2" s="181">
        <v>37224</v>
      </c>
      <c r="AA2" s="181">
        <v>13544</v>
      </c>
      <c r="AB2" s="181">
        <v>5277</v>
      </c>
      <c r="AC2" s="181">
        <v>2470</v>
      </c>
      <c r="AD2" s="181">
        <v>1385</v>
      </c>
      <c r="AE2" s="181">
        <v>590</v>
      </c>
      <c r="AF2" s="181">
        <v>234</v>
      </c>
      <c r="AG2" s="181">
        <v>112</v>
      </c>
      <c r="AH2" s="181">
        <v>36</v>
      </c>
      <c r="AI2" s="181">
        <v>18</v>
      </c>
      <c r="AJ2" s="181">
        <v>16</v>
      </c>
      <c r="AK2" s="181">
        <v>10</v>
      </c>
      <c r="AL2" s="181">
        <v>46688032</v>
      </c>
      <c r="AM2" s="186">
        <f>1480830528655/10^9</f>
        <v>1480.8305286550001</v>
      </c>
      <c r="AN2" s="181">
        <v>64780</v>
      </c>
      <c r="AO2" s="181">
        <v>552522557</v>
      </c>
      <c r="AP2" s="181">
        <v>148083</v>
      </c>
      <c r="AQ2" s="183">
        <v>54995610996</v>
      </c>
      <c r="AR2" s="181">
        <v>5499</v>
      </c>
      <c r="AS2" s="181">
        <v>37.138359999999999</v>
      </c>
      <c r="AT2" s="181">
        <v>35.466681999999999</v>
      </c>
      <c r="AU2" s="181">
        <v>36.509723999999999</v>
      </c>
      <c r="AV2" s="181">
        <v>35.343470000000003</v>
      </c>
      <c r="AW2" s="181">
        <v>35.132843000000001</v>
      </c>
      <c r="AX2" s="181">
        <v>36.013263999999999</v>
      </c>
      <c r="AY2" s="181">
        <v>39.094611999999998</v>
      </c>
      <c r="AZ2" s="181">
        <v>35.557670000000002</v>
      </c>
      <c r="BA2" s="181">
        <v>36.300400000000003</v>
      </c>
      <c r="BB2" s="181">
        <v>42.268355999999997</v>
      </c>
      <c r="BC2" s="181">
        <v>40.775036</v>
      </c>
      <c r="BD2" s="181">
        <v>38.968020000000003</v>
      </c>
      <c r="BE2" s="181">
        <v>30.370777</v>
      </c>
      <c r="BF2" s="181">
        <v>38.395870000000002</v>
      </c>
      <c r="BG2" s="181">
        <v>40.404389999999999</v>
      </c>
      <c r="BH2" s="181">
        <v>35.82799</v>
      </c>
      <c r="BI2" s="181">
        <v>35.932586999999998</v>
      </c>
      <c r="BJ2" s="181">
        <v>34.288296000000003</v>
      </c>
      <c r="BK2" s="181">
        <v>36.826030000000003</v>
      </c>
      <c r="BL2" s="181">
        <v>37.101643000000003</v>
      </c>
      <c r="BM2" s="181">
        <v>38.925629999999998</v>
      </c>
      <c r="BN2" s="183">
        <v>3936913006592</v>
      </c>
      <c r="BO2" s="183">
        <v>3736764571648</v>
      </c>
      <c r="BP2" s="183">
        <v>3657651662848</v>
      </c>
      <c r="BQ2" s="183">
        <v>3936820699136</v>
      </c>
      <c r="BR2" s="183">
        <v>3857707790336</v>
      </c>
      <c r="BS2" s="183">
        <v>89211271453279</v>
      </c>
      <c r="BT2" s="182">
        <v>0.56587810185185183</v>
      </c>
      <c r="BU2" s="181">
        <v>244195328</v>
      </c>
      <c r="BV2" s="181">
        <v>10000512</v>
      </c>
      <c r="BW2" s="181">
        <v>234194816</v>
      </c>
      <c r="BX2" s="185">
        <v>0.05</v>
      </c>
      <c r="BY2" s="181">
        <v>3844641608</v>
      </c>
      <c r="BZ2" s="181">
        <v>77348844</v>
      </c>
      <c r="CA2" s="181">
        <v>3571925452</v>
      </c>
      <c r="CB2" s="185">
        <v>0.03</v>
      </c>
      <c r="CC2" s="181" t="s">
        <v>256</v>
      </c>
      <c r="CD2" s="181" t="s">
        <v>72</v>
      </c>
      <c r="CE2" s="181" t="s">
        <v>257</v>
      </c>
      <c r="CF2" s="185">
        <v>0.03</v>
      </c>
      <c r="CG2" s="186">
        <f t="shared" ref="CG2:CG3" si="0">((BS2-C2)/1000000000)/60</f>
        <v>25.293768893183334</v>
      </c>
      <c r="CH2" s="182">
        <f t="shared" ref="CH2:CH3" si="1">BT2-B2</f>
        <v>1.756515046296292E-2</v>
      </c>
      <c r="CI2" s="187">
        <f t="shared" ref="CI2" si="2">((BO2-BP2)-AQ2)/ABS(AQ2)</f>
        <v>0.43853131854020361</v>
      </c>
      <c r="CJ2" s="183">
        <f t="shared" ref="CJ2:CJ3" si="3">((BZ2*1024)/4096)/(CG2*60)</f>
        <v>12741.748822053018</v>
      </c>
      <c r="CK2" s="181" t="s">
        <v>296</v>
      </c>
      <c r="CL2" s="50"/>
    </row>
    <row r="3" spans="1:90" ht="104" x14ac:dyDescent="0.2">
      <c r="A3" s="181" t="s">
        <v>69</v>
      </c>
      <c r="B3" s="182">
        <v>0.42563618055555552</v>
      </c>
      <c r="C3" s="183">
        <v>1113894373004410</v>
      </c>
      <c r="D3" s="181">
        <v>5000</v>
      </c>
      <c r="E3" s="181">
        <v>200000</v>
      </c>
      <c r="F3" s="184">
        <v>1000000000</v>
      </c>
      <c r="G3" s="181">
        <v>1</v>
      </c>
      <c r="H3" s="181">
        <v>3322</v>
      </c>
      <c r="I3" s="181">
        <v>229017</v>
      </c>
      <c r="J3" s="181">
        <v>5978942</v>
      </c>
      <c r="K3" s="181">
        <v>60603695</v>
      </c>
      <c r="L3" s="181">
        <v>241725351</v>
      </c>
      <c r="M3" s="181">
        <v>382921875</v>
      </c>
      <c r="N3" s="181">
        <v>241724391</v>
      </c>
      <c r="O3" s="181">
        <v>60600125</v>
      </c>
      <c r="P3" s="181">
        <v>5980631</v>
      </c>
      <c r="Q3" s="181">
        <v>229299</v>
      </c>
      <c r="R3" s="181">
        <v>999999870</v>
      </c>
      <c r="S3" s="181">
        <v>102</v>
      </c>
      <c r="T3" s="181">
        <v>9</v>
      </c>
      <c r="U3" s="181">
        <v>5</v>
      </c>
      <c r="V3" s="181">
        <v>1</v>
      </c>
      <c r="W3" s="181">
        <v>0</v>
      </c>
      <c r="X3" s="181">
        <v>0</v>
      </c>
      <c r="Y3" s="181">
        <v>1</v>
      </c>
      <c r="Z3" s="181">
        <v>0</v>
      </c>
      <c r="AA3" s="181">
        <v>0</v>
      </c>
      <c r="AB3" s="181">
        <v>1</v>
      </c>
      <c r="AC3" s="181">
        <v>0</v>
      </c>
      <c r="AD3" s="181">
        <v>1</v>
      </c>
      <c r="AE3" s="181">
        <v>0</v>
      </c>
      <c r="AF3" s="181">
        <v>1</v>
      </c>
      <c r="AG3" s="181">
        <v>0</v>
      </c>
      <c r="AH3" s="181">
        <v>0</v>
      </c>
      <c r="AI3" s="181">
        <v>1</v>
      </c>
      <c r="AJ3" s="181">
        <v>0</v>
      </c>
      <c r="AK3" s="181">
        <v>0</v>
      </c>
      <c r="AL3" s="181">
        <v>1844904</v>
      </c>
      <c r="AM3" s="186">
        <f>29094496598/10^9</f>
        <v>29.094496597999999</v>
      </c>
      <c r="AN3" s="181">
        <v>26</v>
      </c>
      <c r="AO3" s="181">
        <v>10416128</v>
      </c>
      <c r="AP3" s="181">
        <v>29</v>
      </c>
      <c r="AQ3" s="183">
        <v>5499495825237</v>
      </c>
      <c r="AR3" s="181">
        <v>5499</v>
      </c>
      <c r="AS3" s="181">
        <v>189021.86</v>
      </c>
      <c r="AT3" s="181">
        <v>191783.95</v>
      </c>
      <c r="AU3" s="181">
        <v>192267.03</v>
      </c>
      <c r="AV3" s="181">
        <v>192113.56</v>
      </c>
      <c r="AW3" s="181">
        <v>190971.75</v>
      </c>
      <c r="AX3" s="181">
        <v>191528.83</v>
      </c>
      <c r="AY3" s="181">
        <v>191150.25</v>
      </c>
      <c r="AZ3" s="181">
        <v>190324.8</v>
      </c>
      <c r="BA3" s="181">
        <v>191038.39</v>
      </c>
      <c r="BB3" s="181">
        <v>189777.08</v>
      </c>
      <c r="BC3" s="181">
        <v>191045.77</v>
      </c>
      <c r="BD3" s="181">
        <v>190812.17</v>
      </c>
      <c r="BE3" s="181">
        <v>185101.3</v>
      </c>
      <c r="BF3" s="181">
        <v>191074.22</v>
      </c>
      <c r="BG3" s="181">
        <v>191415.44</v>
      </c>
      <c r="BH3" s="181">
        <v>190502.06</v>
      </c>
      <c r="BI3" s="181">
        <v>190751.22</v>
      </c>
      <c r="BJ3" s="181">
        <v>186709.83</v>
      </c>
      <c r="BK3" s="181">
        <v>190934.64</v>
      </c>
      <c r="BL3" s="181">
        <v>190924.39</v>
      </c>
      <c r="BM3" s="181">
        <v>191095.17</v>
      </c>
      <c r="BN3" s="183">
        <v>3936913006592</v>
      </c>
      <c r="BO3" s="183">
        <v>3657651662848</v>
      </c>
      <c r="BP3" s="183">
        <v>3657651662848</v>
      </c>
      <c r="BQ3" s="183">
        <v>3857707790336</v>
      </c>
      <c r="BR3" s="183">
        <v>3857707790336</v>
      </c>
      <c r="BS3" s="183">
        <v>1114863590578870</v>
      </c>
      <c r="BT3" s="182">
        <v>0.43685401620370373</v>
      </c>
      <c r="BU3" s="181">
        <v>244195328</v>
      </c>
      <c r="BV3" s="181">
        <v>10000512</v>
      </c>
      <c r="BW3" s="181">
        <v>234194816</v>
      </c>
      <c r="BX3" s="185">
        <v>0.05</v>
      </c>
      <c r="BY3" s="181">
        <v>3844641608</v>
      </c>
      <c r="BZ3" s="181">
        <v>77348844</v>
      </c>
      <c r="CA3" s="181">
        <v>3571925452</v>
      </c>
      <c r="CB3" s="185">
        <v>0.03</v>
      </c>
      <c r="CC3" s="181" t="s">
        <v>256</v>
      </c>
      <c r="CD3" s="181" t="s">
        <v>72</v>
      </c>
      <c r="CE3" s="181" t="s">
        <v>257</v>
      </c>
      <c r="CF3" s="185">
        <v>0.03</v>
      </c>
      <c r="CG3" s="186">
        <f t="shared" si="0"/>
        <v>16.153626241000001</v>
      </c>
      <c r="CH3" s="182">
        <f t="shared" si="1"/>
        <v>1.1217835648148211E-2</v>
      </c>
      <c r="CI3" s="187"/>
      <c r="CJ3" s="183">
        <f t="shared" si="3"/>
        <v>19951.362325196937</v>
      </c>
      <c r="CK3" s="181" t="s">
        <v>295</v>
      </c>
      <c r="CL3" s="50"/>
    </row>
    <row r="4" spans="1:90" ht="70" x14ac:dyDescent="0.2">
      <c r="AJ4" s="186"/>
      <c r="AL4" s="107" t="s">
        <v>298</v>
      </c>
      <c r="AM4" s="186">
        <f>(AM2-AM3)</f>
        <v>1451.7360320570001</v>
      </c>
      <c r="CG4" s="89"/>
    </row>
    <row r="5" spans="1:90" x14ac:dyDescent="0.2">
      <c r="AM5" s="18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9235-8785-C94B-B14F-0492C31271FE}">
  <dimension ref="A1:BV7"/>
  <sheetViews>
    <sheetView workbookViewId="0">
      <selection activeCell="AT1" sqref="AT1:BM2"/>
    </sheetView>
  </sheetViews>
  <sheetFormatPr baseColWidth="10" defaultRowHeight="16" x14ac:dyDescent="0.2"/>
  <cols>
    <col min="1" max="74" width="3.6640625" bestFit="1" customWidth="1"/>
  </cols>
  <sheetData>
    <row r="1" spans="1:74" s="46" customFormat="1" ht="185" x14ac:dyDescent="0.2">
      <c r="A1" s="171" t="s">
        <v>38</v>
      </c>
      <c r="B1" s="171" t="s">
        <v>43</v>
      </c>
      <c r="C1" s="172" t="s">
        <v>40</v>
      </c>
      <c r="D1" s="171" t="s">
        <v>0</v>
      </c>
      <c r="E1" s="171" t="s">
        <v>1</v>
      </c>
      <c r="F1" s="171" t="s">
        <v>2</v>
      </c>
      <c r="G1" s="171" t="s">
        <v>3</v>
      </c>
      <c r="H1" s="173" t="s">
        <v>122</v>
      </c>
      <c r="I1" s="173" t="s">
        <v>123</v>
      </c>
      <c r="J1" s="173" t="s">
        <v>124</v>
      </c>
      <c r="K1" s="173" t="s">
        <v>125</v>
      </c>
      <c r="L1" s="173" t="s">
        <v>126</v>
      </c>
      <c r="M1" s="173" t="s">
        <v>127</v>
      </c>
      <c r="N1" s="173" t="s">
        <v>128</v>
      </c>
      <c r="O1" s="173" t="s">
        <v>129</v>
      </c>
      <c r="P1" s="173" t="s">
        <v>130</v>
      </c>
      <c r="Q1" s="173" t="s">
        <v>131</v>
      </c>
      <c r="R1" s="174" t="s">
        <v>14</v>
      </c>
      <c r="S1" s="174" t="s">
        <v>15</v>
      </c>
      <c r="T1" s="174" t="s">
        <v>16</v>
      </c>
      <c r="U1" s="174" t="s">
        <v>17</v>
      </c>
      <c r="V1" s="174" t="s">
        <v>18</v>
      </c>
      <c r="W1" s="174" t="s">
        <v>19</v>
      </c>
      <c r="X1" s="174" t="s">
        <v>20</v>
      </c>
      <c r="Y1" s="174" t="s">
        <v>21</v>
      </c>
      <c r="Z1" s="174" t="s">
        <v>22</v>
      </c>
      <c r="AA1" s="174" t="s">
        <v>23</v>
      </c>
      <c r="AB1" s="174" t="s">
        <v>79</v>
      </c>
      <c r="AC1" s="174" t="s">
        <v>80</v>
      </c>
      <c r="AD1" s="174" t="s">
        <v>81</v>
      </c>
      <c r="AE1" s="174" t="s">
        <v>82</v>
      </c>
      <c r="AF1" s="174" t="s">
        <v>83</v>
      </c>
      <c r="AG1" s="174" t="s">
        <v>84</v>
      </c>
      <c r="AH1" s="174" t="s">
        <v>85</v>
      </c>
      <c r="AI1" s="174" t="s">
        <v>86</v>
      </c>
      <c r="AJ1" s="174" t="s">
        <v>87</v>
      </c>
      <c r="AK1" s="174" t="s">
        <v>88</v>
      </c>
      <c r="AL1" s="175" t="s">
        <v>89</v>
      </c>
      <c r="AM1" s="175" t="s">
        <v>90</v>
      </c>
      <c r="AN1" s="175" t="s">
        <v>91</v>
      </c>
      <c r="AO1" s="175" t="s">
        <v>92</v>
      </c>
      <c r="AP1" s="175" t="s">
        <v>93</v>
      </c>
      <c r="AQ1" s="175" t="s">
        <v>94</v>
      </c>
      <c r="AR1" s="175" t="s">
        <v>95</v>
      </c>
      <c r="AS1" s="175" t="s">
        <v>96</v>
      </c>
      <c r="AT1" s="176" t="s">
        <v>78</v>
      </c>
      <c r="AU1" s="176" t="s">
        <v>97</v>
      </c>
      <c r="AV1" s="176" t="s">
        <v>98</v>
      </c>
      <c r="AW1" s="176" t="s">
        <v>99</v>
      </c>
      <c r="AX1" s="176" t="s">
        <v>100</v>
      </c>
      <c r="AY1" s="176" t="s">
        <v>101</v>
      </c>
      <c r="AZ1" s="176" t="s">
        <v>102</v>
      </c>
      <c r="BA1" s="176" t="s">
        <v>103</v>
      </c>
      <c r="BB1" s="176" t="s">
        <v>104</v>
      </c>
      <c r="BC1" s="176" t="s">
        <v>105</v>
      </c>
      <c r="BD1" s="176" t="s">
        <v>106</v>
      </c>
      <c r="BE1" s="176" t="s">
        <v>107</v>
      </c>
      <c r="BF1" s="176" t="s">
        <v>108</v>
      </c>
      <c r="BG1" s="176" t="s">
        <v>109</v>
      </c>
      <c r="BH1" s="176" t="s">
        <v>110</v>
      </c>
      <c r="BI1" s="176" t="s">
        <v>111</v>
      </c>
      <c r="BJ1" s="176" t="s">
        <v>112</v>
      </c>
      <c r="BK1" s="176" t="s">
        <v>113</v>
      </c>
      <c r="BL1" s="176" t="s">
        <v>114</v>
      </c>
      <c r="BM1" s="176" t="s">
        <v>115</v>
      </c>
      <c r="BN1" s="52" t="s">
        <v>116</v>
      </c>
      <c r="BO1" s="177" t="s">
        <v>117</v>
      </c>
      <c r="BP1" s="177" t="s">
        <v>118</v>
      </c>
      <c r="BQ1" s="177" t="s">
        <v>119</v>
      </c>
      <c r="BR1" s="177" t="s">
        <v>120</v>
      </c>
      <c r="BS1" s="172" t="s">
        <v>121</v>
      </c>
      <c r="BT1" s="52" t="s">
        <v>44</v>
      </c>
      <c r="BU1" s="177" t="s">
        <v>132</v>
      </c>
      <c r="BV1" s="177" t="s">
        <v>133</v>
      </c>
    </row>
    <row r="2" spans="1:74" s="46" customFormat="1" ht="110" x14ac:dyDescent="0.2">
      <c r="A2" s="167" t="s">
        <v>39</v>
      </c>
      <c r="B2" s="168">
        <v>0.4253725694444444</v>
      </c>
      <c r="C2" s="169">
        <v>512769043384010</v>
      </c>
      <c r="D2" s="167">
        <v>100</v>
      </c>
      <c r="E2" s="167">
        <v>1000</v>
      </c>
      <c r="F2" s="167">
        <v>100000</v>
      </c>
      <c r="G2" s="167">
        <v>1</v>
      </c>
      <c r="H2" s="167">
        <v>0</v>
      </c>
      <c r="I2" s="167">
        <v>20</v>
      </c>
      <c r="J2" s="167">
        <v>619</v>
      </c>
      <c r="K2" s="167">
        <v>6062</v>
      </c>
      <c r="L2" s="167">
        <v>24198</v>
      </c>
      <c r="M2" s="167">
        <v>38321</v>
      </c>
      <c r="N2" s="167">
        <v>24159</v>
      </c>
      <c r="O2" s="167">
        <v>5994</v>
      </c>
      <c r="P2" s="167">
        <v>607</v>
      </c>
      <c r="Q2" s="167">
        <v>18</v>
      </c>
      <c r="R2" s="167">
        <v>0</v>
      </c>
      <c r="S2" s="167">
        <v>0</v>
      </c>
      <c r="T2" s="167">
        <v>696</v>
      </c>
      <c r="U2" s="167">
        <v>69763</v>
      </c>
      <c r="V2" s="167">
        <v>21376</v>
      </c>
      <c r="W2" s="167">
        <v>4932</v>
      </c>
      <c r="X2" s="167">
        <v>1468</v>
      </c>
      <c r="Y2" s="167">
        <v>751</v>
      </c>
      <c r="Z2" s="167">
        <v>514</v>
      </c>
      <c r="AA2" s="167">
        <v>236</v>
      </c>
      <c r="AB2" s="167">
        <v>115</v>
      </c>
      <c r="AC2" s="167">
        <v>50</v>
      </c>
      <c r="AD2" s="167">
        <v>28</v>
      </c>
      <c r="AE2" s="167">
        <v>17</v>
      </c>
      <c r="AF2" s="167">
        <v>19</v>
      </c>
      <c r="AG2" s="167">
        <v>10</v>
      </c>
      <c r="AH2" s="167">
        <v>3</v>
      </c>
      <c r="AI2" s="167">
        <v>2</v>
      </c>
      <c r="AJ2" s="167">
        <v>2</v>
      </c>
      <c r="AK2" s="167">
        <v>0</v>
      </c>
      <c r="AL2" s="167">
        <v>6182238</v>
      </c>
      <c r="AM2" s="167">
        <v>9884603832</v>
      </c>
      <c r="AN2" s="167">
        <v>67174</v>
      </c>
      <c r="AO2" s="167">
        <v>14115474</v>
      </c>
      <c r="AP2" s="167">
        <v>98846</v>
      </c>
      <c r="AQ2" s="167">
        <v>549768113</v>
      </c>
      <c r="AR2" s="167">
        <v>5497</v>
      </c>
      <c r="AS2" s="167">
        <v>55.618633000000003</v>
      </c>
      <c r="AT2" s="167">
        <v>53.464176000000002</v>
      </c>
      <c r="AU2" s="167">
        <v>58.270766999999999</v>
      </c>
      <c r="AV2" s="167">
        <v>58.761271999999998</v>
      </c>
      <c r="AW2" s="167">
        <v>53.025996999999997</v>
      </c>
      <c r="AX2" s="167">
        <v>53.963673</v>
      </c>
      <c r="AY2" s="167">
        <v>57.455559999999998</v>
      </c>
      <c r="AZ2" s="167">
        <v>54.733226999999999</v>
      </c>
      <c r="BA2" s="167">
        <v>44.221960000000003</v>
      </c>
      <c r="BB2" s="167">
        <v>58.765810000000002</v>
      </c>
      <c r="BC2" s="167">
        <v>57.094070000000002</v>
      </c>
      <c r="BD2" s="167">
        <v>55.43956</v>
      </c>
      <c r="BE2" s="167">
        <v>60.806007000000001</v>
      </c>
      <c r="BF2" s="167">
        <v>55.576149999999998</v>
      </c>
      <c r="BG2" s="167">
        <v>60.465088000000002</v>
      </c>
      <c r="BH2" s="167">
        <v>58.648769999999999</v>
      </c>
      <c r="BI2" s="167">
        <v>55.100439999999999</v>
      </c>
      <c r="BJ2" s="167">
        <v>61.042458000000003</v>
      </c>
      <c r="BK2" s="167">
        <v>56.898784999999997</v>
      </c>
      <c r="BL2" s="167">
        <v>55.868682999999997</v>
      </c>
      <c r="BM2" s="167">
        <v>56.909644999999998</v>
      </c>
      <c r="BN2" s="170">
        <v>12000138625024</v>
      </c>
      <c r="BO2" s="170">
        <v>11997973315584</v>
      </c>
      <c r="BP2" s="170">
        <v>11997629128704</v>
      </c>
      <c r="BQ2" s="170">
        <v>12000134955008</v>
      </c>
      <c r="BR2" s="170">
        <v>11999740272640</v>
      </c>
      <c r="BS2" s="169">
        <v>512779742563366</v>
      </c>
      <c r="BT2" s="168">
        <v>0.42549644675925924</v>
      </c>
      <c r="BU2" s="169">
        <f>(BS2-C2)/1000000000</f>
        <v>10.699179356</v>
      </c>
      <c r="BV2" s="168">
        <f>BT2-B2</f>
        <v>1.2387731481483533E-4</v>
      </c>
    </row>
    <row r="3" spans="1:74" x14ac:dyDescent="0.2">
      <c r="BN3" s="16"/>
      <c r="BO3" s="18"/>
      <c r="BP3" s="16"/>
      <c r="BR3" s="16"/>
    </row>
    <row r="4" spans="1:74" x14ac:dyDescent="0.2">
      <c r="BN4" s="17"/>
      <c r="BO4" s="17"/>
      <c r="BP4" s="16"/>
    </row>
    <row r="5" spans="1:74" x14ac:dyDescent="0.2">
      <c r="BP5" s="16"/>
    </row>
    <row r="6" spans="1:74" x14ac:dyDescent="0.2">
      <c r="BP6" s="17"/>
    </row>
    <row r="7" spans="1:74" x14ac:dyDescent="0.2">
      <c r="BP7" s="17"/>
    </row>
  </sheetData>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DF76-7282-1045-9D2F-986830C14B58}">
  <dimension ref="A1:CW24"/>
  <sheetViews>
    <sheetView zoomScaleNormal="100" workbookViewId="0">
      <pane ySplit="1" topLeftCell="A2" activePane="bottomLeft" state="frozen"/>
      <selection pane="bottomLeft" activeCell="BG60" sqref="BG60"/>
    </sheetView>
  </sheetViews>
  <sheetFormatPr baseColWidth="10" defaultRowHeight="16" x14ac:dyDescent="0.2"/>
  <cols>
    <col min="1" max="89" width="3.6640625" bestFit="1" customWidth="1"/>
    <col min="90" max="91" width="3.6640625" customWidth="1"/>
    <col min="92" max="92" width="11.1640625" bestFit="1" customWidth="1"/>
    <col min="93" max="93" width="12.1640625" customWidth="1"/>
  </cols>
  <sheetData>
    <row r="1" spans="1:100" s="46" customFormat="1" ht="17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286</v>
      </c>
      <c r="AO1" s="20" t="s">
        <v>27</v>
      </c>
      <c r="AP1" s="20" t="s">
        <v>285</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c r="CG1" s="20" t="s">
        <v>278</v>
      </c>
      <c r="CH1" s="20" t="s">
        <v>269</v>
      </c>
      <c r="CI1" s="20" t="s">
        <v>279</v>
      </c>
      <c r="CJ1" s="121" t="s">
        <v>291</v>
      </c>
    </row>
    <row r="2" spans="1:100" s="50" customFormat="1" ht="98" x14ac:dyDescent="0.2">
      <c r="A2" s="50" t="s">
        <v>69</v>
      </c>
      <c r="B2" s="47">
        <v>0.59586245370370372</v>
      </c>
      <c r="C2" s="48">
        <v>167983935561351</v>
      </c>
      <c r="D2" s="50">
        <v>500</v>
      </c>
      <c r="E2" s="50">
        <v>20000</v>
      </c>
      <c r="F2" s="49">
        <v>10000000</v>
      </c>
      <c r="G2" s="50">
        <v>1</v>
      </c>
      <c r="H2" s="50">
        <v>39</v>
      </c>
      <c r="I2" s="50">
        <v>2326</v>
      </c>
      <c r="J2" s="50">
        <v>59639</v>
      </c>
      <c r="K2" s="50">
        <v>606858</v>
      </c>
      <c r="L2" s="50">
        <v>2415419</v>
      </c>
      <c r="M2" s="50">
        <v>3833682</v>
      </c>
      <c r="N2" s="50">
        <v>2414922</v>
      </c>
      <c r="O2" s="50">
        <v>605293</v>
      </c>
      <c r="P2" s="50">
        <v>59524</v>
      </c>
      <c r="Q2" s="50">
        <v>2267</v>
      </c>
      <c r="R2" s="50">
        <v>0</v>
      </c>
      <c r="S2" s="50">
        <v>0</v>
      </c>
      <c r="T2" s="50">
        <v>1010</v>
      </c>
      <c r="U2" s="50">
        <v>5620647</v>
      </c>
      <c r="V2" s="50">
        <v>3878101</v>
      </c>
      <c r="W2" s="50">
        <v>218641</v>
      </c>
      <c r="X2" s="50">
        <v>103873</v>
      </c>
      <c r="Y2" s="50">
        <v>64497</v>
      </c>
      <c r="Z2" s="50">
        <v>38336</v>
      </c>
      <c r="AA2" s="50">
        <v>15260</v>
      </c>
      <c r="AB2" s="50">
        <v>7228</v>
      </c>
      <c r="AC2" s="50">
        <v>3902</v>
      </c>
      <c r="AD2" s="50">
        <v>1664</v>
      </c>
      <c r="AE2" s="50">
        <v>631</v>
      </c>
      <c r="AF2" s="50">
        <v>284</v>
      </c>
      <c r="AG2" s="50">
        <v>131</v>
      </c>
      <c r="AH2" s="50">
        <v>90</v>
      </c>
      <c r="AI2" s="50">
        <v>81</v>
      </c>
      <c r="AJ2" s="50">
        <v>44</v>
      </c>
      <c r="AK2" s="50">
        <v>31</v>
      </c>
      <c r="AL2" s="50">
        <v>53344224</v>
      </c>
      <c r="AM2" s="58">
        <f>1455504083113/10^9</f>
        <v>1455.504083113</v>
      </c>
      <c r="AN2" s="50">
        <f>68792/1000000</f>
        <v>6.8792000000000006E-2</v>
      </c>
      <c r="AO2" s="50">
        <f>470560439/1000000</f>
        <v>470.56043899999997</v>
      </c>
      <c r="AP2" s="50">
        <f>145550/1000000</f>
        <v>0.14555000000000001</v>
      </c>
      <c r="AQ2" s="48">
        <v>54991632226</v>
      </c>
      <c r="AR2" s="50">
        <v>5499</v>
      </c>
      <c r="AS2" s="50">
        <v>37.781844999999997</v>
      </c>
      <c r="AT2" s="50">
        <v>35.91319</v>
      </c>
      <c r="AU2" s="50">
        <v>40.700436000000003</v>
      </c>
      <c r="AV2" s="50">
        <v>38.073616000000001</v>
      </c>
      <c r="AW2" s="50">
        <v>40.213017000000001</v>
      </c>
      <c r="AX2" s="50">
        <v>36.868651999999997</v>
      </c>
      <c r="AY2" s="50">
        <v>37.630245000000002</v>
      </c>
      <c r="AZ2" s="50">
        <v>34.791218000000001</v>
      </c>
      <c r="BA2" s="50">
        <v>35.048319999999997</v>
      </c>
      <c r="BB2" s="50">
        <v>39.038654000000001</v>
      </c>
      <c r="BC2" s="50">
        <v>41.883614000000001</v>
      </c>
      <c r="BD2" s="50">
        <v>39.544795999999998</v>
      </c>
      <c r="BE2" s="50">
        <v>40.909633999999997</v>
      </c>
      <c r="BF2" s="50">
        <v>39.301929999999999</v>
      </c>
      <c r="BG2" s="50">
        <v>41.012782999999999</v>
      </c>
      <c r="BH2" s="50">
        <v>36.602997000000002</v>
      </c>
      <c r="BI2" s="50">
        <v>35.549050000000001</v>
      </c>
      <c r="BJ2" s="50">
        <v>31.685438000000001</v>
      </c>
      <c r="BK2" s="50">
        <v>37.871299999999998</v>
      </c>
      <c r="BL2" s="50">
        <v>35.317352</v>
      </c>
      <c r="BM2" s="50">
        <v>37.682960000000001</v>
      </c>
      <c r="BN2" s="48">
        <v>3665926332416</v>
      </c>
      <c r="BO2" s="48">
        <v>3465777897472</v>
      </c>
      <c r="BP2" s="48">
        <v>3386668740608</v>
      </c>
      <c r="BQ2" s="48">
        <v>3665834024960</v>
      </c>
      <c r="BR2" s="48">
        <v>3586724868096</v>
      </c>
      <c r="BS2" s="48">
        <v>169471590983333</v>
      </c>
      <c r="BT2" s="47">
        <v>0.61308072916666667</v>
      </c>
      <c r="BU2" s="50">
        <v>1302364160</v>
      </c>
      <c r="BV2" s="50">
        <v>10000512</v>
      </c>
      <c r="BW2" s="50">
        <v>1292363648</v>
      </c>
      <c r="BX2" s="51">
        <v>0.01</v>
      </c>
      <c r="BY2" s="50">
        <v>3580006184</v>
      </c>
      <c r="BZ2" s="50">
        <v>77345180</v>
      </c>
      <c r="CA2" s="50">
        <v>3307293692</v>
      </c>
      <c r="CB2" s="51">
        <v>0.03</v>
      </c>
      <c r="CC2" s="50" t="s">
        <v>257</v>
      </c>
      <c r="CD2" s="50" t="s">
        <v>72</v>
      </c>
      <c r="CE2" s="50" t="s">
        <v>258</v>
      </c>
      <c r="CF2" s="51">
        <v>0.03</v>
      </c>
      <c r="CG2" s="58">
        <f>((BS2-C2)/1000000000)/60</f>
        <v>24.794257033033333</v>
      </c>
      <c r="CH2" s="47">
        <f>BT2-B2</f>
        <v>1.7218275462962951E-2</v>
      </c>
      <c r="CI2" s="87">
        <f>((BO2-BP2)-AQ2)/ABS(AQ2)</f>
        <v>0.4385671721632815</v>
      </c>
      <c r="CJ2" s="48">
        <f>((BZ2*1024)/4096)/(CG2*60)</f>
        <v>12997.83183274948</v>
      </c>
      <c r="CK2" s="58">
        <f>(BS2-C2)/1000000000</f>
        <v>1487.655421982</v>
      </c>
    </row>
    <row r="3" spans="1:100" s="50" customFormat="1" ht="98" x14ac:dyDescent="0.2">
      <c r="A3" s="50" t="s">
        <v>69</v>
      </c>
      <c r="B3" s="47">
        <v>0.65543012731481476</v>
      </c>
      <c r="C3" s="48">
        <v>173130582502860</v>
      </c>
      <c r="D3" s="50">
        <v>1000</v>
      </c>
      <c r="E3" s="50">
        <v>100000</v>
      </c>
      <c r="F3" s="49">
        <v>100000000</v>
      </c>
      <c r="G3" s="50">
        <v>1</v>
      </c>
      <c r="H3" s="50">
        <v>334</v>
      </c>
      <c r="I3" s="50">
        <v>22921</v>
      </c>
      <c r="J3" s="50">
        <v>598633</v>
      </c>
      <c r="K3" s="50">
        <v>6062379</v>
      </c>
      <c r="L3" s="50">
        <v>24181653</v>
      </c>
      <c r="M3" s="50">
        <v>38282347</v>
      </c>
      <c r="N3" s="50">
        <v>24169224</v>
      </c>
      <c r="O3" s="50">
        <v>6061047</v>
      </c>
      <c r="P3" s="50">
        <v>597990</v>
      </c>
      <c r="Q3" s="50">
        <v>23151</v>
      </c>
      <c r="R3" s="50">
        <v>0</v>
      </c>
      <c r="S3" s="50">
        <v>0</v>
      </c>
      <c r="T3" s="50">
        <v>4654670</v>
      </c>
      <c r="U3" s="50">
        <v>56410596</v>
      </c>
      <c r="V3" s="50">
        <v>34917501</v>
      </c>
      <c r="W3" s="50">
        <v>1777402</v>
      </c>
      <c r="X3" s="50">
        <v>823726</v>
      </c>
      <c r="Y3" s="50">
        <v>474070</v>
      </c>
      <c r="Z3" s="50">
        <v>340726</v>
      </c>
      <c r="AA3" s="50">
        <v>102859</v>
      </c>
      <c r="AB3" s="50">
        <v>28650</v>
      </c>
      <c r="AC3" s="50">
        <v>12196</v>
      </c>
      <c r="AD3" s="50">
        <v>8818</v>
      </c>
      <c r="AE3" s="50">
        <v>4006</v>
      </c>
      <c r="AF3" s="50">
        <v>1509</v>
      </c>
      <c r="AG3" s="50">
        <v>573</v>
      </c>
      <c r="AH3" s="50">
        <v>226</v>
      </c>
      <c r="AI3" s="50">
        <v>117</v>
      </c>
      <c r="AJ3" s="50">
        <v>57</v>
      </c>
      <c r="AK3" s="50">
        <v>51</v>
      </c>
      <c r="AL3" s="50">
        <v>152037204</v>
      </c>
      <c r="AM3" s="58">
        <f>14161128896088/1000000000</f>
        <v>14161.128896087999</v>
      </c>
      <c r="AN3" s="50">
        <f>56141/1000000</f>
        <v>5.6141000000000003E-2</v>
      </c>
      <c r="AO3" s="50">
        <f>490761886/1000000</f>
        <v>490.761886</v>
      </c>
      <c r="AP3" s="50">
        <f>141611/1000000</f>
        <v>0.14161099999999999</v>
      </c>
      <c r="AQ3" s="48">
        <v>549936047508</v>
      </c>
      <c r="AR3" s="50">
        <v>5499</v>
      </c>
      <c r="AS3" s="50">
        <v>38.834193999999997</v>
      </c>
      <c r="AT3" s="50">
        <v>36.109139999999996</v>
      </c>
      <c r="AU3" s="50">
        <v>36.839157</v>
      </c>
      <c r="AV3" s="50">
        <v>35.926789999999997</v>
      </c>
      <c r="AW3" s="50">
        <v>37.097459999999998</v>
      </c>
      <c r="AX3" s="50">
        <v>39.002505999999997</v>
      </c>
      <c r="AY3" s="50">
        <v>39.592599999999997</v>
      </c>
      <c r="AZ3" s="50">
        <v>38.254240000000003</v>
      </c>
      <c r="BA3" s="50">
        <v>38.830418000000002</v>
      </c>
      <c r="BB3" s="50">
        <v>37.802334000000002</v>
      </c>
      <c r="BC3" s="50">
        <v>42.551067000000003</v>
      </c>
      <c r="BD3" s="50">
        <v>39.075090000000003</v>
      </c>
      <c r="BE3" s="50">
        <v>42.328560000000003</v>
      </c>
      <c r="BF3" s="50">
        <v>44.516719999999999</v>
      </c>
      <c r="BG3" s="50">
        <v>40.696423000000003</v>
      </c>
      <c r="BH3" s="50">
        <v>42.038853000000003</v>
      </c>
      <c r="BI3" s="50">
        <v>43.141747000000002</v>
      </c>
      <c r="BJ3" s="50">
        <v>37.4754</v>
      </c>
      <c r="BK3" s="50">
        <v>38.162394999999997</v>
      </c>
      <c r="BL3" s="50">
        <v>39.658065999999998</v>
      </c>
      <c r="BM3" s="50">
        <v>38.040264000000001</v>
      </c>
      <c r="BN3" s="48">
        <v>3665926332416</v>
      </c>
      <c r="BO3" s="48">
        <v>3465777897472</v>
      </c>
      <c r="BP3" s="48">
        <v>2674452516864</v>
      </c>
      <c r="BQ3" s="48">
        <v>3665834024960</v>
      </c>
      <c r="BR3" s="48">
        <v>2874508644352</v>
      </c>
      <c r="BS3" s="48">
        <v>187626995613661</v>
      </c>
      <c r="BT3" s="47">
        <v>0.82321273148148144</v>
      </c>
      <c r="BU3" s="50">
        <v>1302364160</v>
      </c>
      <c r="BV3" s="50">
        <v>100001012</v>
      </c>
      <c r="BW3" s="50">
        <v>1202363148</v>
      </c>
      <c r="BX3" s="51">
        <v>0.08</v>
      </c>
      <c r="BY3" s="50">
        <v>3580006184</v>
      </c>
      <c r="BZ3" s="50">
        <v>772868836</v>
      </c>
      <c r="CA3" s="50">
        <v>2611770036</v>
      </c>
      <c r="CB3" s="51">
        <v>0.23</v>
      </c>
      <c r="CC3" s="50" t="s">
        <v>257</v>
      </c>
      <c r="CD3" s="50" t="s">
        <v>71</v>
      </c>
      <c r="CE3" s="50" t="s">
        <v>259</v>
      </c>
      <c r="CF3" s="51">
        <v>0.23</v>
      </c>
      <c r="CG3" s="58">
        <f t="shared" ref="CG3:CG12" si="0">((BS3-C3)/1000000000)/60</f>
        <v>241.60688518001669</v>
      </c>
      <c r="CH3" s="47">
        <f t="shared" ref="CH3:CH15" si="1">BT3-B3</f>
        <v>0.16778260416666668</v>
      </c>
      <c r="CI3" s="87">
        <f t="shared" ref="CI3:CI15" si="2">((BO3-BP3)-AQ3)/ABS(AQ3)</f>
        <v>0.43894073537066775</v>
      </c>
      <c r="CJ3" s="48">
        <f>((BZ3*1024)/4096)/(CG3*60)</f>
        <v>13328.621882059746</v>
      </c>
      <c r="CK3" s="58">
        <f t="shared" ref="CK3:CK15" si="3">(BS3-C3)/1000000000</f>
        <v>14496.413110801001</v>
      </c>
    </row>
    <row r="4" spans="1:100" ht="91" x14ac:dyDescent="0.2">
      <c r="A4" s="50" t="s">
        <v>62</v>
      </c>
      <c r="B4" s="47">
        <v>0.56558321759259256</v>
      </c>
      <c r="C4" s="48">
        <v>78967809435211</v>
      </c>
      <c r="D4" s="50">
        <v>500</v>
      </c>
      <c r="E4" s="50">
        <v>20000</v>
      </c>
      <c r="F4" s="49">
        <v>10000000</v>
      </c>
      <c r="G4" s="50">
        <v>1</v>
      </c>
      <c r="H4" s="50">
        <v>28</v>
      </c>
      <c r="I4" s="50">
        <v>2320</v>
      </c>
      <c r="J4" s="50">
        <v>59866</v>
      </c>
      <c r="K4" s="50">
        <v>606648</v>
      </c>
      <c r="L4" s="50">
        <v>2415088</v>
      </c>
      <c r="M4" s="50">
        <v>3830154</v>
      </c>
      <c r="N4" s="50">
        <v>2417166</v>
      </c>
      <c r="O4" s="50">
        <v>606761</v>
      </c>
      <c r="P4" s="50">
        <v>59587</v>
      </c>
      <c r="Q4" s="50">
        <v>2341</v>
      </c>
      <c r="R4" s="50">
        <v>0</v>
      </c>
      <c r="S4" s="50">
        <v>16913</v>
      </c>
      <c r="T4" s="50">
        <v>8467612</v>
      </c>
      <c r="U4" s="50">
        <v>1101911</v>
      </c>
      <c r="V4" s="50">
        <v>273704</v>
      </c>
      <c r="W4" s="50">
        <v>77994</v>
      </c>
      <c r="X4" s="50">
        <v>25967</v>
      </c>
      <c r="Y4" s="50">
        <v>11530</v>
      </c>
      <c r="Z4" s="50">
        <v>9410</v>
      </c>
      <c r="AA4" s="50">
        <v>6746</v>
      </c>
      <c r="AB4" s="50">
        <v>2466</v>
      </c>
      <c r="AC4" s="50">
        <v>1053</v>
      </c>
      <c r="AD4" s="50">
        <v>467</v>
      </c>
      <c r="AE4" s="50">
        <v>224</v>
      </c>
      <c r="AF4" s="50">
        <v>121</v>
      </c>
      <c r="AG4" s="50">
        <v>75</v>
      </c>
      <c r="AH4" s="50">
        <v>41</v>
      </c>
      <c r="AI4" s="50">
        <v>30</v>
      </c>
      <c r="AJ4" s="50">
        <v>36</v>
      </c>
      <c r="AK4" s="50">
        <v>24</v>
      </c>
      <c r="AL4" s="50">
        <v>35424153</v>
      </c>
      <c r="AM4" s="58">
        <f>1037179018280/1000000000</f>
        <v>1037.17901828</v>
      </c>
      <c r="AN4" s="50">
        <f>40505/1000000</f>
        <v>4.0504999999999999E-2</v>
      </c>
      <c r="AO4" s="50">
        <f>4721381412/1000000</f>
        <v>4721.3814119999997</v>
      </c>
      <c r="AP4" s="50">
        <f>103717/1000000</f>
        <v>0.103717</v>
      </c>
      <c r="AQ4" s="48">
        <v>54997429121</v>
      </c>
      <c r="AR4" s="50">
        <v>5499</v>
      </c>
      <c r="AS4" s="50">
        <v>53.025973999999998</v>
      </c>
      <c r="AT4" s="50">
        <v>75.971959999999996</v>
      </c>
      <c r="AU4" s="50">
        <v>23.986719999999998</v>
      </c>
      <c r="AV4" s="50">
        <v>75.735534999999999</v>
      </c>
      <c r="AW4" s="50">
        <v>81.016846000000001</v>
      </c>
      <c r="AX4" s="50">
        <v>75.508690000000001</v>
      </c>
      <c r="AY4" s="50">
        <v>78.222244000000003</v>
      </c>
      <c r="AZ4" s="50">
        <v>80.353980000000007</v>
      </c>
      <c r="BA4" s="50">
        <v>79.440780000000004</v>
      </c>
      <c r="BB4" s="50">
        <v>79.439970000000002</v>
      </c>
      <c r="BC4" s="50">
        <v>79.567589999999996</v>
      </c>
      <c r="BD4" s="50">
        <v>74.421683999999999</v>
      </c>
      <c r="BE4" s="50">
        <v>77.680250000000001</v>
      </c>
      <c r="BF4" s="50">
        <v>77.734660000000005</v>
      </c>
      <c r="BG4" s="50">
        <v>78.271039999999999</v>
      </c>
      <c r="BH4" s="50">
        <v>21.17698</v>
      </c>
      <c r="BI4" s="50">
        <v>75.698440000000005</v>
      </c>
      <c r="BJ4" s="50">
        <v>61.044918000000003</v>
      </c>
      <c r="BK4" s="50">
        <v>65.907646</v>
      </c>
      <c r="BL4" s="50">
        <v>66.85427</v>
      </c>
      <c r="BM4" s="50">
        <v>17.554887999999998</v>
      </c>
      <c r="BN4" s="48">
        <v>3998833524736</v>
      </c>
      <c r="BO4" s="48">
        <v>3970919317504</v>
      </c>
      <c r="BP4" s="48">
        <v>3846905892864</v>
      </c>
      <c r="BQ4" s="48">
        <v>3970919317504</v>
      </c>
      <c r="BR4" s="48">
        <v>3846905892864</v>
      </c>
      <c r="BS4" s="48">
        <v>80039891959342</v>
      </c>
      <c r="BT4" s="47">
        <v>0.57799162037037044</v>
      </c>
      <c r="BU4" s="50">
        <v>781403712</v>
      </c>
      <c r="BV4" s="50">
        <v>10000504</v>
      </c>
      <c r="BW4" s="50">
        <v>771403208</v>
      </c>
      <c r="BX4" s="51">
        <v>0.02</v>
      </c>
      <c r="BY4" s="50">
        <v>3905110864</v>
      </c>
      <c r="BZ4" s="50">
        <v>109635688</v>
      </c>
      <c r="CA4" s="50">
        <v>3795475176</v>
      </c>
      <c r="CB4" s="51">
        <v>0.03</v>
      </c>
      <c r="CC4" s="50" t="s">
        <v>254</v>
      </c>
      <c r="CD4" s="50" t="s">
        <v>255</v>
      </c>
      <c r="CE4" s="50" t="s">
        <v>256</v>
      </c>
      <c r="CF4" s="51">
        <v>0.03</v>
      </c>
      <c r="CG4" s="58">
        <f>((BS4-C4)/1000000000)/60</f>
        <v>17.868042068849999</v>
      </c>
      <c r="CH4" s="47">
        <f t="shared" si="1"/>
        <v>1.2408402777777883E-2</v>
      </c>
      <c r="CI4" s="87">
        <f t="shared" si="2"/>
        <v>1.2548949400372462</v>
      </c>
      <c r="CJ4" s="48">
        <f t="shared" ref="CJ4:CJ15" si="4">((BZ4*1024)/4096)/(CG4*60)</f>
        <v>25566.056141262918</v>
      </c>
      <c r="CK4" s="58">
        <f t="shared" si="3"/>
        <v>1072.0825241309999</v>
      </c>
      <c r="CL4" s="50"/>
      <c r="CM4" s="50"/>
    </row>
    <row r="5" spans="1:100" ht="98" x14ac:dyDescent="0.2">
      <c r="A5" s="50" t="s">
        <v>62</v>
      </c>
      <c r="B5" s="47">
        <v>0.69821638888888893</v>
      </c>
      <c r="C5" s="48">
        <v>90427315188174</v>
      </c>
      <c r="D5" s="50">
        <v>1000</v>
      </c>
      <c r="E5" s="50">
        <v>100000</v>
      </c>
      <c r="F5" s="49">
        <v>100000000</v>
      </c>
      <c r="G5" s="50">
        <v>1</v>
      </c>
      <c r="H5" s="50">
        <v>327</v>
      </c>
      <c r="I5" s="50">
        <v>23110</v>
      </c>
      <c r="J5" s="50">
        <v>599178</v>
      </c>
      <c r="K5" s="50">
        <v>6058210</v>
      </c>
      <c r="L5" s="50">
        <v>24176454</v>
      </c>
      <c r="M5" s="50">
        <v>38291431</v>
      </c>
      <c r="N5" s="50">
        <v>24172220</v>
      </c>
      <c r="O5" s="50">
        <v>6059210</v>
      </c>
      <c r="P5" s="50">
        <v>596580</v>
      </c>
      <c r="Q5" s="50">
        <v>22945</v>
      </c>
      <c r="R5" s="50">
        <v>0</v>
      </c>
      <c r="S5" s="50">
        <v>240527</v>
      </c>
      <c r="T5" s="50">
        <v>78818912</v>
      </c>
      <c r="U5" s="50">
        <v>12936726</v>
      </c>
      <c r="V5" s="50">
        <v>3204924</v>
      </c>
      <c r="W5" s="50">
        <v>2806458</v>
      </c>
      <c r="X5" s="50">
        <v>1243871</v>
      </c>
      <c r="Y5" s="50">
        <v>238382</v>
      </c>
      <c r="Z5" s="50">
        <v>120192</v>
      </c>
      <c r="AA5" s="50">
        <v>69366</v>
      </c>
      <c r="AB5" s="50">
        <v>28995</v>
      </c>
      <c r="AC5" s="50">
        <v>14394</v>
      </c>
      <c r="AD5" s="50">
        <v>5870</v>
      </c>
      <c r="AE5" s="50">
        <v>2763</v>
      </c>
      <c r="AF5" s="50">
        <v>1506</v>
      </c>
      <c r="AG5" s="50">
        <v>1059</v>
      </c>
      <c r="AH5" s="50">
        <v>1504</v>
      </c>
      <c r="AI5" s="50">
        <v>1331</v>
      </c>
      <c r="AJ5" s="50">
        <v>498</v>
      </c>
      <c r="AK5" s="50">
        <v>204</v>
      </c>
      <c r="AL5" s="50">
        <v>3733472913</v>
      </c>
      <c r="AM5" s="58">
        <f>14277531142510/1000000000</f>
        <v>14277.531142510001</v>
      </c>
      <c r="AN5" s="50">
        <f>41387/1000000</f>
        <v>4.1387E-2</v>
      </c>
      <c r="AO5" s="50">
        <f>5079069769/1000000</f>
        <v>5079.0697689999997</v>
      </c>
      <c r="AP5" s="50">
        <f>142775/1000000</f>
        <v>0.14277500000000001</v>
      </c>
      <c r="AQ5" s="48">
        <v>549944003390</v>
      </c>
      <c r="AR5" s="50">
        <v>5499</v>
      </c>
      <c r="AS5" s="50">
        <v>38.518146999999999</v>
      </c>
      <c r="AT5" s="50">
        <v>75.678290000000004</v>
      </c>
      <c r="AU5" s="50">
        <v>73.038475000000005</v>
      </c>
      <c r="AV5" s="50">
        <v>41.805813000000001</v>
      </c>
      <c r="AW5" s="50">
        <v>35.897550000000003</v>
      </c>
      <c r="AX5" s="50">
        <v>26.836514999999999</v>
      </c>
      <c r="AY5" s="50">
        <v>26.706205000000001</v>
      </c>
      <c r="AZ5" s="50">
        <v>28.436820000000001</v>
      </c>
      <c r="BA5" s="50">
        <v>22.338379</v>
      </c>
      <c r="BB5" s="50">
        <v>27.572512</v>
      </c>
      <c r="BC5" s="50">
        <v>28.251283999999998</v>
      </c>
      <c r="BD5" s="50">
        <v>28.804113000000001</v>
      </c>
      <c r="BE5" s="50">
        <v>26.300667000000001</v>
      </c>
      <c r="BF5" s="50">
        <v>30.691327999999999</v>
      </c>
      <c r="BG5" s="50">
        <v>27.786000000000001</v>
      </c>
      <c r="BH5" s="50">
        <v>28.837160000000001</v>
      </c>
      <c r="BI5" s="50">
        <v>26.272235999999999</v>
      </c>
      <c r="BJ5" s="50">
        <v>32.693317</v>
      </c>
      <c r="BK5" s="50">
        <v>25.421230000000001</v>
      </c>
      <c r="BL5" s="50">
        <v>30.406711999999999</v>
      </c>
      <c r="BM5" s="50">
        <v>41.166096000000003</v>
      </c>
      <c r="BN5" s="48">
        <v>3998833524736</v>
      </c>
      <c r="BO5" s="48">
        <v>3970919317504</v>
      </c>
      <c r="BP5" s="48">
        <v>3093392449536</v>
      </c>
      <c r="BQ5" s="48">
        <v>3970919317504</v>
      </c>
      <c r="BR5" s="48">
        <v>3093392449536</v>
      </c>
      <c r="BS5" s="48">
        <v>105034104113804</v>
      </c>
      <c r="BT5" s="47">
        <v>0.86727649305555554</v>
      </c>
      <c r="BU5" s="50">
        <v>781403712</v>
      </c>
      <c r="BV5" s="50">
        <v>100001004</v>
      </c>
      <c r="BW5" s="50">
        <v>681402708</v>
      </c>
      <c r="BX5" s="51">
        <v>0.13</v>
      </c>
      <c r="BY5" s="50">
        <v>3905110864</v>
      </c>
      <c r="BZ5" s="50">
        <v>850925380</v>
      </c>
      <c r="CA5" s="50">
        <v>3054185484</v>
      </c>
      <c r="CB5" s="51">
        <v>0.22</v>
      </c>
      <c r="CC5" s="50" t="s">
        <v>254</v>
      </c>
      <c r="CD5" s="50" t="s">
        <v>270</v>
      </c>
      <c r="CE5" s="50" t="s">
        <v>271</v>
      </c>
      <c r="CF5" s="51">
        <v>0.22</v>
      </c>
      <c r="CG5" s="58">
        <f>((BS5-C5)/1000000000)/60</f>
        <v>243.44648209383334</v>
      </c>
      <c r="CH5" s="47">
        <f t="shared" si="1"/>
        <v>0.16906010416666661</v>
      </c>
      <c r="CI5" s="87">
        <f t="shared" si="2"/>
        <v>0.59566585426642127</v>
      </c>
      <c r="CJ5" s="48">
        <f t="shared" si="4"/>
        <v>14563.867944085099</v>
      </c>
      <c r="CK5" s="58">
        <f t="shared" si="3"/>
        <v>14606.78892563</v>
      </c>
      <c r="CL5" s="50"/>
      <c r="CM5" s="50"/>
    </row>
    <row r="6" spans="1:100" s="50" customFormat="1" ht="85" x14ac:dyDescent="0.2">
      <c r="A6" s="50" t="s">
        <v>273</v>
      </c>
      <c r="B6" s="47">
        <v>0.38715746527777778</v>
      </c>
      <c r="C6" s="48">
        <v>567783160842</v>
      </c>
      <c r="D6" s="50">
        <v>500</v>
      </c>
      <c r="E6" s="50">
        <v>20000</v>
      </c>
      <c r="F6" s="49">
        <v>10000000</v>
      </c>
      <c r="G6" s="50">
        <v>1</v>
      </c>
      <c r="H6" s="50">
        <v>38</v>
      </c>
      <c r="I6" s="50">
        <v>2305</v>
      </c>
      <c r="J6" s="50">
        <v>59524</v>
      </c>
      <c r="K6" s="50">
        <v>606117</v>
      </c>
      <c r="L6" s="50">
        <v>2415620</v>
      </c>
      <c r="M6" s="50">
        <v>3830367</v>
      </c>
      <c r="N6" s="50">
        <v>2418652</v>
      </c>
      <c r="O6" s="50">
        <v>605286</v>
      </c>
      <c r="P6" s="50">
        <v>59738</v>
      </c>
      <c r="Q6" s="50">
        <v>2316</v>
      </c>
      <c r="R6" s="50">
        <v>0</v>
      </c>
      <c r="S6" s="50">
        <v>0</v>
      </c>
      <c r="T6" s="50">
        <v>43194</v>
      </c>
      <c r="U6" s="50">
        <v>7092295</v>
      </c>
      <c r="V6" s="50">
        <v>2312792</v>
      </c>
      <c r="W6" s="50">
        <v>246026</v>
      </c>
      <c r="X6" s="50">
        <v>106544</v>
      </c>
      <c r="Y6" s="50">
        <v>98360</v>
      </c>
      <c r="Z6" s="50">
        <v>51151</v>
      </c>
      <c r="AA6" s="50">
        <v>23257</v>
      </c>
      <c r="AB6" s="50">
        <v>9525</v>
      </c>
      <c r="AC6" s="50">
        <v>3428</v>
      </c>
      <c r="AD6" s="50">
        <v>1588</v>
      </c>
      <c r="AE6" s="50">
        <v>953</v>
      </c>
      <c r="AF6" s="50">
        <v>824</v>
      </c>
      <c r="AG6" s="50">
        <v>1919</v>
      </c>
      <c r="AH6" s="50">
        <v>2205</v>
      </c>
      <c r="AI6" s="50">
        <v>1407</v>
      </c>
      <c r="AJ6" s="50">
        <v>868</v>
      </c>
      <c r="AK6" s="50">
        <v>593</v>
      </c>
      <c r="AL6" s="50">
        <v>28189919</v>
      </c>
      <c r="AM6" s="48">
        <f>986716371154/1000000000</f>
        <v>986.71637115399994</v>
      </c>
      <c r="AN6" s="50">
        <f>66196/1000000</f>
        <v>6.6196000000000005E-2</v>
      </c>
      <c r="AO6" s="50">
        <f>56502971/1000000</f>
        <v>56.502971000000002</v>
      </c>
      <c r="AP6" s="50">
        <f>98671/1000000</f>
        <v>9.8670999999999995E-2</v>
      </c>
      <c r="AQ6" s="48">
        <v>54997050601</v>
      </c>
      <c r="AR6" s="50">
        <v>5499</v>
      </c>
      <c r="AS6" s="50">
        <v>55.737442000000001</v>
      </c>
      <c r="AT6" s="50">
        <v>62.732979999999998</v>
      </c>
      <c r="AU6" s="50">
        <v>58.807630000000003</v>
      </c>
      <c r="AV6" s="50">
        <v>58.373905000000001</v>
      </c>
      <c r="AW6" s="50">
        <v>60.864502000000002</v>
      </c>
      <c r="AX6" s="50">
        <v>57.041137999999997</v>
      </c>
      <c r="AY6" s="50">
        <v>57.913944000000001</v>
      </c>
      <c r="AZ6" s="50">
        <v>55.996986</v>
      </c>
      <c r="BA6" s="50">
        <v>59.048430000000003</v>
      </c>
      <c r="BB6" s="50">
        <v>58.635689999999997</v>
      </c>
      <c r="BC6" s="50">
        <v>56.871009999999998</v>
      </c>
      <c r="BD6" s="50">
        <v>54.703144000000002</v>
      </c>
      <c r="BE6" s="50">
        <v>55.950496999999999</v>
      </c>
      <c r="BF6" s="50">
        <v>54.095576999999999</v>
      </c>
      <c r="BG6" s="50">
        <v>53.793869999999998</v>
      </c>
      <c r="BH6" s="50">
        <v>54.445155999999997</v>
      </c>
      <c r="BI6" s="50">
        <v>54.753487</v>
      </c>
      <c r="BJ6" s="50">
        <v>54.279376999999997</v>
      </c>
      <c r="BK6" s="50">
        <v>55.0852</v>
      </c>
      <c r="BL6" s="50">
        <v>53.684719999999999</v>
      </c>
      <c r="BM6" s="50">
        <v>53.356299999999997</v>
      </c>
      <c r="BN6" s="48">
        <v>4000787030016</v>
      </c>
      <c r="BO6" s="48">
        <v>3998621433856</v>
      </c>
      <c r="BP6" s="48">
        <v>3910464376832</v>
      </c>
      <c r="BQ6" s="48">
        <v>4000783097856</v>
      </c>
      <c r="BR6" s="48">
        <v>3911817785344</v>
      </c>
      <c r="BS6" s="48">
        <v>1594193537195</v>
      </c>
      <c r="BT6" s="47">
        <v>0.39903725694444447</v>
      </c>
      <c r="BU6" s="50">
        <v>0</v>
      </c>
      <c r="BV6" s="50">
        <v>0</v>
      </c>
      <c r="BW6" s="50">
        <v>0</v>
      </c>
      <c r="BX6" s="51" t="s">
        <v>274</v>
      </c>
      <c r="BY6" s="50">
        <v>3907018584</v>
      </c>
      <c r="BZ6" s="50">
        <v>88412432</v>
      </c>
      <c r="CA6" s="50">
        <v>3817478384</v>
      </c>
      <c r="CB6" s="51">
        <v>0.03</v>
      </c>
      <c r="CC6" s="50" t="s">
        <v>254</v>
      </c>
      <c r="CD6" s="50" t="s">
        <v>33</v>
      </c>
      <c r="CE6" s="50" t="s">
        <v>256</v>
      </c>
      <c r="CF6" s="51">
        <v>0.03</v>
      </c>
      <c r="CG6" s="58">
        <f t="shared" si="0"/>
        <v>17.106839605883334</v>
      </c>
      <c r="CH6" s="47">
        <f t="shared" si="1"/>
        <v>1.1879791666666695E-2</v>
      </c>
      <c r="CI6" s="87">
        <f t="shared" si="2"/>
        <v>0.60294154069413053</v>
      </c>
      <c r="CJ6" s="48">
        <f t="shared" si="4"/>
        <v>21534.376998930849</v>
      </c>
      <c r="CK6" s="58">
        <f t="shared" si="3"/>
        <v>1026.4103763529999</v>
      </c>
    </row>
    <row r="7" spans="1:100" s="50" customFormat="1" ht="91" x14ac:dyDescent="0.2">
      <c r="A7" s="50" t="s">
        <v>273</v>
      </c>
      <c r="B7" s="47">
        <v>0.41723770833333335</v>
      </c>
      <c r="C7" s="48">
        <v>3166716280108</v>
      </c>
      <c r="D7" s="50">
        <v>1000</v>
      </c>
      <c r="E7" s="50">
        <v>100000</v>
      </c>
      <c r="F7" s="49">
        <v>100000000</v>
      </c>
      <c r="G7" s="50">
        <v>1</v>
      </c>
      <c r="H7" s="50">
        <v>342</v>
      </c>
      <c r="I7" s="50">
        <v>22650</v>
      </c>
      <c r="J7" s="50">
        <v>598126</v>
      </c>
      <c r="K7" s="50">
        <v>6056049</v>
      </c>
      <c r="L7" s="50">
        <v>24144756</v>
      </c>
      <c r="M7" s="50">
        <v>38254067</v>
      </c>
      <c r="N7" s="50">
        <v>24145490</v>
      </c>
      <c r="O7" s="50">
        <v>6057346</v>
      </c>
      <c r="P7" s="50">
        <v>597897</v>
      </c>
      <c r="Q7" s="50">
        <v>22923</v>
      </c>
      <c r="R7" s="50">
        <v>0</v>
      </c>
      <c r="S7" s="50">
        <v>0</v>
      </c>
      <c r="T7" s="50">
        <v>16340</v>
      </c>
      <c r="U7" s="50">
        <v>8704611</v>
      </c>
      <c r="V7" s="50">
        <v>24110306</v>
      </c>
      <c r="W7" s="50">
        <v>29475535</v>
      </c>
      <c r="X7" s="50">
        <v>28116508</v>
      </c>
      <c r="Y7" s="50">
        <v>6461554</v>
      </c>
      <c r="Z7" s="50">
        <v>999511</v>
      </c>
      <c r="AA7" s="50">
        <v>540411</v>
      </c>
      <c r="AB7" s="50">
        <v>429245</v>
      </c>
      <c r="AC7" s="50">
        <v>329371</v>
      </c>
      <c r="AD7" s="50">
        <v>249782</v>
      </c>
      <c r="AE7" s="50">
        <v>192697</v>
      </c>
      <c r="AF7" s="50">
        <v>144045</v>
      </c>
      <c r="AG7" s="50">
        <v>80071</v>
      </c>
      <c r="AH7" s="50">
        <v>28972</v>
      </c>
      <c r="AI7" s="50">
        <v>8771</v>
      </c>
      <c r="AJ7" s="50">
        <v>2890</v>
      </c>
      <c r="AK7" s="50">
        <v>1118</v>
      </c>
      <c r="AL7" s="50">
        <v>125164798</v>
      </c>
      <c r="AM7" s="48">
        <f>14149591900669/1000000000</f>
        <v>14149.591900669</v>
      </c>
      <c r="AN7" s="50">
        <f>63835/1000000</f>
        <v>6.3835000000000003E-2</v>
      </c>
      <c r="AO7" s="50">
        <f>173578857/1000000</f>
        <v>173.578857</v>
      </c>
      <c r="AP7" s="50">
        <f>141495/1000000</f>
        <v>0.14149500000000001</v>
      </c>
      <c r="AQ7" s="48">
        <v>549405967672</v>
      </c>
      <c r="AR7" s="50">
        <v>5494</v>
      </c>
      <c r="AS7" s="50">
        <v>38.828400000000002</v>
      </c>
      <c r="AT7" s="50">
        <v>57.427019999999999</v>
      </c>
      <c r="AU7" s="50">
        <v>49.656154999999998</v>
      </c>
      <c r="AV7" s="50">
        <v>49.620759999999997</v>
      </c>
      <c r="AW7" s="50">
        <v>46.900753000000002</v>
      </c>
      <c r="AX7" s="50">
        <v>44.457016000000003</v>
      </c>
      <c r="AY7" s="50">
        <v>43.27704</v>
      </c>
      <c r="AZ7" s="50">
        <v>41.215687000000003</v>
      </c>
      <c r="BA7" s="50">
        <v>40.295757000000002</v>
      </c>
      <c r="BB7" s="50">
        <v>39.243639999999999</v>
      </c>
      <c r="BC7" s="50">
        <v>38.326976999999999</v>
      </c>
      <c r="BD7" s="50">
        <v>37.222526999999999</v>
      </c>
      <c r="BE7" s="50">
        <v>36.964973000000001</v>
      </c>
      <c r="BF7" s="50">
        <v>35.456535000000002</v>
      </c>
      <c r="BG7" s="50">
        <v>34.753695999999998</v>
      </c>
      <c r="BH7" s="50">
        <v>34.061424000000002</v>
      </c>
      <c r="BI7" s="50">
        <v>33.791224999999997</v>
      </c>
      <c r="BJ7" s="50">
        <v>31.916094000000001</v>
      </c>
      <c r="BK7" s="50">
        <v>31.929110000000001</v>
      </c>
      <c r="BL7" s="50">
        <v>31.173023000000001</v>
      </c>
      <c r="BM7" s="50">
        <v>30.163329999999998</v>
      </c>
      <c r="BN7" s="48">
        <v>4000787030016</v>
      </c>
      <c r="BO7" s="48">
        <v>3998621433856</v>
      </c>
      <c r="BP7" s="48">
        <v>3100752973824</v>
      </c>
      <c r="BQ7" s="48">
        <v>4000783097856</v>
      </c>
      <c r="BR7" s="48">
        <v>3101570166784</v>
      </c>
      <c r="BS7" s="48">
        <v>17689257426825</v>
      </c>
      <c r="BT7" s="47">
        <v>0.58532271990740747</v>
      </c>
      <c r="BU7" s="50">
        <v>0</v>
      </c>
      <c r="BV7" s="50">
        <v>0</v>
      </c>
      <c r="BW7" s="50">
        <v>0</v>
      </c>
      <c r="BX7" s="51" t="s">
        <v>274</v>
      </c>
      <c r="BY7" s="50">
        <v>3907018584</v>
      </c>
      <c r="BZ7" s="50">
        <v>879425040</v>
      </c>
      <c r="CA7" s="50">
        <v>3026956784</v>
      </c>
      <c r="CB7" s="51">
        <v>0.23</v>
      </c>
      <c r="CC7" s="50" t="s">
        <v>254</v>
      </c>
      <c r="CD7" s="50" t="s">
        <v>275</v>
      </c>
      <c r="CE7" s="50" t="s">
        <v>271</v>
      </c>
      <c r="CF7" s="51">
        <v>0.23</v>
      </c>
      <c r="CG7" s="58">
        <f t="shared" si="0"/>
        <v>242.04235244528334</v>
      </c>
      <c r="CH7" s="47">
        <f t="shared" si="1"/>
        <v>0.16808501157407413</v>
      </c>
      <c r="CI7" s="87">
        <f t="shared" si="2"/>
        <v>0.63425319866207763</v>
      </c>
      <c r="CJ7" s="48">
        <f t="shared" si="4"/>
        <v>15138.966230417685</v>
      </c>
      <c r="CK7" s="58">
        <f t="shared" si="3"/>
        <v>14522.541146717</v>
      </c>
    </row>
    <row r="8" spans="1:100" s="50" customFormat="1" ht="91" x14ac:dyDescent="0.2">
      <c r="A8" s="50" t="s">
        <v>134</v>
      </c>
      <c r="B8" s="47">
        <v>0.4373679513888889</v>
      </c>
      <c r="C8" s="48">
        <v>91305969908016</v>
      </c>
      <c r="D8" s="50">
        <v>100</v>
      </c>
      <c r="E8" s="50">
        <v>10000</v>
      </c>
      <c r="F8" s="49">
        <v>1000000</v>
      </c>
      <c r="G8" s="50">
        <v>1</v>
      </c>
      <c r="H8" s="50">
        <v>6</v>
      </c>
      <c r="I8" s="50">
        <v>218</v>
      </c>
      <c r="J8" s="50">
        <v>5888</v>
      </c>
      <c r="K8" s="50">
        <v>60593</v>
      </c>
      <c r="L8" s="50">
        <v>241921</v>
      </c>
      <c r="M8" s="50">
        <v>383117</v>
      </c>
      <c r="N8" s="50">
        <v>241787</v>
      </c>
      <c r="O8" s="50">
        <v>60336</v>
      </c>
      <c r="P8" s="50">
        <v>5898</v>
      </c>
      <c r="Q8" s="50">
        <v>231</v>
      </c>
      <c r="R8" s="50">
        <v>0</v>
      </c>
      <c r="S8" s="50">
        <v>7696</v>
      </c>
      <c r="T8" s="50">
        <v>844315</v>
      </c>
      <c r="U8" s="50">
        <v>80347</v>
      </c>
      <c r="V8" s="50">
        <v>30535</v>
      </c>
      <c r="W8" s="50">
        <v>26346</v>
      </c>
      <c r="X8" s="50">
        <v>5575</v>
      </c>
      <c r="Y8" s="50">
        <v>1770</v>
      </c>
      <c r="Z8" s="50">
        <v>1026</v>
      </c>
      <c r="AA8" s="50">
        <v>687</v>
      </c>
      <c r="AB8" s="50">
        <v>404</v>
      </c>
      <c r="AC8" s="50">
        <v>196</v>
      </c>
      <c r="AD8" s="50">
        <v>137</v>
      </c>
      <c r="AE8" s="50">
        <v>71</v>
      </c>
      <c r="AF8" s="50">
        <v>32</v>
      </c>
      <c r="AG8" s="50">
        <v>37</v>
      </c>
      <c r="AH8" s="50">
        <v>20</v>
      </c>
      <c r="AI8" s="50">
        <v>19</v>
      </c>
      <c r="AJ8" s="50">
        <v>9</v>
      </c>
      <c r="AK8" s="50">
        <v>12</v>
      </c>
      <c r="AL8" s="50">
        <v>4907453</v>
      </c>
      <c r="AM8" s="48">
        <f>86448579099/1000000000</f>
        <v>86.448579099</v>
      </c>
      <c r="AN8" s="50">
        <f>38860/1000000</f>
        <v>3.8859999999999999E-2</v>
      </c>
      <c r="AO8" s="50">
        <f>986818513/1000000</f>
        <v>986.81851300000005</v>
      </c>
      <c r="AP8" s="50">
        <f>86448/1000000</f>
        <v>8.6447999999999997E-2</v>
      </c>
      <c r="AQ8" s="48">
        <v>5499366722</v>
      </c>
      <c r="AR8" s="50">
        <v>5499</v>
      </c>
      <c r="AS8" s="50">
        <v>63.614314999999998</v>
      </c>
      <c r="AT8" s="50">
        <v>79.044700000000006</v>
      </c>
      <c r="AU8" s="50">
        <v>32.9559</v>
      </c>
      <c r="AV8" s="50">
        <v>70.449160000000006</v>
      </c>
      <c r="AW8" s="50">
        <v>68.328149999999994</v>
      </c>
      <c r="AX8" s="50">
        <v>73.485309999999998</v>
      </c>
      <c r="AY8" s="50">
        <v>65.899109999999993</v>
      </c>
      <c r="AZ8" s="50">
        <v>76.067115999999999</v>
      </c>
      <c r="BA8" s="50">
        <v>70.059719999999999</v>
      </c>
      <c r="BB8" s="50">
        <v>62.900894000000001</v>
      </c>
      <c r="BC8" s="50">
        <v>67.353369999999998</v>
      </c>
      <c r="BD8" s="50">
        <v>65.997020000000006</v>
      </c>
      <c r="BE8" s="50">
        <v>75.888159999999999</v>
      </c>
      <c r="BF8" s="50">
        <v>50.111660000000001</v>
      </c>
      <c r="BG8" s="50">
        <v>70.093990000000005</v>
      </c>
      <c r="BH8" s="50">
        <v>69.979879999999994</v>
      </c>
      <c r="BI8" s="50">
        <v>42.643810000000002</v>
      </c>
      <c r="BJ8" s="50">
        <v>69.052440000000004</v>
      </c>
      <c r="BK8" s="50">
        <v>66.827079999999995</v>
      </c>
      <c r="BL8" s="50">
        <v>72.730969999999999</v>
      </c>
      <c r="BM8" s="50">
        <v>76.060929999999999</v>
      </c>
      <c r="BN8" s="48">
        <v>2000396836864</v>
      </c>
      <c r="BO8" s="48">
        <v>1990432116736</v>
      </c>
      <c r="BP8" s="48">
        <v>1978504896512</v>
      </c>
      <c r="BQ8" s="48">
        <v>1990432116736</v>
      </c>
      <c r="BR8" s="48">
        <v>1978504896512</v>
      </c>
      <c r="BS8" s="48">
        <v>91396356406183</v>
      </c>
      <c r="BT8" s="47">
        <v>0.43841414351851848</v>
      </c>
      <c r="BU8" s="50">
        <v>6056957</v>
      </c>
      <c r="BV8" s="50">
        <v>1000102</v>
      </c>
      <c r="BW8" s="50">
        <v>5056855</v>
      </c>
      <c r="BX8" s="51">
        <v>0.17</v>
      </c>
      <c r="BY8" s="50">
        <v>1953512536</v>
      </c>
      <c r="BZ8" s="50">
        <v>21378848</v>
      </c>
      <c r="CA8" s="50">
        <v>1932133688</v>
      </c>
      <c r="CB8" s="51">
        <v>0.02</v>
      </c>
      <c r="CC8" s="50" t="s">
        <v>135</v>
      </c>
      <c r="CD8" s="50" t="s">
        <v>138</v>
      </c>
      <c r="CE8" s="50" t="s">
        <v>139</v>
      </c>
      <c r="CF8" s="51">
        <v>0.02</v>
      </c>
      <c r="CG8" s="58">
        <f t="shared" si="0"/>
        <v>1.5064416361166666</v>
      </c>
      <c r="CH8" s="47">
        <f t="shared" si="1"/>
        <v>1.0461921296295862E-3</v>
      </c>
      <c r="CI8" s="87">
        <f t="shared" si="2"/>
        <v>1.1688352181144104</v>
      </c>
      <c r="CJ8" s="48">
        <f>((BZ8*1024)/4096)/(CG8*60)</f>
        <v>59131.752069042406</v>
      </c>
      <c r="CK8" s="58">
        <f t="shared" si="3"/>
        <v>90.386498166999999</v>
      </c>
    </row>
    <row r="9" spans="1:100" s="50" customFormat="1" ht="91" x14ac:dyDescent="0.2">
      <c r="A9" s="50" t="s">
        <v>134</v>
      </c>
      <c r="B9" s="47">
        <v>0.44797295138888887</v>
      </c>
      <c r="C9" s="48">
        <v>92222241106453</v>
      </c>
      <c r="D9" s="50">
        <v>300</v>
      </c>
      <c r="E9" s="50">
        <v>20000</v>
      </c>
      <c r="F9" s="49">
        <v>6000000</v>
      </c>
      <c r="G9" s="50">
        <v>1</v>
      </c>
      <c r="H9" s="50">
        <v>20</v>
      </c>
      <c r="I9" s="50">
        <v>1419</v>
      </c>
      <c r="J9" s="50">
        <v>35780</v>
      </c>
      <c r="K9" s="50">
        <v>362248</v>
      </c>
      <c r="L9" s="50">
        <v>1450760</v>
      </c>
      <c r="M9" s="50">
        <v>2297252</v>
      </c>
      <c r="N9" s="50">
        <v>1451902</v>
      </c>
      <c r="O9" s="50">
        <v>363118</v>
      </c>
      <c r="P9" s="50">
        <v>36011</v>
      </c>
      <c r="Q9" s="50">
        <v>1460</v>
      </c>
      <c r="R9" s="50">
        <v>0</v>
      </c>
      <c r="S9" s="50">
        <v>126914</v>
      </c>
      <c r="T9" s="50">
        <v>5206681</v>
      </c>
      <c r="U9" s="50">
        <v>296680</v>
      </c>
      <c r="V9" s="50">
        <v>171787</v>
      </c>
      <c r="W9" s="50">
        <v>146274</v>
      </c>
      <c r="X9" s="50">
        <v>22922</v>
      </c>
      <c r="Y9" s="50">
        <v>9716</v>
      </c>
      <c r="Z9" s="50">
        <v>5263</v>
      </c>
      <c r="AA9" s="50">
        <v>3020</v>
      </c>
      <c r="AB9" s="50">
        <v>1948</v>
      </c>
      <c r="AC9" s="50">
        <v>1278</v>
      </c>
      <c r="AD9" s="50">
        <v>709</v>
      </c>
      <c r="AE9" s="50">
        <v>453</v>
      </c>
      <c r="AF9" s="50">
        <v>284</v>
      </c>
      <c r="AG9" s="50">
        <v>212</v>
      </c>
      <c r="AH9" s="50">
        <v>151</v>
      </c>
      <c r="AI9" s="50">
        <v>118</v>
      </c>
      <c r="AJ9" s="50">
        <v>82</v>
      </c>
      <c r="AK9" s="50">
        <v>58</v>
      </c>
      <c r="AL9" s="50">
        <v>14598168</v>
      </c>
      <c r="AM9" s="48">
        <f>535532314880/1000000000</f>
        <v>535.53231487999994</v>
      </c>
      <c r="AN9" s="50">
        <f>31325/1000000</f>
        <v>3.1324999999999999E-2</v>
      </c>
      <c r="AO9" s="50">
        <f>567339606/1000000</f>
        <v>567.339606</v>
      </c>
      <c r="AP9" s="50">
        <f>89255/1000000</f>
        <v>8.9255000000000001E-2</v>
      </c>
      <c r="AQ9" s="48">
        <v>33001067100</v>
      </c>
      <c r="AR9" s="50">
        <v>5500</v>
      </c>
      <c r="AS9" s="50">
        <v>61.622925000000002</v>
      </c>
      <c r="AT9" s="50">
        <v>72.03246</v>
      </c>
      <c r="AU9" s="50">
        <v>48.011257000000001</v>
      </c>
      <c r="AV9" s="50">
        <v>63.059947999999999</v>
      </c>
      <c r="AW9" s="50">
        <v>72.281580000000005</v>
      </c>
      <c r="AX9" s="50">
        <v>72.104470000000006</v>
      </c>
      <c r="AY9" s="50">
        <v>49.598089999999999</v>
      </c>
      <c r="AZ9" s="50">
        <v>69.483270000000005</v>
      </c>
      <c r="BA9" s="50">
        <v>71.620154999999997</v>
      </c>
      <c r="BB9" s="50">
        <v>71.140110000000007</v>
      </c>
      <c r="BC9" s="50">
        <v>43.346393999999997</v>
      </c>
      <c r="BD9" s="50">
        <v>72.511319999999998</v>
      </c>
      <c r="BE9" s="50">
        <v>42.983370000000001</v>
      </c>
      <c r="BF9" s="50">
        <v>71.265820000000005</v>
      </c>
      <c r="BG9" s="50">
        <v>76.576300000000003</v>
      </c>
      <c r="BH9" s="50">
        <v>54.206394000000003</v>
      </c>
      <c r="BI9" s="50">
        <v>73.993269999999995</v>
      </c>
      <c r="BJ9" s="50">
        <v>48.958199999999998</v>
      </c>
      <c r="BK9" s="50">
        <v>57.153748</v>
      </c>
      <c r="BL9" s="50">
        <v>41.646434999999997</v>
      </c>
      <c r="BM9" s="50">
        <v>45.669013999999997</v>
      </c>
      <c r="BN9" s="48">
        <v>2000396836864</v>
      </c>
      <c r="BO9" s="48">
        <v>1990432116736</v>
      </c>
      <c r="BP9" s="48">
        <v>1918866554880</v>
      </c>
      <c r="BQ9" s="48">
        <v>1990432116736</v>
      </c>
      <c r="BR9" s="48">
        <v>1918866554880</v>
      </c>
      <c r="BS9" s="48">
        <v>92776438106410</v>
      </c>
      <c r="BT9" s="47">
        <v>0.45438731481481481</v>
      </c>
      <c r="BU9" s="50">
        <v>6056957</v>
      </c>
      <c r="BV9" s="50">
        <v>6000302</v>
      </c>
      <c r="BW9" s="50">
        <v>56655</v>
      </c>
      <c r="BX9" s="51">
        <v>1</v>
      </c>
      <c r="BY9" s="50">
        <v>1953512536</v>
      </c>
      <c r="BZ9" s="50">
        <v>79619416</v>
      </c>
      <c r="CA9" s="50">
        <v>1873893120</v>
      </c>
      <c r="CB9" s="51">
        <v>0.05</v>
      </c>
      <c r="CC9" s="50" t="s">
        <v>135</v>
      </c>
      <c r="CD9" s="50" t="s">
        <v>140</v>
      </c>
      <c r="CE9" s="50" t="s">
        <v>139</v>
      </c>
      <c r="CF9" s="51">
        <v>0.05</v>
      </c>
      <c r="CG9" s="58">
        <f t="shared" si="0"/>
        <v>9.2366166659500006</v>
      </c>
      <c r="CH9" s="47">
        <f t="shared" si="1"/>
        <v>6.4143634259259397E-3</v>
      </c>
      <c r="CI9" s="87">
        <f t="shared" si="2"/>
        <v>1.1685832654787094</v>
      </c>
      <c r="CJ9" s="48">
        <f t="shared" si="4"/>
        <v>35916.567577133064</v>
      </c>
      <c r="CK9" s="58">
        <f t="shared" si="3"/>
        <v>554.196999957</v>
      </c>
    </row>
    <row r="10" spans="1:100" ht="98" x14ac:dyDescent="0.2">
      <c r="A10" s="50" t="s">
        <v>69</v>
      </c>
      <c r="B10" s="47">
        <v>0.19549234953703701</v>
      </c>
      <c r="C10" s="48">
        <v>143609946143446</v>
      </c>
      <c r="D10" s="50">
        <v>5000</v>
      </c>
      <c r="E10" s="50">
        <v>200000</v>
      </c>
      <c r="F10" s="49">
        <v>1000000000</v>
      </c>
      <c r="G10" s="50">
        <v>1</v>
      </c>
      <c r="H10" s="50">
        <v>3392</v>
      </c>
      <c r="I10" s="50">
        <v>227890</v>
      </c>
      <c r="J10" s="50">
        <v>5973966</v>
      </c>
      <c r="K10" s="50">
        <v>60570919</v>
      </c>
      <c r="L10" s="50">
        <v>241570984</v>
      </c>
      <c r="M10" s="50">
        <v>382697718</v>
      </c>
      <c r="N10" s="50">
        <v>241574194</v>
      </c>
      <c r="O10" s="50">
        <v>60570193</v>
      </c>
      <c r="P10" s="50">
        <v>5977970</v>
      </c>
      <c r="Q10" s="50">
        <v>229383</v>
      </c>
      <c r="R10" s="50">
        <v>0</v>
      </c>
      <c r="S10" s="50">
        <v>0</v>
      </c>
      <c r="T10" s="50">
        <v>11165490</v>
      </c>
      <c r="U10" s="50">
        <v>686676953</v>
      </c>
      <c r="V10" s="50">
        <v>265466353</v>
      </c>
      <c r="W10" s="50">
        <v>17132177</v>
      </c>
      <c r="X10" s="50">
        <v>7771080</v>
      </c>
      <c r="Y10" s="50">
        <v>3829020</v>
      </c>
      <c r="Z10" s="50">
        <v>2101676</v>
      </c>
      <c r="AA10" s="50">
        <v>671899</v>
      </c>
      <c r="AB10" s="50">
        <v>222717</v>
      </c>
      <c r="AC10" s="50">
        <v>120254</v>
      </c>
      <c r="AD10" s="50">
        <v>72444</v>
      </c>
      <c r="AE10" s="50">
        <v>33245</v>
      </c>
      <c r="AF10" s="50">
        <v>15785</v>
      </c>
      <c r="AG10" s="50">
        <v>9804</v>
      </c>
      <c r="AH10" s="50">
        <v>4624</v>
      </c>
      <c r="AI10" s="50">
        <v>2896</v>
      </c>
      <c r="AJ10" s="50">
        <v>1840</v>
      </c>
      <c r="AK10" s="50">
        <v>1242</v>
      </c>
      <c r="AL10" s="50">
        <v>918272809</v>
      </c>
      <c r="AM10" s="58">
        <f>138281166957655/1000000000</f>
        <v>138281.16695765499</v>
      </c>
      <c r="AN10" s="50">
        <f>55182/1000000</f>
        <v>5.5182000000000002E-2</v>
      </c>
      <c r="AO10" s="50">
        <f>668740752/1000000</f>
        <v>668.74075200000004</v>
      </c>
      <c r="AP10" s="50">
        <f>138281/1000000</f>
        <v>0.13828099999999999</v>
      </c>
      <c r="AQ10" s="48">
        <v>5496219168812</v>
      </c>
      <c r="AR10" s="50">
        <v>5496</v>
      </c>
      <c r="AS10" s="50">
        <v>39.746690000000001</v>
      </c>
      <c r="AT10" s="50">
        <v>38.392060000000001</v>
      </c>
      <c r="AU10" s="50">
        <v>39.506214</v>
      </c>
      <c r="AV10" s="50">
        <v>38.759979999999999</v>
      </c>
      <c r="AW10" s="50">
        <v>40.980003000000004</v>
      </c>
      <c r="AX10" s="50">
        <v>39.648555999999999</v>
      </c>
      <c r="AY10" s="50">
        <v>38.706885999999997</v>
      </c>
      <c r="AZ10" s="50">
        <v>39.879463000000001</v>
      </c>
      <c r="BA10" s="50">
        <v>41.226776000000001</v>
      </c>
      <c r="BB10" s="50">
        <v>40.12453</v>
      </c>
      <c r="BC10" s="50">
        <v>40.463659999999997</v>
      </c>
      <c r="BD10" s="50">
        <v>39.871715999999999</v>
      </c>
      <c r="BE10" s="50">
        <v>41.171802999999997</v>
      </c>
      <c r="BF10" s="50">
        <v>39.673465999999998</v>
      </c>
      <c r="BG10" s="50">
        <v>39.941040000000001</v>
      </c>
      <c r="BH10" s="50">
        <v>39.313006999999999</v>
      </c>
      <c r="BI10" s="50">
        <v>39.834629999999997</v>
      </c>
      <c r="BJ10" s="50">
        <v>38.785423000000002</v>
      </c>
      <c r="BK10" s="50">
        <v>38.747500000000002</v>
      </c>
      <c r="BL10" s="50">
        <v>39.626480000000001</v>
      </c>
      <c r="BM10" s="50">
        <v>40.339027000000002</v>
      </c>
      <c r="BN10" s="48">
        <v>10997883084800</v>
      </c>
      <c r="BO10" s="48">
        <v>10397770461184</v>
      </c>
      <c r="BP10" s="48">
        <v>2486136770560</v>
      </c>
      <c r="BQ10" s="48">
        <v>10997794168832</v>
      </c>
      <c r="BR10" s="48">
        <v>3086160478208</v>
      </c>
      <c r="BS10" s="48">
        <v>284890291189519</v>
      </c>
      <c r="BT10" s="47">
        <v>0.83068157407407417</v>
      </c>
      <c r="BU10" s="50">
        <v>3906306048</v>
      </c>
      <c r="BV10" s="50">
        <v>999812645</v>
      </c>
      <c r="BW10" s="50">
        <v>2906493403</v>
      </c>
      <c r="BX10" s="51">
        <v>0.26</v>
      </c>
      <c r="BY10" s="50">
        <v>10740120200</v>
      </c>
      <c r="BZ10" s="50">
        <v>7726291608</v>
      </c>
      <c r="CA10" s="50">
        <v>2427867940</v>
      </c>
      <c r="CB10" s="51">
        <v>0.77</v>
      </c>
      <c r="CC10" s="50" t="s">
        <v>209</v>
      </c>
      <c r="CD10" s="50" t="s">
        <v>70</v>
      </c>
      <c r="CE10" s="50" t="s">
        <v>289</v>
      </c>
      <c r="CF10" s="51">
        <v>0.77</v>
      </c>
      <c r="CG10" s="58">
        <f t="shared" si="0"/>
        <v>2354.67241743455</v>
      </c>
      <c r="CH10" s="47">
        <f t="shared" si="1"/>
        <v>0.63518922453703719</v>
      </c>
      <c r="CI10" s="87">
        <f t="shared" si="2"/>
        <v>0.43946837773830777</v>
      </c>
      <c r="CJ10" s="48">
        <f t="shared" si="4"/>
        <v>13671.915236122151</v>
      </c>
      <c r="CK10" s="58">
        <f t="shared" si="3"/>
        <v>141280.34504607299</v>
      </c>
      <c r="CL10" s="50"/>
      <c r="CM10" s="50"/>
    </row>
    <row r="11" spans="1:100" ht="98" x14ac:dyDescent="0.2">
      <c r="A11" s="50" t="s">
        <v>69</v>
      </c>
      <c r="B11" s="47">
        <v>0.9431960416666666</v>
      </c>
      <c r="C11" s="48">
        <v>294611545175092</v>
      </c>
      <c r="D11" s="50">
        <v>5000</v>
      </c>
      <c r="E11" s="50">
        <v>200000</v>
      </c>
      <c r="F11" s="49">
        <v>1000000000</v>
      </c>
      <c r="G11" s="50">
        <v>1</v>
      </c>
      <c r="H11" s="50">
        <v>3457</v>
      </c>
      <c r="I11" s="50">
        <v>229742</v>
      </c>
      <c r="J11" s="50">
        <v>5981328</v>
      </c>
      <c r="K11" s="50">
        <v>60594965</v>
      </c>
      <c r="L11" s="50">
        <v>241727707</v>
      </c>
      <c r="M11" s="50">
        <v>382904256</v>
      </c>
      <c r="N11" s="50">
        <v>241743889</v>
      </c>
      <c r="O11" s="50">
        <v>60603438</v>
      </c>
      <c r="P11" s="50">
        <v>5978409</v>
      </c>
      <c r="Q11" s="50">
        <v>229450</v>
      </c>
      <c r="R11" s="50">
        <v>999999799</v>
      </c>
      <c r="S11" s="50">
        <v>53</v>
      </c>
      <c r="T11" s="50">
        <v>44</v>
      </c>
      <c r="U11" s="50">
        <v>45</v>
      </c>
      <c r="V11" s="50">
        <v>4</v>
      </c>
      <c r="W11" s="50">
        <v>16</v>
      </c>
      <c r="X11" s="50">
        <v>9</v>
      </c>
      <c r="Y11" s="50">
        <v>20</v>
      </c>
      <c r="Z11" s="50">
        <v>5</v>
      </c>
      <c r="AA11" s="50">
        <v>2</v>
      </c>
      <c r="AB11" s="50">
        <v>0</v>
      </c>
      <c r="AC11" s="50">
        <v>0</v>
      </c>
      <c r="AD11" s="50">
        <v>0</v>
      </c>
      <c r="AE11" s="50">
        <v>0</v>
      </c>
      <c r="AF11" s="50">
        <v>0</v>
      </c>
      <c r="AG11" s="50">
        <v>0</v>
      </c>
      <c r="AH11" s="50">
        <v>0</v>
      </c>
      <c r="AI11" s="50">
        <v>0</v>
      </c>
      <c r="AJ11" s="50">
        <v>0</v>
      </c>
      <c r="AK11" s="50">
        <v>0</v>
      </c>
      <c r="AL11" s="50">
        <v>1952595</v>
      </c>
      <c r="AM11" s="58">
        <f>29477923515/10^9</f>
        <v>29.477923515000001</v>
      </c>
      <c r="AN11" s="50">
        <v>26</v>
      </c>
      <c r="AO11" s="50">
        <v>4873383</v>
      </c>
      <c r="AP11" s="50">
        <v>29</v>
      </c>
      <c r="AQ11" s="48">
        <v>5499518838245</v>
      </c>
      <c r="AR11" s="50">
        <v>5499</v>
      </c>
      <c r="AS11" s="50">
        <v>186564</v>
      </c>
      <c r="AT11" s="50">
        <v>188957.69</v>
      </c>
      <c r="AU11" s="50">
        <v>187710.05</v>
      </c>
      <c r="AV11" s="50">
        <v>173932.94</v>
      </c>
      <c r="AW11" s="50">
        <v>187411.94</v>
      </c>
      <c r="AX11" s="50">
        <v>187959.19</v>
      </c>
      <c r="AY11" s="50">
        <v>186031.47</v>
      </c>
      <c r="AZ11" s="50">
        <v>188211.19</v>
      </c>
      <c r="BA11" s="50">
        <v>185542.84</v>
      </c>
      <c r="BB11" s="50">
        <v>187465.81</v>
      </c>
      <c r="BC11" s="50">
        <v>187375.47</v>
      </c>
      <c r="BD11" s="50">
        <v>183023.2</v>
      </c>
      <c r="BE11" s="50">
        <v>187783.52</v>
      </c>
      <c r="BF11" s="50">
        <v>186364.9</v>
      </c>
      <c r="BG11" s="50">
        <v>187556.22</v>
      </c>
      <c r="BH11" s="50">
        <v>187743.61</v>
      </c>
      <c r="BI11" s="50">
        <v>186901.61</v>
      </c>
      <c r="BJ11" s="50">
        <v>187104.23</v>
      </c>
      <c r="BK11" s="50">
        <v>188043.2</v>
      </c>
      <c r="BL11" s="50">
        <v>188077.2</v>
      </c>
      <c r="BM11" s="50">
        <v>186602.67</v>
      </c>
      <c r="BN11" s="48">
        <v>10997883084800</v>
      </c>
      <c r="BO11" s="48">
        <v>2486136770560</v>
      </c>
      <c r="BP11" s="48">
        <v>2486136770560</v>
      </c>
      <c r="BQ11" s="48">
        <v>3086160478208</v>
      </c>
      <c r="BR11" s="48">
        <v>3086160478208</v>
      </c>
      <c r="BS11" s="48">
        <v>295532434973685</v>
      </c>
      <c r="BT11" s="47">
        <v>0.95385453703703693</v>
      </c>
      <c r="BU11" s="50">
        <v>3906306048</v>
      </c>
      <c r="BV11" s="50">
        <v>999812645</v>
      </c>
      <c r="BW11" s="50">
        <v>2906493403</v>
      </c>
      <c r="BX11" s="51">
        <v>0.26</v>
      </c>
      <c r="BY11" s="50">
        <v>10740120200</v>
      </c>
      <c r="BZ11" s="50">
        <v>7726291608</v>
      </c>
      <c r="CA11" s="50">
        <v>2427867940</v>
      </c>
      <c r="CB11" s="51">
        <v>0.77</v>
      </c>
      <c r="CC11" s="50" t="s">
        <v>209</v>
      </c>
      <c r="CD11" s="50" t="s">
        <v>70</v>
      </c>
      <c r="CE11" s="50" t="s">
        <v>289</v>
      </c>
      <c r="CF11" s="51">
        <v>0.77</v>
      </c>
      <c r="CG11" s="58">
        <f t="shared" si="0"/>
        <v>15.348163309883335</v>
      </c>
      <c r="CH11" s="47">
        <f t="shared" si="1"/>
        <v>1.0658495370370336E-2</v>
      </c>
      <c r="CI11" s="87"/>
      <c r="CJ11" s="48">
        <f t="shared" si="4"/>
        <v>2097507.1120900596</v>
      </c>
      <c r="CK11" s="58">
        <f t="shared" si="3"/>
        <v>920.88979859300002</v>
      </c>
      <c r="CL11" s="50"/>
      <c r="CM11" s="50"/>
    </row>
    <row r="12" spans="1:100" ht="91" x14ac:dyDescent="0.2">
      <c r="A12" s="50" t="s">
        <v>69</v>
      </c>
      <c r="B12" s="110">
        <v>0.54831295138888891</v>
      </c>
      <c r="C12" s="111">
        <v>87693645319688</v>
      </c>
      <c r="D12" s="112">
        <v>500</v>
      </c>
      <c r="E12" s="112">
        <v>20000</v>
      </c>
      <c r="F12" s="113">
        <v>10000000</v>
      </c>
      <c r="G12" s="112">
        <v>1</v>
      </c>
      <c r="H12" s="112">
        <v>41</v>
      </c>
      <c r="I12" s="112">
        <v>2315</v>
      </c>
      <c r="J12" s="112">
        <v>59730</v>
      </c>
      <c r="K12" s="112">
        <v>606532</v>
      </c>
      <c r="L12" s="112">
        <v>2416749</v>
      </c>
      <c r="M12" s="112">
        <v>3829485</v>
      </c>
      <c r="N12" s="112">
        <v>2416249</v>
      </c>
      <c r="O12" s="112">
        <v>606796</v>
      </c>
      <c r="P12" s="112">
        <v>59657</v>
      </c>
      <c r="Q12" s="112">
        <v>2402</v>
      </c>
      <c r="R12" s="112">
        <v>0</v>
      </c>
      <c r="S12" s="112">
        <v>0</v>
      </c>
      <c r="T12" s="112">
        <v>1804</v>
      </c>
      <c r="U12" s="112">
        <v>7036095</v>
      </c>
      <c r="V12" s="112">
        <v>2462947</v>
      </c>
      <c r="W12" s="112">
        <v>221691</v>
      </c>
      <c r="X12" s="112">
        <v>102357</v>
      </c>
      <c r="Y12" s="112">
        <v>66142</v>
      </c>
      <c r="Z12" s="112">
        <v>37224</v>
      </c>
      <c r="AA12" s="112">
        <v>13544</v>
      </c>
      <c r="AB12" s="112">
        <v>5277</v>
      </c>
      <c r="AC12" s="112">
        <v>2470</v>
      </c>
      <c r="AD12" s="112">
        <v>1385</v>
      </c>
      <c r="AE12" s="112">
        <v>590</v>
      </c>
      <c r="AF12" s="112">
        <v>234</v>
      </c>
      <c r="AG12" s="112">
        <v>112</v>
      </c>
      <c r="AH12" s="112">
        <v>36</v>
      </c>
      <c r="AI12" s="112">
        <v>18</v>
      </c>
      <c r="AJ12" s="112">
        <v>16</v>
      </c>
      <c r="AK12" s="112">
        <v>10</v>
      </c>
      <c r="AL12" s="112">
        <v>46688032</v>
      </c>
      <c r="AM12" s="111">
        <v>1480830528655</v>
      </c>
      <c r="AN12" s="112">
        <v>64780</v>
      </c>
      <c r="AO12" s="112">
        <v>552522557</v>
      </c>
      <c r="AP12" s="112">
        <v>148083</v>
      </c>
      <c r="AQ12" s="111">
        <v>54995610996</v>
      </c>
      <c r="AR12" s="112">
        <v>5499</v>
      </c>
      <c r="AS12" s="112">
        <v>37.138359999999999</v>
      </c>
      <c r="AT12" s="112">
        <v>35.466681999999999</v>
      </c>
      <c r="AU12" s="112">
        <v>36.509723999999999</v>
      </c>
      <c r="AV12" s="112">
        <v>35.343470000000003</v>
      </c>
      <c r="AW12" s="112">
        <v>35.132843000000001</v>
      </c>
      <c r="AX12" s="112">
        <v>36.013263999999999</v>
      </c>
      <c r="AY12" s="112">
        <v>39.094611999999998</v>
      </c>
      <c r="AZ12" s="112">
        <v>35.557670000000002</v>
      </c>
      <c r="BA12" s="112">
        <v>36.300400000000003</v>
      </c>
      <c r="BB12" s="112">
        <v>42.268355999999997</v>
      </c>
      <c r="BC12" s="112">
        <v>40.775036</v>
      </c>
      <c r="BD12" s="112">
        <v>38.968020000000003</v>
      </c>
      <c r="BE12" s="112">
        <v>30.370777</v>
      </c>
      <c r="BF12" s="112">
        <v>38.395870000000002</v>
      </c>
      <c r="BG12" s="112">
        <v>40.404389999999999</v>
      </c>
      <c r="BH12" s="112">
        <v>35.82799</v>
      </c>
      <c r="BI12" s="112">
        <v>35.932586999999998</v>
      </c>
      <c r="BJ12" s="112">
        <v>34.288296000000003</v>
      </c>
      <c r="BK12" s="112">
        <v>36.826030000000003</v>
      </c>
      <c r="BL12" s="112">
        <v>37.101643000000003</v>
      </c>
      <c r="BM12" s="112">
        <v>38.925629999999998</v>
      </c>
      <c r="BN12" s="111">
        <v>3936913006592</v>
      </c>
      <c r="BO12" s="111">
        <v>3736764571648</v>
      </c>
      <c r="BP12" s="111">
        <v>3657651662848</v>
      </c>
      <c r="BQ12" s="111">
        <v>3936820699136</v>
      </c>
      <c r="BR12" s="111">
        <v>3857707790336</v>
      </c>
      <c r="BS12" s="111">
        <v>89211271453279</v>
      </c>
      <c r="BT12" s="110">
        <v>0.56587810185185183</v>
      </c>
      <c r="BU12" s="112">
        <v>244195328</v>
      </c>
      <c r="BV12" s="112">
        <v>10000512</v>
      </c>
      <c r="BW12" s="112">
        <v>234194816</v>
      </c>
      <c r="BX12" s="114">
        <v>0.05</v>
      </c>
      <c r="BY12" s="112">
        <v>3844641608</v>
      </c>
      <c r="BZ12" s="112">
        <v>77348844</v>
      </c>
      <c r="CA12" s="112">
        <v>3571925452</v>
      </c>
      <c r="CB12" s="114">
        <v>0.03</v>
      </c>
      <c r="CC12" s="112" t="s">
        <v>256</v>
      </c>
      <c r="CD12" s="112" t="s">
        <v>72</v>
      </c>
      <c r="CE12" s="112" t="s">
        <v>257</v>
      </c>
      <c r="CF12" s="114">
        <v>0.03</v>
      </c>
      <c r="CG12" s="115">
        <f t="shared" si="0"/>
        <v>25.293768893183334</v>
      </c>
      <c r="CH12" s="110">
        <f t="shared" si="1"/>
        <v>1.756515046296292E-2</v>
      </c>
      <c r="CI12" s="116">
        <f t="shared" si="2"/>
        <v>0.43853131854020361</v>
      </c>
      <c r="CJ12" s="48">
        <f t="shared" si="4"/>
        <v>12741.748822053018</v>
      </c>
      <c r="CK12" s="58">
        <f t="shared" si="3"/>
        <v>1517.6261335910001</v>
      </c>
      <c r="CL12" s="50"/>
      <c r="CM12" s="50"/>
    </row>
    <row r="13" spans="1:100" s="50" customFormat="1" ht="85" x14ac:dyDescent="0.2">
      <c r="A13" s="90" t="s">
        <v>62</v>
      </c>
      <c r="B13" s="103">
        <v>0.53948442129629626</v>
      </c>
      <c r="C13" s="54">
        <v>530860334103</v>
      </c>
      <c r="D13" s="90">
        <v>500</v>
      </c>
      <c r="E13" s="104">
        <v>20000</v>
      </c>
      <c r="F13" s="104">
        <v>10000000</v>
      </c>
      <c r="G13" s="90">
        <v>1</v>
      </c>
      <c r="H13" s="90">
        <v>36</v>
      </c>
      <c r="I13" s="90">
        <v>2295</v>
      </c>
      <c r="J13" s="90">
        <v>59725</v>
      </c>
      <c r="K13" s="90">
        <v>606688</v>
      </c>
      <c r="L13" s="90">
        <v>2414647</v>
      </c>
      <c r="M13" s="90">
        <v>3828268</v>
      </c>
      <c r="N13" s="90">
        <v>2419702</v>
      </c>
      <c r="O13" s="90">
        <v>606543</v>
      </c>
      <c r="P13" s="90">
        <v>59820</v>
      </c>
      <c r="Q13" s="90">
        <v>2246</v>
      </c>
      <c r="R13" s="90">
        <v>0</v>
      </c>
      <c r="S13" s="90">
        <v>406</v>
      </c>
      <c r="T13" s="90">
        <v>8961001</v>
      </c>
      <c r="U13" s="90">
        <v>644862</v>
      </c>
      <c r="V13" s="90">
        <v>211960</v>
      </c>
      <c r="W13" s="90">
        <v>113722</v>
      </c>
      <c r="X13" s="90">
        <v>23331</v>
      </c>
      <c r="Y13" s="90">
        <v>10035</v>
      </c>
      <c r="Z13" s="90">
        <v>10066</v>
      </c>
      <c r="AA13" s="90">
        <v>8603</v>
      </c>
      <c r="AB13" s="90">
        <v>6717</v>
      </c>
      <c r="AC13" s="90">
        <v>3175</v>
      </c>
      <c r="AD13" s="90">
        <v>1316</v>
      </c>
      <c r="AE13" s="90">
        <v>555</v>
      </c>
      <c r="AF13" s="90">
        <v>303</v>
      </c>
      <c r="AG13" s="90">
        <v>184</v>
      </c>
      <c r="AH13" s="90">
        <v>154</v>
      </c>
      <c r="AI13" s="90">
        <v>88</v>
      </c>
      <c r="AJ13" s="90">
        <v>43</v>
      </c>
      <c r="AK13" s="90">
        <v>37</v>
      </c>
      <c r="AL13" s="90">
        <v>33926497</v>
      </c>
      <c r="AM13" s="54">
        <f>994690184135/1000000000</f>
        <v>994.69018413499998</v>
      </c>
      <c r="AN13" s="105">
        <f>45576/1000000</f>
        <v>4.5575999999999998E-2</v>
      </c>
      <c r="AO13" s="105">
        <f>4974370908/1000000</f>
        <v>4974.3709079999999</v>
      </c>
      <c r="AP13" s="105">
        <f>99469/1000000</f>
        <v>9.9469000000000002E-2</v>
      </c>
      <c r="AQ13" s="54">
        <v>54999867897</v>
      </c>
      <c r="AR13" s="90">
        <v>5499</v>
      </c>
      <c r="AS13" s="105">
        <v>55.293464999999998</v>
      </c>
      <c r="AT13" s="90">
        <v>78.726910000000004</v>
      </c>
      <c r="AU13" s="90">
        <v>78.762569999999997</v>
      </c>
      <c r="AV13" s="90">
        <v>83.590866000000005</v>
      </c>
      <c r="AW13" s="90">
        <v>82.286100000000005</v>
      </c>
      <c r="AX13" s="90">
        <v>83.415580000000006</v>
      </c>
      <c r="AY13" s="90">
        <v>82.293139999999994</v>
      </c>
      <c r="AZ13" s="90">
        <v>84.608109999999996</v>
      </c>
      <c r="BA13" s="90">
        <v>83.622280000000003</v>
      </c>
      <c r="BB13" s="90">
        <v>82.822100000000006</v>
      </c>
      <c r="BC13" s="90">
        <v>22.684570000000001</v>
      </c>
      <c r="BD13" s="90">
        <v>83.140379999999993</v>
      </c>
      <c r="BE13" s="90">
        <v>83.912890000000004</v>
      </c>
      <c r="BF13" s="90">
        <v>82.506675999999999</v>
      </c>
      <c r="BG13" s="90">
        <v>80.876419999999996</v>
      </c>
      <c r="BH13" s="90">
        <v>82.489919999999998</v>
      </c>
      <c r="BI13" s="90">
        <v>82.484780000000001</v>
      </c>
      <c r="BJ13" s="90">
        <v>80.825789999999998</v>
      </c>
      <c r="BK13" s="90">
        <v>62.40616</v>
      </c>
      <c r="BL13" s="90">
        <v>80.309430000000006</v>
      </c>
      <c r="BM13" s="90">
        <v>83.806049999999999</v>
      </c>
      <c r="BN13" s="54">
        <v>3998833524736</v>
      </c>
      <c r="BO13" s="54">
        <v>3970919317504</v>
      </c>
      <c r="BP13" s="54">
        <v>3845025173504</v>
      </c>
      <c r="BQ13" s="54">
        <v>3970919317504</v>
      </c>
      <c r="BR13" s="54">
        <v>3845025173504</v>
      </c>
      <c r="BS13" s="54">
        <v>1560920296845</v>
      </c>
      <c r="BT13" s="103">
        <v>0.55140644675925932</v>
      </c>
      <c r="BU13" s="90">
        <v>781403712</v>
      </c>
      <c r="BV13" s="90">
        <v>10000504</v>
      </c>
      <c r="BW13" s="90">
        <v>771403208</v>
      </c>
      <c r="BX13" s="106">
        <v>0.02</v>
      </c>
      <c r="BY13" s="90">
        <v>3905110864</v>
      </c>
      <c r="BZ13" s="90">
        <v>109602308</v>
      </c>
      <c r="CA13" s="90">
        <v>3795508556</v>
      </c>
      <c r="CB13" s="106">
        <v>0.03</v>
      </c>
      <c r="CC13" s="90" t="s">
        <v>254</v>
      </c>
      <c r="CD13" s="90" t="s">
        <v>255</v>
      </c>
      <c r="CE13" s="90" t="s">
        <v>256</v>
      </c>
      <c r="CF13" s="106">
        <v>0.03</v>
      </c>
      <c r="CG13" s="107">
        <f>((BS13-C13)/1000000000)/60</f>
        <v>17.167666045699999</v>
      </c>
      <c r="CH13" s="108">
        <f t="shared" si="1"/>
        <v>1.192202546296306E-2</v>
      </c>
      <c r="CI13" s="109">
        <f t="shared" si="2"/>
        <v>1.2889899342261324</v>
      </c>
      <c r="CJ13" s="48">
        <f>((BZ13*1024)/4096)/(CG13*60)</f>
        <v>26600.953333881833</v>
      </c>
      <c r="CK13" s="58">
        <f t="shared" si="3"/>
        <v>1030.0599627419999</v>
      </c>
    </row>
    <row r="14" spans="1:100" s="50" customFormat="1" ht="91" x14ac:dyDescent="0.2">
      <c r="A14" s="90" t="s">
        <v>62</v>
      </c>
      <c r="B14" s="103">
        <v>0.56641527777777778</v>
      </c>
      <c r="C14" s="54">
        <v>2857686716640</v>
      </c>
      <c r="D14" s="90">
        <v>1000</v>
      </c>
      <c r="E14" s="104">
        <v>100000</v>
      </c>
      <c r="F14" s="104">
        <v>100000000</v>
      </c>
      <c r="G14" s="90">
        <v>1</v>
      </c>
      <c r="H14" s="90">
        <v>316</v>
      </c>
      <c r="I14" s="90">
        <v>23069</v>
      </c>
      <c r="J14" s="90">
        <v>599115</v>
      </c>
      <c r="K14" s="90">
        <v>6058317</v>
      </c>
      <c r="L14" s="90">
        <v>24176023</v>
      </c>
      <c r="M14" s="90">
        <v>38285282</v>
      </c>
      <c r="N14" s="90">
        <v>24175345</v>
      </c>
      <c r="O14" s="90">
        <v>6061001</v>
      </c>
      <c r="P14" s="90">
        <v>598495</v>
      </c>
      <c r="Q14" s="90">
        <v>22722</v>
      </c>
      <c r="R14" s="90">
        <v>0</v>
      </c>
      <c r="S14" s="90">
        <v>2999540</v>
      </c>
      <c r="T14" s="90">
        <v>86666419</v>
      </c>
      <c r="U14" s="90">
        <v>6750712</v>
      </c>
      <c r="V14" s="90">
        <v>1804658</v>
      </c>
      <c r="W14" s="90">
        <v>1087950</v>
      </c>
      <c r="X14" s="90">
        <v>267725</v>
      </c>
      <c r="Y14" s="90">
        <v>124053</v>
      </c>
      <c r="Z14" s="90">
        <v>94076</v>
      </c>
      <c r="AA14" s="90">
        <v>62809</v>
      </c>
      <c r="AB14" s="90">
        <v>36289</v>
      </c>
      <c r="AC14" s="90">
        <v>16397</v>
      </c>
      <c r="AD14" s="90">
        <v>8234</v>
      </c>
      <c r="AE14" s="90">
        <v>5795</v>
      </c>
      <c r="AF14" s="90">
        <v>3300</v>
      </c>
      <c r="AG14" s="90">
        <v>1718</v>
      </c>
      <c r="AH14" s="90">
        <v>1151</v>
      </c>
      <c r="AI14" s="90">
        <v>898</v>
      </c>
      <c r="AJ14" s="90">
        <v>705</v>
      </c>
      <c r="AK14" s="90">
        <v>596</v>
      </c>
      <c r="AL14" s="90">
        <v>185237105</v>
      </c>
      <c r="AM14" s="54">
        <f>11168543986465/1000000000</f>
        <v>11168.543986465</v>
      </c>
      <c r="AN14" s="105">
        <f>38979/1000000</f>
        <v>3.8979E-2</v>
      </c>
      <c r="AO14" s="105">
        <f>5367533012/1000000</f>
        <v>5367.5330119999999</v>
      </c>
      <c r="AP14" s="105">
        <f>111685/1000000</f>
        <v>0.11168500000000001</v>
      </c>
      <c r="AQ14" s="54">
        <v>549947533505</v>
      </c>
      <c r="AR14" s="90">
        <v>5499</v>
      </c>
      <c r="AS14" s="105">
        <v>49.240749999999998</v>
      </c>
      <c r="AT14" s="90">
        <v>54.544727000000002</v>
      </c>
      <c r="AU14" s="90">
        <v>39.055267000000001</v>
      </c>
      <c r="AV14" s="90">
        <v>32.254528000000001</v>
      </c>
      <c r="AW14" s="90">
        <v>48.684837000000002</v>
      </c>
      <c r="AX14" s="90">
        <v>48.096428000000003</v>
      </c>
      <c r="AY14" s="90">
        <v>43.268566</v>
      </c>
      <c r="AZ14" s="90">
        <v>44.380740000000003</v>
      </c>
      <c r="BA14" s="90">
        <v>48.705112</v>
      </c>
      <c r="BB14" s="90">
        <v>45.845753000000002</v>
      </c>
      <c r="BC14" s="90">
        <v>44.737834999999997</v>
      </c>
      <c r="BD14" s="90">
        <v>44.653606000000003</v>
      </c>
      <c r="BE14" s="90">
        <v>49.124003999999999</v>
      </c>
      <c r="BF14" s="90">
        <v>45.452025999999996</v>
      </c>
      <c r="BG14" s="90">
        <v>49.04148</v>
      </c>
      <c r="BH14" s="90">
        <v>45.256880000000002</v>
      </c>
      <c r="BI14" s="90">
        <v>44.869155999999997</v>
      </c>
      <c r="BJ14" s="90">
        <v>44.907432999999997</v>
      </c>
      <c r="BK14" s="90">
        <v>46.20279</v>
      </c>
      <c r="BL14" s="90">
        <v>46.933585999999998</v>
      </c>
      <c r="BM14" s="90">
        <v>47.136580000000002</v>
      </c>
      <c r="BN14" s="54">
        <v>3998833524736</v>
      </c>
      <c r="BO14" s="54">
        <v>3970919317504</v>
      </c>
      <c r="BP14" s="54">
        <v>3091714732032</v>
      </c>
      <c r="BQ14" s="54">
        <v>3970919317504</v>
      </c>
      <c r="BR14" s="54">
        <v>3091714732032</v>
      </c>
      <c r="BS14" s="54">
        <v>14307041587122</v>
      </c>
      <c r="BT14" s="103">
        <v>0.6989309953703704</v>
      </c>
      <c r="BU14" s="90">
        <v>781403712</v>
      </c>
      <c r="BV14" s="90">
        <v>100001004</v>
      </c>
      <c r="BW14" s="90">
        <v>681402708</v>
      </c>
      <c r="BX14" s="106">
        <v>0.13</v>
      </c>
      <c r="BY14" s="90">
        <v>3905110864</v>
      </c>
      <c r="BZ14" s="90">
        <v>850901236</v>
      </c>
      <c r="CA14" s="90">
        <v>3054209628</v>
      </c>
      <c r="CB14" s="106">
        <v>0.22</v>
      </c>
      <c r="CC14" s="90" t="s">
        <v>254</v>
      </c>
      <c r="CD14" s="90" t="s">
        <v>270</v>
      </c>
      <c r="CE14" s="90" t="s">
        <v>271</v>
      </c>
      <c r="CF14" s="106">
        <v>0.22</v>
      </c>
      <c r="CG14" s="107">
        <f>((BS14-C14)/1000000000)/60</f>
        <v>190.82258117470002</v>
      </c>
      <c r="CH14" s="108">
        <f t="shared" si="1"/>
        <v>0.13251571759259262</v>
      </c>
      <c r="CI14" s="109">
        <f t="shared" si="2"/>
        <v>0.59870629815999798</v>
      </c>
      <c r="CJ14" s="48">
        <f t="shared" si="4"/>
        <v>18579.67644521482</v>
      </c>
      <c r="CK14" s="58">
        <f t="shared" si="3"/>
        <v>11449.354870482</v>
      </c>
    </row>
    <row r="15" spans="1:100" s="50" customFormat="1" ht="98" x14ac:dyDescent="0.2">
      <c r="A15" s="90" t="s">
        <v>62</v>
      </c>
      <c r="B15" s="103">
        <v>0.5510323958333333</v>
      </c>
      <c r="C15" s="54">
        <v>433528605511644</v>
      </c>
      <c r="D15" s="90">
        <v>5000</v>
      </c>
      <c r="E15" s="104">
        <v>200000</v>
      </c>
      <c r="F15" s="104">
        <v>1000000000</v>
      </c>
      <c r="G15" s="90">
        <v>1</v>
      </c>
      <c r="H15" s="90">
        <v>3405</v>
      </c>
      <c r="I15" s="90">
        <v>229254</v>
      </c>
      <c r="J15" s="90">
        <v>5972473</v>
      </c>
      <c r="K15" s="90">
        <v>60583709</v>
      </c>
      <c r="L15" s="90">
        <v>241684434</v>
      </c>
      <c r="M15" s="90">
        <v>382859562</v>
      </c>
      <c r="N15" s="90">
        <v>241686337</v>
      </c>
      <c r="O15" s="90">
        <v>60576202</v>
      </c>
      <c r="P15" s="90">
        <v>5972227</v>
      </c>
      <c r="Q15" s="90">
        <v>228935</v>
      </c>
      <c r="R15" s="90">
        <v>0</v>
      </c>
      <c r="S15" s="90">
        <v>49840909</v>
      </c>
      <c r="T15" s="90">
        <v>863258271</v>
      </c>
      <c r="U15" s="90">
        <v>44977334</v>
      </c>
      <c r="V15" s="90">
        <v>10863413</v>
      </c>
      <c r="W15" s="90">
        <v>23176465</v>
      </c>
      <c r="X15" s="90">
        <v>4021359</v>
      </c>
      <c r="Y15" s="90">
        <v>1190390</v>
      </c>
      <c r="Z15" s="90">
        <v>648453</v>
      </c>
      <c r="AA15" s="90">
        <v>339846</v>
      </c>
      <c r="AB15" s="90">
        <v>111029</v>
      </c>
      <c r="AC15" s="90">
        <v>60500</v>
      </c>
      <c r="AD15" s="90">
        <v>36151</v>
      </c>
      <c r="AE15" s="90">
        <v>19873</v>
      </c>
      <c r="AF15" s="90">
        <v>11986</v>
      </c>
      <c r="AG15" s="90">
        <v>7730</v>
      </c>
      <c r="AH15" s="90">
        <v>4962</v>
      </c>
      <c r="AI15" s="90">
        <v>3245</v>
      </c>
      <c r="AJ15" s="90">
        <v>2003</v>
      </c>
      <c r="AK15" s="90">
        <v>1257</v>
      </c>
      <c r="AL15" s="90">
        <v>8367311514</v>
      </c>
      <c r="AM15" s="54">
        <f>112563494761829/1000000000</f>
        <v>112563.494761829</v>
      </c>
      <c r="AN15" s="105">
        <f>37574/1000000</f>
        <v>3.7574000000000003E-2</v>
      </c>
      <c r="AO15" s="105">
        <f>4985273016/1000000</f>
        <v>4985.2730160000001</v>
      </c>
      <c r="AP15" s="105">
        <f>112563/1000000</f>
        <v>0.112563</v>
      </c>
      <c r="AQ15" s="54">
        <v>5498390233387</v>
      </c>
      <c r="AR15" s="90">
        <v>5498</v>
      </c>
      <c r="AS15" s="90">
        <v>48.847009999999997</v>
      </c>
      <c r="AT15" s="90">
        <v>42.665300000000002</v>
      </c>
      <c r="AU15" s="90">
        <v>58.478479999999998</v>
      </c>
      <c r="AV15" s="90">
        <v>51.783920000000002</v>
      </c>
      <c r="AW15" s="90">
        <v>49.859369999999998</v>
      </c>
      <c r="AX15" s="90">
        <v>42.601399999999998</v>
      </c>
      <c r="AY15" s="90">
        <v>49.015182000000003</v>
      </c>
      <c r="AZ15" s="90">
        <v>51.237037999999998</v>
      </c>
      <c r="BA15" s="90">
        <v>46.484467000000002</v>
      </c>
      <c r="BB15" s="90">
        <v>42.449890000000003</v>
      </c>
      <c r="BC15" s="90">
        <v>51.712935999999999</v>
      </c>
      <c r="BD15" s="90">
        <v>47.415100000000002</v>
      </c>
      <c r="BE15" s="90">
        <v>38.592315999999997</v>
      </c>
      <c r="BF15" s="90">
        <v>44.920310000000001</v>
      </c>
      <c r="BG15" s="90">
        <v>51.41095</v>
      </c>
      <c r="BH15" s="90">
        <v>58.097940000000001</v>
      </c>
      <c r="BI15" s="90">
        <v>39.121400000000001</v>
      </c>
      <c r="BJ15" s="90">
        <v>43.149099999999997</v>
      </c>
      <c r="BK15" s="90">
        <v>49.438763000000002</v>
      </c>
      <c r="BL15" s="90">
        <v>48.639557000000003</v>
      </c>
      <c r="BM15" s="90">
        <v>40.460365000000003</v>
      </c>
      <c r="BN15" s="54">
        <v>11998001627136</v>
      </c>
      <c r="BO15" s="54">
        <v>11914315698176</v>
      </c>
      <c r="BP15" s="54">
        <v>3445614006272</v>
      </c>
      <c r="BQ15" s="54">
        <v>11914315698176</v>
      </c>
      <c r="BR15" s="54">
        <v>3445614006272</v>
      </c>
      <c r="BS15" s="54">
        <v>548723066481907</v>
      </c>
      <c r="BT15" s="103">
        <v>0.88430165509259251</v>
      </c>
      <c r="BU15" s="90">
        <v>2343777024</v>
      </c>
      <c r="BV15" s="90">
        <v>999989815</v>
      </c>
      <c r="BW15" s="90">
        <v>1343787209</v>
      </c>
      <c r="BX15" s="106">
        <v>0.43</v>
      </c>
      <c r="BY15" s="90">
        <v>11716798464</v>
      </c>
      <c r="BZ15" s="90">
        <v>8317937056</v>
      </c>
      <c r="CA15" s="90">
        <v>3398861408</v>
      </c>
      <c r="CB15" s="106">
        <v>0.71</v>
      </c>
      <c r="CC15" s="90" t="s">
        <v>209</v>
      </c>
      <c r="CD15" s="90" t="s">
        <v>68</v>
      </c>
      <c r="CE15" s="90" t="s">
        <v>218</v>
      </c>
      <c r="CF15" s="106">
        <v>0.71</v>
      </c>
      <c r="CG15" s="107">
        <f>((BS15-C15)/1000000000)/60</f>
        <v>1919.9076828377167</v>
      </c>
      <c r="CH15" s="108">
        <f t="shared" si="1"/>
        <v>0.33326925925925921</v>
      </c>
      <c r="CI15" s="109">
        <f t="shared" si="2"/>
        <v>0.54021474148576254</v>
      </c>
      <c r="CJ15" s="48">
        <f t="shared" si="4"/>
        <v>18051.946651643353</v>
      </c>
      <c r="CK15" s="58">
        <f t="shared" si="3"/>
        <v>115194.460970263</v>
      </c>
    </row>
    <row r="16" spans="1:100" s="46" customFormat="1" x14ac:dyDescent="0.2">
      <c r="AN16" s="88"/>
      <c r="AO16" s="88"/>
      <c r="AP16" s="88"/>
      <c r="CO16"/>
      <c r="CP16"/>
      <c r="CQ16"/>
      <c r="CR16"/>
      <c r="CS16"/>
      <c r="CT16"/>
      <c r="CU16"/>
      <c r="CV16"/>
    </row>
    <row r="17" spans="40:101" s="46" customFormat="1" x14ac:dyDescent="0.2">
      <c r="AN17" s="88"/>
      <c r="AO17" s="88"/>
      <c r="AP17" s="88"/>
      <c r="CO17"/>
      <c r="CP17"/>
      <c r="CQ17"/>
      <c r="CR17"/>
      <c r="CS17"/>
      <c r="CT17"/>
      <c r="CU17"/>
      <c r="CV17"/>
    </row>
    <row r="18" spans="40:101" s="46" customFormat="1" x14ac:dyDescent="0.2">
      <c r="AN18" s="88"/>
      <c r="AO18" s="88"/>
      <c r="AP18" s="88"/>
      <c r="CO18"/>
      <c r="CP18"/>
      <c r="CQ18"/>
      <c r="CR18"/>
      <c r="CS18"/>
      <c r="CT18"/>
      <c r="CU18"/>
      <c r="CV18"/>
    </row>
    <row r="19" spans="40:101" s="46" customFormat="1" x14ac:dyDescent="0.2">
      <c r="AN19" s="88"/>
      <c r="AO19" s="88"/>
      <c r="AP19" s="88"/>
      <c r="CO19"/>
      <c r="CP19"/>
      <c r="CQ19"/>
      <c r="CR19"/>
      <c r="CS19"/>
      <c r="CT19"/>
      <c r="CU19"/>
      <c r="CV19"/>
    </row>
    <row r="20" spans="40:101" s="46" customFormat="1" x14ac:dyDescent="0.2">
      <c r="AN20" s="88"/>
      <c r="AO20" s="88"/>
      <c r="AP20" s="88"/>
      <c r="CO20"/>
      <c r="CP20"/>
      <c r="CQ20"/>
      <c r="CR20"/>
      <c r="CS20"/>
      <c r="CT20"/>
      <c r="CU20"/>
      <c r="CV20"/>
    </row>
    <row r="21" spans="40:101" s="46" customFormat="1" x14ac:dyDescent="0.2">
      <c r="AN21" s="88"/>
      <c r="AO21" s="88"/>
      <c r="AP21" s="88"/>
      <c r="CO21"/>
      <c r="CP21"/>
      <c r="CQ21"/>
      <c r="CR21"/>
      <c r="CS21"/>
      <c r="CT21"/>
      <c r="CU21"/>
      <c r="CV21"/>
    </row>
    <row r="22" spans="40:101" s="46" customFormat="1" x14ac:dyDescent="0.2">
      <c r="AN22" s="88"/>
      <c r="AO22" s="88"/>
      <c r="AP22" s="88"/>
      <c r="CO22"/>
      <c r="CP22"/>
      <c r="CQ22"/>
      <c r="CR22"/>
      <c r="CS22"/>
      <c r="CT22"/>
      <c r="CU22"/>
      <c r="CV22"/>
    </row>
    <row r="23" spans="40:101" s="46" customFormat="1" x14ac:dyDescent="0.2">
      <c r="AN23" s="88"/>
      <c r="AO23" s="88"/>
      <c r="AP23" s="88"/>
      <c r="CO23"/>
      <c r="CP23"/>
      <c r="CQ23"/>
      <c r="CR23"/>
      <c r="CS23"/>
      <c r="CT23"/>
      <c r="CU23"/>
      <c r="CV23"/>
    </row>
    <row r="24" spans="40:101" s="46" customFormat="1" x14ac:dyDescent="0.2">
      <c r="AN24" s="88"/>
      <c r="AO24" s="88"/>
      <c r="AP24" s="88"/>
      <c r="CN24"/>
      <c r="CO24"/>
      <c r="CP24"/>
      <c r="CQ24"/>
      <c r="CR24"/>
      <c r="CS24"/>
      <c r="CT24"/>
      <c r="CU24"/>
      <c r="CV24"/>
      <c r="CW24"/>
    </row>
  </sheetData>
  <phoneticPr fontId="4"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60E2-43BB-9648-AEEA-A0837C2F6E66}">
  <dimension ref="A1:AQ27"/>
  <sheetViews>
    <sheetView zoomScaleNormal="100" workbookViewId="0">
      <pane xSplit="3" ySplit="1" topLeftCell="D2" activePane="bottomRight" state="frozen"/>
      <selection pane="topRight" activeCell="D1" sqref="D1"/>
      <selection pane="bottomLeft" activeCell="A2" sqref="A2"/>
      <selection pane="bottomRight" activeCell="J27" sqref="J27"/>
    </sheetView>
  </sheetViews>
  <sheetFormatPr baseColWidth="10" defaultRowHeight="16" x14ac:dyDescent="0.2"/>
  <cols>
    <col min="1" max="34" width="3.6640625" bestFit="1" customWidth="1"/>
    <col min="35" max="36" width="3.6640625" style="59" bestFit="1" customWidth="1"/>
    <col min="37" max="37" width="3.6640625" bestFit="1" customWidth="1"/>
    <col min="38" max="38" width="3.6640625" style="50" bestFit="1" customWidth="1"/>
    <col min="39" max="39" width="6.83203125" bestFit="1" customWidth="1"/>
    <col min="41" max="41" width="12.1640625" bestFit="1" customWidth="1"/>
  </cols>
  <sheetData>
    <row r="1" spans="1:43" ht="161" x14ac:dyDescent="0.2">
      <c r="A1" s="52" t="s">
        <v>38</v>
      </c>
      <c r="B1" s="52" t="s">
        <v>2</v>
      </c>
      <c r="C1" s="52" t="s">
        <v>267</v>
      </c>
      <c r="D1" s="52" t="s">
        <v>223</v>
      </c>
      <c r="E1" s="52" t="s">
        <v>224</v>
      </c>
      <c r="F1" s="52" t="s">
        <v>225</v>
      </c>
      <c r="G1" s="52" t="s">
        <v>226</v>
      </c>
      <c r="H1" s="52" t="s">
        <v>227</v>
      </c>
      <c r="I1" s="52" t="s">
        <v>228</v>
      </c>
      <c r="J1" s="52" t="s">
        <v>229</v>
      </c>
      <c r="K1" s="52" t="s">
        <v>230</v>
      </c>
      <c r="L1" s="52" t="s">
        <v>231</v>
      </c>
      <c r="M1" s="52" t="s">
        <v>232</v>
      </c>
      <c r="N1" s="52" t="s">
        <v>233</v>
      </c>
      <c r="O1" s="52" t="s">
        <v>234</v>
      </c>
      <c r="P1" s="52" t="s">
        <v>235</v>
      </c>
      <c r="Q1" s="52" t="s">
        <v>236</v>
      </c>
      <c r="R1" s="52" t="s">
        <v>237</v>
      </c>
      <c r="S1" s="52" t="s">
        <v>238</v>
      </c>
      <c r="T1" s="52" t="s">
        <v>239</v>
      </c>
      <c r="U1" s="52" t="s">
        <v>240</v>
      </c>
      <c r="V1" s="52" t="s">
        <v>241</v>
      </c>
      <c r="W1" s="52" t="s">
        <v>242</v>
      </c>
      <c r="X1" s="52" t="s">
        <v>243</v>
      </c>
      <c r="Y1" s="52" t="s">
        <v>244</v>
      </c>
      <c r="Z1" s="52" t="s">
        <v>245</v>
      </c>
      <c r="AA1" s="52" t="s">
        <v>246</v>
      </c>
      <c r="AB1" s="52" t="s">
        <v>247</v>
      </c>
      <c r="AC1" s="52" t="s">
        <v>248</v>
      </c>
      <c r="AD1" s="52" t="s">
        <v>249</v>
      </c>
      <c r="AE1" s="52" t="s">
        <v>250</v>
      </c>
      <c r="AF1" s="52" t="s">
        <v>251</v>
      </c>
      <c r="AG1" s="52" t="s">
        <v>253</v>
      </c>
      <c r="AH1" s="52" t="s">
        <v>252</v>
      </c>
      <c r="AI1" s="52" t="s">
        <v>278</v>
      </c>
      <c r="AJ1" s="52" t="s">
        <v>269</v>
      </c>
      <c r="AK1" s="52" t="s">
        <v>287</v>
      </c>
      <c r="AL1" s="52" t="s">
        <v>288</v>
      </c>
      <c r="AM1" s="52"/>
      <c r="AN1" s="52"/>
      <c r="AO1" s="52"/>
      <c r="AP1" s="52"/>
      <c r="AQ1" s="52"/>
    </row>
    <row r="2" spans="1:43" ht="98" x14ac:dyDescent="0.2">
      <c r="A2" s="50" t="s">
        <v>69</v>
      </c>
      <c r="B2" s="49">
        <v>10000000</v>
      </c>
      <c r="C2" s="50" t="s">
        <v>264</v>
      </c>
      <c r="D2" s="47">
        <v>0.61582730324074075</v>
      </c>
      <c r="E2" s="48">
        <v>169708897785515</v>
      </c>
      <c r="F2" s="48">
        <v>209977500894</v>
      </c>
      <c r="G2" s="48">
        <v>54991632226</v>
      </c>
      <c r="H2" s="48">
        <v>13460</v>
      </c>
      <c r="I2" s="48">
        <v>265633484</v>
      </c>
      <c r="J2" s="48">
        <v>20997</v>
      </c>
      <c r="K2" s="48">
        <v>0</v>
      </c>
      <c r="L2" s="48">
        <v>209977500894</v>
      </c>
      <c r="M2" s="50">
        <v>0</v>
      </c>
      <c r="N2" s="50">
        <v>0</v>
      </c>
      <c r="O2" s="50">
        <v>1888641</v>
      </c>
      <c r="P2" s="50">
        <v>7121598</v>
      </c>
      <c r="Q2" s="50">
        <v>606362</v>
      </c>
      <c r="R2" s="50">
        <v>215008</v>
      </c>
      <c r="S2" s="50">
        <v>101429</v>
      </c>
      <c r="T2" s="50">
        <v>30033</v>
      </c>
      <c r="U2" s="50">
        <v>12268</v>
      </c>
      <c r="V2" s="50">
        <v>3863</v>
      </c>
      <c r="W2" s="50">
        <v>1700</v>
      </c>
      <c r="X2" s="50">
        <v>944</v>
      </c>
      <c r="Y2" s="50">
        <v>804</v>
      </c>
      <c r="Z2" s="50">
        <v>867</v>
      </c>
      <c r="AA2" s="50">
        <v>857</v>
      </c>
      <c r="AB2" s="50">
        <v>775</v>
      </c>
      <c r="AC2" s="50">
        <v>604</v>
      </c>
      <c r="AD2" s="50">
        <v>451</v>
      </c>
      <c r="AE2" s="50">
        <v>330</v>
      </c>
      <c r="AF2" s="50">
        <v>315</v>
      </c>
      <c r="AG2" s="48">
        <v>169934895293675</v>
      </c>
      <c r="AH2" s="47">
        <v>0.61844305555555557</v>
      </c>
      <c r="AI2" s="58">
        <f>((AG2-E2)/1000000000)/60</f>
        <v>3.766625136</v>
      </c>
      <c r="AJ2" s="47">
        <f>AH2-D2</f>
        <v>2.6157523148148121E-3</v>
      </c>
      <c r="AK2" s="58">
        <f>(G2/(F2/1000000000))/1024/1024</f>
        <v>249.76060314990167</v>
      </c>
      <c r="AL2" s="48">
        <f>B2/(AI2*60)</f>
        <v>44248.275485056569</v>
      </c>
      <c r="AM2" s="89"/>
      <c r="AO2" s="86"/>
    </row>
    <row r="3" spans="1:43" ht="98" x14ac:dyDescent="0.2">
      <c r="A3" s="50" t="s">
        <v>69</v>
      </c>
      <c r="B3" s="49">
        <v>10000000</v>
      </c>
      <c r="C3" s="50" t="s">
        <v>265</v>
      </c>
      <c r="D3" s="47">
        <v>0.62110711805555552</v>
      </c>
      <c r="E3" s="48">
        <v>170165074294861</v>
      </c>
      <c r="F3" s="48">
        <v>178429957987</v>
      </c>
      <c r="G3" s="48">
        <v>54991632226</v>
      </c>
      <c r="H3" s="48">
        <v>10545</v>
      </c>
      <c r="I3" s="48">
        <v>48198694</v>
      </c>
      <c r="J3" s="48">
        <v>17842</v>
      </c>
      <c r="K3" s="48">
        <v>0</v>
      </c>
      <c r="L3" s="48">
        <v>178429957987</v>
      </c>
      <c r="M3" s="50">
        <v>0</v>
      </c>
      <c r="N3" s="50">
        <v>4186</v>
      </c>
      <c r="O3" s="50">
        <v>6791404</v>
      </c>
      <c r="P3" s="50">
        <v>2665379</v>
      </c>
      <c r="Q3" s="50">
        <v>332201</v>
      </c>
      <c r="R3" s="50">
        <v>123928</v>
      </c>
      <c r="S3" s="50">
        <v>45637</v>
      </c>
      <c r="T3" s="50">
        <v>15056</v>
      </c>
      <c r="U3" s="50">
        <v>5090</v>
      </c>
      <c r="V3" s="50">
        <v>1851</v>
      </c>
      <c r="W3" s="50">
        <v>953</v>
      </c>
      <c r="X3" s="50">
        <v>778</v>
      </c>
      <c r="Y3" s="50">
        <v>611</v>
      </c>
      <c r="Z3" s="50">
        <v>652</v>
      </c>
      <c r="AA3" s="50">
        <v>597</v>
      </c>
      <c r="AB3" s="50">
        <v>446</v>
      </c>
      <c r="AC3" s="50">
        <v>314</v>
      </c>
      <c r="AD3" s="50">
        <v>255</v>
      </c>
      <c r="AE3" s="50">
        <v>188</v>
      </c>
      <c r="AF3" s="50">
        <v>156</v>
      </c>
      <c r="AG3" s="48">
        <v>170360005528793</v>
      </c>
      <c r="AH3" s="47">
        <v>0.6233633101851852</v>
      </c>
      <c r="AI3" s="58">
        <f t="shared" ref="AI3:AI18" si="0">((AG3-E3)/1000000000)/60</f>
        <v>3.2488538988666664</v>
      </c>
      <c r="AJ3" s="47">
        <f t="shared" ref="AJ3:AJ17" si="1">AH3-D3</f>
        <v>2.2561921296296861E-3</v>
      </c>
      <c r="AK3" s="58">
        <f t="shared" ref="AK3:AK18" si="2">(G3/(F3/1000000000))/1024/1024</f>
        <v>293.91985439471671</v>
      </c>
      <c r="AL3" s="48">
        <f>B3/(AI3*60)</f>
        <v>51300.14209774309</v>
      </c>
      <c r="AM3" s="89"/>
    </row>
    <row r="4" spans="1:43" ht="91" x14ac:dyDescent="0.2">
      <c r="A4" s="50" t="s">
        <v>69</v>
      </c>
      <c r="B4" s="49">
        <v>100000000</v>
      </c>
      <c r="C4" s="50" t="s">
        <v>264</v>
      </c>
      <c r="D4" s="47">
        <v>0.90354960648148142</v>
      </c>
      <c r="E4" s="48">
        <v>86301061886834</v>
      </c>
      <c r="F4" s="48">
        <v>10735836156648</v>
      </c>
      <c r="G4" s="48">
        <v>549936047508</v>
      </c>
      <c r="H4" s="48">
        <v>11680</v>
      </c>
      <c r="I4" s="48">
        <v>281672268</v>
      </c>
      <c r="J4" s="48">
        <v>107358</v>
      </c>
      <c r="K4" s="48">
        <v>0</v>
      </c>
      <c r="L4" s="48">
        <v>10735836156648</v>
      </c>
      <c r="M4" s="50">
        <v>0</v>
      </c>
      <c r="N4" s="50">
        <v>4</v>
      </c>
      <c r="O4" s="50">
        <v>136409</v>
      </c>
      <c r="P4" s="50">
        <v>401414</v>
      </c>
      <c r="Q4" s="50">
        <v>133214</v>
      </c>
      <c r="R4" s="50">
        <v>46338</v>
      </c>
      <c r="S4" s="50">
        <v>24782</v>
      </c>
      <c r="T4" s="50">
        <v>10993</v>
      </c>
      <c r="U4" s="50">
        <v>3550</v>
      </c>
      <c r="V4" s="50">
        <v>46294</v>
      </c>
      <c r="W4" s="50">
        <v>431194</v>
      </c>
      <c r="X4" s="50">
        <v>2760088</v>
      </c>
      <c r="Y4" s="50">
        <v>7946280</v>
      </c>
      <c r="Z4" s="50">
        <v>19476286</v>
      </c>
      <c r="AA4" s="50">
        <v>22530490</v>
      </c>
      <c r="AB4" s="50">
        <v>9638744</v>
      </c>
      <c r="AC4" s="50">
        <v>4327306</v>
      </c>
      <c r="AD4" s="50">
        <v>3864343</v>
      </c>
      <c r="AE4" s="50">
        <v>4714239</v>
      </c>
      <c r="AF4" s="50">
        <v>3751564</v>
      </c>
      <c r="AG4" s="48">
        <v>99249064939199</v>
      </c>
      <c r="AH4" s="47">
        <v>5.3410798611111109E-2</v>
      </c>
      <c r="AI4" s="58">
        <f t="shared" si="0"/>
        <v>215.80005087275001</v>
      </c>
      <c r="AJ4" s="47">
        <f>(24-D4)+AH4</f>
        <v>23.149861192129631</v>
      </c>
      <c r="AK4" s="58">
        <f t="shared" si="2"/>
        <v>48.851330862532144</v>
      </c>
      <c r="AL4" s="48">
        <f>B4/(AI4*60)</f>
        <v>7723.1986736159006</v>
      </c>
      <c r="AM4" s="89"/>
    </row>
    <row r="5" spans="1:43" ht="91" x14ac:dyDescent="0.2">
      <c r="A5" s="50" t="s">
        <v>69</v>
      </c>
      <c r="B5" s="49">
        <v>100000000</v>
      </c>
      <c r="C5" s="50" t="s">
        <v>265</v>
      </c>
      <c r="D5" s="47">
        <v>0.21145505787037036</v>
      </c>
      <c r="E5" s="48">
        <v>71787094916614</v>
      </c>
      <c r="F5" s="48">
        <v>10822606873047</v>
      </c>
      <c r="G5" s="48">
        <v>549959488993</v>
      </c>
      <c r="H5" s="48">
        <v>11792</v>
      </c>
      <c r="I5" s="48">
        <v>404092419</v>
      </c>
      <c r="J5" s="48">
        <v>108226</v>
      </c>
      <c r="K5" s="48">
        <v>0</v>
      </c>
      <c r="L5" s="48">
        <v>10822606873047</v>
      </c>
      <c r="M5" s="50">
        <v>0</v>
      </c>
      <c r="N5" s="50">
        <v>2</v>
      </c>
      <c r="O5" s="50">
        <v>22607</v>
      </c>
      <c r="P5" s="50">
        <v>35452</v>
      </c>
      <c r="Q5" s="50">
        <v>22807</v>
      </c>
      <c r="R5" s="50">
        <v>8334</v>
      </c>
      <c r="S5" s="50">
        <v>1882</v>
      </c>
      <c r="T5" s="50">
        <v>585</v>
      </c>
      <c r="U5" s="50">
        <v>354</v>
      </c>
      <c r="V5" s="50">
        <v>17112</v>
      </c>
      <c r="W5" s="50">
        <v>536025</v>
      </c>
      <c r="X5" s="50">
        <v>4533562</v>
      </c>
      <c r="Y5" s="50">
        <v>7188526</v>
      </c>
      <c r="Z5" s="50">
        <v>27055557</v>
      </c>
      <c r="AA5" s="50">
        <v>17434939</v>
      </c>
      <c r="AB5" s="50">
        <v>5521198</v>
      </c>
      <c r="AC5" s="50">
        <v>3278218</v>
      </c>
      <c r="AD5" s="50">
        <v>3444307</v>
      </c>
      <c r="AE5" s="50">
        <v>4912674</v>
      </c>
      <c r="AF5" s="50">
        <v>3534474</v>
      </c>
      <c r="AG5" s="48">
        <v>84867628739455</v>
      </c>
      <c r="AH5" s="47">
        <v>0.36285016203703702</v>
      </c>
      <c r="AI5" s="58">
        <f t="shared" si="0"/>
        <v>218.00889704734999</v>
      </c>
      <c r="AJ5" s="47">
        <f t="shared" si="1"/>
        <v>0.15139510416666666</v>
      </c>
      <c r="AK5" s="58">
        <f t="shared" si="2"/>
        <v>48.461728848593665</v>
      </c>
      <c r="AL5" s="48">
        <f t="shared" ref="AL5:AL15" si="3">B5/(AI5*60)</f>
        <v>7644.9479321235149</v>
      </c>
      <c r="AM5" s="89"/>
    </row>
    <row r="6" spans="1:43" ht="91" x14ac:dyDescent="0.2">
      <c r="A6" s="50" t="s">
        <v>62</v>
      </c>
      <c r="B6" s="49">
        <v>10000000</v>
      </c>
      <c r="C6" s="50" t="s">
        <v>264</v>
      </c>
      <c r="D6" s="47">
        <v>0.58453179398148147</v>
      </c>
      <c r="E6" s="48">
        <v>80604965708290</v>
      </c>
      <c r="F6" s="48">
        <v>433265809920</v>
      </c>
      <c r="G6" s="48">
        <v>54997429121</v>
      </c>
      <c r="H6" s="50">
        <v>15772</v>
      </c>
      <c r="I6" s="50">
        <v>2029077642</v>
      </c>
      <c r="J6" s="50">
        <v>43326</v>
      </c>
      <c r="K6" s="50">
        <v>0</v>
      </c>
      <c r="L6" s="48">
        <v>433265809920</v>
      </c>
      <c r="M6" s="50">
        <v>0</v>
      </c>
      <c r="N6" s="48">
        <v>0</v>
      </c>
      <c r="O6" s="48">
        <v>49154</v>
      </c>
      <c r="P6" s="48">
        <v>6988398</v>
      </c>
      <c r="Q6" s="48">
        <v>684573</v>
      </c>
      <c r="R6" s="48">
        <v>181539</v>
      </c>
      <c r="S6" s="48">
        <v>148601</v>
      </c>
      <c r="T6" s="48">
        <v>53408</v>
      </c>
      <c r="U6" s="48">
        <v>17030</v>
      </c>
      <c r="V6" s="48">
        <v>6613</v>
      </c>
      <c r="W6" s="48">
        <v>2441</v>
      </c>
      <c r="X6" s="48">
        <v>7204</v>
      </c>
      <c r="Y6" s="48">
        <v>42726</v>
      </c>
      <c r="Z6" s="48">
        <v>113272</v>
      </c>
      <c r="AA6" s="48">
        <v>424683</v>
      </c>
      <c r="AB6" s="48">
        <v>342202</v>
      </c>
      <c r="AC6" s="48">
        <v>127224</v>
      </c>
      <c r="AD6" s="48">
        <v>75382</v>
      </c>
      <c r="AE6" s="48">
        <v>58254</v>
      </c>
      <c r="AF6" s="48">
        <v>58299</v>
      </c>
      <c r="AG6" s="48">
        <v>81065749761804</v>
      </c>
      <c r="AH6" s="47">
        <v>0.58986497685185191</v>
      </c>
      <c r="AI6" s="58">
        <f t="shared" si="0"/>
        <v>7.6797342252333332</v>
      </c>
      <c r="AJ6" s="47">
        <f t="shared" si="1"/>
        <v>5.3331828703704343E-3</v>
      </c>
      <c r="AK6" s="58">
        <f t="shared" si="2"/>
        <v>121.05648408018943</v>
      </c>
      <c r="AL6" s="48">
        <f t="shared" si="3"/>
        <v>21702.139915083171</v>
      </c>
      <c r="AM6" s="89"/>
    </row>
    <row r="7" spans="1:43" ht="91" x14ac:dyDescent="0.2">
      <c r="A7" s="50" t="s">
        <v>62</v>
      </c>
      <c r="B7" s="49">
        <v>10000000</v>
      </c>
      <c r="C7" s="50" t="s">
        <v>265</v>
      </c>
      <c r="D7" s="47">
        <v>0.68517299768518525</v>
      </c>
      <c r="E7" s="48">
        <v>89300366426538</v>
      </c>
      <c r="F7" s="48">
        <v>171098473685</v>
      </c>
      <c r="G7" s="48">
        <v>54997429121</v>
      </c>
      <c r="H7" s="50">
        <v>10825</v>
      </c>
      <c r="I7" s="50">
        <v>45922083</v>
      </c>
      <c r="J7" s="50">
        <v>17109</v>
      </c>
      <c r="K7" s="50">
        <v>0</v>
      </c>
      <c r="L7" s="48">
        <v>171098473685</v>
      </c>
      <c r="M7" s="50">
        <v>0</v>
      </c>
      <c r="N7" s="48">
        <v>2665</v>
      </c>
      <c r="O7" s="48">
        <v>8129569</v>
      </c>
      <c r="P7" s="48">
        <v>1392707</v>
      </c>
      <c r="Q7" s="48">
        <v>310048</v>
      </c>
      <c r="R7" s="48">
        <v>105308</v>
      </c>
      <c r="S7" s="48">
        <v>29206</v>
      </c>
      <c r="T7" s="48">
        <v>11288</v>
      </c>
      <c r="U7" s="48">
        <v>3630</v>
      </c>
      <c r="V7" s="48">
        <v>1594</v>
      </c>
      <c r="W7" s="48">
        <v>779</v>
      </c>
      <c r="X7" s="48">
        <v>545</v>
      </c>
      <c r="Y7" s="48">
        <v>622</v>
      </c>
      <c r="Z7" s="48">
        <v>569</v>
      </c>
      <c r="AA7" s="48">
        <v>523</v>
      </c>
      <c r="AB7" s="48">
        <v>390</v>
      </c>
      <c r="AC7" s="48">
        <v>267</v>
      </c>
      <c r="AD7" s="48">
        <v>206</v>
      </c>
      <c r="AE7" s="48">
        <v>154</v>
      </c>
      <c r="AF7" s="48">
        <v>152</v>
      </c>
      <c r="AG7" s="48">
        <v>89484647227583</v>
      </c>
      <c r="AH7" s="47">
        <v>0.68730592592592599</v>
      </c>
      <c r="AI7" s="58">
        <f t="shared" si="0"/>
        <v>3.0713466840833332</v>
      </c>
      <c r="AJ7" s="47">
        <f t="shared" si="1"/>
        <v>2.1329282407407391E-3</v>
      </c>
      <c r="AK7" s="58">
        <f t="shared" si="2"/>
        <v>306.54648455621532</v>
      </c>
      <c r="AL7" s="48">
        <f t="shared" si="3"/>
        <v>54265.012650764816</v>
      </c>
      <c r="AM7" s="89"/>
    </row>
    <row r="8" spans="1:43" ht="98" x14ac:dyDescent="0.2">
      <c r="A8" s="50" t="s">
        <v>62</v>
      </c>
      <c r="B8" s="49">
        <v>100000000</v>
      </c>
      <c r="C8" s="50" t="s">
        <v>264</v>
      </c>
      <c r="D8" s="47">
        <v>0.94319782407407404</v>
      </c>
      <c r="E8" s="48">
        <v>111593710917871</v>
      </c>
      <c r="F8" s="48">
        <v>20148316398747</v>
      </c>
      <c r="G8" s="48">
        <v>549944003390</v>
      </c>
      <c r="H8" s="50">
        <v>12646</v>
      </c>
      <c r="I8" s="50">
        <v>610526681</v>
      </c>
      <c r="J8" s="50">
        <v>201483</v>
      </c>
      <c r="K8" s="50">
        <v>0</v>
      </c>
      <c r="L8" s="48">
        <v>20148316398747</v>
      </c>
      <c r="M8" s="50">
        <v>0</v>
      </c>
      <c r="N8" s="48">
        <v>0</v>
      </c>
      <c r="O8" s="48">
        <v>24358</v>
      </c>
      <c r="P8" s="48">
        <v>11533</v>
      </c>
      <c r="Q8" s="48">
        <v>1510</v>
      </c>
      <c r="R8" s="48">
        <v>611</v>
      </c>
      <c r="S8" s="48">
        <v>204</v>
      </c>
      <c r="T8" s="48">
        <v>118</v>
      </c>
      <c r="U8" s="48">
        <v>48</v>
      </c>
      <c r="V8" s="48">
        <v>17</v>
      </c>
      <c r="W8" s="48">
        <v>108</v>
      </c>
      <c r="X8" s="48">
        <v>15526</v>
      </c>
      <c r="Y8" s="48">
        <v>100852</v>
      </c>
      <c r="Z8" s="48">
        <v>827972</v>
      </c>
      <c r="AA8" s="48">
        <v>3164865</v>
      </c>
      <c r="AB8" s="48">
        <v>7180724</v>
      </c>
      <c r="AC8" s="48">
        <v>21423655</v>
      </c>
      <c r="AD8" s="48">
        <v>12456216</v>
      </c>
      <c r="AE8" s="48">
        <v>4507655</v>
      </c>
      <c r="AF8" s="48">
        <v>3580162</v>
      </c>
      <c r="AG8" s="48">
        <v>132102231439866</v>
      </c>
      <c r="AH8" s="47">
        <v>0.180565</v>
      </c>
      <c r="AI8" s="58">
        <f t="shared" si="0"/>
        <v>341.80867536658332</v>
      </c>
      <c r="AJ8" s="47">
        <f>(24-D8)+AH8</f>
        <v>23.237367175925929</v>
      </c>
      <c r="AK8" s="58">
        <f t="shared" si="2"/>
        <v>26.030337280552668</v>
      </c>
      <c r="AL8" s="48">
        <f t="shared" si="3"/>
        <v>4876.0221339589998</v>
      </c>
      <c r="AM8" s="89"/>
    </row>
    <row r="9" spans="1:43" ht="98" x14ac:dyDescent="0.2">
      <c r="A9" s="50" t="s">
        <v>62</v>
      </c>
      <c r="B9" s="49">
        <v>100000000</v>
      </c>
      <c r="C9" s="50" t="s">
        <v>265</v>
      </c>
      <c r="D9" s="47">
        <v>0.31937077546296294</v>
      </c>
      <c r="E9" s="48">
        <v>144095054206831</v>
      </c>
      <c r="F9" s="48">
        <v>20620646144182</v>
      </c>
      <c r="G9" s="48">
        <v>549944003390</v>
      </c>
      <c r="H9" s="50">
        <v>9813</v>
      </c>
      <c r="I9" s="50">
        <v>86711093</v>
      </c>
      <c r="J9" s="50">
        <v>206206</v>
      </c>
      <c r="K9" s="50">
        <v>0</v>
      </c>
      <c r="L9" s="48">
        <v>20620646144182</v>
      </c>
      <c r="M9" s="50">
        <v>0</v>
      </c>
      <c r="N9" s="48">
        <v>485</v>
      </c>
      <c r="O9" s="48">
        <v>155271</v>
      </c>
      <c r="P9" s="48">
        <v>317728</v>
      </c>
      <c r="Q9" s="48">
        <v>281333</v>
      </c>
      <c r="R9" s="48">
        <v>41228</v>
      </c>
      <c r="S9" s="48">
        <v>17565</v>
      </c>
      <c r="T9" s="48">
        <v>10000</v>
      </c>
      <c r="U9" s="48">
        <v>7601</v>
      </c>
      <c r="V9" s="48">
        <v>3199</v>
      </c>
      <c r="W9" s="48">
        <v>4105</v>
      </c>
      <c r="X9" s="48">
        <v>71154</v>
      </c>
      <c r="Y9" s="48">
        <v>692628</v>
      </c>
      <c r="Z9" s="48">
        <v>2879241</v>
      </c>
      <c r="AA9" s="48">
        <v>8654376</v>
      </c>
      <c r="AB9" s="48">
        <v>16724402</v>
      </c>
      <c r="AC9" s="48">
        <v>8115594</v>
      </c>
      <c r="AD9" s="48">
        <v>4412250</v>
      </c>
      <c r="AE9" s="48">
        <v>4722447</v>
      </c>
      <c r="AF9" s="48">
        <v>9455322</v>
      </c>
      <c r="AG9" s="48">
        <v>165062537543291</v>
      </c>
      <c r="AH9" s="47">
        <v>0.56205002314814811</v>
      </c>
      <c r="AI9" s="58">
        <f t="shared" si="0"/>
        <v>349.45805560766672</v>
      </c>
      <c r="AJ9" s="47">
        <f t="shared" si="1"/>
        <v>0.24267924768518517</v>
      </c>
      <c r="AK9" s="58">
        <f t="shared" si="2"/>
        <v>25.434094927362413</v>
      </c>
      <c r="AL9" s="48">
        <f t="shared" si="3"/>
        <v>4769.2895897578555</v>
      </c>
      <c r="AM9" s="89"/>
    </row>
    <row r="10" spans="1:43" ht="98" x14ac:dyDescent="0.2">
      <c r="A10" s="50" t="s">
        <v>62</v>
      </c>
      <c r="B10" s="49">
        <v>1000000000</v>
      </c>
      <c r="C10" s="50" t="s">
        <v>264</v>
      </c>
      <c r="D10" s="47">
        <v>0.90736483796296297</v>
      </c>
      <c r="E10" s="48">
        <v>550715729109950</v>
      </c>
      <c r="F10" s="48">
        <v>126236932692889</v>
      </c>
      <c r="G10" s="48">
        <v>5499406575568</v>
      </c>
      <c r="H10" s="50">
        <v>56628</v>
      </c>
      <c r="I10" s="50">
        <v>807810619</v>
      </c>
      <c r="J10" s="50">
        <v>126236</v>
      </c>
      <c r="K10" s="50">
        <v>0</v>
      </c>
      <c r="L10" s="48">
        <v>126236932692889</v>
      </c>
      <c r="M10" s="50">
        <v>0</v>
      </c>
      <c r="N10" s="50">
        <v>0</v>
      </c>
      <c r="O10" s="50">
        <v>0</v>
      </c>
      <c r="P10" s="50">
        <v>0</v>
      </c>
      <c r="Q10" s="50">
        <v>0</v>
      </c>
      <c r="R10" s="50">
        <v>0</v>
      </c>
      <c r="S10" s="50">
        <v>0</v>
      </c>
      <c r="T10" s="50">
        <v>0</v>
      </c>
      <c r="U10" s="50">
        <v>0</v>
      </c>
      <c r="V10" s="50">
        <v>3691</v>
      </c>
      <c r="W10" s="50">
        <v>8637695</v>
      </c>
      <c r="X10" s="50">
        <v>13724280</v>
      </c>
      <c r="Y10" s="50">
        <v>131702581</v>
      </c>
      <c r="Z10" s="50">
        <v>143990621</v>
      </c>
      <c r="AA10" s="50">
        <v>215826045</v>
      </c>
      <c r="AB10" s="50">
        <v>107991690</v>
      </c>
      <c r="AC10" s="50">
        <v>30308493</v>
      </c>
      <c r="AD10" s="50">
        <v>15993939</v>
      </c>
      <c r="AE10" s="50">
        <v>14245431</v>
      </c>
      <c r="AF10" s="50">
        <v>30951816</v>
      </c>
      <c r="AG10" s="48">
        <v>699491454187400</v>
      </c>
      <c r="AH10" s="47">
        <v>0.62930614583333333</v>
      </c>
      <c r="AI10" s="58">
        <f t="shared" si="0"/>
        <v>2479.5954179575001</v>
      </c>
      <c r="AJ10" s="47"/>
      <c r="AK10" s="58">
        <f t="shared" si="2"/>
        <v>41.546025356573658</v>
      </c>
      <c r="AL10" s="48">
        <f t="shared" si="3"/>
        <v>6721.52664340515</v>
      </c>
      <c r="AM10" s="89"/>
    </row>
    <row r="11" spans="1:43" s="50" customFormat="1" ht="85" x14ac:dyDescent="0.2">
      <c r="A11" s="50" t="s">
        <v>273</v>
      </c>
      <c r="B11" s="49">
        <v>10000000</v>
      </c>
      <c r="C11" s="50" t="s">
        <v>265</v>
      </c>
      <c r="D11" s="47">
        <v>0.40244069444444447</v>
      </c>
      <c r="E11" s="48">
        <v>1888253746278</v>
      </c>
      <c r="F11" s="48">
        <v>237603102171</v>
      </c>
      <c r="G11" s="48">
        <v>54997050601</v>
      </c>
      <c r="H11" s="50">
        <v>12803</v>
      </c>
      <c r="I11" s="50">
        <v>22086889</v>
      </c>
      <c r="J11" s="50">
        <v>23760</v>
      </c>
      <c r="K11" s="50">
        <v>0</v>
      </c>
      <c r="L11" s="48">
        <v>237603102171</v>
      </c>
      <c r="M11" s="50">
        <v>0</v>
      </c>
      <c r="N11" s="50">
        <v>0</v>
      </c>
      <c r="O11" s="50">
        <v>474145</v>
      </c>
      <c r="P11" s="50">
        <v>7548533</v>
      </c>
      <c r="Q11" s="50">
        <v>1088702</v>
      </c>
      <c r="R11" s="50">
        <v>354753</v>
      </c>
      <c r="S11" s="50">
        <v>293253</v>
      </c>
      <c r="T11" s="50">
        <v>139880</v>
      </c>
      <c r="U11" s="50">
        <v>42582</v>
      </c>
      <c r="V11" s="50">
        <v>21839</v>
      </c>
      <c r="W11" s="50">
        <v>9800</v>
      </c>
      <c r="X11" s="50">
        <v>3339</v>
      </c>
      <c r="Y11" s="50">
        <v>2046</v>
      </c>
      <c r="Z11" s="50">
        <v>1662</v>
      </c>
      <c r="AA11" s="50">
        <v>1255</v>
      </c>
      <c r="AB11" s="50">
        <v>1132</v>
      </c>
      <c r="AC11" s="50">
        <v>932</v>
      </c>
      <c r="AD11" s="50">
        <v>735</v>
      </c>
      <c r="AE11" s="50">
        <v>593</v>
      </c>
      <c r="AF11" s="50">
        <v>479</v>
      </c>
      <c r="AG11" s="48">
        <v>2196931629119</v>
      </c>
      <c r="AH11" s="47">
        <v>0.40601339120370367</v>
      </c>
      <c r="AI11" s="58">
        <f t="shared" si="0"/>
        <v>5.1446313806833333</v>
      </c>
      <c r="AJ11" s="47">
        <f t="shared" si="1"/>
        <v>3.5726967592591974E-3</v>
      </c>
      <c r="AK11" s="58">
        <f t="shared" si="2"/>
        <v>220.74322328721755</v>
      </c>
      <c r="AL11" s="48">
        <f t="shared" si="3"/>
        <v>32396.231009369083</v>
      </c>
      <c r="AM11" s="89"/>
      <c r="AN11"/>
    </row>
    <row r="12" spans="1:43" s="50" customFormat="1" ht="85" x14ac:dyDescent="0.2">
      <c r="A12" s="50" t="s">
        <v>273</v>
      </c>
      <c r="B12" s="49">
        <v>10000000</v>
      </c>
      <c r="C12" s="50" t="s">
        <v>264</v>
      </c>
      <c r="D12" s="47">
        <v>0.40685422453703701</v>
      </c>
      <c r="E12" s="48">
        <v>2269583244946</v>
      </c>
      <c r="F12" s="48">
        <v>161570789752</v>
      </c>
      <c r="G12" s="48">
        <v>54997050601</v>
      </c>
      <c r="H12" s="50">
        <v>10322</v>
      </c>
      <c r="I12" s="50">
        <v>18644441</v>
      </c>
      <c r="J12" s="50">
        <v>16157</v>
      </c>
      <c r="K12" s="50">
        <v>0</v>
      </c>
      <c r="L12" s="48">
        <v>161570789752</v>
      </c>
      <c r="M12" s="50">
        <v>0</v>
      </c>
      <c r="N12" s="50">
        <v>68893</v>
      </c>
      <c r="O12" s="50">
        <v>8219108</v>
      </c>
      <c r="P12" s="50">
        <v>1311173</v>
      </c>
      <c r="Q12" s="50">
        <v>241310</v>
      </c>
      <c r="R12" s="50">
        <v>103698</v>
      </c>
      <c r="S12" s="50">
        <v>25597</v>
      </c>
      <c r="T12" s="50">
        <v>6739</v>
      </c>
      <c r="U12" s="50">
        <v>5595</v>
      </c>
      <c r="V12" s="50">
        <v>1746</v>
      </c>
      <c r="W12" s="50">
        <v>674</v>
      </c>
      <c r="X12" s="50">
        <v>506</v>
      </c>
      <c r="Y12" s="50">
        <v>330</v>
      </c>
      <c r="Z12" s="50">
        <v>318</v>
      </c>
      <c r="AA12" s="50">
        <v>312</v>
      </c>
      <c r="AB12" s="50">
        <v>308</v>
      </c>
      <c r="AC12" s="50">
        <v>291</v>
      </c>
      <c r="AD12" s="50">
        <v>322</v>
      </c>
      <c r="AE12" s="50">
        <v>432</v>
      </c>
      <c r="AF12" s="50">
        <v>525</v>
      </c>
      <c r="AG12" s="48">
        <v>2509928920652</v>
      </c>
      <c r="AH12" s="47">
        <v>0.40963604166666667</v>
      </c>
      <c r="AI12" s="58">
        <f t="shared" si="0"/>
        <v>4.0057612617666667</v>
      </c>
      <c r="AJ12" s="47">
        <f t="shared" si="1"/>
        <v>2.7818171296296601E-3</v>
      </c>
      <c r="AK12" s="58">
        <f t="shared" si="2"/>
        <v>324.62102040086967</v>
      </c>
      <c r="AL12" s="48">
        <f t="shared" si="3"/>
        <v>41606.739836802313</v>
      </c>
      <c r="AM12" s="89"/>
      <c r="AN12"/>
    </row>
    <row r="13" spans="1:43" s="50" customFormat="1" ht="91" x14ac:dyDescent="0.2">
      <c r="A13" s="50" t="s">
        <v>273</v>
      </c>
      <c r="B13" s="49">
        <v>10000000</v>
      </c>
      <c r="C13" s="50" t="s">
        <v>264</v>
      </c>
      <c r="D13" s="47">
        <v>0.60101450231481479</v>
      </c>
      <c r="E13" s="48">
        <v>19045031098387</v>
      </c>
      <c r="F13" s="48">
        <v>11785734199434</v>
      </c>
      <c r="G13" s="48">
        <v>549615776600</v>
      </c>
      <c r="H13" s="50">
        <v>30269</v>
      </c>
      <c r="I13" s="50">
        <v>1007282440</v>
      </c>
      <c r="J13" s="50">
        <v>117857</v>
      </c>
      <c r="K13" s="50">
        <v>0</v>
      </c>
      <c r="L13" s="48">
        <v>11785734199434</v>
      </c>
      <c r="M13" s="50">
        <v>0</v>
      </c>
      <c r="N13" s="50">
        <v>0</v>
      </c>
      <c r="O13" s="50">
        <v>0</v>
      </c>
      <c r="P13" s="50">
        <v>0</v>
      </c>
      <c r="Q13" s="50">
        <v>0</v>
      </c>
      <c r="R13" s="50">
        <v>16457</v>
      </c>
      <c r="S13" s="50">
        <v>7615</v>
      </c>
      <c r="T13" s="50">
        <v>1580</v>
      </c>
      <c r="U13" s="50">
        <v>478</v>
      </c>
      <c r="V13" s="50">
        <v>262</v>
      </c>
      <c r="W13" s="50">
        <v>248</v>
      </c>
      <c r="X13" s="50">
        <v>433</v>
      </c>
      <c r="Y13" s="50">
        <v>21466</v>
      </c>
      <c r="Z13" s="50">
        <v>3330725</v>
      </c>
      <c r="AA13" s="50">
        <v>6033215</v>
      </c>
      <c r="AB13" s="50">
        <v>38592325</v>
      </c>
      <c r="AC13" s="50">
        <v>21896393</v>
      </c>
      <c r="AD13" s="50">
        <v>7407931</v>
      </c>
      <c r="AE13" s="50">
        <v>2982762</v>
      </c>
      <c r="AF13" s="50">
        <v>2003370</v>
      </c>
      <c r="AG13" s="48">
        <v>34708771639869</v>
      </c>
      <c r="AH13" s="47">
        <v>0.78230783564814821</v>
      </c>
      <c r="AI13" s="58">
        <f t="shared" si="0"/>
        <v>261.06234235803333</v>
      </c>
      <c r="AJ13" s="47">
        <f t="shared" si="1"/>
        <v>0.18129333333333342</v>
      </c>
      <c r="AK13" s="58">
        <f t="shared" si="2"/>
        <v>44.473635767236907</v>
      </c>
      <c r="AL13" s="48">
        <f t="shared" si="3"/>
        <v>638.41711202488204</v>
      </c>
      <c r="AM13" s="89"/>
      <c r="AN13"/>
    </row>
    <row r="14" spans="1:43" s="50" customFormat="1" ht="91" x14ac:dyDescent="0.2">
      <c r="A14" s="50" t="s">
        <v>273</v>
      </c>
      <c r="B14" s="49">
        <v>100000000</v>
      </c>
      <c r="C14" s="50" t="s">
        <v>265</v>
      </c>
      <c r="D14" s="47">
        <v>0.79947827546296291</v>
      </c>
      <c r="E14" s="48">
        <v>36192301474974</v>
      </c>
      <c r="F14" s="48">
        <v>10166217369224</v>
      </c>
      <c r="G14" s="48">
        <v>549615776600</v>
      </c>
      <c r="H14" s="50">
        <v>11825</v>
      </c>
      <c r="I14" s="50">
        <v>85446564</v>
      </c>
      <c r="J14" s="50">
        <v>101662</v>
      </c>
      <c r="K14" s="50">
        <v>0</v>
      </c>
      <c r="L14" s="48">
        <v>10166217369224</v>
      </c>
      <c r="M14" s="50">
        <v>0</v>
      </c>
      <c r="N14" s="50">
        <v>2</v>
      </c>
      <c r="O14" s="50">
        <v>75015</v>
      </c>
      <c r="P14" s="50">
        <v>21657</v>
      </c>
      <c r="Q14" s="50">
        <v>2132</v>
      </c>
      <c r="R14" s="50">
        <v>15986</v>
      </c>
      <c r="S14" s="50">
        <v>9651</v>
      </c>
      <c r="T14" s="50">
        <v>1316</v>
      </c>
      <c r="U14" s="50">
        <v>330</v>
      </c>
      <c r="V14" s="50">
        <v>181</v>
      </c>
      <c r="W14" s="50">
        <v>194</v>
      </c>
      <c r="X14" s="50">
        <v>4243</v>
      </c>
      <c r="Y14" s="50">
        <v>99371</v>
      </c>
      <c r="Z14" s="50">
        <v>4348720</v>
      </c>
      <c r="AA14" s="50">
        <v>5914254</v>
      </c>
      <c r="AB14" s="50">
        <v>49021670</v>
      </c>
      <c r="AC14" s="50">
        <v>20549517</v>
      </c>
      <c r="AD14" s="50">
        <v>8255282</v>
      </c>
      <c r="AE14" s="50">
        <v>2111758</v>
      </c>
      <c r="AF14" s="50">
        <v>1113585</v>
      </c>
      <c r="AG14" s="48">
        <v>48887179069670</v>
      </c>
      <c r="AH14" s="47">
        <v>0.94640976851851855</v>
      </c>
      <c r="AI14" s="58">
        <f t="shared" si="0"/>
        <v>211.58129324493333</v>
      </c>
      <c r="AJ14" s="47">
        <f t="shared" si="1"/>
        <v>0.14693149305555564</v>
      </c>
      <c r="AK14" s="58">
        <f t="shared" si="2"/>
        <v>51.558453945895181</v>
      </c>
      <c r="AL14" s="48">
        <f t="shared" si="3"/>
        <v>7877.1929271520221</v>
      </c>
      <c r="AM14" s="89"/>
      <c r="AN14"/>
    </row>
    <row r="15" spans="1:43" s="50" customFormat="1" ht="91" x14ac:dyDescent="0.2">
      <c r="A15" s="50" t="s">
        <v>134</v>
      </c>
      <c r="B15" s="49">
        <v>1000000</v>
      </c>
      <c r="C15" s="50" t="s">
        <v>265</v>
      </c>
      <c r="D15" s="47">
        <v>0.44137324074074075</v>
      </c>
      <c r="E15" s="50">
        <v>91652026079970</v>
      </c>
      <c r="F15" s="50">
        <v>24258124836</v>
      </c>
      <c r="G15" s="50">
        <v>5499366722</v>
      </c>
      <c r="H15" s="50">
        <v>14155</v>
      </c>
      <c r="I15" s="50">
        <v>17930626</v>
      </c>
      <c r="J15" s="50">
        <v>24258</v>
      </c>
      <c r="K15" s="50">
        <v>0</v>
      </c>
      <c r="L15" s="50">
        <v>24258124836</v>
      </c>
      <c r="M15" s="50">
        <v>0</v>
      </c>
      <c r="N15" s="50">
        <v>0</v>
      </c>
      <c r="O15" s="50">
        <v>160325</v>
      </c>
      <c r="P15" s="50">
        <v>505698</v>
      </c>
      <c r="Q15" s="50">
        <v>246327</v>
      </c>
      <c r="R15" s="50">
        <v>58139</v>
      </c>
      <c r="S15" s="50">
        <v>15748</v>
      </c>
      <c r="T15" s="50">
        <v>5439</v>
      </c>
      <c r="U15" s="50">
        <v>3391</v>
      </c>
      <c r="V15" s="50">
        <v>1696</v>
      </c>
      <c r="W15" s="50">
        <v>513</v>
      </c>
      <c r="X15" s="50">
        <v>239</v>
      </c>
      <c r="Y15" s="50">
        <v>111</v>
      </c>
      <c r="Z15" s="50">
        <v>92</v>
      </c>
      <c r="AA15" s="50">
        <v>78</v>
      </c>
      <c r="AB15" s="50">
        <v>64</v>
      </c>
      <c r="AC15" s="50">
        <v>70</v>
      </c>
      <c r="AD15" s="50">
        <v>85</v>
      </c>
      <c r="AE15" s="50">
        <v>98</v>
      </c>
      <c r="AF15" s="50">
        <v>102</v>
      </c>
      <c r="AG15" s="48">
        <v>91685077562818</v>
      </c>
      <c r="AH15" s="47">
        <v>0.44175582175925926</v>
      </c>
      <c r="AI15" s="58">
        <f t="shared" si="0"/>
        <v>0.55085804746666667</v>
      </c>
      <c r="AJ15" s="47">
        <f t="shared" si="1"/>
        <v>3.8258101851851301E-4</v>
      </c>
      <c r="AK15" s="58">
        <f t="shared" si="2"/>
        <v>216.19992619905364</v>
      </c>
      <c r="AL15" s="48">
        <f t="shared" si="3"/>
        <v>30255.82859924579</v>
      </c>
      <c r="AM15" s="89"/>
      <c r="AN15"/>
    </row>
    <row r="16" spans="1:43" s="50" customFormat="1" ht="91" x14ac:dyDescent="0.2">
      <c r="A16" s="50" t="s">
        <v>134</v>
      </c>
      <c r="B16" s="49">
        <v>1000000</v>
      </c>
      <c r="C16" s="50" t="s">
        <v>264</v>
      </c>
      <c r="D16" s="47">
        <v>0.44262780092592591</v>
      </c>
      <c r="E16" s="50">
        <v>91760419762391</v>
      </c>
      <c r="F16" s="50">
        <v>22019650103</v>
      </c>
      <c r="G16" s="50">
        <v>5499366722</v>
      </c>
      <c r="H16" s="50">
        <v>13171</v>
      </c>
      <c r="I16" s="50">
        <v>15678337</v>
      </c>
      <c r="J16" s="50">
        <v>22019</v>
      </c>
      <c r="K16" s="50">
        <v>0</v>
      </c>
      <c r="L16" s="50">
        <v>22019650103</v>
      </c>
      <c r="M16" s="50">
        <v>0</v>
      </c>
      <c r="N16" s="50">
        <v>0</v>
      </c>
      <c r="O16" s="50">
        <v>346046</v>
      </c>
      <c r="P16" s="50">
        <v>423596</v>
      </c>
      <c r="Q16" s="50">
        <v>171562</v>
      </c>
      <c r="R16" s="50">
        <v>37721</v>
      </c>
      <c r="S16" s="50">
        <v>9839</v>
      </c>
      <c r="T16" s="50">
        <v>5245</v>
      </c>
      <c r="U16" s="50">
        <v>2145</v>
      </c>
      <c r="V16" s="50">
        <v>802</v>
      </c>
      <c r="W16" s="50">
        <v>420</v>
      </c>
      <c r="X16" s="50">
        <v>307</v>
      </c>
      <c r="Y16" s="50">
        <v>140</v>
      </c>
      <c r="Z16" s="50">
        <v>94</v>
      </c>
      <c r="AA16" s="50">
        <v>71</v>
      </c>
      <c r="AB16" s="50">
        <v>68</v>
      </c>
      <c r="AC16" s="50">
        <v>77</v>
      </c>
      <c r="AD16" s="50">
        <v>50</v>
      </c>
      <c r="AE16" s="50">
        <v>53</v>
      </c>
      <c r="AF16" s="50">
        <v>68</v>
      </c>
      <c r="AG16" s="48">
        <v>91792252519106</v>
      </c>
      <c r="AH16" s="47">
        <v>0.4429962731481481</v>
      </c>
      <c r="AI16" s="58">
        <f t="shared" si="0"/>
        <v>0.53054594524999998</v>
      </c>
      <c r="AJ16" s="47">
        <f t="shared" si="1"/>
        <v>3.6847222222219367E-4</v>
      </c>
      <c r="AK16" s="58">
        <f t="shared" si="2"/>
        <v>238.17838951746535</v>
      </c>
      <c r="AL16" s="48">
        <f>B16/(AI16*60)</f>
        <v>31414.181591404158</v>
      </c>
      <c r="AM16" s="89"/>
      <c r="AN16"/>
    </row>
    <row r="17" spans="1:40" s="50" customFormat="1" ht="91" x14ac:dyDescent="0.2">
      <c r="A17" s="50" t="s">
        <v>134</v>
      </c>
      <c r="B17" s="49">
        <v>6000000</v>
      </c>
      <c r="C17" s="50" t="s">
        <v>264</v>
      </c>
      <c r="D17" s="47">
        <v>0.45695374999999999</v>
      </c>
      <c r="E17" s="50">
        <v>92998181615214</v>
      </c>
      <c r="F17" s="50">
        <v>361562702195</v>
      </c>
      <c r="G17" s="50">
        <v>33001067100</v>
      </c>
      <c r="H17" s="50">
        <v>11048</v>
      </c>
      <c r="I17" s="50">
        <v>17145756</v>
      </c>
      <c r="J17" s="50">
        <v>60260</v>
      </c>
      <c r="K17" s="50">
        <v>0</v>
      </c>
      <c r="L17" s="48">
        <v>361562702195</v>
      </c>
      <c r="M17" s="50">
        <v>0</v>
      </c>
      <c r="N17" s="50">
        <v>597</v>
      </c>
      <c r="O17" s="50">
        <v>2302763</v>
      </c>
      <c r="P17" s="50">
        <v>1070797</v>
      </c>
      <c r="Q17" s="50">
        <v>169405</v>
      </c>
      <c r="R17" s="50">
        <v>45738</v>
      </c>
      <c r="S17" s="50">
        <v>32386</v>
      </c>
      <c r="T17" s="50">
        <v>5677</v>
      </c>
      <c r="U17" s="50">
        <v>3609</v>
      </c>
      <c r="V17" s="50">
        <v>1963</v>
      </c>
      <c r="W17" s="50">
        <v>5280</v>
      </c>
      <c r="X17" s="50">
        <v>6804</v>
      </c>
      <c r="Y17" s="50">
        <v>12559</v>
      </c>
      <c r="Z17" s="50">
        <v>6018</v>
      </c>
      <c r="AA17" s="50">
        <v>24022</v>
      </c>
      <c r="AB17" s="50">
        <v>15449</v>
      </c>
      <c r="AC17" s="50">
        <v>56241</v>
      </c>
      <c r="AD17" s="50">
        <v>49237</v>
      </c>
      <c r="AE17" s="50">
        <v>344060</v>
      </c>
      <c r="AF17" s="50">
        <v>302166</v>
      </c>
      <c r="AG17" s="48">
        <v>93466988536048</v>
      </c>
      <c r="AH17" s="47">
        <v>0.46237979166666671</v>
      </c>
      <c r="AI17" s="58">
        <f t="shared" si="0"/>
        <v>7.8134486805666663</v>
      </c>
      <c r="AJ17" s="47">
        <f t="shared" si="1"/>
        <v>5.4260416666667144E-3</v>
      </c>
      <c r="AK17" s="58">
        <f t="shared" si="2"/>
        <v>87.045123615365313</v>
      </c>
      <c r="AL17" s="48">
        <f>B17/(AI17*60)</f>
        <v>12798.445870479251</v>
      </c>
      <c r="AM17" s="89"/>
      <c r="AN17"/>
    </row>
    <row r="18" spans="1:40" s="50" customFormat="1" ht="91" x14ac:dyDescent="0.2">
      <c r="A18" s="50" t="s">
        <v>134</v>
      </c>
      <c r="B18" s="49">
        <v>6000000</v>
      </c>
      <c r="C18" s="50" t="s">
        <v>265</v>
      </c>
      <c r="D18" s="47">
        <v>0.47372892361111107</v>
      </c>
      <c r="E18" s="50">
        <v>94447558157990</v>
      </c>
      <c r="F18" s="50">
        <v>120492631207</v>
      </c>
      <c r="G18" s="50">
        <v>33001067100</v>
      </c>
      <c r="H18" s="50">
        <v>10717</v>
      </c>
      <c r="I18" s="50">
        <v>20030677</v>
      </c>
      <c r="J18" s="50">
        <v>20082</v>
      </c>
      <c r="K18" s="50">
        <v>0</v>
      </c>
      <c r="L18" s="48">
        <v>120492631207</v>
      </c>
      <c r="N18" s="50">
        <v>7015</v>
      </c>
      <c r="O18" s="50">
        <v>3244975</v>
      </c>
      <c r="P18" s="50">
        <v>2029146</v>
      </c>
      <c r="Q18" s="50">
        <v>499745</v>
      </c>
      <c r="R18" s="50">
        <v>91519</v>
      </c>
      <c r="S18" s="50">
        <v>32648</v>
      </c>
      <c r="T18" s="50">
        <v>13774</v>
      </c>
      <c r="U18" s="50">
        <v>19798</v>
      </c>
      <c r="V18" s="50">
        <v>7741</v>
      </c>
      <c r="W18" s="50">
        <v>2067</v>
      </c>
      <c r="X18" s="50">
        <v>972</v>
      </c>
      <c r="Y18" s="50">
        <v>1953</v>
      </c>
      <c r="Z18" s="50">
        <v>1890</v>
      </c>
      <c r="AA18" s="50">
        <v>10046</v>
      </c>
      <c r="AB18" s="50">
        <v>4110</v>
      </c>
      <c r="AC18" s="50">
        <v>2706</v>
      </c>
      <c r="AD18" s="50">
        <v>2910</v>
      </c>
      <c r="AE18" s="50">
        <v>7965</v>
      </c>
      <c r="AF18" s="50">
        <v>3834</v>
      </c>
      <c r="AG18" s="48">
        <v>94608448336845</v>
      </c>
      <c r="AH18" s="47">
        <v>0.47559113425925931</v>
      </c>
      <c r="AI18" s="58">
        <f t="shared" si="0"/>
        <v>2.6815029809166666</v>
      </c>
      <c r="AJ18" s="47">
        <f>AH18-D18</f>
        <v>1.8622106481482326E-3</v>
      </c>
      <c r="AK18" s="58">
        <f t="shared" si="2"/>
        <v>261.19663743753409</v>
      </c>
      <c r="AL18" s="48">
        <f>B18/(AI18*60)</f>
        <v>37292.518677646665</v>
      </c>
      <c r="AM18" s="89"/>
      <c r="AN18"/>
    </row>
    <row r="19" spans="1:40" x14ac:dyDescent="0.2">
      <c r="L19" s="50">
        <v>0</v>
      </c>
    </row>
    <row r="25" spans="1:40" ht="104" x14ac:dyDescent="0.2">
      <c r="A25" s="180" t="s">
        <v>69</v>
      </c>
      <c r="B25" s="98">
        <v>10000000</v>
      </c>
      <c r="C25" s="94" t="s">
        <v>265</v>
      </c>
      <c r="D25" s="92">
        <v>0.35963494212962965</v>
      </c>
      <c r="E25" s="93">
        <v>1108191865419750</v>
      </c>
      <c r="F25" s="93">
        <v>3195754333849</v>
      </c>
      <c r="G25" s="94">
        <v>54995610996</v>
      </c>
      <c r="H25" s="94">
        <v>11000</v>
      </c>
      <c r="I25" s="94">
        <v>281308071</v>
      </c>
      <c r="J25" s="94">
        <v>319575</v>
      </c>
      <c r="K25" s="94">
        <v>0</v>
      </c>
      <c r="L25" s="93">
        <v>3195754333849</v>
      </c>
      <c r="M25" s="94">
        <v>0</v>
      </c>
      <c r="N25" s="94">
        <v>98</v>
      </c>
      <c r="O25" s="94">
        <v>227222</v>
      </c>
      <c r="P25" s="94">
        <v>358081</v>
      </c>
      <c r="Q25" s="94">
        <v>57552</v>
      </c>
      <c r="R25" s="94">
        <v>10278</v>
      </c>
      <c r="S25" s="94">
        <v>5115</v>
      </c>
      <c r="T25" s="94">
        <v>1847</v>
      </c>
      <c r="U25" s="94">
        <v>695</v>
      </c>
      <c r="V25" s="94">
        <v>286</v>
      </c>
      <c r="W25" s="94">
        <v>108</v>
      </c>
      <c r="X25" s="94">
        <v>56</v>
      </c>
      <c r="Y25" s="94">
        <v>27</v>
      </c>
      <c r="Z25" s="94">
        <v>58</v>
      </c>
      <c r="AA25" s="94">
        <v>42768</v>
      </c>
      <c r="AB25" s="94">
        <v>93715</v>
      </c>
      <c r="AC25" s="94">
        <v>897022</v>
      </c>
      <c r="AD25" s="94">
        <v>1327754</v>
      </c>
      <c r="AE25" s="94">
        <v>2829399</v>
      </c>
      <c r="AF25" s="94">
        <v>1197836</v>
      </c>
      <c r="AG25" s="93">
        <v>1111606554050670</v>
      </c>
      <c r="AH25" s="92">
        <v>0.39915684027777781</v>
      </c>
      <c r="AI25" s="58">
        <f t="shared" ref="AI25:AI27" si="4">((AG25-E25)/1000000000)/60</f>
        <v>56.911477181999999</v>
      </c>
      <c r="AJ25" s="47">
        <f>AH25-D25</f>
        <v>3.952189814814816E-2</v>
      </c>
      <c r="AK25" s="58">
        <f t="shared" ref="AK25:AK27" si="5">(G25/(F25/1000000000))/1024/1024</f>
        <v>16.411743908608127</v>
      </c>
      <c r="AL25" s="48">
        <f>B25/(AI25*60)</f>
        <v>2928.5247004514604</v>
      </c>
      <c r="AM25" t="s">
        <v>294</v>
      </c>
    </row>
    <row r="26" spans="1:40" ht="104" x14ac:dyDescent="0.2">
      <c r="A26" s="180" t="s">
        <v>69</v>
      </c>
      <c r="B26" s="98">
        <v>10000000</v>
      </c>
      <c r="C26" s="94" t="s">
        <v>264</v>
      </c>
      <c r="D26" s="92">
        <v>0.40204515046296296</v>
      </c>
      <c r="E26" s="93">
        <v>1111856108465630</v>
      </c>
      <c r="F26" s="93">
        <v>921161548255</v>
      </c>
      <c r="G26" s="94">
        <v>54995610996</v>
      </c>
      <c r="H26" s="94">
        <v>11559</v>
      </c>
      <c r="I26" s="94">
        <v>278769715</v>
      </c>
      <c r="J26" s="94">
        <v>92116</v>
      </c>
      <c r="K26" s="94">
        <v>0</v>
      </c>
      <c r="L26" s="93">
        <v>921161548255</v>
      </c>
      <c r="M26" s="94">
        <v>0</v>
      </c>
      <c r="N26" s="94">
        <v>14</v>
      </c>
      <c r="O26" s="94">
        <v>361818</v>
      </c>
      <c r="P26" s="94">
        <v>1228776</v>
      </c>
      <c r="Q26" s="94">
        <v>190681</v>
      </c>
      <c r="R26" s="94">
        <v>41360</v>
      </c>
      <c r="S26" s="94">
        <v>32397</v>
      </c>
      <c r="T26" s="94">
        <v>9318</v>
      </c>
      <c r="U26" s="94">
        <v>2513</v>
      </c>
      <c r="V26" s="94">
        <v>33843</v>
      </c>
      <c r="W26" s="94">
        <v>64982</v>
      </c>
      <c r="X26" s="94">
        <v>644273</v>
      </c>
      <c r="Y26" s="94">
        <v>1052512</v>
      </c>
      <c r="Z26" s="94">
        <v>1610280</v>
      </c>
      <c r="AA26" s="94">
        <v>779428</v>
      </c>
      <c r="AB26" s="94">
        <v>596582</v>
      </c>
      <c r="AC26" s="94">
        <v>495580</v>
      </c>
      <c r="AD26" s="94">
        <v>879680</v>
      </c>
      <c r="AE26" s="94">
        <v>500009</v>
      </c>
      <c r="AF26" s="94">
        <v>320120</v>
      </c>
      <c r="AG26" s="93">
        <v>1112897429027550</v>
      </c>
      <c r="AH26" s="92">
        <v>0.41409752314814813</v>
      </c>
      <c r="AI26" s="58">
        <f t="shared" si="4"/>
        <v>17.355342698666668</v>
      </c>
      <c r="AJ26" s="47">
        <f>AH26-D26</f>
        <v>1.2052372685185164E-2</v>
      </c>
      <c r="AK26" s="58">
        <f t="shared" si="5"/>
        <v>56.936703253961149</v>
      </c>
      <c r="AL26" s="48">
        <f>B26/(AI26*60)</f>
        <v>9603.1907615094751</v>
      </c>
    </row>
    <row r="27" spans="1:40" ht="104" x14ac:dyDescent="0.2">
      <c r="A27" s="180" t="s">
        <v>69</v>
      </c>
      <c r="B27" s="98">
        <v>10000000</v>
      </c>
      <c r="C27" s="94" t="s">
        <v>265</v>
      </c>
      <c r="D27" s="92">
        <v>0.44916726851851857</v>
      </c>
      <c r="E27" s="93">
        <v>1115927460137170</v>
      </c>
      <c r="F27" s="93">
        <v>1422540734441</v>
      </c>
      <c r="G27" s="94">
        <v>54995610996</v>
      </c>
      <c r="H27" s="94">
        <v>11122</v>
      </c>
      <c r="I27" s="94">
        <v>280491009</v>
      </c>
      <c r="J27" s="94">
        <v>142254</v>
      </c>
      <c r="K27" s="94">
        <v>0</v>
      </c>
      <c r="L27" s="93">
        <v>1422540734441</v>
      </c>
      <c r="M27" s="94">
        <v>0</v>
      </c>
      <c r="N27" s="94">
        <v>1085</v>
      </c>
      <c r="O27" s="94">
        <v>3689125</v>
      </c>
      <c r="P27" s="94">
        <v>2311046</v>
      </c>
      <c r="Q27" s="94">
        <v>227368</v>
      </c>
      <c r="R27" s="94">
        <v>51963</v>
      </c>
      <c r="S27" s="94">
        <v>27511</v>
      </c>
      <c r="T27" s="94">
        <v>6427</v>
      </c>
      <c r="U27" s="94">
        <v>2103</v>
      </c>
      <c r="V27" s="94">
        <v>1083</v>
      </c>
      <c r="W27" s="94">
        <v>505</v>
      </c>
      <c r="X27" s="94">
        <v>376</v>
      </c>
      <c r="Y27" s="94">
        <v>283</v>
      </c>
      <c r="Z27" s="94">
        <v>426</v>
      </c>
      <c r="AA27" s="94">
        <v>48530</v>
      </c>
      <c r="AB27" s="94">
        <v>90021</v>
      </c>
      <c r="AC27" s="94">
        <v>683987</v>
      </c>
      <c r="AD27" s="94">
        <v>697468</v>
      </c>
      <c r="AE27" s="94">
        <v>773108</v>
      </c>
      <c r="AF27" s="94">
        <v>319209</v>
      </c>
      <c r="AG27" s="93">
        <v>1117480033114880</v>
      </c>
      <c r="AH27" s="92">
        <v>0.4671369212962963</v>
      </c>
      <c r="AI27" s="58">
        <f t="shared" si="4"/>
        <v>25.876216295166667</v>
      </c>
      <c r="AJ27" s="47">
        <f>AH27-D27</f>
        <v>1.7969652777777734E-2</v>
      </c>
      <c r="AK27" s="58">
        <f t="shared" si="5"/>
        <v>36.869173902822695</v>
      </c>
      <c r="AL27" s="48">
        <f>B27/(AI27*60)</f>
        <v>6440.9210668793867</v>
      </c>
      <c r="AM27" t="s">
        <v>299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52A3-AC49-034E-8D94-8DC65FDF6457}">
  <dimension ref="A1:CK11"/>
  <sheetViews>
    <sheetView zoomScaleNormal="100" workbookViewId="0">
      <pane xSplit="6" ySplit="1" topLeftCell="G2" activePane="bottomRight" state="frozen"/>
      <selection pane="topRight" activeCell="G1" sqref="G1"/>
      <selection pane="bottomLeft" activeCell="A2" sqref="A2"/>
      <selection pane="bottomRight" activeCell="CJ2" sqref="CJ2"/>
    </sheetView>
  </sheetViews>
  <sheetFormatPr baseColWidth="10" defaultRowHeight="16" x14ac:dyDescent="0.2"/>
  <cols>
    <col min="1" max="1" width="5.1640625" bestFit="1" customWidth="1"/>
    <col min="2" max="87" width="3.6640625" bestFit="1" customWidth="1"/>
    <col min="88" max="88" width="18.83203125" bestFit="1" customWidth="1"/>
    <col min="89" max="89" width="14.1640625" bestFit="1" customWidth="1"/>
  </cols>
  <sheetData>
    <row r="1" spans="1:89" s="46" customFormat="1" ht="17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286</v>
      </c>
      <c r="AO1" s="20" t="s">
        <v>27</v>
      </c>
      <c r="AP1" s="20" t="s">
        <v>285</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c r="CG1" s="20" t="s">
        <v>278</v>
      </c>
      <c r="CH1" s="20" t="s">
        <v>269</v>
      </c>
      <c r="CI1" s="20" t="s">
        <v>279</v>
      </c>
    </row>
    <row r="2" spans="1:89" ht="91" x14ac:dyDescent="0.2">
      <c r="A2" s="91" t="s">
        <v>69</v>
      </c>
      <c r="B2" s="92">
        <v>0.54831295138888891</v>
      </c>
      <c r="C2" s="93">
        <v>87693645319688</v>
      </c>
      <c r="D2" s="94">
        <v>500</v>
      </c>
      <c r="E2" s="94">
        <v>20000</v>
      </c>
      <c r="F2" s="98">
        <v>10000000</v>
      </c>
      <c r="G2" s="94">
        <v>1</v>
      </c>
      <c r="H2" s="94">
        <v>41</v>
      </c>
      <c r="I2" s="94">
        <v>2315</v>
      </c>
      <c r="J2" s="94">
        <v>59730</v>
      </c>
      <c r="K2" s="94">
        <v>606532</v>
      </c>
      <c r="L2" s="94">
        <v>2416749</v>
      </c>
      <c r="M2" s="94">
        <v>3829485</v>
      </c>
      <c r="N2" s="94">
        <v>2416249</v>
      </c>
      <c r="O2" s="94">
        <v>606796</v>
      </c>
      <c r="P2" s="94">
        <v>59657</v>
      </c>
      <c r="Q2" s="94">
        <v>2402</v>
      </c>
      <c r="R2" s="94">
        <v>0</v>
      </c>
      <c r="S2" s="94">
        <v>0</v>
      </c>
      <c r="T2" s="94">
        <v>1804</v>
      </c>
      <c r="U2" s="94">
        <v>7036095</v>
      </c>
      <c r="V2" s="94">
        <v>2462947</v>
      </c>
      <c r="W2" s="94">
        <v>221691</v>
      </c>
      <c r="X2" s="94">
        <v>102357</v>
      </c>
      <c r="Y2" s="94">
        <v>66142</v>
      </c>
      <c r="Z2" s="94">
        <v>37224</v>
      </c>
      <c r="AA2" s="94">
        <v>13544</v>
      </c>
      <c r="AB2" s="94">
        <v>5277</v>
      </c>
      <c r="AC2" s="94">
        <v>2470</v>
      </c>
      <c r="AD2" s="94">
        <v>1385</v>
      </c>
      <c r="AE2" s="94">
        <v>590</v>
      </c>
      <c r="AF2" s="94">
        <v>234</v>
      </c>
      <c r="AG2" s="94">
        <v>112</v>
      </c>
      <c r="AH2" s="94">
        <v>36</v>
      </c>
      <c r="AI2" s="94">
        <v>18</v>
      </c>
      <c r="AJ2" s="94">
        <v>16</v>
      </c>
      <c r="AK2" s="94">
        <v>10</v>
      </c>
      <c r="AL2" s="94">
        <v>46688032</v>
      </c>
      <c r="AM2" s="93">
        <f>1480830528655/1000000000</f>
        <v>1480.8305286550001</v>
      </c>
      <c r="AN2" s="101">
        <f>64780/1000000</f>
        <v>6.4780000000000004E-2</v>
      </c>
      <c r="AO2" s="94">
        <v>552522557</v>
      </c>
      <c r="AP2" s="94">
        <v>148083</v>
      </c>
      <c r="AQ2" s="93">
        <v>54995610996</v>
      </c>
      <c r="AR2" s="94">
        <v>5499</v>
      </c>
      <c r="AS2" s="94">
        <v>37.138359999999999</v>
      </c>
      <c r="AT2" s="94">
        <v>35.466681999999999</v>
      </c>
      <c r="AU2" s="94">
        <v>36.509723999999999</v>
      </c>
      <c r="AV2" s="94">
        <v>35.343470000000003</v>
      </c>
      <c r="AW2" s="94">
        <v>35.132843000000001</v>
      </c>
      <c r="AX2" s="94">
        <v>36.013263999999999</v>
      </c>
      <c r="AY2" s="94">
        <v>39.094611999999998</v>
      </c>
      <c r="AZ2" s="94">
        <v>35.557670000000002</v>
      </c>
      <c r="BA2" s="94">
        <v>36.300400000000003</v>
      </c>
      <c r="BB2" s="94">
        <v>42.268355999999997</v>
      </c>
      <c r="BC2" s="94">
        <v>40.775036</v>
      </c>
      <c r="BD2" s="94">
        <v>38.968020000000003</v>
      </c>
      <c r="BE2" s="94">
        <v>30.370777</v>
      </c>
      <c r="BF2" s="94">
        <v>38.395870000000002</v>
      </c>
      <c r="BG2" s="94">
        <v>40.404389999999999</v>
      </c>
      <c r="BH2" s="94">
        <v>35.82799</v>
      </c>
      <c r="BI2" s="94">
        <v>35.932586999999998</v>
      </c>
      <c r="BJ2" s="94">
        <v>34.288296000000003</v>
      </c>
      <c r="BK2" s="94">
        <v>36.826030000000003</v>
      </c>
      <c r="BL2" s="94">
        <v>37.101643000000003</v>
      </c>
      <c r="BM2" s="94">
        <v>38.925629999999998</v>
      </c>
      <c r="BN2" s="93">
        <v>3936913006592</v>
      </c>
      <c r="BO2" s="93">
        <v>3736764571648</v>
      </c>
      <c r="BP2" s="93">
        <v>3657651662848</v>
      </c>
      <c r="BQ2" s="93">
        <v>3936820699136</v>
      </c>
      <c r="BR2" s="93">
        <v>3857707790336</v>
      </c>
      <c r="BS2" s="93">
        <v>89211271453279</v>
      </c>
      <c r="BT2" s="92">
        <v>0.56587810185185183</v>
      </c>
      <c r="BU2" s="94">
        <v>244195328</v>
      </c>
      <c r="BV2" s="94">
        <v>10000512</v>
      </c>
      <c r="BW2" s="94">
        <v>234194816</v>
      </c>
      <c r="BX2" s="95">
        <v>0.05</v>
      </c>
      <c r="BY2" s="94">
        <v>3844641608</v>
      </c>
      <c r="BZ2" s="94">
        <v>77348844</v>
      </c>
      <c r="CA2" s="94">
        <v>3571925452</v>
      </c>
      <c r="CB2" s="95">
        <v>0.03</v>
      </c>
      <c r="CC2" s="94" t="s">
        <v>256</v>
      </c>
      <c r="CD2" s="94" t="s">
        <v>72</v>
      </c>
      <c r="CE2" s="94" t="s">
        <v>257</v>
      </c>
      <c r="CF2" s="95">
        <v>0.03</v>
      </c>
      <c r="CG2" s="96">
        <f t="shared" ref="CG2:CG11" si="0">((BS2-C2)/1000000000)/60</f>
        <v>25.293768893183334</v>
      </c>
      <c r="CH2" s="92">
        <f t="shared" ref="CH2:CH11" si="1">BT2-B2</f>
        <v>1.756515046296292E-2</v>
      </c>
      <c r="CI2" s="97">
        <f t="shared" ref="CI2:CI11" si="2">((BO2-BP2)-AQ2)/ABS(AQ2)</f>
        <v>0.43853131854020361</v>
      </c>
      <c r="CJ2" s="89">
        <f>AM2</f>
        <v>1480.8305286550001</v>
      </c>
      <c r="CK2" s="89"/>
    </row>
    <row r="3" spans="1:89" s="50" customFormat="1" ht="91" x14ac:dyDescent="0.2">
      <c r="A3" s="50" t="s">
        <v>62</v>
      </c>
      <c r="B3" s="47">
        <v>0.56558321759259256</v>
      </c>
      <c r="C3" s="48">
        <v>78967809435211</v>
      </c>
      <c r="D3" s="50">
        <v>500</v>
      </c>
      <c r="E3" s="49">
        <v>20000</v>
      </c>
      <c r="F3" s="49">
        <v>10000000</v>
      </c>
      <c r="G3" s="50">
        <v>1</v>
      </c>
      <c r="H3" s="50">
        <v>28</v>
      </c>
      <c r="I3" s="50">
        <v>2320</v>
      </c>
      <c r="J3" s="50">
        <v>59866</v>
      </c>
      <c r="K3" s="50">
        <v>606648</v>
      </c>
      <c r="L3" s="50">
        <v>2415088</v>
      </c>
      <c r="M3" s="50">
        <v>3830154</v>
      </c>
      <c r="N3" s="50">
        <v>2417166</v>
      </c>
      <c r="O3" s="50">
        <v>606761</v>
      </c>
      <c r="P3" s="50">
        <v>59587</v>
      </c>
      <c r="Q3" s="50">
        <v>2341</v>
      </c>
      <c r="R3" s="50">
        <v>0</v>
      </c>
      <c r="S3" s="50">
        <v>16913</v>
      </c>
      <c r="T3" s="50">
        <v>8467612</v>
      </c>
      <c r="U3" s="50">
        <v>1101911</v>
      </c>
      <c r="V3" s="50">
        <v>273704</v>
      </c>
      <c r="W3" s="50">
        <v>77994</v>
      </c>
      <c r="X3" s="50">
        <v>25967</v>
      </c>
      <c r="Y3" s="50">
        <v>11530</v>
      </c>
      <c r="Z3" s="50">
        <v>9410</v>
      </c>
      <c r="AA3" s="50">
        <v>6746</v>
      </c>
      <c r="AB3" s="50">
        <v>2466</v>
      </c>
      <c r="AC3" s="50">
        <v>1053</v>
      </c>
      <c r="AD3" s="50">
        <v>467</v>
      </c>
      <c r="AE3" s="50">
        <v>224</v>
      </c>
      <c r="AF3" s="50">
        <v>121</v>
      </c>
      <c r="AG3" s="50">
        <v>75</v>
      </c>
      <c r="AH3" s="50">
        <v>41</v>
      </c>
      <c r="AI3" s="50">
        <v>30</v>
      </c>
      <c r="AJ3" s="50">
        <v>36</v>
      </c>
      <c r="AK3" s="50">
        <v>24</v>
      </c>
      <c r="AL3" s="50">
        <v>35424153</v>
      </c>
      <c r="AM3" s="48">
        <v>1037179018280</v>
      </c>
      <c r="AN3" s="50">
        <f>40505/1000000</f>
        <v>4.0504999999999999E-2</v>
      </c>
      <c r="AO3" s="88">
        <f>4721381412/1000000</f>
        <v>4721.3814119999997</v>
      </c>
      <c r="AP3" s="88">
        <f>103717/1000000</f>
        <v>0.103717</v>
      </c>
      <c r="AQ3" s="48">
        <v>54997429121</v>
      </c>
      <c r="AR3" s="50">
        <v>5499</v>
      </c>
      <c r="AS3" s="50">
        <v>53.025973999999998</v>
      </c>
      <c r="AT3" s="50">
        <v>75.971959999999996</v>
      </c>
      <c r="AU3" s="50">
        <v>23.986719999999998</v>
      </c>
      <c r="AV3" s="50">
        <v>75.735534999999999</v>
      </c>
      <c r="AW3" s="50">
        <v>81.016846000000001</v>
      </c>
      <c r="AX3" s="50">
        <v>75.508690000000001</v>
      </c>
      <c r="AY3" s="50">
        <v>78.222244000000003</v>
      </c>
      <c r="AZ3" s="50">
        <v>80.353980000000007</v>
      </c>
      <c r="BA3" s="50">
        <v>79.440780000000004</v>
      </c>
      <c r="BB3" s="50">
        <v>79.439970000000002</v>
      </c>
      <c r="BC3" s="50">
        <v>79.567589999999996</v>
      </c>
      <c r="BD3" s="50">
        <v>74.421683999999999</v>
      </c>
      <c r="BE3" s="50">
        <v>77.680250000000001</v>
      </c>
      <c r="BF3" s="50">
        <v>77.734660000000005</v>
      </c>
      <c r="BG3" s="50">
        <v>78.271039999999999</v>
      </c>
      <c r="BH3" s="50">
        <v>21.17698</v>
      </c>
      <c r="BI3" s="50">
        <v>75.698440000000005</v>
      </c>
      <c r="BJ3" s="50">
        <v>61.044918000000003</v>
      </c>
      <c r="BK3" s="50">
        <v>65.907646</v>
      </c>
      <c r="BL3" s="50">
        <v>66.85427</v>
      </c>
      <c r="BM3" s="50">
        <v>17.554887999999998</v>
      </c>
      <c r="BN3" s="48">
        <v>3998833524736</v>
      </c>
      <c r="BO3" s="48">
        <v>3970919317504</v>
      </c>
      <c r="BP3" s="48">
        <v>3846905892864</v>
      </c>
      <c r="BQ3" s="48">
        <v>3970919317504</v>
      </c>
      <c r="BR3" s="48">
        <v>3846905892864</v>
      </c>
      <c r="BS3" s="48">
        <v>80039891959342</v>
      </c>
      <c r="BT3" s="47">
        <v>0.57799162037037044</v>
      </c>
      <c r="BU3" s="50">
        <v>781403712</v>
      </c>
      <c r="BV3" s="50">
        <v>10000504</v>
      </c>
      <c r="BW3" s="50">
        <v>771403208</v>
      </c>
      <c r="BX3" s="51">
        <v>0.02</v>
      </c>
      <c r="BY3" s="50">
        <v>3905110864</v>
      </c>
      <c r="BZ3" s="50">
        <v>109635688</v>
      </c>
      <c r="CA3" s="50">
        <v>3795475176</v>
      </c>
      <c r="CB3" s="51">
        <v>0.03</v>
      </c>
      <c r="CC3" s="50" t="s">
        <v>254</v>
      </c>
      <c r="CD3" s="50" t="s">
        <v>255</v>
      </c>
      <c r="CE3" s="50" t="s">
        <v>256</v>
      </c>
      <c r="CF3" s="51">
        <v>0.03</v>
      </c>
      <c r="CG3" s="99">
        <f t="shared" si="0"/>
        <v>17.868042068849999</v>
      </c>
      <c r="CH3" s="77">
        <f t="shared" si="1"/>
        <v>1.2408402777777883E-2</v>
      </c>
      <c r="CI3" s="100">
        <f t="shared" si="2"/>
        <v>1.2548949400372462</v>
      </c>
      <c r="CJ3" s="89"/>
    </row>
    <row r="4" spans="1:89" s="50" customFormat="1" ht="98" x14ac:dyDescent="0.2">
      <c r="A4" s="50" t="s">
        <v>62</v>
      </c>
      <c r="B4" s="47">
        <v>0.69821638888888893</v>
      </c>
      <c r="C4" s="48">
        <v>90427315188174</v>
      </c>
      <c r="D4" s="50">
        <v>1000</v>
      </c>
      <c r="E4" s="49">
        <v>100000</v>
      </c>
      <c r="F4" s="49">
        <v>100000000</v>
      </c>
      <c r="G4" s="50">
        <v>1</v>
      </c>
      <c r="H4" s="50">
        <v>327</v>
      </c>
      <c r="I4" s="50">
        <v>23110</v>
      </c>
      <c r="J4" s="50">
        <v>599178</v>
      </c>
      <c r="K4" s="50">
        <v>6058210</v>
      </c>
      <c r="L4" s="50">
        <v>24176454</v>
      </c>
      <c r="M4" s="50">
        <v>38291431</v>
      </c>
      <c r="N4" s="50">
        <v>24172220</v>
      </c>
      <c r="O4" s="50">
        <v>6059210</v>
      </c>
      <c r="P4" s="50">
        <v>596580</v>
      </c>
      <c r="Q4" s="50">
        <v>22945</v>
      </c>
      <c r="R4" s="50">
        <v>0</v>
      </c>
      <c r="S4" s="50">
        <v>240527</v>
      </c>
      <c r="T4" s="50">
        <v>78818912</v>
      </c>
      <c r="U4" s="50">
        <v>12936726</v>
      </c>
      <c r="V4" s="50">
        <v>3204924</v>
      </c>
      <c r="W4" s="50">
        <v>2806458</v>
      </c>
      <c r="X4" s="50">
        <v>1243871</v>
      </c>
      <c r="Y4" s="50">
        <v>238382</v>
      </c>
      <c r="Z4" s="50">
        <v>120192</v>
      </c>
      <c r="AA4" s="50">
        <v>69366</v>
      </c>
      <c r="AB4" s="50">
        <v>28995</v>
      </c>
      <c r="AC4" s="50">
        <v>14394</v>
      </c>
      <c r="AD4" s="50">
        <v>5870</v>
      </c>
      <c r="AE4" s="50">
        <v>2763</v>
      </c>
      <c r="AF4" s="50">
        <v>1506</v>
      </c>
      <c r="AG4" s="50">
        <v>1059</v>
      </c>
      <c r="AH4" s="50">
        <v>1504</v>
      </c>
      <c r="AI4" s="50">
        <v>1331</v>
      </c>
      <c r="AJ4" s="50">
        <v>498</v>
      </c>
      <c r="AK4" s="50">
        <v>204</v>
      </c>
      <c r="AL4" s="50">
        <v>3733472913</v>
      </c>
      <c r="AM4" s="48">
        <v>14277531142510</v>
      </c>
      <c r="AN4" s="88">
        <f>41387/1000000</f>
        <v>4.1387E-2</v>
      </c>
      <c r="AO4" s="88">
        <f>5079069769/1000000</f>
        <v>5079.0697689999997</v>
      </c>
      <c r="AP4" s="88">
        <f>142775/1000000</f>
        <v>0.14277500000000001</v>
      </c>
      <c r="AQ4" s="48">
        <v>549944003390</v>
      </c>
      <c r="AR4" s="50">
        <v>5499</v>
      </c>
      <c r="AS4" s="50">
        <v>38.518146999999999</v>
      </c>
      <c r="AT4" s="50">
        <v>75.678290000000004</v>
      </c>
      <c r="AU4" s="50">
        <v>73.038475000000005</v>
      </c>
      <c r="AV4" s="50">
        <v>41.805813000000001</v>
      </c>
      <c r="AW4" s="50">
        <v>35.897550000000003</v>
      </c>
      <c r="AX4" s="50">
        <v>26.836514999999999</v>
      </c>
      <c r="AY4" s="50">
        <v>26.706205000000001</v>
      </c>
      <c r="AZ4" s="50">
        <v>28.436820000000001</v>
      </c>
      <c r="BA4" s="50">
        <v>22.338379</v>
      </c>
      <c r="BB4" s="50">
        <v>27.572512</v>
      </c>
      <c r="BC4" s="50">
        <v>28.251283999999998</v>
      </c>
      <c r="BD4" s="50">
        <v>28.804113000000001</v>
      </c>
      <c r="BE4" s="50">
        <v>26.300667000000001</v>
      </c>
      <c r="BF4" s="50">
        <v>30.691327999999999</v>
      </c>
      <c r="BG4" s="50">
        <v>27.786000000000001</v>
      </c>
      <c r="BH4" s="50">
        <v>28.837160000000001</v>
      </c>
      <c r="BI4" s="50">
        <v>26.272235999999999</v>
      </c>
      <c r="BJ4" s="50">
        <v>32.693317</v>
      </c>
      <c r="BK4" s="50">
        <v>25.421230000000001</v>
      </c>
      <c r="BL4" s="50">
        <v>30.406711999999999</v>
      </c>
      <c r="BM4" s="50">
        <v>41.166096000000003</v>
      </c>
      <c r="BN4" s="48">
        <v>3998833524736</v>
      </c>
      <c r="BO4" s="48">
        <v>3970919317504</v>
      </c>
      <c r="BP4" s="48">
        <v>3093392449536</v>
      </c>
      <c r="BQ4" s="48">
        <v>3970919317504</v>
      </c>
      <c r="BR4" s="48">
        <v>3093392449536</v>
      </c>
      <c r="BS4" s="48">
        <v>105034104113804</v>
      </c>
      <c r="BT4" s="47">
        <v>0.86727649305555554</v>
      </c>
      <c r="BU4" s="50">
        <v>781403712</v>
      </c>
      <c r="BV4" s="50">
        <v>100001004</v>
      </c>
      <c r="BW4" s="50">
        <v>681402708</v>
      </c>
      <c r="BX4" s="51">
        <v>0.13</v>
      </c>
      <c r="BY4" s="50">
        <v>3905110864</v>
      </c>
      <c r="BZ4" s="50">
        <v>850925380</v>
      </c>
      <c r="CA4" s="50">
        <v>3054185484</v>
      </c>
      <c r="CB4" s="51">
        <v>0.22</v>
      </c>
      <c r="CC4" s="50" t="s">
        <v>254</v>
      </c>
      <c r="CD4" s="50" t="s">
        <v>270</v>
      </c>
      <c r="CE4" s="50" t="s">
        <v>271</v>
      </c>
      <c r="CF4" s="51">
        <v>0.22</v>
      </c>
      <c r="CG4" s="99">
        <f t="shared" si="0"/>
        <v>243.44648209383334</v>
      </c>
      <c r="CH4" s="77">
        <f t="shared" si="1"/>
        <v>0.16906010416666661</v>
      </c>
      <c r="CI4" s="100">
        <f t="shared" si="2"/>
        <v>0.59566585426642127</v>
      </c>
      <c r="CJ4" s="89"/>
    </row>
    <row r="5" spans="1:89" s="50" customFormat="1" ht="85" x14ac:dyDescent="0.2">
      <c r="A5" s="90" t="s">
        <v>62</v>
      </c>
      <c r="B5" s="103">
        <v>0.53948442129629626</v>
      </c>
      <c r="C5" s="54">
        <v>530860334103</v>
      </c>
      <c r="D5" s="90">
        <v>500</v>
      </c>
      <c r="E5" s="104">
        <v>20000</v>
      </c>
      <c r="F5" s="104">
        <v>10000000</v>
      </c>
      <c r="G5" s="90">
        <v>1</v>
      </c>
      <c r="H5" s="90">
        <v>36</v>
      </c>
      <c r="I5" s="90">
        <v>2295</v>
      </c>
      <c r="J5" s="90">
        <v>59725</v>
      </c>
      <c r="K5" s="90">
        <v>606688</v>
      </c>
      <c r="L5" s="90">
        <v>2414647</v>
      </c>
      <c r="M5" s="90">
        <v>3828268</v>
      </c>
      <c r="N5" s="90">
        <v>2419702</v>
      </c>
      <c r="O5" s="90">
        <v>606543</v>
      </c>
      <c r="P5" s="90">
        <v>59820</v>
      </c>
      <c r="Q5" s="90">
        <v>2246</v>
      </c>
      <c r="R5" s="90">
        <v>0</v>
      </c>
      <c r="S5" s="90">
        <v>406</v>
      </c>
      <c r="T5" s="90">
        <v>8961001</v>
      </c>
      <c r="U5" s="90">
        <v>644862</v>
      </c>
      <c r="V5" s="90">
        <v>211960</v>
      </c>
      <c r="W5" s="90">
        <v>113722</v>
      </c>
      <c r="X5" s="90">
        <v>23331</v>
      </c>
      <c r="Y5" s="90">
        <v>10035</v>
      </c>
      <c r="Z5" s="90">
        <v>10066</v>
      </c>
      <c r="AA5" s="90">
        <v>8603</v>
      </c>
      <c r="AB5" s="90">
        <v>6717</v>
      </c>
      <c r="AC5" s="90">
        <v>3175</v>
      </c>
      <c r="AD5" s="90">
        <v>1316</v>
      </c>
      <c r="AE5" s="90">
        <v>555</v>
      </c>
      <c r="AF5" s="90">
        <v>303</v>
      </c>
      <c r="AG5" s="90">
        <v>184</v>
      </c>
      <c r="AH5" s="90">
        <v>154</v>
      </c>
      <c r="AI5" s="90">
        <v>88</v>
      </c>
      <c r="AJ5" s="90">
        <v>43</v>
      </c>
      <c r="AK5" s="90">
        <v>37</v>
      </c>
      <c r="AL5" s="90">
        <v>33926497</v>
      </c>
      <c r="AM5" s="54">
        <f>994690184135/1000000000</f>
        <v>994.69018413499998</v>
      </c>
      <c r="AN5" s="105">
        <f>45576/1000000</f>
        <v>4.5575999999999998E-2</v>
      </c>
      <c r="AO5" s="105">
        <f>4974370908/1000000</f>
        <v>4974.3709079999999</v>
      </c>
      <c r="AP5" s="105">
        <f>99469/1000000</f>
        <v>9.9469000000000002E-2</v>
      </c>
      <c r="AQ5" s="54">
        <v>54999867897</v>
      </c>
      <c r="AR5" s="90">
        <v>5499</v>
      </c>
      <c r="AS5" s="105">
        <v>55.293464999999998</v>
      </c>
      <c r="AT5" s="90">
        <v>78.726910000000004</v>
      </c>
      <c r="AU5" s="90">
        <v>78.762569999999997</v>
      </c>
      <c r="AV5" s="90">
        <v>83.590866000000005</v>
      </c>
      <c r="AW5" s="90">
        <v>82.286100000000005</v>
      </c>
      <c r="AX5" s="90">
        <v>83.415580000000006</v>
      </c>
      <c r="AY5" s="90">
        <v>82.293139999999994</v>
      </c>
      <c r="AZ5" s="90">
        <v>84.608109999999996</v>
      </c>
      <c r="BA5" s="90">
        <v>83.622280000000003</v>
      </c>
      <c r="BB5" s="90">
        <v>82.822100000000006</v>
      </c>
      <c r="BC5" s="90">
        <v>22.684570000000001</v>
      </c>
      <c r="BD5" s="90">
        <v>83.140379999999993</v>
      </c>
      <c r="BE5" s="90">
        <v>83.912890000000004</v>
      </c>
      <c r="BF5" s="90">
        <v>82.506675999999999</v>
      </c>
      <c r="BG5" s="90">
        <v>80.876419999999996</v>
      </c>
      <c r="BH5" s="90">
        <v>82.489919999999998</v>
      </c>
      <c r="BI5" s="90">
        <v>82.484780000000001</v>
      </c>
      <c r="BJ5" s="90">
        <v>80.825789999999998</v>
      </c>
      <c r="BK5" s="90">
        <v>62.40616</v>
      </c>
      <c r="BL5" s="90">
        <v>80.309430000000006</v>
      </c>
      <c r="BM5" s="90">
        <v>83.806049999999999</v>
      </c>
      <c r="BN5" s="54">
        <v>3998833524736</v>
      </c>
      <c r="BO5" s="54">
        <v>3970919317504</v>
      </c>
      <c r="BP5" s="54">
        <v>3845025173504</v>
      </c>
      <c r="BQ5" s="54">
        <v>3970919317504</v>
      </c>
      <c r="BR5" s="54">
        <v>3845025173504</v>
      </c>
      <c r="BS5" s="54">
        <v>1560920296845</v>
      </c>
      <c r="BT5" s="103">
        <v>0.55140644675925932</v>
      </c>
      <c r="BU5" s="90">
        <v>781403712</v>
      </c>
      <c r="BV5" s="90">
        <v>10000504</v>
      </c>
      <c r="BW5" s="90">
        <v>771403208</v>
      </c>
      <c r="BX5" s="106">
        <v>0.02</v>
      </c>
      <c r="BY5" s="90">
        <v>3905110864</v>
      </c>
      <c r="BZ5" s="90">
        <v>109602308</v>
      </c>
      <c r="CA5" s="90">
        <v>3795508556</v>
      </c>
      <c r="CB5" s="106">
        <v>0.03</v>
      </c>
      <c r="CC5" s="90" t="s">
        <v>254</v>
      </c>
      <c r="CD5" s="90" t="s">
        <v>255</v>
      </c>
      <c r="CE5" s="90" t="s">
        <v>256</v>
      </c>
      <c r="CF5" s="106">
        <v>0.03</v>
      </c>
      <c r="CG5" s="107">
        <f t="shared" si="0"/>
        <v>17.167666045699999</v>
      </c>
      <c r="CH5" s="108">
        <f t="shared" si="1"/>
        <v>1.192202546296306E-2</v>
      </c>
      <c r="CI5" s="109">
        <f t="shared" si="2"/>
        <v>1.2889899342261324</v>
      </c>
      <c r="CJ5" s="89">
        <f t="shared" ref="CJ5:CJ11" si="3">AM5</f>
        <v>994.69018413499998</v>
      </c>
    </row>
    <row r="6" spans="1:89" s="50" customFormat="1" ht="91" x14ac:dyDescent="0.2">
      <c r="A6" s="90" t="s">
        <v>62</v>
      </c>
      <c r="B6" s="103">
        <v>0.56641527777777778</v>
      </c>
      <c r="C6" s="54">
        <v>2857686716640</v>
      </c>
      <c r="D6" s="90">
        <v>1000</v>
      </c>
      <c r="E6" s="104">
        <v>100000</v>
      </c>
      <c r="F6" s="104">
        <v>100000000</v>
      </c>
      <c r="G6" s="90">
        <v>1</v>
      </c>
      <c r="H6" s="90">
        <v>316</v>
      </c>
      <c r="I6" s="90">
        <v>23069</v>
      </c>
      <c r="J6" s="90">
        <v>599115</v>
      </c>
      <c r="K6" s="90">
        <v>6058317</v>
      </c>
      <c r="L6" s="90">
        <v>24176023</v>
      </c>
      <c r="M6" s="90">
        <v>38285282</v>
      </c>
      <c r="N6" s="90">
        <v>24175345</v>
      </c>
      <c r="O6" s="90">
        <v>6061001</v>
      </c>
      <c r="P6" s="90">
        <v>598495</v>
      </c>
      <c r="Q6" s="90">
        <v>22722</v>
      </c>
      <c r="R6" s="90">
        <v>0</v>
      </c>
      <c r="S6" s="90">
        <v>2999540</v>
      </c>
      <c r="T6" s="90">
        <v>86666419</v>
      </c>
      <c r="U6" s="90">
        <v>6750712</v>
      </c>
      <c r="V6" s="90">
        <v>1804658</v>
      </c>
      <c r="W6" s="90">
        <v>1087950</v>
      </c>
      <c r="X6" s="90">
        <v>267725</v>
      </c>
      <c r="Y6" s="90">
        <v>124053</v>
      </c>
      <c r="Z6" s="90">
        <v>94076</v>
      </c>
      <c r="AA6" s="90">
        <v>62809</v>
      </c>
      <c r="AB6" s="90">
        <v>36289</v>
      </c>
      <c r="AC6" s="90">
        <v>16397</v>
      </c>
      <c r="AD6" s="90">
        <v>8234</v>
      </c>
      <c r="AE6" s="90">
        <v>5795</v>
      </c>
      <c r="AF6" s="90">
        <v>3300</v>
      </c>
      <c r="AG6" s="90">
        <v>1718</v>
      </c>
      <c r="AH6" s="90">
        <v>1151</v>
      </c>
      <c r="AI6" s="90">
        <v>898</v>
      </c>
      <c r="AJ6" s="90">
        <v>705</v>
      </c>
      <c r="AK6" s="90">
        <v>596</v>
      </c>
      <c r="AL6" s="90">
        <v>185237105</v>
      </c>
      <c r="AM6" s="54">
        <f>11168543986465/1000000000</f>
        <v>11168.543986465</v>
      </c>
      <c r="AN6" s="105">
        <f>38979/1000000</f>
        <v>3.8979E-2</v>
      </c>
      <c r="AO6" s="105">
        <f>5367533012/1000000</f>
        <v>5367.5330119999999</v>
      </c>
      <c r="AP6" s="105">
        <f>111685/1000000</f>
        <v>0.11168500000000001</v>
      </c>
      <c r="AQ6" s="54">
        <v>549947533505</v>
      </c>
      <c r="AR6" s="90">
        <v>5499</v>
      </c>
      <c r="AS6" s="105">
        <v>49.240749999999998</v>
      </c>
      <c r="AT6" s="90">
        <v>54.544727000000002</v>
      </c>
      <c r="AU6" s="90">
        <v>39.055267000000001</v>
      </c>
      <c r="AV6" s="90">
        <v>32.254528000000001</v>
      </c>
      <c r="AW6" s="90">
        <v>48.684837000000002</v>
      </c>
      <c r="AX6" s="90">
        <v>48.096428000000003</v>
      </c>
      <c r="AY6" s="90">
        <v>43.268566</v>
      </c>
      <c r="AZ6" s="90">
        <v>44.380740000000003</v>
      </c>
      <c r="BA6" s="90">
        <v>48.705112</v>
      </c>
      <c r="BB6" s="90">
        <v>45.845753000000002</v>
      </c>
      <c r="BC6" s="90">
        <v>44.737834999999997</v>
      </c>
      <c r="BD6" s="90">
        <v>44.653606000000003</v>
      </c>
      <c r="BE6" s="90">
        <v>49.124003999999999</v>
      </c>
      <c r="BF6" s="90">
        <v>45.452025999999996</v>
      </c>
      <c r="BG6" s="90">
        <v>49.04148</v>
      </c>
      <c r="BH6" s="90">
        <v>45.256880000000002</v>
      </c>
      <c r="BI6" s="90">
        <v>44.869155999999997</v>
      </c>
      <c r="BJ6" s="90">
        <v>44.907432999999997</v>
      </c>
      <c r="BK6" s="90">
        <v>46.20279</v>
      </c>
      <c r="BL6" s="90">
        <v>46.933585999999998</v>
      </c>
      <c r="BM6" s="90">
        <v>47.136580000000002</v>
      </c>
      <c r="BN6" s="54">
        <v>3998833524736</v>
      </c>
      <c r="BO6" s="54">
        <v>3970919317504</v>
      </c>
      <c r="BP6" s="54">
        <v>3091714732032</v>
      </c>
      <c r="BQ6" s="54">
        <v>3970919317504</v>
      </c>
      <c r="BR6" s="54">
        <v>3091714732032</v>
      </c>
      <c r="BS6" s="54">
        <v>14307041587122</v>
      </c>
      <c r="BT6" s="103">
        <v>0.6989309953703704</v>
      </c>
      <c r="BU6" s="90">
        <v>781403712</v>
      </c>
      <c r="BV6" s="90">
        <v>100001004</v>
      </c>
      <c r="BW6" s="90">
        <v>681402708</v>
      </c>
      <c r="BX6" s="106">
        <v>0.13</v>
      </c>
      <c r="BY6" s="90">
        <v>3905110864</v>
      </c>
      <c r="BZ6" s="90">
        <v>850901236</v>
      </c>
      <c r="CA6" s="90">
        <v>3054209628</v>
      </c>
      <c r="CB6" s="106">
        <v>0.22</v>
      </c>
      <c r="CC6" s="90" t="s">
        <v>254</v>
      </c>
      <c r="CD6" s="90" t="s">
        <v>270</v>
      </c>
      <c r="CE6" s="90" t="s">
        <v>271</v>
      </c>
      <c r="CF6" s="106">
        <v>0.22</v>
      </c>
      <c r="CG6" s="107">
        <f t="shared" si="0"/>
        <v>190.82258117470002</v>
      </c>
      <c r="CH6" s="108">
        <f t="shared" si="1"/>
        <v>0.13251571759259262</v>
      </c>
      <c r="CI6" s="109">
        <f t="shared" si="2"/>
        <v>0.59870629815999798</v>
      </c>
      <c r="CJ6" s="89">
        <f t="shared" si="3"/>
        <v>11168.543986465</v>
      </c>
    </row>
    <row r="7" spans="1:89" s="50" customFormat="1" ht="98" x14ac:dyDescent="0.2">
      <c r="A7" s="90" t="s">
        <v>62</v>
      </c>
      <c r="B7" s="103">
        <v>0.5510323958333333</v>
      </c>
      <c r="C7" s="54">
        <v>433528605511644</v>
      </c>
      <c r="D7" s="90">
        <v>5000</v>
      </c>
      <c r="E7" s="104">
        <v>200000</v>
      </c>
      <c r="F7" s="104">
        <v>1000000000</v>
      </c>
      <c r="G7" s="90">
        <v>1</v>
      </c>
      <c r="H7" s="90">
        <v>3405</v>
      </c>
      <c r="I7" s="90">
        <v>229254</v>
      </c>
      <c r="J7" s="90">
        <v>5972473</v>
      </c>
      <c r="K7" s="90">
        <v>60583709</v>
      </c>
      <c r="L7" s="90">
        <v>241684434</v>
      </c>
      <c r="M7" s="90">
        <v>382859562</v>
      </c>
      <c r="N7" s="90">
        <v>241686337</v>
      </c>
      <c r="O7" s="90">
        <v>60576202</v>
      </c>
      <c r="P7" s="90">
        <v>5972227</v>
      </c>
      <c r="Q7" s="90">
        <v>228935</v>
      </c>
      <c r="R7" s="90">
        <v>0</v>
      </c>
      <c r="S7" s="90">
        <v>49840909</v>
      </c>
      <c r="T7" s="90">
        <v>863258271</v>
      </c>
      <c r="U7" s="90">
        <v>44977334</v>
      </c>
      <c r="V7" s="90">
        <v>10863413</v>
      </c>
      <c r="W7" s="90">
        <v>23176465</v>
      </c>
      <c r="X7" s="90">
        <v>4021359</v>
      </c>
      <c r="Y7" s="90">
        <v>1190390</v>
      </c>
      <c r="Z7" s="90">
        <v>648453</v>
      </c>
      <c r="AA7" s="90">
        <v>339846</v>
      </c>
      <c r="AB7" s="90">
        <v>111029</v>
      </c>
      <c r="AC7" s="90">
        <v>60500</v>
      </c>
      <c r="AD7" s="90">
        <v>36151</v>
      </c>
      <c r="AE7" s="90">
        <v>19873</v>
      </c>
      <c r="AF7" s="90">
        <v>11986</v>
      </c>
      <c r="AG7" s="90">
        <v>7730</v>
      </c>
      <c r="AH7" s="90">
        <v>4962</v>
      </c>
      <c r="AI7" s="90">
        <v>3245</v>
      </c>
      <c r="AJ7" s="90">
        <v>2003</v>
      </c>
      <c r="AK7" s="90">
        <v>1257</v>
      </c>
      <c r="AL7" s="90">
        <v>8367311514</v>
      </c>
      <c r="AM7" s="54">
        <f>112563494761829/1000000000</f>
        <v>112563.494761829</v>
      </c>
      <c r="AN7" s="105">
        <f>37574/1000000</f>
        <v>3.7574000000000003E-2</v>
      </c>
      <c r="AO7" s="105">
        <f>4985273016/1000000</f>
        <v>4985.2730160000001</v>
      </c>
      <c r="AP7" s="105">
        <f>112563/1000000</f>
        <v>0.112563</v>
      </c>
      <c r="AQ7" s="54">
        <v>5498390233387</v>
      </c>
      <c r="AR7" s="90">
        <v>5498</v>
      </c>
      <c r="AS7" s="90">
        <v>48.847009999999997</v>
      </c>
      <c r="AT7" s="90">
        <v>42.665300000000002</v>
      </c>
      <c r="AU7" s="90">
        <v>58.478479999999998</v>
      </c>
      <c r="AV7" s="90">
        <v>51.783920000000002</v>
      </c>
      <c r="AW7" s="90">
        <v>49.859369999999998</v>
      </c>
      <c r="AX7" s="90">
        <v>42.601399999999998</v>
      </c>
      <c r="AY7" s="90">
        <v>49.015182000000003</v>
      </c>
      <c r="AZ7" s="90">
        <v>51.237037999999998</v>
      </c>
      <c r="BA7" s="90">
        <v>46.484467000000002</v>
      </c>
      <c r="BB7" s="90">
        <v>42.449890000000003</v>
      </c>
      <c r="BC7" s="90">
        <v>51.712935999999999</v>
      </c>
      <c r="BD7" s="90">
        <v>47.415100000000002</v>
      </c>
      <c r="BE7" s="90">
        <v>38.592315999999997</v>
      </c>
      <c r="BF7" s="90">
        <v>44.920310000000001</v>
      </c>
      <c r="BG7" s="90">
        <v>51.41095</v>
      </c>
      <c r="BH7" s="90">
        <v>58.097940000000001</v>
      </c>
      <c r="BI7" s="90">
        <v>39.121400000000001</v>
      </c>
      <c r="BJ7" s="90">
        <v>43.149099999999997</v>
      </c>
      <c r="BK7" s="90">
        <v>49.438763000000002</v>
      </c>
      <c r="BL7" s="90">
        <v>48.639557000000003</v>
      </c>
      <c r="BM7" s="90">
        <v>40.460365000000003</v>
      </c>
      <c r="BN7" s="54">
        <v>11998001627136</v>
      </c>
      <c r="BO7" s="54">
        <v>11914315698176</v>
      </c>
      <c r="BP7" s="54">
        <v>3445614006272</v>
      </c>
      <c r="BQ7" s="54">
        <v>11914315698176</v>
      </c>
      <c r="BR7" s="54">
        <v>3445614006272</v>
      </c>
      <c r="BS7" s="54">
        <v>548723066481907</v>
      </c>
      <c r="BT7" s="103">
        <v>0.88430165509259251</v>
      </c>
      <c r="BU7" s="90">
        <v>2343777024</v>
      </c>
      <c r="BV7" s="90">
        <v>999989815</v>
      </c>
      <c r="BW7" s="90">
        <v>1343787209</v>
      </c>
      <c r="BX7" s="106">
        <v>0.43</v>
      </c>
      <c r="BY7" s="90">
        <v>11716798464</v>
      </c>
      <c r="BZ7" s="90">
        <v>8317937056</v>
      </c>
      <c r="CA7" s="90">
        <v>3398861408</v>
      </c>
      <c r="CB7" s="106">
        <v>0.71</v>
      </c>
      <c r="CC7" s="90" t="s">
        <v>209</v>
      </c>
      <c r="CD7" s="90" t="s">
        <v>68</v>
      </c>
      <c r="CE7" s="90" t="s">
        <v>218</v>
      </c>
      <c r="CF7" s="106">
        <v>0.71</v>
      </c>
      <c r="CG7" s="107">
        <f t="shared" si="0"/>
        <v>1919.9076828377167</v>
      </c>
      <c r="CH7" s="108">
        <f t="shared" ref="CH7" si="4">BT7-B7</f>
        <v>0.33326925925925921</v>
      </c>
      <c r="CI7" s="109">
        <f t="shared" ref="CI7" si="5">((BO7-BP7)-AQ7)/ABS(AQ7)</f>
        <v>0.54021474148576254</v>
      </c>
      <c r="CJ7" s="89">
        <f t="shared" si="3"/>
        <v>112563.494761829</v>
      </c>
    </row>
    <row r="8" spans="1:89" s="50" customFormat="1" ht="91" x14ac:dyDescent="0.2">
      <c r="A8" s="50" t="s">
        <v>62</v>
      </c>
      <c r="B8" s="47">
        <v>0.71151358796296293</v>
      </c>
      <c r="C8" s="48">
        <v>15394180389710</v>
      </c>
      <c r="D8" s="50">
        <v>1000</v>
      </c>
      <c r="E8" s="49">
        <v>100000</v>
      </c>
      <c r="F8" s="49">
        <v>100000000</v>
      </c>
      <c r="G8" s="50">
        <v>1</v>
      </c>
      <c r="H8" s="50">
        <v>336</v>
      </c>
      <c r="I8" s="50">
        <v>23116</v>
      </c>
      <c r="J8" s="50">
        <v>597760</v>
      </c>
      <c r="K8" s="50">
        <v>6059626</v>
      </c>
      <c r="L8" s="50">
        <v>24165352</v>
      </c>
      <c r="M8" s="50">
        <v>38301314</v>
      </c>
      <c r="N8" s="50">
        <v>24176413</v>
      </c>
      <c r="O8" s="50">
        <v>6056100</v>
      </c>
      <c r="P8" s="50">
        <v>596682</v>
      </c>
      <c r="Q8" s="50">
        <v>22994</v>
      </c>
      <c r="R8" s="50">
        <v>99999990</v>
      </c>
      <c r="S8" s="50">
        <v>7</v>
      </c>
      <c r="T8" s="50">
        <v>0</v>
      </c>
      <c r="U8" s="50">
        <v>0</v>
      </c>
      <c r="V8" s="50">
        <v>1</v>
      </c>
      <c r="W8" s="50">
        <v>1</v>
      </c>
      <c r="X8" s="50">
        <v>0</v>
      </c>
      <c r="Y8" s="50">
        <v>0</v>
      </c>
      <c r="Z8" s="50">
        <v>0</v>
      </c>
      <c r="AA8" s="50">
        <v>0</v>
      </c>
      <c r="AB8" s="50">
        <v>0</v>
      </c>
      <c r="AC8" s="50">
        <v>0</v>
      </c>
      <c r="AD8" s="50">
        <v>0</v>
      </c>
      <c r="AE8" s="50">
        <v>0</v>
      </c>
      <c r="AF8" s="50">
        <v>0</v>
      </c>
      <c r="AG8" s="50">
        <v>0</v>
      </c>
      <c r="AH8" s="50">
        <v>0</v>
      </c>
      <c r="AI8" s="50">
        <v>0</v>
      </c>
      <c r="AJ8" s="50">
        <v>0</v>
      </c>
      <c r="AK8" s="50">
        <v>0</v>
      </c>
      <c r="AL8" s="50">
        <v>352348</v>
      </c>
      <c r="AM8" s="48">
        <v>2923489792</v>
      </c>
      <c r="AN8" s="102">
        <f>26/1000000</f>
        <v>2.5999999999999998E-5</v>
      </c>
      <c r="AO8" s="88">
        <f>4359773/1000000</f>
        <v>4.3597729999999997</v>
      </c>
      <c r="AP8" s="50">
        <f>29/1000000</f>
        <v>2.9E-5</v>
      </c>
      <c r="AQ8" s="48">
        <v>549948581295</v>
      </c>
      <c r="AR8" s="50">
        <v>5499</v>
      </c>
      <c r="AS8" s="50">
        <v>188113.72</v>
      </c>
      <c r="AT8" s="50">
        <v>186501.97</v>
      </c>
      <c r="AU8" s="50">
        <v>188102.22</v>
      </c>
      <c r="AV8" s="50">
        <v>187386.19</v>
      </c>
      <c r="AW8" s="50">
        <v>188311.48</v>
      </c>
      <c r="AX8" s="50">
        <v>175827.56</v>
      </c>
      <c r="AY8" s="50">
        <v>190905.28</v>
      </c>
      <c r="AZ8" s="50">
        <v>188642.27</v>
      </c>
      <c r="BA8" s="50">
        <v>191610.31</v>
      </c>
      <c r="BB8" s="50">
        <v>187606.48</v>
      </c>
      <c r="BC8" s="50">
        <v>192210.75</v>
      </c>
      <c r="BD8" s="50">
        <v>191772.92</v>
      </c>
      <c r="BE8" s="50">
        <v>191194.8</v>
      </c>
      <c r="BF8" s="50">
        <v>190862.39</v>
      </c>
      <c r="BG8" s="50">
        <v>191861.8</v>
      </c>
      <c r="BH8" s="50">
        <v>189330.3</v>
      </c>
      <c r="BI8" s="50">
        <v>192292.16</v>
      </c>
      <c r="BJ8" s="50">
        <v>191959.44</v>
      </c>
      <c r="BK8" s="50">
        <v>191752.23</v>
      </c>
      <c r="BL8" s="50">
        <v>191505.64</v>
      </c>
      <c r="BM8" s="50">
        <v>183876.03</v>
      </c>
      <c r="BN8" s="48">
        <v>3998833524736</v>
      </c>
      <c r="BO8" s="48">
        <v>3127510659072</v>
      </c>
      <c r="BP8" s="48">
        <v>3127510659072</v>
      </c>
      <c r="BQ8" s="48">
        <v>3127510659072</v>
      </c>
      <c r="BR8" s="48">
        <v>3127510659072</v>
      </c>
      <c r="BS8" s="48">
        <v>15487725350677</v>
      </c>
      <c r="BT8" s="47">
        <v>0.71259631944444435</v>
      </c>
      <c r="BU8" s="50">
        <v>781403712</v>
      </c>
      <c r="BV8" s="50">
        <v>100001004</v>
      </c>
      <c r="BW8" s="50">
        <v>681402708</v>
      </c>
      <c r="BX8" s="51">
        <v>0.13</v>
      </c>
      <c r="BY8" s="50">
        <v>3905110864</v>
      </c>
      <c r="BZ8" s="50">
        <v>850901236</v>
      </c>
      <c r="CA8" s="50">
        <v>3054209628</v>
      </c>
      <c r="CB8" s="51">
        <v>0.22</v>
      </c>
      <c r="CC8" s="50" t="s">
        <v>254</v>
      </c>
      <c r="CD8" s="50" t="s">
        <v>270</v>
      </c>
      <c r="CE8" s="50" t="s">
        <v>271</v>
      </c>
      <c r="CF8" s="51">
        <v>0.22</v>
      </c>
      <c r="CG8" s="99">
        <f t="shared" si="0"/>
        <v>1.5590826827833333</v>
      </c>
      <c r="CH8" s="77">
        <f t="shared" si="1"/>
        <v>1.0827314814814137E-3</v>
      </c>
      <c r="CI8" s="100">
        <f t="shared" si="2"/>
        <v>-1</v>
      </c>
      <c r="CJ8" s="89"/>
    </row>
    <row r="9" spans="1:89" s="50" customFormat="1" ht="91" x14ac:dyDescent="0.2">
      <c r="A9" s="50" t="s">
        <v>62</v>
      </c>
      <c r="B9" s="47">
        <v>0.74167540509259255</v>
      </c>
      <c r="C9" s="48">
        <v>18000161635848</v>
      </c>
      <c r="D9" s="50">
        <v>500</v>
      </c>
      <c r="E9" s="49">
        <v>20000</v>
      </c>
      <c r="F9" s="49">
        <v>10000000</v>
      </c>
      <c r="G9" s="50">
        <v>1</v>
      </c>
      <c r="H9" s="50">
        <v>38</v>
      </c>
      <c r="I9" s="50">
        <v>2316</v>
      </c>
      <c r="J9" s="50">
        <v>59819</v>
      </c>
      <c r="K9" s="50">
        <v>606892</v>
      </c>
      <c r="L9" s="50">
        <v>2417204</v>
      </c>
      <c r="M9" s="50">
        <v>3829920</v>
      </c>
      <c r="N9" s="50">
        <v>2416750</v>
      </c>
      <c r="O9" s="50">
        <v>605320</v>
      </c>
      <c r="P9" s="50">
        <v>59475</v>
      </c>
      <c r="Q9" s="50">
        <v>2240</v>
      </c>
      <c r="R9" s="50">
        <v>10000000</v>
      </c>
      <c r="S9" s="50">
        <v>0</v>
      </c>
      <c r="T9" s="50">
        <v>0</v>
      </c>
      <c r="U9" s="50">
        <v>0</v>
      </c>
      <c r="V9" s="50">
        <v>0</v>
      </c>
      <c r="W9" s="50">
        <v>0</v>
      </c>
      <c r="X9" s="50">
        <v>0</v>
      </c>
      <c r="Y9" s="50">
        <v>0</v>
      </c>
      <c r="Z9" s="50">
        <v>0</v>
      </c>
      <c r="AA9" s="50">
        <v>0</v>
      </c>
      <c r="AB9" s="50">
        <v>0</v>
      </c>
      <c r="AC9" s="50">
        <v>0</v>
      </c>
      <c r="AD9" s="50">
        <v>0</v>
      </c>
      <c r="AE9" s="50">
        <v>0</v>
      </c>
      <c r="AF9" s="50">
        <v>0</v>
      </c>
      <c r="AG9" s="50">
        <v>0</v>
      </c>
      <c r="AH9" s="50">
        <v>0</v>
      </c>
      <c r="AI9" s="50">
        <v>0</v>
      </c>
      <c r="AJ9" s="50">
        <v>0</v>
      </c>
      <c r="AK9" s="50">
        <v>0</v>
      </c>
      <c r="AL9" s="50">
        <v>49500</v>
      </c>
      <c r="AM9" s="48">
        <v>311986263</v>
      </c>
      <c r="AN9" s="50">
        <f>26/1000000</f>
        <v>2.5999999999999998E-5</v>
      </c>
      <c r="AO9" s="88">
        <f>21603/1000000</f>
        <v>2.1603000000000001E-2</v>
      </c>
      <c r="AP9" s="50">
        <f>31/1000000</f>
        <v>3.1000000000000001E-5</v>
      </c>
      <c r="AQ9" s="48">
        <v>54992710493</v>
      </c>
      <c r="AR9" s="50">
        <v>5499</v>
      </c>
      <c r="AS9" s="50">
        <v>176266.45</v>
      </c>
      <c r="AT9" s="50">
        <v>166660.54999999999</v>
      </c>
      <c r="AU9" s="50">
        <v>169447.44</v>
      </c>
      <c r="AV9" s="50">
        <v>174157.94</v>
      </c>
      <c r="AW9" s="50">
        <v>177885.23</v>
      </c>
      <c r="AX9" s="50">
        <v>182037.97</v>
      </c>
      <c r="AY9" s="50">
        <v>181666.75</v>
      </c>
      <c r="AZ9" s="50">
        <v>181892.34</v>
      </c>
      <c r="BA9" s="50">
        <v>181788.7</v>
      </c>
      <c r="BB9" s="50">
        <v>181593.78</v>
      </c>
      <c r="BC9" s="50">
        <v>182135.11</v>
      </c>
      <c r="BD9" s="50">
        <v>181990.62</v>
      </c>
      <c r="BE9" s="50">
        <v>150861.29999999999</v>
      </c>
      <c r="BF9" s="50">
        <v>182283.06</v>
      </c>
      <c r="BG9" s="50">
        <v>181640.19</v>
      </c>
      <c r="BH9" s="50">
        <v>181769.56</v>
      </c>
      <c r="BI9" s="50">
        <v>181743.22</v>
      </c>
      <c r="BJ9" s="50">
        <v>181875.53</v>
      </c>
      <c r="BK9" s="50">
        <v>182017.12</v>
      </c>
      <c r="BL9" s="50">
        <v>181277.77</v>
      </c>
      <c r="BM9" s="50">
        <v>181546.28</v>
      </c>
      <c r="BN9" s="48">
        <v>3998833524736</v>
      </c>
      <c r="BO9" s="48">
        <v>3127510659072</v>
      </c>
      <c r="BP9" s="48">
        <v>3127510659072</v>
      </c>
      <c r="BQ9" s="48">
        <v>3127510659072</v>
      </c>
      <c r="BR9" s="48">
        <v>3127510659072</v>
      </c>
      <c r="BS9" s="48">
        <v>18012509516922</v>
      </c>
      <c r="BT9" s="47">
        <v>0.74181835648148153</v>
      </c>
      <c r="BU9" s="50">
        <v>781403712</v>
      </c>
      <c r="BV9" s="50">
        <v>100001004</v>
      </c>
      <c r="BW9" s="50">
        <v>681402708</v>
      </c>
      <c r="BX9" s="51">
        <v>0.13</v>
      </c>
      <c r="BY9" s="50">
        <v>3905110864</v>
      </c>
      <c r="BZ9" s="50">
        <v>850901236</v>
      </c>
      <c r="CA9" s="50">
        <v>3054209628</v>
      </c>
      <c r="CB9" s="51">
        <v>0.22</v>
      </c>
      <c r="CC9" s="50" t="s">
        <v>254</v>
      </c>
      <c r="CD9" s="50" t="s">
        <v>270</v>
      </c>
      <c r="CE9" s="50" t="s">
        <v>271</v>
      </c>
      <c r="CF9" s="51">
        <v>0.22</v>
      </c>
      <c r="CG9" s="99">
        <f t="shared" si="0"/>
        <v>0.20579801789999999</v>
      </c>
      <c r="CH9" s="77">
        <f t="shared" si="1"/>
        <v>1.4295138888897885E-4</v>
      </c>
      <c r="CI9" s="100">
        <f t="shared" si="2"/>
        <v>-1</v>
      </c>
      <c r="CJ9" s="89"/>
    </row>
    <row r="10" spans="1:89" s="50" customFormat="1" ht="98" x14ac:dyDescent="0.2">
      <c r="A10" s="50" t="s">
        <v>62</v>
      </c>
      <c r="B10" s="47">
        <v>0.5510323958333333</v>
      </c>
      <c r="C10" s="48">
        <v>433528605511644</v>
      </c>
      <c r="D10" s="50">
        <v>5000</v>
      </c>
      <c r="E10" s="49">
        <v>200000</v>
      </c>
      <c r="F10" s="49">
        <v>1000000000</v>
      </c>
      <c r="G10" s="50">
        <v>1</v>
      </c>
      <c r="H10" s="50">
        <v>3405</v>
      </c>
      <c r="I10" s="50">
        <v>229254</v>
      </c>
      <c r="J10" s="50">
        <v>5972473</v>
      </c>
      <c r="K10" s="50">
        <v>60583709</v>
      </c>
      <c r="L10" s="50">
        <v>241684434</v>
      </c>
      <c r="M10" s="50">
        <v>382859562</v>
      </c>
      <c r="N10" s="50">
        <v>241686337</v>
      </c>
      <c r="O10" s="50">
        <v>60576202</v>
      </c>
      <c r="P10" s="50">
        <v>5972227</v>
      </c>
      <c r="Q10" s="50">
        <v>228935</v>
      </c>
      <c r="R10" s="50">
        <v>0</v>
      </c>
      <c r="S10" s="50">
        <v>49840909</v>
      </c>
      <c r="T10" s="50">
        <v>863258271</v>
      </c>
      <c r="U10" s="50">
        <v>44977334</v>
      </c>
      <c r="V10" s="50">
        <v>10863413</v>
      </c>
      <c r="W10" s="50">
        <v>23176465</v>
      </c>
      <c r="X10" s="50">
        <v>4021359</v>
      </c>
      <c r="Y10" s="50">
        <v>1190390</v>
      </c>
      <c r="Z10" s="50">
        <v>648453</v>
      </c>
      <c r="AA10" s="50">
        <v>339846</v>
      </c>
      <c r="AB10" s="50">
        <v>111029</v>
      </c>
      <c r="AC10" s="50">
        <v>60500</v>
      </c>
      <c r="AD10" s="50">
        <v>36151</v>
      </c>
      <c r="AE10" s="50">
        <v>19873</v>
      </c>
      <c r="AF10" s="50">
        <v>11986</v>
      </c>
      <c r="AG10" s="50">
        <v>7730</v>
      </c>
      <c r="AH10" s="50">
        <v>4962</v>
      </c>
      <c r="AI10" s="50">
        <v>3245</v>
      </c>
      <c r="AJ10" s="50">
        <v>2003</v>
      </c>
      <c r="AK10" s="50">
        <v>1257</v>
      </c>
      <c r="AL10" s="50">
        <v>8367311514</v>
      </c>
      <c r="AM10" s="48">
        <v>112563494761829</v>
      </c>
      <c r="AN10" s="88">
        <f>37574/1000000</f>
        <v>3.7574000000000003E-2</v>
      </c>
      <c r="AO10" s="88">
        <f>4985273016/1000000</f>
        <v>4985.2730160000001</v>
      </c>
      <c r="AP10" s="88">
        <f>112563/1000000</f>
        <v>0.112563</v>
      </c>
      <c r="AQ10" s="48">
        <v>5498390233387</v>
      </c>
      <c r="AR10" s="50">
        <v>5498</v>
      </c>
      <c r="AS10" s="50">
        <v>48.847009999999997</v>
      </c>
      <c r="AT10" s="50">
        <v>42.665300000000002</v>
      </c>
      <c r="AU10" s="50">
        <v>58.478479999999998</v>
      </c>
      <c r="AV10" s="50">
        <v>51.783920000000002</v>
      </c>
      <c r="AW10" s="50">
        <v>49.859369999999998</v>
      </c>
      <c r="AX10" s="50">
        <v>42.601399999999998</v>
      </c>
      <c r="AY10" s="50">
        <v>49.015182000000003</v>
      </c>
      <c r="AZ10" s="50">
        <v>51.237037999999998</v>
      </c>
      <c r="BA10" s="50">
        <v>46.484467000000002</v>
      </c>
      <c r="BB10" s="50">
        <v>42.449890000000003</v>
      </c>
      <c r="BC10" s="50">
        <v>51.712935999999999</v>
      </c>
      <c r="BD10" s="50">
        <v>47.415100000000002</v>
      </c>
      <c r="BE10" s="50">
        <v>38.592315999999997</v>
      </c>
      <c r="BF10" s="50">
        <v>44.920310000000001</v>
      </c>
      <c r="BG10" s="50">
        <v>51.41095</v>
      </c>
      <c r="BH10" s="50">
        <v>58.097940000000001</v>
      </c>
      <c r="BI10" s="50">
        <v>39.121400000000001</v>
      </c>
      <c r="BJ10" s="50">
        <v>43.149099999999997</v>
      </c>
      <c r="BK10" s="50">
        <v>49.438763000000002</v>
      </c>
      <c r="BL10" s="50">
        <v>48.639557000000003</v>
      </c>
      <c r="BM10" s="50">
        <v>40.460365000000003</v>
      </c>
      <c r="BN10" s="48">
        <v>11998001627136</v>
      </c>
      <c r="BO10" s="48">
        <v>11914315698176</v>
      </c>
      <c r="BP10" s="48">
        <v>3445614006272</v>
      </c>
      <c r="BQ10" s="48">
        <v>11914315698176</v>
      </c>
      <c r="BR10" s="48">
        <v>3445614006272</v>
      </c>
      <c r="BS10" s="48">
        <v>548723066481907</v>
      </c>
      <c r="BT10" s="47">
        <v>0.88430165509259251</v>
      </c>
      <c r="BU10" s="50">
        <v>2343777024</v>
      </c>
      <c r="BV10" s="50">
        <v>999989815</v>
      </c>
      <c r="BW10" s="50">
        <v>1343787209</v>
      </c>
      <c r="BX10" s="51">
        <v>0.43</v>
      </c>
      <c r="BY10" s="50">
        <v>11716798464</v>
      </c>
      <c r="BZ10" s="50">
        <v>8317937056</v>
      </c>
      <c r="CA10" s="50">
        <v>3398861408</v>
      </c>
      <c r="CB10" s="51">
        <v>0.71</v>
      </c>
      <c r="CC10" s="50" t="s">
        <v>209</v>
      </c>
      <c r="CD10" s="50" t="s">
        <v>68</v>
      </c>
      <c r="CE10" s="50" t="s">
        <v>218</v>
      </c>
      <c r="CF10" s="51">
        <v>0.71</v>
      </c>
      <c r="CG10" s="99">
        <f t="shared" si="0"/>
        <v>1919.9076828377167</v>
      </c>
      <c r="CH10" s="77">
        <f t="shared" si="1"/>
        <v>0.33326925925925921</v>
      </c>
      <c r="CI10" s="100">
        <f t="shared" si="2"/>
        <v>0.54021474148576254</v>
      </c>
      <c r="CJ10" s="89"/>
    </row>
    <row r="11" spans="1:89" s="50" customFormat="1" ht="98" x14ac:dyDescent="0.2">
      <c r="A11" s="50" t="s">
        <v>62</v>
      </c>
      <c r="B11" s="47">
        <v>0.89511627314814823</v>
      </c>
      <c r="C11" s="48">
        <v>549657453103422</v>
      </c>
      <c r="D11" s="50">
        <v>5000</v>
      </c>
      <c r="E11" s="49">
        <v>200000</v>
      </c>
      <c r="F11" s="49">
        <v>1000000000</v>
      </c>
      <c r="G11" s="50">
        <v>1</v>
      </c>
      <c r="H11" s="50">
        <v>3385</v>
      </c>
      <c r="I11" s="50">
        <v>229141</v>
      </c>
      <c r="J11" s="50">
        <v>5973925</v>
      </c>
      <c r="K11" s="50">
        <v>60597708</v>
      </c>
      <c r="L11" s="50">
        <v>241707453</v>
      </c>
      <c r="M11" s="50">
        <v>382941490</v>
      </c>
      <c r="N11" s="50">
        <v>241735519</v>
      </c>
      <c r="O11" s="50">
        <v>60601417</v>
      </c>
      <c r="P11" s="50">
        <v>5977905</v>
      </c>
      <c r="Q11" s="50">
        <v>228641</v>
      </c>
      <c r="R11" s="50">
        <v>999999920</v>
      </c>
      <c r="S11" s="50">
        <v>73</v>
      </c>
      <c r="T11" s="50">
        <v>4</v>
      </c>
      <c r="U11" s="50">
        <v>0</v>
      </c>
      <c r="V11" s="50">
        <v>0</v>
      </c>
      <c r="W11" s="50">
        <v>0</v>
      </c>
      <c r="X11" s="50">
        <v>0</v>
      </c>
      <c r="Y11" s="50">
        <v>0</v>
      </c>
      <c r="Z11" s="50">
        <v>0</v>
      </c>
      <c r="AA11" s="50">
        <v>0</v>
      </c>
      <c r="AB11" s="50">
        <v>0</v>
      </c>
      <c r="AC11" s="50">
        <v>0</v>
      </c>
      <c r="AD11" s="50">
        <v>0</v>
      </c>
      <c r="AE11" s="50">
        <v>0</v>
      </c>
      <c r="AF11" s="50">
        <v>0</v>
      </c>
      <c r="AG11" s="50">
        <v>0</v>
      </c>
      <c r="AH11" s="50">
        <v>0</v>
      </c>
      <c r="AI11" s="50">
        <v>0</v>
      </c>
      <c r="AJ11" s="50">
        <v>0</v>
      </c>
      <c r="AK11" s="50">
        <v>0</v>
      </c>
      <c r="AL11" s="50">
        <v>2856177</v>
      </c>
      <c r="AM11" s="117">
        <f>29003145400/1000000000</f>
        <v>29.003145400000001</v>
      </c>
      <c r="AN11" s="50">
        <f>26/1000000</f>
        <v>2.5999999999999998E-5</v>
      </c>
      <c r="AO11" s="88">
        <f>6188035/1000000</f>
        <v>6.1880350000000002</v>
      </c>
      <c r="AP11" s="50">
        <f>29/1000000</f>
        <v>2.9E-5</v>
      </c>
      <c r="AQ11" s="48">
        <v>5499558268355</v>
      </c>
      <c r="AR11" s="50">
        <v>5499</v>
      </c>
      <c r="AS11" s="50">
        <v>189619.38</v>
      </c>
      <c r="AT11" s="50">
        <v>189062.22</v>
      </c>
      <c r="AU11" s="50">
        <v>187252.94</v>
      </c>
      <c r="AV11" s="50">
        <v>189793.39</v>
      </c>
      <c r="AW11" s="50">
        <v>191655.92</v>
      </c>
      <c r="AX11" s="50">
        <v>189658.86</v>
      </c>
      <c r="AY11" s="50">
        <v>191625.14</v>
      </c>
      <c r="AZ11" s="50">
        <v>191166.56</v>
      </c>
      <c r="BA11" s="50">
        <v>191763.45</v>
      </c>
      <c r="BB11" s="50">
        <v>190868.39</v>
      </c>
      <c r="BC11" s="50">
        <v>191273.9</v>
      </c>
      <c r="BD11" s="50">
        <v>191268.95</v>
      </c>
      <c r="BE11" s="50">
        <v>191240.89</v>
      </c>
      <c r="BF11" s="50">
        <v>191743.92</v>
      </c>
      <c r="BG11" s="50">
        <v>190454.02</v>
      </c>
      <c r="BH11" s="50">
        <v>180545.9</v>
      </c>
      <c r="BI11" s="50">
        <v>191417.72</v>
      </c>
      <c r="BJ11" s="50">
        <v>190658.73</v>
      </c>
      <c r="BK11" s="50">
        <v>191332.55</v>
      </c>
      <c r="BL11" s="50">
        <v>191216.44</v>
      </c>
      <c r="BM11" s="50">
        <v>191129.38</v>
      </c>
      <c r="BN11" s="48">
        <v>11998001627136</v>
      </c>
      <c r="BO11" s="48">
        <v>3480434081792</v>
      </c>
      <c r="BP11" s="48">
        <v>3480434081792</v>
      </c>
      <c r="BQ11" s="48">
        <v>3480434081792</v>
      </c>
      <c r="BR11" s="48">
        <v>3480434081792</v>
      </c>
      <c r="BS11" s="48">
        <v>550564006604942</v>
      </c>
      <c r="BT11" s="47">
        <v>0.90560883101851852</v>
      </c>
      <c r="BU11" s="50">
        <v>2343777024</v>
      </c>
      <c r="BV11" s="50">
        <v>999989815</v>
      </c>
      <c r="BW11" s="50">
        <v>1343787209</v>
      </c>
      <c r="BX11" s="51">
        <v>0.43</v>
      </c>
      <c r="BY11" s="50">
        <v>11716798464</v>
      </c>
      <c r="BZ11" s="50">
        <v>8317937056</v>
      </c>
      <c r="CA11" s="50">
        <v>3398861408</v>
      </c>
      <c r="CB11" s="51">
        <v>0.71</v>
      </c>
      <c r="CC11" s="50" t="s">
        <v>209</v>
      </c>
      <c r="CD11" s="50" t="s">
        <v>68</v>
      </c>
      <c r="CE11" s="50" t="s">
        <v>218</v>
      </c>
      <c r="CF11" s="51">
        <v>0.71</v>
      </c>
      <c r="CG11" s="99">
        <f t="shared" si="0"/>
        <v>15.109225025333334</v>
      </c>
      <c r="CH11" s="77">
        <f t="shared" si="1"/>
        <v>1.0492557870370289E-2</v>
      </c>
      <c r="CI11" s="100">
        <f t="shared" si="2"/>
        <v>-1</v>
      </c>
      <c r="CJ11" s="89">
        <f t="shared" si="3"/>
        <v>29.003145400000001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F997-5CF6-C043-A104-6AD07E94D37A}">
  <dimension ref="A1:CK24"/>
  <sheetViews>
    <sheetView zoomScale="90" zoomScaleNormal="90" workbookViewId="0">
      <selection activeCell="BS29" sqref="BS29"/>
    </sheetView>
  </sheetViews>
  <sheetFormatPr baseColWidth="10" defaultRowHeight="135" customHeight="1" x14ac:dyDescent="0.2"/>
  <cols>
    <col min="1" max="1" width="6.5" style="70" bestFit="1" customWidth="1"/>
    <col min="2" max="2" width="13" style="70" bestFit="1" customWidth="1"/>
    <col min="3" max="3" width="18.1640625" style="70" customWidth="1"/>
    <col min="4" max="4" width="8.1640625" style="70" customWidth="1"/>
    <col min="5" max="5" width="11.6640625" style="70" bestFit="1" customWidth="1"/>
    <col min="6" max="6" width="15.1640625" style="70" bestFit="1" customWidth="1"/>
    <col min="7" max="7" width="3.83203125" style="70" bestFit="1" customWidth="1"/>
    <col min="8" max="8" width="3.5" style="70" hidden="1" customWidth="1"/>
    <col min="9" max="9" width="5.6640625" style="70" hidden="1" customWidth="1"/>
    <col min="10" max="10" width="6.83203125" style="70" hidden="1" customWidth="1"/>
    <col min="11" max="11" width="8" style="70" hidden="1" customWidth="1"/>
    <col min="12" max="14" width="9" style="70" hidden="1" customWidth="1"/>
    <col min="15" max="15" width="8" style="70" hidden="1" customWidth="1"/>
    <col min="16" max="16" width="6.83203125" style="70" hidden="1" customWidth="1"/>
    <col min="17" max="17" width="5.6640625" style="70" hidden="1" customWidth="1"/>
    <col min="18" max="19" width="3.5" style="70" hidden="1" customWidth="1"/>
    <col min="20" max="20" width="5.6640625" style="70" hidden="1" customWidth="1"/>
    <col min="21" max="22" width="9" style="70" hidden="1" customWidth="1"/>
    <col min="23" max="24" width="8" style="70" hidden="1" customWidth="1"/>
    <col min="25" max="27" width="6.83203125" style="70" hidden="1" customWidth="1"/>
    <col min="28" max="30" width="5.6640625" style="70" hidden="1" customWidth="1"/>
    <col min="31" max="33" width="4.6640625" style="70" hidden="1" customWidth="1"/>
    <col min="34" max="37" width="3.5" style="70" hidden="1" customWidth="1"/>
    <col min="38" max="38" width="12.33203125" style="70" bestFit="1" customWidth="1"/>
    <col min="39" max="39" width="15.6640625" style="70" bestFit="1" customWidth="1"/>
    <col min="40" max="40" width="10.1640625" style="70" bestFit="1" customWidth="1"/>
    <col min="41" max="41" width="12.33203125" style="70" bestFit="1" customWidth="1"/>
    <col min="42" max="42" width="9" style="70" bestFit="1" customWidth="1"/>
    <col min="43" max="43" width="19.1640625" style="70" bestFit="1" customWidth="1"/>
    <col min="44" max="44" width="5.6640625" style="70" bestFit="1" customWidth="1"/>
    <col min="45" max="45" width="11.33203125" style="70" bestFit="1" customWidth="1"/>
    <col min="46" max="46" width="10.1640625" style="70" hidden="1" customWidth="1"/>
    <col min="47" max="52" width="11.33203125" style="70" hidden="1" customWidth="1"/>
    <col min="53" max="53" width="10.1640625" style="70" hidden="1" customWidth="1"/>
    <col min="54" max="57" width="11.33203125" style="70" hidden="1" customWidth="1"/>
    <col min="58" max="58" width="10.1640625" style="70" hidden="1" customWidth="1"/>
    <col min="59" max="60" width="11.33203125" style="70" hidden="1" customWidth="1"/>
    <col min="61" max="61" width="10.1640625" style="70" hidden="1" customWidth="1"/>
    <col min="62" max="62" width="11.33203125" style="70" hidden="1" customWidth="1"/>
    <col min="63" max="63" width="9" style="70" hidden="1" customWidth="1"/>
    <col min="64" max="64" width="11.33203125" style="70" hidden="1" customWidth="1"/>
    <col min="65" max="65" width="10.1640625" style="70" hidden="1" customWidth="1"/>
    <col min="66" max="67" width="20.33203125" style="70" bestFit="1" customWidth="1"/>
    <col min="68" max="68" width="18.6640625" style="70" customWidth="1"/>
    <col min="69" max="69" width="23.1640625" style="70" bestFit="1" customWidth="1"/>
    <col min="70" max="70" width="19.6640625" style="70" customWidth="1"/>
    <col min="71" max="71" width="23" style="70" customWidth="1"/>
    <col min="72" max="72" width="18" style="70" customWidth="1"/>
    <col min="73" max="73" width="15.1640625" style="70" bestFit="1" customWidth="1"/>
    <col min="74" max="74" width="12.33203125" style="70" bestFit="1" customWidth="1"/>
    <col min="75" max="75" width="16.5" style="70" bestFit="1" customWidth="1"/>
    <col min="76" max="76" width="10.83203125" style="70" customWidth="1"/>
    <col min="77" max="77" width="16.33203125" style="70" bestFit="1" customWidth="1"/>
    <col min="78" max="78" width="19.1640625" style="70" bestFit="1" customWidth="1"/>
    <col min="79" max="79" width="15.1640625" style="70" bestFit="1" customWidth="1"/>
    <col min="80" max="80" width="9.33203125" style="70" customWidth="1"/>
    <col min="81" max="81" width="9" style="70" customWidth="1"/>
    <col min="82" max="82" width="9.33203125" style="70" customWidth="1"/>
    <col min="83" max="83" width="9.5" style="70" customWidth="1"/>
    <col min="84" max="84" width="9.33203125" style="70" customWidth="1"/>
    <col min="85" max="85" width="10.6640625" style="70" customWidth="1"/>
    <col min="86" max="86" width="13" style="70" bestFit="1" customWidth="1"/>
    <col min="87" max="87" width="13.5" style="70" customWidth="1"/>
    <col min="88" max="88" width="11.1640625" style="70" customWidth="1"/>
    <col min="89" max="16384" width="10.83203125" style="70"/>
  </cols>
  <sheetData>
    <row r="1" spans="1:89" ht="68" x14ac:dyDescent="0.2">
      <c r="A1" s="60" t="s">
        <v>38</v>
      </c>
      <c r="B1" s="60" t="s">
        <v>43</v>
      </c>
      <c r="C1" s="61" t="s">
        <v>40</v>
      </c>
      <c r="D1" s="60" t="s">
        <v>0</v>
      </c>
      <c r="E1" s="60" t="s">
        <v>1</v>
      </c>
      <c r="F1" s="60" t="s">
        <v>2</v>
      </c>
      <c r="G1" s="60" t="s">
        <v>3</v>
      </c>
      <c r="H1" s="71" t="s">
        <v>161</v>
      </c>
      <c r="I1" s="71" t="s">
        <v>162</v>
      </c>
      <c r="J1" s="71" t="s">
        <v>163</v>
      </c>
      <c r="K1" s="71" t="s">
        <v>164</v>
      </c>
      <c r="L1" s="71" t="s">
        <v>165</v>
      </c>
      <c r="M1" s="71" t="s">
        <v>166</v>
      </c>
      <c r="N1" s="71" t="s">
        <v>167</v>
      </c>
      <c r="O1" s="71" t="s">
        <v>168</v>
      </c>
      <c r="P1" s="71" t="s">
        <v>169</v>
      </c>
      <c r="Q1" s="71" t="s">
        <v>170</v>
      </c>
      <c r="R1" s="72" t="s">
        <v>141</v>
      </c>
      <c r="S1" s="72" t="s">
        <v>142</v>
      </c>
      <c r="T1" s="72" t="s">
        <v>143</v>
      </c>
      <c r="U1" s="72" t="s">
        <v>144</v>
      </c>
      <c r="V1" s="72" t="s">
        <v>145</v>
      </c>
      <c r="W1" s="72" t="s">
        <v>146</v>
      </c>
      <c r="X1" s="72" t="s">
        <v>147</v>
      </c>
      <c r="Y1" s="72" t="s">
        <v>148</v>
      </c>
      <c r="Z1" s="72" t="s">
        <v>149</v>
      </c>
      <c r="AA1" s="72" t="s">
        <v>150</v>
      </c>
      <c r="AB1" s="72" t="s">
        <v>151</v>
      </c>
      <c r="AC1" s="72" t="s">
        <v>152</v>
      </c>
      <c r="AD1" s="72" t="s">
        <v>153</v>
      </c>
      <c r="AE1" s="72" t="s">
        <v>154</v>
      </c>
      <c r="AF1" s="72" t="s">
        <v>155</v>
      </c>
      <c r="AG1" s="72" t="s">
        <v>156</v>
      </c>
      <c r="AH1" s="72" t="s">
        <v>157</v>
      </c>
      <c r="AI1" s="72" t="s">
        <v>158</v>
      </c>
      <c r="AJ1" s="72" t="s">
        <v>159</v>
      </c>
      <c r="AK1" s="72" t="s">
        <v>160</v>
      </c>
      <c r="AL1" s="60" t="s">
        <v>25</v>
      </c>
      <c r="AM1" s="60" t="s">
        <v>90</v>
      </c>
      <c r="AN1" s="60" t="s">
        <v>286</v>
      </c>
      <c r="AO1" s="60" t="s">
        <v>27</v>
      </c>
      <c r="AP1" s="60" t="s">
        <v>285</v>
      </c>
      <c r="AQ1" s="61" t="s">
        <v>221</v>
      </c>
      <c r="AR1" s="60" t="s">
        <v>220</v>
      </c>
      <c r="AS1" s="60" t="s">
        <v>171</v>
      </c>
      <c r="AT1" s="73" t="s">
        <v>174</v>
      </c>
      <c r="AU1" s="73" t="s">
        <v>175</v>
      </c>
      <c r="AV1" s="73" t="s">
        <v>176</v>
      </c>
      <c r="AW1" s="73" t="s">
        <v>177</v>
      </c>
      <c r="AX1" s="73" t="s">
        <v>178</v>
      </c>
      <c r="AY1" s="73" t="s">
        <v>179</v>
      </c>
      <c r="AZ1" s="73" t="s">
        <v>180</v>
      </c>
      <c r="BA1" s="73" t="s">
        <v>181</v>
      </c>
      <c r="BB1" s="73" t="s">
        <v>182</v>
      </c>
      <c r="BC1" s="73" t="s">
        <v>183</v>
      </c>
      <c r="BD1" s="73" t="s">
        <v>184</v>
      </c>
      <c r="BE1" s="73" t="s">
        <v>185</v>
      </c>
      <c r="BF1" s="73" t="s">
        <v>186</v>
      </c>
      <c r="BG1" s="73" t="s">
        <v>187</v>
      </c>
      <c r="BH1" s="73" t="s">
        <v>188</v>
      </c>
      <c r="BI1" s="73" t="s">
        <v>189</v>
      </c>
      <c r="BJ1" s="73" t="s">
        <v>190</v>
      </c>
      <c r="BK1" s="73" t="s">
        <v>191</v>
      </c>
      <c r="BL1" s="73" t="s">
        <v>192</v>
      </c>
      <c r="BM1" s="73" t="s">
        <v>193</v>
      </c>
      <c r="BN1" s="60" t="s">
        <v>172</v>
      </c>
      <c r="BO1" s="60" t="s">
        <v>173</v>
      </c>
      <c r="BP1" s="60" t="s">
        <v>194</v>
      </c>
      <c r="BQ1" s="60" t="s">
        <v>195</v>
      </c>
      <c r="BR1" s="60" t="s">
        <v>196</v>
      </c>
      <c r="BS1" s="61" t="s">
        <v>41</v>
      </c>
      <c r="BT1" s="60" t="s">
        <v>44</v>
      </c>
      <c r="BU1" s="60" t="s">
        <v>197</v>
      </c>
      <c r="BV1" s="60" t="s">
        <v>198</v>
      </c>
      <c r="BW1" s="60" t="s">
        <v>199</v>
      </c>
      <c r="BX1" s="60" t="s">
        <v>200</v>
      </c>
      <c r="BY1" s="60" t="s">
        <v>205</v>
      </c>
      <c r="BZ1" s="60" t="s">
        <v>206</v>
      </c>
      <c r="CA1" s="60" t="s">
        <v>207</v>
      </c>
      <c r="CB1" s="60" t="s">
        <v>208</v>
      </c>
      <c r="CC1" s="60" t="s">
        <v>201</v>
      </c>
      <c r="CD1" s="60" t="s">
        <v>202</v>
      </c>
      <c r="CE1" s="60" t="s">
        <v>203</v>
      </c>
      <c r="CF1" s="60" t="s">
        <v>204</v>
      </c>
      <c r="CG1" s="60" t="s">
        <v>278</v>
      </c>
      <c r="CH1" s="60" t="s">
        <v>269</v>
      </c>
      <c r="CI1" s="60" t="s">
        <v>279</v>
      </c>
      <c r="CJ1" s="120" t="s">
        <v>290</v>
      </c>
    </row>
    <row r="2" spans="1:89" ht="16" x14ac:dyDescent="0.2">
      <c r="A2" s="123" t="s">
        <v>69</v>
      </c>
      <c r="B2" s="134">
        <v>0.59586245370370372</v>
      </c>
      <c r="C2" s="135">
        <v>167983935561351</v>
      </c>
      <c r="D2" s="81">
        <v>500</v>
      </c>
      <c r="E2" s="82">
        <v>20000</v>
      </c>
      <c r="F2" s="82">
        <v>10000000</v>
      </c>
      <c r="G2" s="123">
        <v>1</v>
      </c>
      <c r="H2" s="123">
        <v>39</v>
      </c>
      <c r="I2" s="123">
        <v>2326</v>
      </c>
      <c r="J2" s="123">
        <v>59639</v>
      </c>
      <c r="K2" s="123">
        <v>606858</v>
      </c>
      <c r="L2" s="123">
        <v>2415419</v>
      </c>
      <c r="M2" s="123">
        <v>3833682</v>
      </c>
      <c r="N2" s="123">
        <v>2414922</v>
      </c>
      <c r="O2" s="123">
        <v>605293</v>
      </c>
      <c r="P2" s="123">
        <v>59524</v>
      </c>
      <c r="Q2" s="123">
        <v>2267</v>
      </c>
      <c r="R2" s="123">
        <v>0</v>
      </c>
      <c r="S2" s="123">
        <v>0</v>
      </c>
      <c r="T2" s="123">
        <v>1010</v>
      </c>
      <c r="U2" s="123">
        <v>5620647</v>
      </c>
      <c r="V2" s="123">
        <v>3878101</v>
      </c>
      <c r="W2" s="123">
        <v>218641</v>
      </c>
      <c r="X2" s="123">
        <v>103873</v>
      </c>
      <c r="Y2" s="123">
        <v>64497</v>
      </c>
      <c r="Z2" s="123">
        <v>38336</v>
      </c>
      <c r="AA2" s="123">
        <v>15260</v>
      </c>
      <c r="AB2" s="123">
        <v>7228</v>
      </c>
      <c r="AC2" s="123">
        <v>3902</v>
      </c>
      <c r="AD2" s="123">
        <v>1664</v>
      </c>
      <c r="AE2" s="123">
        <v>631</v>
      </c>
      <c r="AF2" s="123">
        <v>284</v>
      </c>
      <c r="AG2" s="123">
        <v>131</v>
      </c>
      <c r="AH2" s="123">
        <v>90</v>
      </c>
      <c r="AI2" s="123">
        <v>81</v>
      </c>
      <c r="AJ2" s="123">
        <v>44</v>
      </c>
      <c r="AK2" s="123">
        <v>31</v>
      </c>
      <c r="AL2" s="81">
        <v>53344224</v>
      </c>
      <c r="AM2" s="135">
        <f>1455504083113/10^9</f>
        <v>1455.504083113</v>
      </c>
      <c r="AN2" s="81">
        <f>68792/1000000</f>
        <v>6.8792000000000006E-2</v>
      </c>
      <c r="AO2" s="81">
        <f>470560439/1000000</f>
        <v>470.56043899999997</v>
      </c>
      <c r="AP2" s="81">
        <f>145550/1000000</f>
        <v>0.14555000000000001</v>
      </c>
      <c r="AQ2" s="122">
        <v>54991632226</v>
      </c>
      <c r="AR2" s="123">
        <v>5499</v>
      </c>
      <c r="AS2" s="81">
        <v>37.781844999999997</v>
      </c>
      <c r="AT2" s="123">
        <v>35.91319</v>
      </c>
      <c r="AU2" s="123">
        <v>40.700436000000003</v>
      </c>
      <c r="AV2" s="123">
        <v>38.073616000000001</v>
      </c>
      <c r="AW2" s="123">
        <v>40.213017000000001</v>
      </c>
      <c r="AX2" s="123">
        <v>36.868651999999997</v>
      </c>
      <c r="AY2" s="123">
        <v>37.630245000000002</v>
      </c>
      <c r="AZ2" s="123">
        <v>34.791218000000001</v>
      </c>
      <c r="BA2" s="123">
        <v>35.048319999999997</v>
      </c>
      <c r="BB2" s="123">
        <v>39.038654000000001</v>
      </c>
      <c r="BC2" s="123">
        <v>41.883614000000001</v>
      </c>
      <c r="BD2" s="123">
        <v>39.544795999999998</v>
      </c>
      <c r="BE2" s="123">
        <v>40.909633999999997</v>
      </c>
      <c r="BF2" s="123">
        <v>39.301929999999999</v>
      </c>
      <c r="BG2" s="123">
        <v>41.012782999999999</v>
      </c>
      <c r="BH2" s="123">
        <v>36.602997000000002</v>
      </c>
      <c r="BI2" s="123">
        <v>35.549050000000001</v>
      </c>
      <c r="BJ2" s="123">
        <v>31.685438000000001</v>
      </c>
      <c r="BK2" s="123">
        <v>37.871299999999998</v>
      </c>
      <c r="BL2" s="123">
        <v>35.317352</v>
      </c>
      <c r="BM2" s="123">
        <v>37.682960000000001</v>
      </c>
      <c r="BN2" s="122">
        <v>3665926332416</v>
      </c>
      <c r="BO2" s="122">
        <v>3465777897472</v>
      </c>
      <c r="BP2" s="122">
        <v>3386668740608</v>
      </c>
      <c r="BQ2" s="122">
        <v>3665834024960</v>
      </c>
      <c r="BR2" s="122">
        <v>3586724868096</v>
      </c>
      <c r="BS2" s="122">
        <v>169471590983333</v>
      </c>
      <c r="BT2" s="130">
        <v>0.61308072916666667</v>
      </c>
      <c r="BU2" s="82">
        <v>1302364160</v>
      </c>
      <c r="BV2" s="82">
        <v>10000512</v>
      </c>
      <c r="BW2" s="82">
        <v>1292363648</v>
      </c>
      <c r="BX2" s="148">
        <v>0.01</v>
      </c>
      <c r="BY2" s="122">
        <v>3580006184</v>
      </c>
      <c r="BZ2" s="122">
        <v>77345180</v>
      </c>
      <c r="CA2" s="122">
        <v>3307293692</v>
      </c>
      <c r="CB2" s="148">
        <v>0.03</v>
      </c>
      <c r="CC2" s="123" t="s">
        <v>257</v>
      </c>
      <c r="CD2" s="123" t="s">
        <v>72</v>
      </c>
      <c r="CE2" s="123" t="s">
        <v>258</v>
      </c>
      <c r="CF2" s="148">
        <v>0.03</v>
      </c>
      <c r="CG2" s="163">
        <f>((BS2-C2)/1000000000)/60</f>
        <v>24.794257033033333</v>
      </c>
      <c r="CH2" s="130">
        <f>BT2-B2</f>
        <v>1.7218275462962951E-2</v>
      </c>
      <c r="CI2" s="149">
        <f>((BO2-BP2)-AQ2)/ABS(AQ2)</f>
        <v>0.4385671721632815</v>
      </c>
      <c r="CJ2" s="150">
        <f>((BZ2*1024)/4096)/(CG2*60)</f>
        <v>12997.83183274948</v>
      </c>
      <c r="CK2" s="119">
        <f>CJ2/1000</f>
        <v>12.99783183274948</v>
      </c>
    </row>
    <row r="3" spans="1:89" customFormat="1" ht="16" x14ac:dyDescent="0.2">
      <c r="A3" s="123" t="s">
        <v>62</v>
      </c>
      <c r="B3" s="134">
        <v>0.56558321759259256</v>
      </c>
      <c r="C3" s="135">
        <v>78967809435211</v>
      </c>
      <c r="D3" s="81">
        <v>500</v>
      </c>
      <c r="E3" s="82">
        <v>20000</v>
      </c>
      <c r="F3" s="82">
        <v>10000000</v>
      </c>
      <c r="G3" s="123">
        <v>1</v>
      </c>
      <c r="H3" s="123">
        <v>28</v>
      </c>
      <c r="I3" s="123">
        <v>2320</v>
      </c>
      <c r="J3" s="123">
        <v>59866</v>
      </c>
      <c r="K3" s="123">
        <v>606648</v>
      </c>
      <c r="L3" s="123">
        <v>2415088</v>
      </c>
      <c r="M3" s="123">
        <v>3830154</v>
      </c>
      <c r="N3" s="123">
        <v>2417166</v>
      </c>
      <c r="O3" s="123">
        <v>606761</v>
      </c>
      <c r="P3" s="123">
        <v>59587</v>
      </c>
      <c r="Q3" s="123">
        <v>2341</v>
      </c>
      <c r="R3" s="123">
        <v>0</v>
      </c>
      <c r="S3" s="123">
        <v>16913</v>
      </c>
      <c r="T3" s="123">
        <v>8467612</v>
      </c>
      <c r="U3" s="123">
        <v>1101911</v>
      </c>
      <c r="V3" s="123">
        <v>273704</v>
      </c>
      <c r="W3" s="123">
        <v>77994</v>
      </c>
      <c r="X3" s="123">
        <v>25967</v>
      </c>
      <c r="Y3" s="123">
        <v>11530</v>
      </c>
      <c r="Z3" s="123">
        <v>9410</v>
      </c>
      <c r="AA3" s="123">
        <v>6746</v>
      </c>
      <c r="AB3" s="123">
        <v>2466</v>
      </c>
      <c r="AC3" s="123">
        <v>1053</v>
      </c>
      <c r="AD3" s="123">
        <v>467</v>
      </c>
      <c r="AE3" s="123">
        <v>224</v>
      </c>
      <c r="AF3" s="123">
        <v>121</v>
      </c>
      <c r="AG3" s="123">
        <v>75</v>
      </c>
      <c r="AH3" s="123">
        <v>41</v>
      </c>
      <c r="AI3" s="123">
        <v>30</v>
      </c>
      <c r="AJ3" s="123">
        <v>36</v>
      </c>
      <c r="AK3" s="123">
        <v>24</v>
      </c>
      <c r="AL3" s="81">
        <v>35424153</v>
      </c>
      <c r="AM3" s="135">
        <f>1037179018280/1000000000</f>
        <v>1037.17901828</v>
      </c>
      <c r="AN3" s="81">
        <f>40505/1000000</f>
        <v>4.0504999999999999E-2</v>
      </c>
      <c r="AO3" s="81">
        <f>4721381412/1000000</f>
        <v>4721.3814119999997</v>
      </c>
      <c r="AP3" s="81">
        <f>103717/1000000</f>
        <v>0.103717</v>
      </c>
      <c r="AQ3" s="122">
        <v>54997429121</v>
      </c>
      <c r="AR3" s="123">
        <v>5499</v>
      </c>
      <c r="AS3" s="81">
        <v>53.025973999999998</v>
      </c>
      <c r="AT3" s="123">
        <v>75.971959999999996</v>
      </c>
      <c r="AU3" s="123">
        <v>23.986719999999998</v>
      </c>
      <c r="AV3" s="123">
        <v>75.735534999999999</v>
      </c>
      <c r="AW3" s="123">
        <v>81.016846000000001</v>
      </c>
      <c r="AX3" s="123">
        <v>75.508690000000001</v>
      </c>
      <c r="AY3" s="123">
        <v>78.222244000000003</v>
      </c>
      <c r="AZ3" s="123">
        <v>80.353980000000007</v>
      </c>
      <c r="BA3" s="123">
        <v>79.440780000000004</v>
      </c>
      <c r="BB3" s="123">
        <v>79.439970000000002</v>
      </c>
      <c r="BC3" s="123">
        <v>79.567589999999996</v>
      </c>
      <c r="BD3" s="123">
        <v>74.421683999999999</v>
      </c>
      <c r="BE3" s="123">
        <v>77.680250000000001</v>
      </c>
      <c r="BF3" s="123">
        <v>77.734660000000005</v>
      </c>
      <c r="BG3" s="123">
        <v>78.271039999999999</v>
      </c>
      <c r="BH3" s="123">
        <v>21.17698</v>
      </c>
      <c r="BI3" s="123">
        <v>75.698440000000005</v>
      </c>
      <c r="BJ3" s="123">
        <v>61.044918000000003</v>
      </c>
      <c r="BK3" s="123">
        <v>65.907646</v>
      </c>
      <c r="BL3" s="123">
        <v>66.85427</v>
      </c>
      <c r="BM3" s="123">
        <v>17.554887999999998</v>
      </c>
      <c r="BN3" s="122">
        <v>3998833524736</v>
      </c>
      <c r="BO3" s="122">
        <v>3970919317504</v>
      </c>
      <c r="BP3" s="122">
        <v>3846905892864</v>
      </c>
      <c r="BQ3" s="122">
        <v>3970919317504</v>
      </c>
      <c r="BR3" s="122">
        <v>3846905892864</v>
      </c>
      <c r="BS3" s="122">
        <v>80039891959342</v>
      </c>
      <c r="BT3" s="130">
        <v>0.57799162037037044</v>
      </c>
      <c r="BU3" s="81">
        <v>781403712</v>
      </c>
      <c r="BV3" s="81">
        <v>10000504</v>
      </c>
      <c r="BW3" s="81">
        <v>771403208</v>
      </c>
      <c r="BX3" s="148">
        <v>0.02</v>
      </c>
      <c r="BY3" s="122">
        <v>3905110864</v>
      </c>
      <c r="BZ3" s="122">
        <v>109635688</v>
      </c>
      <c r="CA3" s="122">
        <v>3795475176</v>
      </c>
      <c r="CB3" s="148">
        <v>0.03</v>
      </c>
      <c r="CC3" s="123" t="s">
        <v>254</v>
      </c>
      <c r="CD3" s="123" t="s">
        <v>255</v>
      </c>
      <c r="CE3" s="123" t="s">
        <v>256</v>
      </c>
      <c r="CF3" s="148">
        <v>0.03</v>
      </c>
      <c r="CG3" s="163">
        <f>((BS3-C3)/1000000000)/60</f>
        <v>17.868042068849999</v>
      </c>
      <c r="CH3" s="130">
        <f t="shared" ref="CH3:CH14" si="0">BT3-B3</f>
        <v>1.2408402777777883E-2</v>
      </c>
      <c r="CI3" s="149">
        <f t="shared" ref="CI3:CI14" si="1">((BO3-BP3)-AQ3)/ABS(AQ3)</f>
        <v>1.2548949400372462</v>
      </c>
      <c r="CJ3" s="150">
        <f>((BZ3*1024)/4096)/(CG3*60)</f>
        <v>25566.056141262918</v>
      </c>
      <c r="CK3" s="119">
        <f t="shared" ref="CK3:CK14" si="2">CJ3/1000</f>
        <v>25.566056141262919</v>
      </c>
    </row>
    <row r="4" spans="1:89" ht="16" x14ac:dyDescent="0.2">
      <c r="A4" s="123" t="s">
        <v>62</v>
      </c>
      <c r="B4" s="134">
        <v>0.69821638888888893</v>
      </c>
      <c r="C4" s="135">
        <v>90427315188174</v>
      </c>
      <c r="D4" s="81">
        <v>1000</v>
      </c>
      <c r="E4" s="82">
        <v>100000</v>
      </c>
      <c r="F4" s="82">
        <v>100000000</v>
      </c>
      <c r="G4" s="123">
        <v>1</v>
      </c>
      <c r="H4" s="123">
        <v>327</v>
      </c>
      <c r="I4" s="123">
        <v>23110</v>
      </c>
      <c r="J4" s="123">
        <v>599178</v>
      </c>
      <c r="K4" s="123">
        <v>6058210</v>
      </c>
      <c r="L4" s="123">
        <v>24176454</v>
      </c>
      <c r="M4" s="123">
        <v>38291431</v>
      </c>
      <c r="N4" s="123">
        <v>24172220</v>
      </c>
      <c r="O4" s="123">
        <v>6059210</v>
      </c>
      <c r="P4" s="123">
        <v>596580</v>
      </c>
      <c r="Q4" s="123">
        <v>22945</v>
      </c>
      <c r="R4" s="123">
        <v>0</v>
      </c>
      <c r="S4" s="123">
        <v>240527</v>
      </c>
      <c r="T4" s="123">
        <v>78818912</v>
      </c>
      <c r="U4" s="123">
        <v>12936726</v>
      </c>
      <c r="V4" s="123">
        <v>3204924</v>
      </c>
      <c r="W4" s="123">
        <v>2806458</v>
      </c>
      <c r="X4" s="123">
        <v>1243871</v>
      </c>
      <c r="Y4" s="123">
        <v>238382</v>
      </c>
      <c r="Z4" s="123">
        <v>120192</v>
      </c>
      <c r="AA4" s="123">
        <v>69366</v>
      </c>
      <c r="AB4" s="123">
        <v>28995</v>
      </c>
      <c r="AC4" s="123">
        <v>14394</v>
      </c>
      <c r="AD4" s="123">
        <v>5870</v>
      </c>
      <c r="AE4" s="123">
        <v>2763</v>
      </c>
      <c r="AF4" s="123">
        <v>1506</v>
      </c>
      <c r="AG4" s="123">
        <v>1059</v>
      </c>
      <c r="AH4" s="123">
        <v>1504</v>
      </c>
      <c r="AI4" s="123">
        <v>1331</v>
      </c>
      <c r="AJ4" s="123">
        <v>498</v>
      </c>
      <c r="AK4" s="123">
        <v>204</v>
      </c>
      <c r="AL4" s="81">
        <v>3733472913</v>
      </c>
      <c r="AM4" s="135">
        <f>14277531142510/1000000000</f>
        <v>14277.531142510001</v>
      </c>
      <c r="AN4" s="81">
        <f>41387/1000000</f>
        <v>4.1387E-2</v>
      </c>
      <c r="AO4" s="81">
        <f>5079069769/1000000</f>
        <v>5079.0697689999997</v>
      </c>
      <c r="AP4" s="81">
        <f>142775/1000000</f>
        <v>0.14277500000000001</v>
      </c>
      <c r="AQ4" s="122">
        <v>549944003390</v>
      </c>
      <c r="AR4" s="123">
        <v>5499</v>
      </c>
      <c r="AS4" s="81">
        <v>38.518146999999999</v>
      </c>
      <c r="AT4" s="123">
        <v>75.678290000000004</v>
      </c>
      <c r="AU4" s="123">
        <v>73.038475000000005</v>
      </c>
      <c r="AV4" s="123">
        <v>41.805813000000001</v>
      </c>
      <c r="AW4" s="123">
        <v>35.897550000000003</v>
      </c>
      <c r="AX4" s="123">
        <v>26.836514999999999</v>
      </c>
      <c r="AY4" s="123">
        <v>26.706205000000001</v>
      </c>
      <c r="AZ4" s="123">
        <v>28.436820000000001</v>
      </c>
      <c r="BA4" s="123">
        <v>22.338379</v>
      </c>
      <c r="BB4" s="123">
        <v>27.572512</v>
      </c>
      <c r="BC4" s="123">
        <v>28.251283999999998</v>
      </c>
      <c r="BD4" s="123">
        <v>28.804113000000001</v>
      </c>
      <c r="BE4" s="123">
        <v>26.300667000000001</v>
      </c>
      <c r="BF4" s="123">
        <v>30.691327999999999</v>
      </c>
      <c r="BG4" s="123">
        <v>27.786000000000001</v>
      </c>
      <c r="BH4" s="123">
        <v>28.837160000000001</v>
      </c>
      <c r="BI4" s="123">
        <v>26.272235999999999</v>
      </c>
      <c r="BJ4" s="123">
        <v>32.693317</v>
      </c>
      <c r="BK4" s="123">
        <v>25.421230000000001</v>
      </c>
      <c r="BL4" s="123">
        <v>30.406711999999999</v>
      </c>
      <c r="BM4" s="123">
        <v>41.166096000000003</v>
      </c>
      <c r="BN4" s="122">
        <v>3998833524736</v>
      </c>
      <c r="BO4" s="122">
        <v>3970919317504</v>
      </c>
      <c r="BP4" s="122">
        <v>3093392449536</v>
      </c>
      <c r="BQ4" s="122">
        <v>3970919317504</v>
      </c>
      <c r="BR4" s="122">
        <v>3093392449536</v>
      </c>
      <c r="BS4" s="122">
        <v>105034104113804</v>
      </c>
      <c r="BT4" s="130">
        <v>0.86727649305555554</v>
      </c>
      <c r="BU4" s="81">
        <v>781403712</v>
      </c>
      <c r="BV4" s="81">
        <v>100001004</v>
      </c>
      <c r="BW4" s="81">
        <v>681402708</v>
      </c>
      <c r="BX4" s="148">
        <v>0.13</v>
      </c>
      <c r="BY4" s="122">
        <v>3905110864</v>
      </c>
      <c r="BZ4" s="122">
        <v>850925380</v>
      </c>
      <c r="CA4" s="122">
        <v>3054185484</v>
      </c>
      <c r="CB4" s="148">
        <v>0.22</v>
      </c>
      <c r="CC4" s="123" t="s">
        <v>254</v>
      </c>
      <c r="CD4" s="123" t="s">
        <v>270</v>
      </c>
      <c r="CE4" s="123" t="s">
        <v>271</v>
      </c>
      <c r="CF4" s="148">
        <v>0.22</v>
      </c>
      <c r="CG4" s="163">
        <f>((BS4-C4)/1000000000)/60</f>
        <v>243.44648209383334</v>
      </c>
      <c r="CH4" s="130">
        <f t="shared" si="0"/>
        <v>0.16906010416666661</v>
      </c>
      <c r="CI4" s="149">
        <f t="shared" si="1"/>
        <v>0.59566585426642127</v>
      </c>
      <c r="CJ4" s="150">
        <f>((BZ4*1024)/4096)/(CG4*60)</f>
        <v>14563.867944085099</v>
      </c>
      <c r="CK4" s="119">
        <f t="shared" si="2"/>
        <v>14.5638679440851</v>
      </c>
    </row>
    <row r="5" spans="1:89" s="59" customFormat="1" ht="16" x14ac:dyDescent="0.2">
      <c r="A5" s="123" t="s">
        <v>273</v>
      </c>
      <c r="B5" s="134">
        <v>0.38715746527777778</v>
      </c>
      <c r="C5" s="135">
        <v>567783160842</v>
      </c>
      <c r="D5" s="81">
        <v>500</v>
      </c>
      <c r="E5" s="82">
        <v>20000</v>
      </c>
      <c r="F5" s="82">
        <v>10000000</v>
      </c>
      <c r="G5" s="123">
        <v>1</v>
      </c>
      <c r="H5" s="123">
        <v>38</v>
      </c>
      <c r="I5" s="123">
        <v>2305</v>
      </c>
      <c r="J5" s="123">
        <v>59524</v>
      </c>
      <c r="K5" s="123">
        <v>606117</v>
      </c>
      <c r="L5" s="123">
        <v>2415620</v>
      </c>
      <c r="M5" s="123">
        <v>3830367</v>
      </c>
      <c r="N5" s="123">
        <v>2418652</v>
      </c>
      <c r="O5" s="123">
        <v>605286</v>
      </c>
      <c r="P5" s="123">
        <v>59738</v>
      </c>
      <c r="Q5" s="123">
        <v>2316</v>
      </c>
      <c r="R5" s="123">
        <v>0</v>
      </c>
      <c r="S5" s="123">
        <v>0</v>
      </c>
      <c r="T5" s="123">
        <v>43194</v>
      </c>
      <c r="U5" s="123">
        <v>7092295</v>
      </c>
      <c r="V5" s="123">
        <v>2312792</v>
      </c>
      <c r="W5" s="123">
        <v>246026</v>
      </c>
      <c r="X5" s="123">
        <v>106544</v>
      </c>
      <c r="Y5" s="123">
        <v>98360</v>
      </c>
      <c r="Z5" s="123">
        <v>51151</v>
      </c>
      <c r="AA5" s="123">
        <v>23257</v>
      </c>
      <c r="AB5" s="123">
        <v>9525</v>
      </c>
      <c r="AC5" s="123">
        <v>3428</v>
      </c>
      <c r="AD5" s="123">
        <v>1588</v>
      </c>
      <c r="AE5" s="123">
        <v>953</v>
      </c>
      <c r="AF5" s="123">
        <v>824</v>
      </c>
      <c r="AG5" s="123">
        <v>1919</v>
      </c>
      <c r="AH5" s="123">
        <v>2205</v>
      </c>
      <c r="AI5" s="123">
        <v>1407</v>
      </c>
      <c r="AJ5" s="123">
        <v>868</v>
      </c>
      <c r="AK5" s="123">
        <v>593</v>
      </c>
      <c r="AL5" s="81">
        <v>28189919</v>
      </c>
      <c r="AM5" s="135">
        <f>986716371154/1000000000</f>
        <v>986.71637115399994</v>
      </c>
      <c r="AN5" s="81">
        <f>66196/1000000</f>
        <v>6.6196000000000005E-2</v>
      </c>
      <c r="AO5" s="81">
        <f>56502971/1000000</f>
        <v>56.502971000000002</v>
      </c>
      <c r="AP5" s="81">
        <f>98671/1000000</f>
        <v>9.8670999999999995E-2</v>
      </c>
      <c r="AQ5" s="122">
        <v>54997050601</v>
      </c>
      <c r="AR5" s="123">
        <v>5499</v>
      </c>
      <c r="AS5" s="81">
        <v>55.737442000000001</v>
      </c>
      <c r="AT5" s="123">
        <v>62.732979999999998</v>
      </c>
      <c r="AU5" s="123">
        <v>58.807630000000003</v>
      </c>
      <c r="AV5" s="123">
        <v>58.373905000000001</v>
      </c>
      <c r="AW5" s="123">
        <v>60.864502000000002</v>
      </c>
      <c r="AX5" s="123">
        <v>57.041137999999997</v>
      </c>
      <c r="AY5" s="123">
        <v>57.913944000000001</v>
      </c>
      <c r="AZ5" s="123">
        <v>55.996986</v>
      </c>
      <c r="BA5" s="123">
        <v>59.048430000000003</v>
      </c>
      <c r="BB5" s="123">
        <v>58.635689999999997</v>
      </c>
      <c r="BC5" s="123">
        <v>56.871009999999998</v>
      </c>
      <c r="BD5" s="123">
        <v>54.703144000000002</v>
      </c>
      <c r="BE5" s="123">
        <v>55.950496999999999</v>
      </c>
      <c r="BF5" s="123">
        <v>54.095576999999999</v>
      </c>
      <c r="BG5" s="123">
        <v>53.793869999999998</v>
      </c>
      <c r="BH5" s="123">
        <v>54.445155999999997</v>
      </c>
      <c r="BI5" s="123">
        <v>54.753487</v>
      </c>
      <c r="BJ5" s="123">
        <v>54.279376999999997</v>
      </c>
      <c r="BK5" s="123">
        <v>55.0852</v>
      </c>
      <c r="BL5" s="123">
        <v>53.684719999999999</v>
      </c>
      <c r="BM5" s="123">
        <v>53.356299999999997</v>
      </c>
      <c r="BN5" s="122">
        <v>4000787030016</v>
      </c>
      <c r="BO5" s="122">
        <v>3998621433856</v>
      </c>
      <c r="BP5" s="122">
        <v>3910464376832</v>
      </c>
      <c r="BQ5" s="122">
        <v>4000783097856</v>
      </c>
      <c r="BR5" s="122">
        <v>3911817785344</v>
      </c>
      <c r="BS5" s="122">
        <v>1594193537195</v>
      </c>
      <c r="BT5" s="130">
        <v>0.39903725694444447</v>
      </c>
      <c r="BU5" s="81">
        <v>0</v>
      </c>
      <c r="BV5" s="81">
        <v>0</v>
      </c>
      <c r="BW5" s="81">
        <v>0</v>
      </c>
      <c r="BX5" s="148" t="s">
        <v>274</v>
      </c>
      <c r="BY5" s="122">
        <v>3907018584</v>
      </c>
      <c r="BZ5" s="122">
        <v>88412432</v>
      </c>
      <c r="CA5" s="122">
        <v>3817478384</v>
      </c>
      <c r="CB5" s="148">
        <v>0.03</v>
      </c>
      <c r="CC5" s="123" t="s">
        <v>254</v>
      </c>
      <c r="CD5" s="123" t="s">
        <v>33</v>
      </c>
      <c r="CE5" s="123" t="s">
        <v>256</v>
      </c>
      <c r="CF5" s="148">
        <v>0.03</v>
      </c>
      <c r="CG5" s="163">
        <f t="shared" ref="CG5:CG11" si="3">((BS5-C5)/1000000000)/60</f>
        <v>17.106839605883334</v>
      </c>
      <c r="CH5" s="130">
        <f t="shared" si="0"/>
        <v>1.1879791666666695E-2</v>
      </c>
      <c r="CI5" s="149">
        <f t="shared" si="1"/>
        <v>0.60294154069413053</v>
      </c>
      <c r="CJ5" s="150">
        <f t="shared" ref="CJ5:CJ14" si="4">((BZ5*1024)/4096)/(CG5*60)</f>
        <v>21534.376998930849</v>
      </c>
      <c r="CK5" s="119">
        <f t="shared" si="2"/>
        <v>21.534376998930849</v>
      </c>
    </row>
    <row r="6" spans="1:89" s="59" customFormat="1" ht="16" x14ac:dyDescent="0.2">
      <c r="A6" s="123" t="s">
        <v>273</v>
      </c>
      <c r="B6" s="134">
        <v>0.41723770833333335</v>
      </c>
      <c r="C6" s="135">
        <v>3166716280108</v>
      </c>
      <c r="D6" s="81">
        <v>1000</v>
      </c>
      <c r="E6" s="82">
        <v>100000</v>
      </c>
      <c r="F6" s="82">
        <v>100000000</v>
      </c>
      <c r="G6" s="123">
        <v>1</v>
      </c>
      <c r="H6" s="123">
        <v>342</v>
      </c>
      <c r="I6" s="123">
        <v>22650</v>
      </c>
      <c r="J6" s="123">
        <v>598126</v>
      </c>
      <c r="K6" s="123">
        <v>6056049</v>
      </c>
      <c r="L6" s="123">
        <v>24144756</v>
      </c>
      <c r="M6" s="123">
        <v>38254067</v>
      </c>
      <c r="N6" s="123">
        <v>24145490</v>
      </c>
      <c r="O6" s="123">
        <v>6057346</v>
      </c>
      <c r="P6" s="123">
        <v>597897</v>
      </c>
      <c r="Q6" s="123">
        <v>22923</v>
      </c>
      <c r="R6" s="123">
        <v>0</v>
      </c>
      <c r="S6" s="123">
        <v>0</v>
      </c>
      <c r="T6" s="123">
        <v>16340</v>
      </c>
      <c r="U6" s="123">
        <v>8704611</v>
      </c>
      <c r="V6" s="123">
        <v>24110306</v>
      </c>
      <c r="W6" s="123">
        <v>29475535</v>
      </c>
      <c r="X6" s="123">
        <v>28116508</v>
      </c>
      <c r="Y6" s="123">
        <v>6461554</v>
      </c>
      <c r="Z6" s="123">
        <v>999511</v>
      </c>
      <c r="AA6" s="123">
        <v>540411</v>
      </c>
      <c r="AB6" s="123">
        <v>429245</v>
      </c>
      <c r="AC6" s="123">
        <v>329371</v>
      </c>
      <c r="AD6" s="123">
        <v>249782</v>
      </c>
      <c r="AE6" s="123">
        <v>192697</v>
      </c>
      <c r="AF6" s="123">
        <v>144045</v>
      </c>
      <c r="AG6" s="123">
        <v>80071</v>
      </c>
      <c r="AH6" s="123">
        <v>28972</v>
      </c>
      <c r="AI6" s="123">
        <v>8771</v>
      </c>
      <c r="AJ6" s="123">
        <v>2890</v>
      </c>
      <c r="AK6" s="123">
        <v>1118</v>
      </c>
      <c r="AL6" s="81">
        <v>125164798</v>
      </c>
      <c r="AM6" s="135">
        <f>14149591900669/1000000000</f>
        <v>14149.591900669</v>
      </c>
      <c r="AN6" s="81">
        <f>63835/1000000</f>
        <v>6.3835000000000003E-2</v>
      </c>
      <c r="AO6" s="81">
        <f>173578857/1000000</f>
        <v>173.578857</v>
      </c>
      <c r="AP6" s="81">
        <f>141495/1000000</f>
        <v>0.14149500000000001</v>
      </c>
      <c r="AQ6" s="122">
        <v>549405967672</v>
      </c>
      <c r="AR6" s="123">
        <v>5494</v>
      </c>
      <c r="AS6" s="81">
        <v>38.828400000000002</v>
      </c>
      <c r="AT6" s="123">
        <v>57.427019999999999</v>
      </c>
      <c r="AU6" s="123">
        <v>49.656154999999998</v>
      </c>
      <c r="AV6" s="123">
        <v>49.620759999999997</v>
      </c>
      <c r="AW6" s="123">
        <v>46.900753000000002</v>
      </c>
      <c r="AX6" s="123">
        <v>44.457016000000003</v>
      </c>
      <c r="AY6" s="123">
        <v>43.27704</v>
      </c>
      <c r="AZ6" s="123">
        <v>41.215687000000003</v>
      </c>
      <c r="BA6" s="123">
        <v>40.295757000000002</v>
      </c>
      <c r="BB6" s="123">
        <v>39.243639999999999</v>
      </c>
      <c r="BC6" s="123">
        <v>38.326976999999999</v>
      </c>
      <c r="BD6" s="123">
        <v>37.222526999999999</v>
      </c>
      <c r="BE6" s="123">
        <v>36.964973000000001</v>
      </c>
      <c r="BF6" s="123">
        <v>35.456535000000002</v>
      </c>
      <c r="BG6" s="123">
        <v>34.753695999999998</v>
      </c>
      <c r="BH6" s="123">
        <v>34.061424000000002</v>
      </c>
      <c r="BI6" s="123">
        <v>33.791224999999997</v>
      </c>
      <c r="BJ6" s="123">
        <v>31.916094000000001</v>
      </c>
      <c r="BK6" s="123">
        <v>31.929110000000001</v>
      </c>
      <c r="BL6" s="123">
        <v>31.173023000000001</v>
      </c>
      <c r="BM6" s="123">
        <v>30.163329999999998</v>
      </c>
      <c r="BN6" s="122">
        <v>4000787030016</v>
      </c>
      <c r="BO6" s="122">
        <v>3998621433856</v>
      </c>
      <c r="BP6" s="122">
        <v>3100752973824</v>
      </c>
      <c r="BQ6" s="122">
        <v>4000783097856</v>
      </c>
      <c r="BR6" s="122">
        <v>3101570166784</v>
      </c>
      <c r="BS6" s="122">
        <v>17689257426825</v>
      </c>
      <c r="BT6" s="130">
        <v>0.58532271990740747</v>
      </c>
      <c r="BU6" s="81">
        <v>0</v>
      </c>
      <c r="BV6" s="81">
        <v>0</v>
      </c>
      <c r="BW6" s="81">
        <v>0</v>
      </c>
      <c r="BX6" s="148" t="s">
        <v>274</v>
      </c>
      <c r="BY6" s="122">
        <v>3907018584</v>
      </c>
      <c r="BZ6" s="122">
        <v>879425040</v>
      </c>
      <c r="CA6" s="122">
        <v>3026956784</v>
      </c>
      <c r="CB6" s="148">
        <v>0.23</v>
      </c>
      <c r="CC6" s="123" t="s">
        <v>254</v>
      </c>
      <c r="CD6" s="123" t="s">
        <v>275</v>
      </c>
      <c r="CE6" s="123" t="s">
        <v>271</v>
      </c>
      <c r="CF6" s="148">
        <v>0.23</v>
      </c>
      <c r="CG6" s="163">
        <f t="shared" si="3"/>
        <v>242.04235244528334</v>
      </c>
      <c r="CH6" s="130">
        <f t="shared" si="0"/>
        <v>0.16808501157407413</v>
      </c>
      <c r="CI6" s="149">
        <f t="shared" si="1"/>
        <v>0.63425319866207763</v>
      </c>
      <c r="CJ6" s="150">
        <f t="shared" si="4"/>
        <v>15138.966230417685</v>
      </c>
      <c r="CK6" s="119">
        <f t="shared" si="2"/>
        <v>15.138966230417685</v>
      </c>
    </row>
    <row r="7" spans="1:89" s="59" customFormat="1" ht="16" x14ac:dyDescent="0.2">
      <c r="A7" s="123" t="s">
        <v>134</v>
      </c>
      <c r="B7" s="134">
        <v>0.4373679513888889</v>
      </c>
      <c r="C7" s="135">
        <v>91305969908016</v>
      </c>
      <c r="D7" s="81">
        <v>100</v>
      </c>
      <c r="E7" s="82">
        <v>10000</v>
      </c>
      <c r="F7" s="82">
        <v>1000000</v>
      </c>
      <c r="G7" s="123">
        <v>1</v>
      </c>
      <c r="H7" s="123">
        <v>6</v>
      </c>
      <c r="I7" s="123">
        <v>218</v>
      </c>
      <c r="J7" s="123">
        <v>5888</v>
      </c>
      <c r="K7" s="123">
        <v>60593</v>
      </c>
      <c r="L7" s="123">
        <v>241921</v>
      </c>
      <c r="M7" s="123">
        <v>383117</v>
      </c>
      <c r="N7" s="123">
        <v>241787</v>
      </c>
      <c r="O7" s="123">
        <v>60336</v>
      </c>
      <c r="P7" s="123">
        <v>5898</v>
      </c>
      <c r="Q7" s="123">
        <v>231</v>
      </c>
      <c r="R7" s="123">
        <v>0</v>
      </c>
      <c r="S7" s="123">
        <v>7696</v>
      </c>
      <c r="T7" s="123">
        <v>844315</v>
      </c>
      <c r="U7" s="123">
        <v>80347</v>
      </c>
      <c r="V7" s="123">
        <v>30535</v>
      </c>
      <c r="W7" s="123">
        <v>26346</v>
      </c>
      <c r="X7" s="123">
        <v>5575</v>
      </c>
      <c r="Y7" s="123">
        <v>1770</v>
      </c>
      <c r="Z7" s="123">
        <v>1026</v>
      </c>
      <c r="AA7" s="123">
        <v>687</v>
      </c>
      <c r="AB7" s="123">
        <v>404</v>
      </c>
      <c r="AC7" s="123">
        <v>196</v>
      </c>
      <c r="AD7" s="123">
        <v>137</v>
      </c>
      <c r="AE7" s="123">
        <v>71</v>
      </c>
      <c r="AF7" s="123">
        <v>32</v>
      </c>
      <c r="AG7" s="123">
        <v>37</v>
      </c>
      <c r="AH7" s="123">
        <v>20</v>
      </c>
      <c r="AI7" s="123">
        <v>19</v>
      </c>
      <c r="AJ7" s="123">
        <v>9</v>
      </c>
      <c r="AK7" s="123">
        <v>12</v>
      </c>
      <c r="AL7" s="81">
        <v>4907453</v>
      </c>
      <c r="AM7" s="135">
        <f>86448579099/1000000000</f>
        <v>86.448579099</v>
      </c>
      <c r="AN7" s="81">
        <f>38860/1000000</f>
        <v>3.8859999999999999E-2</v>
      </c>
      <c r="AO7" s="81">
        <f>986818513/1000000</f>
        <v>986.81851300000005</v>
      </c>
      <c r="AP7" s="81">
        <f>86448/1000000</f>
        <v>8.6447999999999997E-2</v>
      </c>
      <c r="AQ7" s="122">
        <v>5499366722</v>
      </c>
      <c r="AR7" s="123">
        <v>5499</v>
      </c>
      <c r="AS7" s="81">
        <v>63.614314999999998</v>
      </c>
      <c r="AT7" s="123">
        <v>79.044700000000006</v>
      </c>
      <c r="AU7" s="123">
        <v>32.9559</v>
      </c>
      <c r="AV7" s="123">
        <v>70.449160000000006</v>
      </c>
      <c r="AW7" s="123">
        <v>68.328149999999994</v>
      </c>
      <c r="AX7" s="123">
        <v>73.485309999999998</v>
      </c>
      <c r="AY7" s="123">
        <v>65.899109999999993</v>
      </c>
      <c r="AZ7" s="123">
        <v>76.067115999999999</v>
      </c>
      <c r="BA7" s="123">
        <v>70.059719999999999</v>
      </c>
      <c r="BB7" s="123">
        <v>62.900894000000001</v>
      </c>
      <c r="BC7" s="123">
        <v>67.353369999999998</v>
      </c>
      <c r="BD7" s="123">
        <v>65.997020000000006</v>
      </c>
      <c r="BE7" s="123">
        <v>75.888159999999999</v>
      </c>
      <c r="BF7" s="123">
        <v>50.111660000000001</v>
      </c>
      <c r="BG7" s="123">
        <v>70.093990000000005</v>
      </c>
      <c r="BH7" s="123">
        <v>69.979879999999994</v>
      </c>
      <c r="BI7" s="123">
        <v>42.643810000000002</v>
      </c>
      <c r="BJ7" s="123">
        <v>69.052440000000004</v>
      </c>
      <c r="BK7" s="123">
        <v>66.827079999999995</v>
      </c>
      <c r="BL7" s="123">
        <v>72.730969999999999</v>
      </c>
      <c r="BM7" s="123">
        <v>76.060929999999999</v>
      </c>
      <c r="BN7" s="122">
        <v>2000396836864</v>
      </c>
      <c r="BO7" s="122">
        <v>1990432116736</v>
      </c>
      <c r="BP7" s="122">
        <v>1978504896512</v>
      </c>
      <c r="BQ7" s="122">
        <v>1990432116736</v>
      </c>
      <c r="BR7" s="122">
        <v>1978504896512</v>
      </c>
      <c r="BS7" s="122">
        <v>91396356406183</v>
      </c>
      <c r="BT7" s="130">
        <v>0.43841414351851848</v>
      </c>
      <c r="BU7" s="81">
        <v>6056957</v>
      </c>
      <c r="BV7" s="81">
        <v>1000102</v>
      </c>
      <c r="BW7" s="81">
        <v>5056855</v>
      </c>
      <c r="BX7" s="148">
        <v>0.17</v>
      </c>
      <c r="BY7" s="122">
        <v>1953512536</v>
      </c>
      <c r="BZ7" s="122">
        <v>21378848</v>
      </c>
      <c r="CA7" s="122">
        <v>1932133688</v>
      </c>
      <c r="CB7" s="148">
        <v>0.02</v>
      </c>
      <c r="CC7" s="123" t="s">
        <v>135</v>
      </c>
      <c r="CD7" s="123" t="s">
        <v>138</v>
      </c>
      <c r="CE7" s="123" t="s">
        <v>139</v>
      </c>
      <c r="CF7" s="148">
        <v>0.02</v>
      </c>
      <c r="CG7" s="163">
        <f t="shared" si="3"/>
        <v>1.5064416361166666</v>
      </c>
      <c r="CH7" s="130">
        <f t="shared" si="0"/>
        <v>1.0461921296295862E-3</v>
      </c>
      <c r="CI7" s="149">
        <f t="shared" si="1"/>
        <v>1.1688352181144104</v>
      </c>
      <c r="CJ7" s="150">
        <f t="shared" si="4"/>
        <v>59131.752069042406</v>
      </c>
      <c r="CK7" s="119">
        <f t="shared" si="2"/>
        <v>59.131752069042406</v>
      </c>
    </row>
    <row r="8" spans="1:89" s="59" customFormat="1" ht="16" x14ac:dyDescent="0.2">
      <c r="A8" s="123" t="s">
        <v>134</v>
      </c>
      <c r="B8" s="134">
        <v>0.44797295138888887</v>
      </c>
      <c r="C8" s="135">
        <v>92222241106453</v>
      </c>
      <c r="D8" s="81">
        <v>300</v>
      </c>
      <c r="E8" s="82">
        <v>20000</v>
      </c>
      <c r="F8" s="82">
        <v>6000000</v>
      </c>
      <c r="G8" s="123">
        <v>1</v>
      </c>
      <c r="H8" s="123">
        <v>20</v>
      </c>
      <c r="I8" s="123">
        <v>1419</v>
      </c>
      <c r="J8" s="123">
        <v>35780</v>
      </c>
      <c r="K8" s="123">
        <v>362248</v>
      </c>
      <c r="L8" s="123">
        <v>1450760</v>
      </c>
      <c r="M8" s="123">
        <v>2297252</v>
      </c>
      <c r="N8" s="123">
        <v>1451902</v>
      </c>
      <c r="O8" s="123">
        <v>363118</v>
      </c>
      <c r="P8" s="123">
        <v>36011</v>
      </c>
      <c r="Q8" s="123">
        <v>1460</v>
      </c>
      <c r="R8" s="123">
        <v>0</v>
      </c>
      <c r="S8" s="123">
        <v>126914</v>
      </c>
      <c r="T8" s="123">
        <v>5206681</v>
      </c>
      <c r="U8" s="123">
        <v>296680</v>
      </c>
      <c r="V8" s="123">
        <v>171787</v>
      </c>
      <c r="W8" s="123">
        <v>146274</v>
      </c>
      <c r="X8" s="123">
        <v>22922</v>
      </c>
      <c r="Y8" s="123">
        <v>9716</v>
      </c>
      <c r="Z8" s="123">
        <v>5263</v>
      </c>
      <c r="AA8" s="123">
        <v>3020</v>
      </c>
      <c r="AB8" s="123">
        <v>1948</v>
      </c>
      <c r="AC8" s="123">
        <v>1278</v>
      </c>
      <c r="AD8" s="123">
        <v>709</v>
      </c>
      <c r="AE8" s="123">
        <v>453</v>
      </c>
      <c r="AF8" s="123">
        <v>284</v>
      </c>
      <c r="AG8" s="123">
        <v>212</v>
      </c>
      <c r="AH8" s="123">
        <v>151</v>
      </c>
      <c r="AI8" s="123">
        <v>118</v>
      </c>
      <c r="AJ8" s="123">
        <v>82</v>
      </c>
      <c r="AK8" s="123">
        <v>58</v>
      </c>
      <c r="AL8" s="81">
        <v>14598168</v>
      </c>
      <c r="AM8" s="135">
        <f>535532314880/1000000000</f>
        <v>535.53231487999994</v>
      </c>
      <c r="AN8" s="81">
        <f>31325/1000000</f>
        <v>3.1324999999999999E-2</v>
      </c>
      <c r="AO8" s="81">
        <f>567339606/1000000</f>
        <v>567.339606</v>
      </c>
      <c r="AP8" s="81">
        <f>89255/1000000</f>
        <v>8.9255000000000001E-2</v>
      </c>
      <c r="AQ8" s="122">
        <v>33001067100</v>
      </c>
      <c r="AR8" s="123">
        <v>5500</v>
      </c>
      <c r="AS8" s="81">
        <v>61.622925000000002</v>
      </c>
      <c r="AT8" s="123">
        <v>72.03246</v>
      </c>
      <c r="AU8" s="123">
        <v>48.011257000000001</v>
      </c>
      <c r="AV8" s="123">
        <v>63.059947999999999</v>
      </c>
      <c r="AW8" s="123">
        <v>72.281580000000005</v>
      </c>
      <c r="AX8" s="123">
        <v>72.104470000000006</v>
      </c>
      <c r="AY8" s="123">
        <v>49.598089999999999</v>
      </c>
      <c r="AZ8" s="123">
        <v>69.483270000000005</v>
      </c>
      <c r="BA8" s="123">
        <v>71.620154999999997</v>
      </c>
      <c r="BB8" s="123">
        <v>71.140110000000007</v>
      </c>
      <c r="BC8" s="123">
        <v>43.346393999999997</v>
      </c>
      <c r="BD8" s="123">
        <v>72.511319999999998</v>
      </c>
      <c r="BE8" s="123">
        <v>42.983370000000001</v>
      </c>
      <c r="BF8" s="123">
        <v>71.265820000000005</v>
      </c>
      <c r="BG8" s="123">
        <v>76.576300000000003</v>
      </c>
      <c r="BH8" s="123">
        <v>54.206394000000003</v>
      </c>
      <c r="BI8" s="123">
        <v>73.993269999999995</v>
      </c>
      <c r="BJ8" s="123">
        <v>48.958199999999998</v>
      </c>
      <c r="BK8" s="123">
        <v>57.153748</v>
      </c>
      <c r="BL8" s="123">
        <v>41.646434999999997</v>
      </c>
      <c r="BM8" s="123">
        <v>45.669013999999997</v>
      </c>
      <c r="BN8" s="122">
        <v>2000396836864</v>
      </c>
      <c r="BO8" s="122">
        <v>1990432116736</v>
      </c>
      <c r="BP8" s="122">
        <v>1918866554880</v>
      </c>
      <c r="BQ8" s="122">
        <v>1990432116736</v>
      </c>
      <c r="BR8" s="122">
        <v>1918866554880</v>
      </c>
      <c r="BS8" s="122">
        <v>92776438106410</v>
      </c>
      <c r="BT8" s="130">
        <v>0.45438731481481481</v>
      </c>
      <c r="BU8" s="81">
        <v>6056957</v>
      </c>
      <c r="BV8" s="81">
        <v>6000302</v>
      </c>
      <c r="BW8" s="81">
        <v>56655</v>
      </c>
      <c r="BX8" s="148">
        <v>1</v>
      </c>
      <c r="BY8" s="122">
        <v>1953512536</v>
      </c>
      <c r="BZ8" s="122">
        <v>79619416</v>
      </c>
      <c r="CA8" s="122">
        <v>1873893120</v>
      </c>
      <c r="CB8" s="148">
        <v>0.05</v>
      </c>
      <c r="CC8" s="123" t="s">
        <v>135</v>
      </c>
      <c r="CD8" s="123" t="s">
        <v>140</v>
      </c>
      <c r="CE8" s="123" t="s">
        <v>139</v>
      </c>
      <c r="CF8" s="148">
        <v>0.05</v>
      </c>
      <c r="CG8" s="163">
        <f t="shared" si="3"/>
        <v>9.2366166659500006</v>
      </c>
      <c r="CH8" s="130">
        <f t="shared" si="0"/>
        <v>6.4143634259259397E-3</v>
      </c>
      <c r="CI8" s="149">
        <f t="shared" si="1"/>
        <v>1.1685832654787094</v>
      </c>
      <c r="CJ8" s="150">
        <f t="shared" si="4"/>
        <v>35916.567577133064</v>
      </c>
      <c r="CK8" s="119">
        <f t="shared" si="2"/>
        <v>35.916567577133065</v>
      </c>
    </row>
    <row r="9" spans="1:89" ht="16" x14ac:dyDescent="0.2">
      <c r="A9" s="123" t="s">
        <v>69</v>
      </c>
      <c r="B9" s="134">
        <v>0.19549234953703701</v>
      </c>
      <c r="C9" s="135">
        <v>143609946143446</v>
      </c>
      <c r="D9" s="81">
        <v>5000</v>
      </c>
      <c r="E9" s="82">
        <v>200000</v>
      </c>
      <c r="F9" s="82">
        <v>1000000000</v>
      </c>
      <c r="G9" s="123">
        <v>1</v>
      </c>
      <c r="H9" s="123">
        <v>3392</v>
      </c>
      <c r="I9" s="123">
        <v>227890</v>
      </c>
      <c r="J9" s="123">
        <v>5973966</v>
      </c>
      <c r="K9" s="123">
        <v>60570919</v>
      </c>
      <c r="L9" s="123">
        <v>241570984</v>
      </c>
      <c r="M9" s="123">
        <v>382697718</v>
      </c>
      <c r="N9" s="123">
        <v>241574194</v>
      </c>
      <c r="O9" s="123">
        <v>60570193</v>
      </c>
      <c r="P9" s="123">
        <v>5977970</v>
      </c>
      <c r="Q9" s="123">
        <v>229383</v>
      </c>
      <c r="R9" s="123">
        <v>0</v>
      </c>
      <c r="S9" s="123">
        <v>0</v>
      </c>
      <c r="T9" s="123">
        <v>11165490</v>
      </c>
      <c r="U9" s="123">
        <v>686676953</v>
      </c>
      <c r="V9" s="123">
        <v>265466353</v>
      </c>
      <c r="W9" s="123">
        <v>17132177</v>
      </c>
      <c r="X9" s="123">
        <v>7771080</v>
      </c>
      <c r="Y9" s="123">
        <v>3829020</v>
      </c>
      <c r="Z9" s="123">
        <v>2101676</v>
      </c>
      <c r="AA9" s="123">
        <v>671899</v>
      </c>
      <c r="AB9" s="123">
        <v>222717</v>
      </c>
      <c r="AC9" s="123">
        <v>120254</v>
      </c>
      <c r="AD9" s="123">
        <v>72444</v>
      </c>
      <c r="AE9" s="123">
        <v>33245</v>
      </c>
      <c r="AF9" s="123">
        <v>15785</v>
      </c>
      <c r="AG9" s="123">
        <v>9804</v>
      </c>
      <c r="AH9" s="123">
        <v>4624</v>
      </c>
      <c r="AI9" s="123">
        <v>2896</v>
      </c>
      <c r="AJ9" s="123">
        <v>1840</v>
      </c>
      <c r="AK9" s="123">
        <v>1242</v>
      </c>
      <c r="AL9" s="81">
        <v>918272809</v>
      </c>
      <c r="AM9" s="135">
        <f>138281166957655/1000000000</f>
        <v>138281.16695765499</v>
      </c>
      <c r="AN9" s="81">
        <f>55182/1000000</f>
        <v>5.5182000000000002E-2</v>
      </c>
      <c r="AO9" s="81">
        <f>668740752/1000000</f>
        <v>668.74075200000004</v>
      </c>
      <c r="AP9" s="81">
        <f>138281/1000000</f>
        <v>0.13828099999999999</v>
      </c>
      <c r="AQ9" s="122">
        <v>5496219168812</v>
      </c>
      <c r="AR9" s="123">
        <v>5496</v>
      </c>
      <c r="AS9" s="81">
        <v>39.746690000000001</v>
      </c>
      <c r="AT9" s="123">
        <v>38.392060000000001</v>
      </c>
      <c r="AU9" s="123">
        <v>39.506214</v>
      </c>
      <c r="AV9" s="123">
        <v>38.759979999999999</v>
      </c>
      <c r="AW9" s="123">
        <v>40.980003000000004</v>
      </c>
      <c r="AX9" s="123">
        <v>39.648555999999999</v>
      </c>
      <c r="AY9" s="123">
        <v>38.706885999999997</v>
      </c>
      <c r="AZ9" s="123">
        <v>39.879463000000001</v>
      </c>
      <c r="BA9" s="123">
        <v>41.226776000000001</v>
      </c>
      <c r="BB9" s="123">
        <v>40.12453</v>
      </c>
      <c r="BC9" s="123">
        <v>40.463659999999997</v>
      </c>
      <c r="BD9" s="123">
        <v>39.871715999999999</v>
      </c>
      <c r="BE9" s="123">
        <v>41.171802999999997</v>
      </c>
      <c r="BF9" s="123">
        <v>39.673465999999998</v>
      </c>
      <c r="BG9" s="123">
        <v>39.941040000000001</v>
      </c>
      <c r="BH9" s="123">
        <v>39.313006999999999</v>
      </c>
      <c r="BI9" s="123">
        <v>39.834629999999997</v>
      </c>
      <c r="BJ9" s="123">
        <v>38.785423000000002</v>
      </c>
      <c r="BK9" s="123">
        <v>38.747500000000002</v>
      </c>
      <c r="BL9" s="123">
        <v>39.626480000000001</v>
      </c>
      <c r="BM9" s="123">
        <v>40.339027000000002</v>
      </c>
      <c r="BN9" s="122">
        <v>10997883084800</v>
      </c>
      <c r="BO9" s="122">
        <v>10397770461184</v>
      </c>
      <c r="BP9" s="122">
        <v>2486136770560</v>
      </c>
      <c r="BQ9" s="122">
        <v>10997794168832</v>
      </c>
      <c r="BR9" s="122">
        <v>3086160478208</v>
      </c>
      <c r="BS9" s="122">
        <v>284890291189519</v>
      </c>
      <c r="BT9" s="130">
        <v>0.83068157407407417</v>
      </c>
      <c r="BU9" s="81">
        <v>3906306048</v>
      </c>
      <c r="BV9" s="81">
        <v>999812645</v>
      </c>
      <c r="BW9" s="81">
        <v>2906493403</v>
      </c>
      <c r="BX9" s="148">
        <v>0.26</v>
      </c>
      <c r="BY9" s="122">
        <v>10740120200</v>
      </c>
      <c r="BZ9" s="122">
        <v>7726291608</v>
      </c>
      <c r="CA9" s="122">
        <v>2427867940</v>
      </c>
      <c r="CB9" s="148">
        <v>0.77</v>
      </c>
      <c r="CC9" s="123" t="s">
        <v>209</v>
      </c>
      <c r="CD9" s="123" t="s">
        <v>70</v>
      </c>
      <c r="CE9" s="123" t="s">
        <v>289</v>
      </c>
      <c r="CF9" s="148">
        <v>0.77</v>
      </c>
      <c r="CG9" s="163">
        <f t="shared" si="3"/>
        <v>2354.67241743455</v>
      </c>
      <c r="CH9" s="130">
        <f t="shared" si="0"/>
        <v>0.63518922453703719</v>
      </c>
      <c r="CI9" s="149">
        <f t="shared" si="1"/>
        <v>0.43946837773830777</v>
      </c>
      <c r="CJ9" s="150">
        <f t="shared" si="4"/>
        <v>13671.915236122151</v>
      </c>
      <c r="CK9" s="119">
        <f t="shared" si="2"/>
        <v>13.671915236122151</v>
      </c>
    </row>
    <row r="10" spans="1:89" ht="16" x14ac:dyDescent="0.2">
      <c r="A10" s="124" t="s">
        <v>69</v>
      </c>
      <c r="B10" s="136">
        <v>0.9431960416666666</v>
      </c>
      <c r="C10" s="137">
        <v>294611545175092</v>
      </c>
      <c r="D10" s="127">
        <v>5000</v>
      </c>
      <c r="E10" s="145">
        <v>200000</v>
      </c>
      <c r="F10" s="145">
        <v>1000000000</v>
      </c>
      <c r="G10" s="124">
        <v>1</v>
      </c>
      <c r="H10" s="124">
        <v>3457</v>
      </c>
      <c r="I10" s="124">
        <v>229742</v>
      </c>
      <c r="J10" s="124">
        <v>5981328</v>
      </c>
      <c r="K10" s="124">
        <v>60594965</v>
      </c>
      <c r="L10" s="124">
        <v>241727707</v>
      </c>
      <c r="M10" s="124">
        <v>382904256</v>
      </c>
      <c r="N10" s="124">
        <v>241743889</v>
      </c>
      <c r="O10" s="124">
        <v>60603438</v>
      </c>
      <c r="P10" s="124">
        <v>5978409</v>
      </c>
      <c r="Q10" s="124">
        <v>229450</v>
      </c>
      <c r="R10" s="124">
        <v>999999799</v>
      </c>
      <c r="S10" s="124">
        <v>53</v>
      </c>
      <c r="T10" s="124">
        <v>44</v>
      </c>
      <c r="U10" s="124">
        <v>45</v>
      </c>
      <c r="V10" s="124">
        <v>4</v>
      </c>
      <c r="W10" s="124">
        <v>16</v>
      </c>
      <c r="X10" s="124">
        <v>9</v>
      </c>
      <c r="Y10" s="124">
        <v>20</v>
      </c>
      <c r="Z10" s="124">
        <v>5</v>
      </c>
      <c r="AA10" s="124">
        <v>2</v>
      </c>
      <c r="AB10" s="124">
        <v>0</v>
      </c>
      <c r="AC10" s="124">
        <v>0</v>
      </c>
      <c r="AD10" s="124">
        <v>0</v>
      </c>
      <c r="AE10" s="124">
        <v>0</v>
      </c>
      <c r="AF10" s="124">
        <v>0</v>
      </c>
      <c r="AG10" s="124">
        <v>0</v>
      </c>
      <c r="AH10" s="124">
        <v>0</v>
      </c>
      <c r="AI10" s="124">
        <v>0</v>
      </c>
      <c r="AJ10" s="124">
        <v>0</v>
      </c>
      <c r="AK10" s="124">
        <v>0</v>
      </c>
      <c r="AL10" s="127">
        <v>1952595</v>
      </c>
      <c r="AM10" s="137">
        <v>29477923515</v>
      </c>
      <c r="AN10" s="127">
        <v>26</v>
      </c>
      <c r="AO10" s="127">
        <v>4873383</v>
      </c>
      <c r="AP10" s="127">
        <v>29</v>
      </c>
      <c r="AQ10" s="142">
        <v>5499518838245</v>
      </c>
      <c r="AR10" s="124">
        <v>5499</v>
      </c>
      <c r="AS10" s="127">
        <v>186564</v>
      </c>
      <c r="AT10" s="124">
        <v>188957.69</v>
      </c>
      <c r="AU10" s="124">
        <v>187710.05</v>
      </c>
      <c r="AV10" s="124">
        <v>173932.94</v>
      </c>
      <c r="AW10" s="124">
        <v>187411.94</v>
      </c>
      <c r="AX10" s="124">
        <v>187959.19</v>
      </c>
      <c r="AY10" s="124">
        <v>186031.47</v>
      </c>
      <c r="AZ10" s="124">
        <v>188211.19</v>
      </c>
      <c r="BA10" s="124">
        <v>185542.84</v>
      </c>
      <c r="BB10" s="124">
        <v>187465.81</v>
      </c>
      <c r="BC10" s="124">
        <v>187375.47</v>
      </c>
      <c r="BD10" s="124">
        <v>183023.2</v>
      </c>
      <c r="BE10" s="124">
        <v>187783.52</v>
      </c>
      <c r="BF10" s="124">
        <v>186364.9</v>
      </c>
      <c r="BG10" s="124">
        <v>187556.22</v>
      </c>
      <c r="BH10" s="124">
        <v>187743.61</v>
      </c>
      <c r="BI10" s="124">
        <v>186901.61</v>
      </c>
      <c r="BJ10" s="124">
        <v>187104.23</v>
      </c>
      <c r="BK10" s="124">
        <v>188043.2</v>
      </c>
      <c r="BL10" s="124">
        <v>188077.2</v>
      </c>
      <c r="BM10" s="124">
        <v>186602.67</v>
      </c>
      <c r="BN10" s="142">
        <v>10997883084800</v>
      </c>
      <c r="BO10" s="142">
        <v>2486136770560</v>
      </c>
      <c r="BP10" s="142">
        <v>2486136770560</v>
      </c>
      <c r="BQ10" s="142">
        <v>3086160478208</v>
      </c>
      <c r="BR10" s="142">
        <v>3086160478208</v>
      </c>
      <c r="BS10" s="142">
        <v>295532434973685</v>
      </c>
      <c r="BT10" s="131">
        <v>0.95385453703703693</v>
      </c>
      <c r="BU10" s="127">
        <v>3906306048</v>
      </c>
      <c r="BV10" s="127">
        <v>999812645</v>
      </c>
      <c r="BW10" s="127">
        <v>2906493403</v>
      </c>
      <c r="BX10" s="151">
        <v>0.26</v>
      </c>
      <c r="BY10" s="142">
        <v>10740120200</v>
      </c>
      <c r="BZ10" s="142">
        <v>7726291608</v>
      </c>
      <c r="CA10" s="142">
        <v>2427867940</v>
      </c>
      <c r="CB10" s="151">
        <v>0.77</v>
      </c>
      <c r="CC10" s="124" t="s">
        <v>209</v>
      </c>
      <c r="CD10" s="124" t="s">
        <v>70</v>
      </c>
      <c r="CE10" s="124" t="s">
        <v>289</v>
      </c>
      <c r="CF10" s="151">
        <v>0.77</v>
      </c>
      <c r="CG10" s="164">
        <f t="shared" si="3"/>
        <v>15.348163309883335</v>
      </c>
      <c r="CH10" s="131">
        <f t="shared" si="0"/>
        <v>1.0658495370370336E-2</v>
      </c>
      <c r="CI10" s="152"/>
      <c r="CJ10" s="153">
        <f t="shared" si="4"/>
        <v>2097507.1120900596</v>
      </c>
      <c r="CK10" s="119">
        <f t="shared" si="2"/>
        <v>2097.5071120900598</v>
      </c>
    </row>
    <row r="11" spans="1:89" ht="16" x14ac:dyDescent="0.2">
      <c r="A11" s="123" t="s">
        <v>69</v>
      </c>
      <c r="B11" s="138">
        <v>0.54831295138888891</v>
      </c>
      <c r="C11" s="139">
        <v>87693645319688</v>
      </c>
      <c r="D11" s="128">
        <v>500</v>
      </c>
      <c r="E11" s="146">
        <v>20000</v>
      </c>
      <c r="F11" s="146">
        <v>10000000</v>
      </c>
      <c r="G11" s="125">
        <v>1</v>
      </c>
      <c r="H11" s="125">
        <v>41</v>
      </c>
      <c r="I11" s="125">
        <v>2315</v>
      </c>
      <c r="J11" s="125">
        <v>59730</v>
      </c>
      <c r="K11" s="125">
        <v>606532</v>
      </c>
      <c r="L11" s="125">
        <v>2416749</v>
      </c>
      <c r="M11" s="125">
        <v>3829485</v>
      </c>
      <c r="N11" s="125">
        <v>2416249</v>
      </c>
      <c r="O11" s="125">
        <v>606796</v>
      </c>
      <c r="P11" s="125">
        <v>59657</v>
      </c>
      <c r="Q11" s="125">
        <v>2402</v>
      </c>
      <c r="R11" s="125">
        <v>0</v>
      </c>
      <c r="S11" s="125">
        <v>0</v>
      </c>
      <c r="T11" s="125">
        <v>1804</v>
      </c>
      <c r="U11" s="125">
        <v>7036095</v>
      </c>
      <c r="V11" s="125">
        <v>2462947</v>
      </c>
      <c r="W11" s="125">
        <v>221691</v>
      </c>
      <c r="X11" s="125">
        <v>102357</v>
      </c>
      <c r="Y11" s="125">
        <v>66142</v>
      </c>
      <c r="Z11" s="125">
        <v>37224</v>
      </c>
      <c r="AA11" s="125">
        <v>13544</v>
      </c>
      <c r="AB11" s="125">
        <v>5277</v>
      </c>
      <c r="AC11" s="125">
        <v>2470</v>
      </c>
      <c r="AD11" s="125">
        <v>1385</v>
      </c>
      <c r="AE11" s="125">
        <v>590</v>
      </c>
      <c r="AF11" s="125">
        <v>234</v>
      </c>
      <c r="AG11" s="125">
        <v>112</v>
      </c>
      <c r="AH11" s="125">
        <v>36</v>
      </c>
      <c r="AI11" s="125">
        <v>18</v>
      </c>
      <c r="AJ11" s="125">
        <v>16</v>
      </c>
      <c r="AK11" s="125">
        <v>10</v>
      </c>
      <c r="AL11" s="128">
        <v>46688032</v>
      </c>
      <c r="AM11" s="139">
        <v>1480830528655</v>
      </c>
      <c r="AN11" s="128">
        <v>64780</v>
      </c>
      <c r="AO11" s="128">
        <v>552522557</v>
      </c>
      <c r="AP11" s="128">
        <v>148083</v>
      </c>
      <c r="AQ11" s="143">
        <v>54995610996</v>
      </c>
      <c r="AR11" s="125">
        <v>5499</v>
      </c>
      <c r="AS11" s="128">
        <v>37.138359999999999</v>
      </c>
      <c r="AT11" s="125">
        <v>35.466681999999999</v>
      </c>
      <c r="AU11" s="125">
        <v>36.509723999999999</v>
      </c>
      <c r="AV11" s="125">
        <v>35.343470000000003</v>
      </c>
      <c r="AW11" s="125">
        <v>35.132843000000001</v>
      </c>
      <c r="AX11" s="125">
        <v>36.013263999999999</v>
      </c>
      <c r="AY11" s="125">
        <v>39.094611999999998</v>
      </c>
      <c r="AZ11" s="125">
        <v>35.557670000000002</v>
      </c>
      <c r="BA11" s="125">
        <v>36.300400000000003</v>
      </c>
      <c r="BB11" s="125">
        <v>42.268355999999997</v>
      </c>
      <c r="BC11" s="125">
        <v>40.775036</v>
      </c>
      <c r="BD11" s="125">
        <v>38.968020000000003</v>
      </c>
      <c r="BE11" s="125">
        <v>30.370777</v>
      </c>
      <c r="BF11" s="125">
        <v>38.395870000000002</v>
      </c>
      <c r="BG11" s="125">
        <v>40.404389999999999</v>
      </c>
      <c r="BH11" s="125">
        <v>35.82799</v>
      </c>
      <c r="BI11" s="125">
        <v>35.932586999999998</v>
      </c>
      <c r="BJ11" s="125">
        <v>34.288296000000003</v>
      </c>
      <c r="BK11" s="125">
        <v>36.826030000000003</v>
      </c>
      <c r="BL11" s="125">
        <v>37.101643000000003</v>
      </c>
      <c r="BM11" s="125">
        <v>38.925629999999998</v>
      </c>
      <c r="BN11" s="143">
        <v>3936913006592</v>
      </c>
      <c r="BO11" s="143">
        <v>3736764571648</v>
      </c>
      <c r="BP11" s="143">
        <v>3657651662848</v>
      </c>
      <c r="BQ11" s="143">
        <v>3936820699136</v>
      </c>
      <c r="BR11" s="143">
        <v>3857707790336</v>
      </c>
      <c r="BS11" s="143">
        <v>89211271453279</v>
      </c>
      <c r="BT11" s="132">
        <v>0.56587810185185183</v>
      </c>
      <c r="BU11" s="128">
        <v>244195328</v>
      </c>
      <c r="BV11" s="128">
        <v>10000512</v>
      </c>
      <c r="BW11" s="128">
        <v>234194816</v>
      </c>
      <c r="BX11" s="154">
        <v>0.05</v>
      </c>
      <c r="BY11" s="143">
        <v>3844641608</v>
      </c>
      <c r="BZ11" s="143">
        <v>77348844</v>
      </c>
      <c r="CA11" s="143">
        <v>3571925452</v>
      </c>
      <c r="CB11" s="154">
        <v>0.03</v>
      </c>
      <c r="CC11" s="125" t="s">
        <v>256</v>
      </c>
      <c r="CD11" s="125" t="s">
        <v>72</v>
      </c>
      <c r="CE11" s="125" t="s">
        <v>257</v>
      </c>
      <c r="CF11" s="154">
        <v>0.03</v>
      </c>
      <c r="CG11" s="165">
        <f t="shared" si="3"/>
        <v>25.293768893183334</v>
      </c>
      <c r="CH11" s="132">
        <f t="shared" si="0"/>
        <v>1.756515046296292E-2</v>
      </c>
      <c r="CI11" s="155">
        <f t="shared" si="1"/>
        <v>0.43853131854020361</v>
      </c>
      <c r="CJ11" s="150">
        <f t="shared" si="4"/>
        <v>12741.748822053018</v>
      </c>
      <c r="CK11" s="119">
        <f t="shared" si="2"/>
        <v>12.741748822053017</v>
      </c>
    </row>
    <row r="12" spans="1:89" s="59" customFormat="1" ht="16" x14ac:dyDescent="0.2">
      <c r="A12" s="126" t="s">
        <v>62</v>
      </c>
      <c r="B12" s="140">
        <v>0.53948442129629626</v>
      </c>
      <c r="C12" s="141">
        <v>530860334103</v>
      </c>
      <c r="D12" s="129">
        <v>500</v>
      </c>
      <c r="E12" s="147">
        <v>20000</v>
      </c>
      <c r="F12" s="147">
        <v>10000000</v>
      </c>
      <c r="G12" s="126">
        <v>1</v>
      </c>
      <c r="H12" s="126">
        <v>36</v>
      </c>
      <c r="I12" s="126">
        <v>2295</v>
      </c>
      <c r="J12" s="126">
        <v>59725</v>
      </c>
      <c r="K12" s="126">
        <v>606688</v>
      </c>
      <c r="L12" s="126">
        <v>2414647</v>
      </c>
      <c r="M12" s="126">
        <v>3828268</v>
      </c>
      <c r="N12" s="126">
        <v>2419702</v>
      </c>
      <c r="O12" s="126">
        <v>606543</v>
      </c>
      <c r="P12" s="126">
        <v>59820</v>
      </c>
      <c r="Q12" s="126">
        <v>2246</v>
      </c>
      <c r="R12" s="126">
        <v>0</v>
      </c>
      <c r="S12" s="126">
        <v>406</v>
      </c>
      <c r="T12" s="126">
        <v>8961001</v>
      </c>
      <c r="U12" s="126">
        <v>644862</v>
      </c>
      <c r="V12" s="126">
        <v>211960</v>
      </c>
      <c r="W12" s="126">
        <v>113722</v>
      </c>
      <c r="X12" s="126">
        <v>23331</v>
      </c>
      <c r="Y12" s="126">
        <v>10035</v>
      </c>
      <c r="Z12" s="126">
        <v>10066</v>
      </c>
      <c r="AA12" s="126">
        <v>8603</v>
      </c>
      <c r="AB12" s="126">
        <v>6717</v>
      </c>
      <c r="AC12" s="126">
        <v>3175</v>
      </c>
      <c r="AD12" s="126">
        <v>1316</v>
      </c>
      <c r="AE12" s="126">
        <v>555</v>
      </c>
      <c r="AF12" s="126">
        <v>303</v>
      </c>
      <c r="AG12" s="126">
        <v>184</v>
      </c>
      <c r="AH12" s="126">
        <v>154</v>
      </c>
      <c r="AI12" s="126">
        <v>88</v>
      </c>
      <c r="AJ12" s="126">
        <v>43</v>
      </c>
      <c r="AK12" s="126">
        <v>37</v>
      </c>
      <c r="AL12" s="129">
        <v>33926497</v>
      </c>
      <c r="AM12" s="141">
        <f>994690184135/1000000000</f>
        <v>994.69018413499998</v>
      </c>
      <c r="AN12" s="162">
        <f>45576/1000000</f>
        <v>4.5575999999999998E-2</v>
      </c>
      <c r="AO12" s="162">
        <f>4974370908/1000000</f>
        <v>4974.3709079999999</v>
      </c>
      <c r="AP12" s="162">
        <f>99469/1000000</f>
        <v>9.9469000000000002E-2</v>
      </c>
      <c r="AQ12" s="144">
        <v>54999867897</v>
      </c>
      <c r="AR12" s="126">
        <v>5499</v>
      </c>
      <c r="AS12" s="162">
        <v>55.293464999999998</v>
      </c>
      <c r="AT12" s="126">
        <v>78.726910000000004</v>
      </c>
      <c r="AU12" s="126">
        <v>78.762569999999997</v>
      </c>
      <c r="AV12" s="126">
        <v>83.590866000000005</v>
      </c>
      <c r="AW12" s="126">
        <v>82.286100000000005</v>
      </c>
      <c r="AX12" s="126">
        <v>83.415580000000006</v>
      </c>
      <c r="AY12" s="126">
        <v>82.293139999999994</v>
      </c>
      <c r="AZ12" s="126">
        <v>84.608109999999996</v>
      </c>
      <c r="BA12" s="126">
        <v>83.622280000000003</v>
      </c>
      <c r="BB12" s="126">
        <v>82.822100000000006</v>
      </c>
      <c r="BC12" s="126">
        <v>22.684570000000001</v>
      </c>
      <c r="BD12" s="126">
        <v>83.140379999999993</v>
      </c>
      <c r="BE12" s="126">
        <v>83.912890000000004</v>
      </c>
      <c r="BF12" s="126">
        <v>82.506675999999999</v>
      </c>
      <c r="BG12" s="126">
        <v>80.876419999999996</v>
      </c>
      <c r="BH12" s="126">
        <v>82.489919999999998</v>
      </c>
      <c r="BI12" s="126">
        <v>82.484780000000001</v>
      </c>
      <c r="BJ12" s="126">
        <v>80.825789999999998</v>
      </c>
      <c r="BK12" s="126">
        <v>62.40616</v>
      </c>
      <c r="BL12" s="126">
        <v>80.309430000000006</v>
      </c>
      <c r="BM12" s="126">
        <v>83.806049999999999</v>
      </c>
      <c r="BN12" s="144">
        <v>3998833524736</v>
      </c>
      <c r="BO12" s="144">
        <v>3970919317504</v>
      </c>
      <c r="BP12" s="144">
        <v>3845025173504</v>
      </c>
      <c r="BQ12" s="144">
        <v>3970919317504</v>
      </c>
      <c r="BR12" s="144">
        <v>3845025173504</v>
      </c>
      <c r="BS12" s="144">
        <v>1560920296845</v>
      </c>
      <c r="BT12" s="133">
        <v>0.55140644675925932</v>
      </c>
      <c r="BU12" s="129">
        <v>781403712</v>
      </c>
      <c r="BV12" s="129">
        <v>10000504</v>
      </c>
      <c r="BW12" s="129">
        <v>771403208</v>
      </c>
      <c r="BX12" s="156">
        <v>0.02</v>
      </c>
      <c r="BY12" s="144">
        <v>3905110864</v>
      </c>
      <c r="BZ12" s="144">
        <v>109602308</v>
      </c>
      <c r="CA12" s="144">
        <v>3795508556</v>
      </c>
      <c r="CB12" s="156">
        <v>0.03</v>
      </c>
      <c r="CC12" s="126" t="s">
        <v>254</v>
      </c>
      <c r="CD12" s="126" t="s">
        <v>255</v>
      </c>
      <c r="CE12" s="126" t="s">
        <v>256</v>
      </c>
      <c r="CF12" s="156">
        <v>0.03</v>
      </c>
      <c r="CG12" s="166">
        <f>((BS12-C12)/1000000000)/60</f>
        <v>17.167666045699999</v>
      </c>
      <c r="CH12" s="157">
        <f t="shared" si="0"/>
        <v>1.192202546296306E-2</v>
      </c>
      <c r="CI12" s="158">
        <f t="shared" si="1"/>
        <v>1.2889899342261324</v>
      </c>
      <c r="CJ12" s="150">
        <f t="shared" si="4"/>
        <v>26600.953333881833</v>
      </c>
      <c r="CK12" s="119">
        <f t="shared" si="2"/>
        <v>26.600953333881833</v>
      </c>
    </row>
    <row r="13" spans="1:89" s="59" customFormat="1" ht="16" x14ac:dyDescent="0.2">
      <c r="A13" s="126" t="s">
        <v>62</v>
      </c>
      <c r="B13" s="140">
        <v>0.56641527777777778</v>
      </c>
      <c r="C13" s="141">
        <v>2857686716640</v>
      </c>
      <c r="D13" s="129">
        <v>1000</v>
      </c>
      <c r="E13" s="147">
        <v>100000</v>
      </c>
      <c r="F13" s="147">
        <v>100000000</v>
      </c>
      <c r="G13" s="126">
        <v>1</v>
      </c>
      <c r="H13" s="126">
        <v>316</v>
      </c>
      <c r="I13" s="126">
        <v>23069</v>
      </c>
      <c r="J13" s="126">
        <v>599115</v>
      </c>
      <c r="K13" s="126">
        <v>6058317</v>
      </c>
      <c r="L13" s="126">
        <v>24176023</v>
      </c>
      <c r="M13" s="126">
        <v>38285282</v>
      </c>
      <c r="N13" s="126">
        <v>24175345</v>
      </c>
      <c r="O13" s="126">
        <v>6061001</v>
      </c>
      <c r="P13" s="126">
        <v>598495</v>
      </c>
      <c r="Q13" s="126">
        <v>22722</v>
      </c>
      <c r="R13" s="126">
        <v>0</v>
      </c>
      <c r="S13" s="126">
        <v>2999540</v>
      </c>
      <c r="T13" s="126">
        <v>86666419</v>
      </c>
      <c r="U13" s="126">
        <v>6750712</v>
      </c>
      <c r="V13" s="126">
        <v>1804658</v>
      </c>
      <c r="W13" s="126">
        <v>1087950</v>
      </c>
      <c r="X13" s="126">
        <v>267725</v>
      </c>
      <c r="Y13" s="126">
        <v>124053</v>
      </c>
      <c r="Z13" s="126">
        <v>94076</v>
      </c>
      <c r="AA13" s="126">
        <v>62809</v>
      </c>
      <c r="AB13" s="126">
        <v>36289</v>
      </c>
      <c r="AC13" s="126">
        <v>16397</v>
      </c>
      <c r="AD13" s="126">
        <v>8234</v>
      </c>
      <c r="AE13" s="126">
        <v>5795</v>
      </c>
      <c r="AF13" s="126">
        <v>3300</v>
      </c>
      <c r="AG13" s="126">
        <v>1718</v>
      </c>
      <c r="AH13" s="126">
        <v>1151</v>
      </c>
      <c r="AI13" s="126">
        <v>898</v>
      </c>
      <c r="AJ13" s="126">
        <v>705</v>
      </c>
      <c r="AK13" s="126">
        <v>596</v>
      </c>
      <c r="AL13" s="129">
        <v>185237105</v>
      </c>
      <c r="AM13" s="141">
        <f>11168543986465/1000000000</f>
        <v>11168.543986465</v>
      </c>
      <c r="AN13" s="162">
        <f>38979/1000000</f>
        <v>3.8979E-2</v>
      </c>
      <c r="AO13" s="162">
        <f>5367533012/1000000</f>
        <v>5367.5330119999999</v>
      </c>
      <c r="AP13" s="162">
        <f>111685/1000000</f>
        <v>0.11168500000000001</v>
      </c>
      <c r="AQ13" s="144">
        <v>549947533505</v>
      </c>
      <c r="AR13" s="126">
        <v>5499</v>
      </c>
      <c r="AS13" s="162">
        <v>49.240749999999998</v>
      </c>
      <c r="AT13" s="126">
        <v>54.544727000000002</v>
      </c>
      <c r="AU13" s="126">
        <v>39.055267000000001</v>
      </c>
      <c r="AV13" s="126">
        <v>32.254528000000001</v>
      </c>
      <c r="AW13" s="126">
        <v>48.684837000000002</v>
      </c>
      <c r="AX13" s="126">
        <v>48.096428000000003</v>
      </c>
      <c r="AY13" s="126">
        <v>43.268566</v>
      </c>
      <c r="AZ13" s="126">
        <v>44.380740000000003</v>
      </c>
      <c r="BA13" s="126">
        <v>48.705112</v>
      </c>
      <c r="BB13" s="126">
        <v>45.845753000000002</v>
      </c>
      <c r="BC13" s="126">
        <v>44.737834999999997</v>
      </c>
      <c r="BD13" s="126">
        <v>44.653606000000003</v>
      </c>
      <c r="BE13" s="126">
        <v>49.124003999999999</v>
      </c>
      <c r="BF13" s="126">
        <v>45.452025999999996</v>
      </c>
      <c r="BG13" s="126">
        <v>49.04148</v>
      </c>
      <c r="BH13" s="126">
        <v>45.256880000000002</v>
      </c>
      <c r="BI13" s="126">
        <v>44.869155999999997</v>
      </c>
      <c r="BJ13" s="126">
        <v>44.907432999999997</v>
      </c>
      <c r="BK13" s="126">
        <v>46.20279</v>
      </c>
      <c r="BL13" s="126">
        <v>46.933585999999998</v>
      </c>
      <c r="BM13" s="126">
        <v>47.136580000000002</v>
      </c>
      <c r="BN13" s="144">
        <v>3998833524736</v>
      </c>
      <c r="BO13" s="144">
        <v>3970919317504</v>
      </c>
      <c r="BP13" s="144">
        <v>3091714732032</v>
      </c>
      <c r="BQ13" s="144">
        <v>3970919317504</v>
      </c>
      <c r="BR13" s="144">
        <v>3091714732032</v>
      </c>
      <c r="BS13" s="144">
        <v>14307041587122</v>
      </c>
      <c r="BT13" s="133">
        <v>0.6989309953703704</v>
      </c>
      <c r="BU13" s="129">
        <v>781403712</v>
      </c>
      <c r="BV13" s="129">
        <v>100001004</v>
      </c>
      <c r="BW13" s="129">
        <v>681402708</v>
      </c>
      <c r="BX13" s="156">
        <v>0.13</v>
      </c>
      <c r="BY13" s="144">
        <v>3905110864</v>
      </c>
      <c r="BZ13" s="144">
        <v>850901236</v>
      </c>
      <c r="CA13" s="144">
        <v>3054209628</v>
      </c>
      <c r="CB13" s="156">
        <v>0.22</v>
      </c>
      <c r="CC13" s="126" t="s">
        <v>254</v>
      </c>
      <c r="CD13" s="126" t="s">
        <v>270</v>
      </c>
      <c r="CE13" s="126" t="s">
        <v>271</v>
      </c>
      <c r="CF13" s="156">
        <v>0.22</v>
      </c>
      <c r="CG13" s="166">
        <f>((BS13-C13)/1000000000)/60</f>
        <v>190.82258117470002</v>
      </c>
      <c r="CH13" s="157">
        <f t="shared" si="0"/>
        <v>0.13251571759259262</v>
      </c>
      <c r="CI13" s="158">
        <f t="shared" si="1"/>
        <v>0.59870629815999798</v>
      </c>
      <c r="CJ13" s="150">
        <f t="shared" si="4"/>
        <v>18579.67644521482</v>
      </c>
      <c r="CK13" s="119">
        <f t="shared" si="2"/>
        <v>18.579676445214819</v>
      </c>
    </row>
    <row r="14" spans="1:89" s="59" customFormat="1" ht="16" x14ac:dyDescent="0.2">
      <c r="A14" s="126" t="s">
        <v>62</v>
      </c>
      <c r="B14" s="140">
        <v>0.5510323958333333</v>
      </c>
      <c r="C14" s="141">
        <v>433528605511644</v>
      </c>
      <c r="D14" s="129">
        <v>5000</v>
      </c>
      <c r="E14" s="147">
        <v>200000</v>
      </c>
      <c r="F14" s="147">
        <v>1000000000</v>
      </c>
      <c r="G14" s="126">
        <v>1</v>
      </c>
      <c r="H14" s="126">
        <v>3405</v>
      </c>
      <c r="I14" s="126">
        <v>229254</v>
      </c>
      <c r="J14" s="126">
        <v>5972473</v>
      </c>
      <c r="K14" s="126">
        <v>60583709</v>
      </c>
      <c r="L14" s="126">
        <v>241684434</v>
      </c>
      <c r="M14" s="126">
        <v>382859562</v>
      </c>
      <c r="N14" s="126">
        <v>241686337</v>
      </c>
      <c r="O14" s="126">
        <v>60576202</v>
      </c>
      <c r="P14" s="126">
        <v>5972227</v>
      </c>
      <c r="Q14" s="126">
        <v>228935</v>
      </c>
      <c r="R14" s="126">
        <v>0</v>
      </c>
      <c r="S14" s="126">
        <v>49840909</v>
      </c>
      <c r="T14" s="126">
        <v>863258271</v>
      </c>
      <c r="U14" s="126">
        <v>44977334</v>
      </c>
      <c r="V14" s="126">
        <v>10863413</v>
      </c>
      <c r="W14" s="126">
        <v>23176465</v>
      </c>
      <c r="X14" s="126">
        <v>4021359</v>
      </c>
      <c r="Y14" s="126">
        <v>1190390</v>
      </c>
      <c r="Z14" s="126">
        <v>648453</v>
      </c>
      <c r="AA14" s="126">
        <v>339846</v>
      </c>
      <c r="AB14" s="126">
        <v>111029</v>
      </c>
      <c r="AC14" s="126">
        <v>60500</v>
      </c>
      <c r="AD14" s="126">
        <v>36151</v>
      </c>
      <c r="AE14" s="126">
        <v>19873</v>
      </c>
      <c r="AF14" s="126">
        <v>11986</v>
      </c>
      <c r="AG14" s="126">
        <v>7730</v>
      </c>
      <c r="AH14" s="126">
        <v>4962</v>
      </c>
      <c r="AI14" s="126">
        <v>3245</v>
      </c>
      <c r="AJ14" s="126">
        <v>2003</v>
      </c>
      <c r="AK14" s="126">
        <v>1257</v>
      </c>
      <c r="AL14" s="129">
        <v>8367311514</v>
      </c>
      <c r="AM14" s="141">
        <f>112563494761829/1000000000</f>
        <v>112563.494761829</v>
      </c>
      <c r="AN14" s="162">
        <f>37574/1000000</f>
        <v>3.7574000000000003E-2</v>
      </c>
      <c r="AO14" s="162">
        <f>4985273016/1000000</f>
        <v>4985.2730160000001</v>
      </c>
      <c r="AP14" s="162">
        <f>112563/1000000</f>
        <v>0.112563</v>
      </c>
      <c r="AQ14" s="144">
        <v>5498390233387</v>
      </c>
      <c r="AR14" s="126">
        <v>5498</v>
      </c>
      <c r="AS14" s="129">
        <v>48.847009999999997</v>
      </c>
      <c r="AT14" s="126">
        <v>42.665300000000002</v>
      </c>
      <c r="AU14" s="126">
        <v>58.478479999999998</v>
      </c>
      <c r="AV14" s="126">
        <v>51.783920000000002</v>
      </c>
      <c r="AW14" s="126">
        <v>49.859369999999998</v>
      </c>
      <c r="AX14" s="126">
        <v>42.601399999999998</v>
      </c>
      <c r="AY14" s="126">
        <v>49.015182000000003</v>
      </c>
      <c r="AZ14" s="126">
        <v>51.237037999999998</v>
      </c>
      <c r="BA14" s="126">
        <v>46.484467000000002</v>
      </c>
      <c r="BB14" s="126">
        <v>42.449890000000003</v>
      </c>
      <c r="BC14" s="126">
        <v>51.712935999999999</v>
      </c>
      <c r="BD14" s="126">
        <v>47.415100000000002</v>
      </c>
      <c r="BE14" s="126">
        <v>38.592315999999997</v>
      </c>
      <c r="BF14" s="126">
        <v>44.920310000000001</v>
      </c>
      <c r="BG14" s="126">
        <v>51.41095</v>
      </c>
      <c r="BH14" s="126">
        <v>58.097940000000001</v>
      </c>
      <c r="BI14" s="126">
        <v>39.121400000000001</v>
      </c>
      <c r="BJ14" s="126">
        <v>43.149099999999997</v>
      </c>
      <c r="BK14" s="126">
        <v>49.438763000000002</v>
      </c>
      <c r="BL14" s="126">
        <v>48.639557000000003</v>
      </c>
      <c r="BM14" s="126">
        <v>40.460365000000003</v>
      </c>
      <c r="BN14" s="144">
        <v>11998001627136</v>
      </c>
      <c r="BO14" s="144">
        <v>11914315698176</v>
      </c>
      <c r="BP14" s="144">
        <v>3445614006272</v>
      </c>
      <c r="BQ14" s="144">
        <v>11914315698176</v>
      </c>
      <c r="BR14" s="144">
        <v>3445614006272</v>
      </c>
      <c r="BS14" s="144">
        <v>548723066481907</v>
      </c>
      <c r="BT14" s="133">
        <v>0.88430165509259251</v>
      </c>
      <c r="BU14" s="129">
        <v>2343777024</v>
      </c>
      <c r="BV14" s="129">
        <v>999989815</v>
      </c>
      <c r="BW14" s="129">
        <v>1343787209</v>
      </c>
      <c r="BX14" s="156">
        <v>0.43</v>
      </c>
      <c r="BY14" s="144">
        <v>11716798464</v>
      </c>
      <c r="BZ14" s="144">
        <v>8317937056</v>
      </c>
      <c r="CA14" s="144">
        <v>3398861408</v>
      </c>
      <c r="CB14" s="156">
        <v>0.71</v>
      </c>
      <c r="CC14" s="126" t="s">
        <v>209</v>
      </c>
      <c r="CD14" s="126" t="s">
        <v>68</v>
      </c>
      <c r="CE14" s="126" t="s">
        <v>218</v>
      </c>
      <c r="CF14" s="156">
        <v>0.71</v>
      </c>
      <c r="CG14" s="166">
        <f>((BS14-C14)/1000000000)/60</f>
        <v>1919.9076828377167</v>
      </c>
      <c r="CH14" s="157">
        <f t="shared" si="0"/>
        <v>0.33326925925925921</v>
      </c>
      <c r="CI14" s="158">
        <f t="shared" si="1"/>
        <v>0.54021474148576254</v>
      </c>
      <c r="CJ14" s="150">
        <f t="shared" si="4"/>
        <v>18051.946651643353</v>
      </c>
      <c r="CK14" s="119">
        <f t="shared" si="2"/>
        <v>18.051946651643352</v>
      </c>
    </row>
    <row r="15" spans="1:89" ht="16" x14ac:dyDescent="0.2">
      <c r="A15" s="159"/>
      <c r="B15" s="159"/>
      <c r="C15" s="159"/>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159"/>
      <c r="AS15" s="159"/>
      <c r="AT15" s="159"/>
      <c r="AU15" s="159"/>
      <c r="AV15" s="159"/>
      <c r="AW15" s="159"/>
      <c r="AX15" s="159"/>
      <c r="AY15" s="159"/>
      <c r="AZ15" s="159"/>
      <c r="BA15" s="159"/>
      <c r="BB15" s="159"/>
      <c r="BC15" s="159"/>
      <c r="BD15" s="159"/>
      <c r="BE15" s="159"/>
      <c r="BF15" s="159"/>
      <c r="BG15" s="159"/>
      <c r="BH15" s="159"/>
      <c r="BI15" s="159"/>
      <c r="BJ15" s="159"/>
      <c r="BK15" s="159"/>
      <c r="BL15" s="159"/>
      <c r="BM15" s="159"/>
      <c r="BN15" s="159"/>
      <c r="BO15" s="159"/>
      <c r="BP15" s="150">
        <f>BO2-BP2</f>
        <v>79109156864</v>
      </c>
      <c r="BQ15" s="159"/>
      <c r="BR15" s="150">
        <f>BQ2-BR2</f>
        <v>79109156864</v>
      </c>
      <c r="BS15" s="159"/>
      <c r="BT15" s="159"/>
      <c r="BU15" s="159"/>
      <c r="BV15" s="159"/>
      <c r="BW15" s="159"/>
      <c r="BX15" s="159"/>
      <c r="BY15" s="159"/>
      <c r="BZ15" s="150">
        <f>BZ2*1024</f>
        <v>79201464320</v>
      </c>
      <c r="CA15" s="159"/>
      <c r="CB15" s="159"/>
      <c r="CC15" s="159"/>
      <c r="CD15" s="159"/>
      <c r="CE15" s="159"/>
      <c r="CF15" s="159"/>
      <c r="CG15" s="159"/>
      <c r="CH15" s="159"/>
      <c r="CI15" s="159"/>
      <c r="CJ15" s="150"/>
    </row>
    <row r="16" spans="1:89" ht="16" x14ac:dyDescent="0.2">
      <c r="A16" s="159"/>
      <c r="B16" s="159"/>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59"/>
      <c r="BE16" s="159"/>
      <c r="BF16" s="159"/>
      <c r="BG16" s="159"/>
      <c r="BH16" s="159"/>
      <c r="BI16" s="159"/>
      <c r="BJ16" s="159"/>
      <c r="BK16" s="159"/>
      <c r="BL16" s="159"/>
      <c r="BM16" s="159"/>
      <c r="BN16" s="159"/>
      <c r="BO16" s="159"/>
      <c r="BP16" s="150">
        <f>BO3-BP3</f>
        <v>124013424640</v>
      </c>
      <c r="BQ16" s="159"/>
      <c r="BR16" s="150">
        <f>BQ3-BR3</f>
        <v>124013424640</v>
      </c>
      <c r="BS16" s="159"/>
      <c r="BT16" s="159"/>
      <c r="BU16" s="159"/>
      <c r="BV16" s="159"/>
      <c r="BW16" s="159"/>
      <c r="BX16" s="159"/>
      <c r="BY16" s="159"/>
      <c r="BZ16" s="150">
        <f>BZ3*1024</f>
        <v>112266944512</v>
      </c>
      <c r="CA16" s="159"/>
      <c r="CB16" s="159"/>
      <c r="CC16" s="159"/>
      <c r="CD16" s="159"/>
      <c r="CE16" s="159"/>
      <c r="CF16" s="160"/>
      <c r="CG16" s="161"/>
      <c r="CH16" s="159"/>
      <c r="CI16" s="159"/>
      <c r="CJ16" s="159"/>
    </row>
    <row r="17" spans="1:88" ht="16" x14ac:dyDescent="0.2">
      <c r="A17" s="159"/>
      <c r="B17" s="159"/>
      <c r="C17" s="159"/>
      <c r="D17" s="159"/>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59"/>
      <c r="AN17" s="159"/>
      <c r="AO17" s="159"/>
      <c r="AP17" s="159"/>
      <c r="AQ17" s="159"/>
      <c r="AR17" s="159"/>
      <c r="AS17" s="159"/>
      <c r="AT17" s="159"/>
      <c r="AU17" s="159"/>
      <c r="AV17" s="159"/>
      <c r="AW17" s="159"/>
      <c r="AX17" s="159"/>
      <c r="AY17" s="159"/>
      <c r="AZ17" s="159"/>
      <c r="BA17" s="159"/>
      <c r="BB17" s="159"/>
      <c r="BC17" s="159"/>
      <c r="BD17" s="159"/>
      <c r="BE17" s="159"/>
      <c r="BF17" s="159"/>
      <c r="BG17" s="159"/>
      <c r="BH17" s="159"/>
      <c r="BI17" s="159"/>
      <c r="BJ17" s="159"/>
      <c r="BK17" s="159"/>
      <c r="BL17" s="159"/>
      <c r="BM17" s="159"/>
      <c r="BN17" s="159"/>
      <c r="BO17" s="159"/>
      <c r="BP17" s="150">
        <f>BO4-BP4</f>
        <v>877526867968</v>
      </c>
      <c r="BQ17" s="159"/>
      <c r="BR17" s="150">
        <f>BQ4-BR4</f>
        <v>877526867968</v>
      </c>
      <c r="BS17" s="159"/>
      <c r="BT17" s="159"/>
      <c r="BU17" s="159"/>
      <c r="BV17" s="159"/>
      <c r="BW17" s="159"/>
      <c r="BX17" s="159"/>
      <c r="BY17" s="159"/>
      <c r="BZ17" s="150">
        <f>BZ4*1024</f>
        <v>871347589120</v>
      </c>
      <c r="CA17" s="159"/>
      <c r="CB17" s="159"/>
      <c r="CC17" s="159"/>
      <c r="CD17" s="159"/>
      <c r="CE17" s="159"/>
      <c r="CF17" s="159"/>
      <c r="CG17" s="159"/>
      <c r="CH17" s="159"/>
      <c r="CI17" s="159"/>
      <c r="CJ17" s="159"/>
    </row>
    <row r="18" spans="1:88" ht="16" x14ac:dyDescent="0.2">
      <c r="A18" s="159"/>
      <c r="B18" s="159"/>
      <c r="C18" s="159"/>
      <c r="D18" s="159"/>
      <c r="E18" s="159"/>
      <c r="F18" s="159"/>
      <c r="G18" s="159"/>
      <c r="H18" s="159"/>
      <c r="I18" s="159"/>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c r="BK18" s="159"/>
      <c r="BL18" s="159"/>
      <c r="BM18" s="159"/>
      <c r="BN18" s="159"/>
      <c r="BO18" s="159"/>
      <c r="BP18" s="150">
        <f t="shared" ref="BP18:BP24" si="5">BO5-BP5</f>
        <v>88157057024</v>
      </c>
      <c r="BQ18" s="159"/>
      <c r="BR18" s="150">
        <f t="shared" ref="BR18:BR24" si="6">BQ5-BR5</f>
        <v>88965312512</v>
      </c>
      <c r="BS18" s="159"/>
      <c r="BT18" s="159"/>
      <c r="BU18" s="159"/>
      <c r="BV18" s="159"/>
      <c r="BW18" s="159"/>
      <c r="BX18" s="159"/>
      <c r="BY18" s="159"/>
      <c r="BZ18" s="150">
        <f t="shared" ref="BZ18:BZ24" si="7">BZ5*1024</f>
        <v>90534330368</v>
      </c>
      <c r="CA18" s="159"/>
      <c r="CB18" s="159"/>
      <c r="CC18" s="159"/>
      <c r="CD18" s="159"/>
      <c r="CE18" s="159"/>
      <c r="CF18" s="159"/>
      <c r="CG18" s="159"/>
      <c r="CH18" s="159"/>
      <c r="CI18" s="159"/>
      <c r="CJ18" s="159"/>
    </row>
    <row r="19" spans="1:88" ht="16" x14ac:dyDescent="0.2">
      <c r="A19" s="159"/>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59"/>
      <c r="BD19" s="159"/>
      <c r="BE19" s="159"/>
      <c r="BF19" s="159"/>
      <c r="BG19" s="159"/>
      <c r="BH19" s="159"/>
      <c r="BI19" s="159"/>
      <c r="BJ19" s="159"/>
      <c r="BK19" s="159"/>
      <c r="BL19" s="159"/>
      <c r="BM19" s="159"/>
      <c r="BN19" s="159"/>
      <c r="BO19" s="159"/>
      <c r="BP19" s="150">
        <f t="shared" si="5"/>
        <v>897868460032</v>
      </c>
      <c r="BQ19" s="159"/>
      <c r="BR19" s="150">
        <f t="shared" si="6"/>
        <v>899212931072</v>
      </c>
      <c r="BS19" s="159"/>
      <c r="BT19" s="159"/>
      <c r="BU19" s="159"/>
      <c r="BV19" s="159"/>
      <c r="BW19" s="159"/>
      <c r="BX19" s="159"/>
      <c r="BY19" s="159"/>
      <c r="BZ19" s="150">
        <f t="shared" si="7"/>
        <v>900531240960</v>
      </c>
      <c r="CA19" s="159"/>
      <c r="CB19" s="159"/>
      <c r="CC19" s="159"/>
      <c r="CD19" s="159"/>
      <c r="CE19" s="159"/>
      <c r="CF19" s="159"/>
      <c r="CG19" s="159"/>
      <c r="CH19" s="159"/>
      <c r="CI19" s="159"/>
      <c r="CJ19" s="159"/>
    </row>
    <row r="20" spans="1:88" ht="16" x14ac:dyDescent="0.2">
      <c r="A20" s="159"/>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59"/>
      <c r="BP20" s="150">
        <f t="shared" si="5"/>
        <v>11927220224</v>
      </c>
      <c r="BQ20" s="159"/>
      <c r="BR20" s="150">
        <f t="shared" si="6"/>
        <v>11927220224</v>
      </c>
      <c r="BS20" s="159"/>
      <c r="BT20" s="159"/>
      <c r="BU20" s="159"/>
      <c r="BV20" s="159"/>
      <c r="BW20" s="159"/>
      <c r="BX20" s="159"/>
      <c r="BY20" s="159"/>
      <c r="BZ20" s="150">
        <f t="shared" si="7"/>
        <v>21891940352</v>
      </c>
      <c r="CA20" s="159"/>
      <c r="CB20" s="159"/>
      <c r="CC20" s="159"/>
      <c r="CD20" s="159"/>
      <c r="CE20" s="159"/>
      <c r="CF20" s="159"/>
      <c r="CG20" s="159"/>
      <c r="CH20" s="159"/>
      <c r="CI20" s="159"/>
      <c r="CJ20" s="159"/>
    </row>
    <row r="21" spans="1:88" ht="16" x14ac:dyDescent="0.2">
      <c r="A21" s="159"/>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59"/>
      <c r="BJ21" s="159"/>
      <c r="BK21" s="159"/>
      <c r="BL21" s="159"/>
      <c r="BM21" s="159"/>
      <c r="BN21" s="159"/>
      <c r="BO21" s="159"/>
      <c r="BP21" s="150">
        <f t="shared" si="5"/>
        <v>71565561856</v>
      </c>
      <c r="BQ21" s="159"/>
      <c r="BR21" s="150">
        <f t="shared" si="6"/>
        <v>71565561856</v>
      </c>
      <c r="BS21" s="159"/>
      <c r="BT21" s="159"/>
      <c r="BU21" s="159"/>
      <c r="BV21" s="159"/>
      <c r="BW21" s="159"/>
      <c r="BX21" s="159"/>
      <c r="BY21" s="159"/>
      <c r="BZ21" s="150">
        <f t="shared" si="7"/>
        <v>81530281984</v>
      </c>
      <c r="CA21" s="159"/>
      <c r="CB21" s="159"/>
      <c r="CC21" s="159"/>
      <c r="CD21" s="159"/>
      <c r="CE21" s="159"/>
      <c r="CF21" s="159"/>
      <c r="CG21" s="159"/>
      <c r="CH21" s="159"/>
      <c r="CI21" s="159"/>
      <c r="CJ21" s="159"/>
    </row>
    <row r="22" spans="1:88" ht="16" x14ac:dyDescent="0.2">
      <c r="A22" s="159"/>
      <c r="B22" s="159"/>
      <c r="C22" s="159"/>
      <c r="D22" s="159"/>
      <c r="E22" s="159"/>
      <c r="F22" s="159"/>
      <c r="G22" s="159"/>
      <c r="H22" s="159"/>
      <c r="I22" s="159"/>
      <c r="J22" s="159"/>
      <c r="K22" s="159"/>
      <c r="L22" s="159"/>
      <c r="M22" s="159"/>
      <c r="N22" s="159"/>
      <c r="O22" s="159"/>
      <c r="P22" s="159"/>
      <c r="Q22" s="159"/>
      <c r="R22" s="159"/>
      <c r="S22" s="159"/>
      <c r="T22" s="159"/>
      <c r="U22" s="159"/>
      <c r="V22" s="159"/>
      <c r="W22" s="159"/>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0">
        <f t="shared" si="5"/>
        <v>7911633690624</v>
      </c>
      <c r="BQ22" s="159"/>
      <c r="BR22" s="150">
        <f t="shared" si="6"/>
        <v>7911633690624</v>
      </c>
      <c r="BS22" s="159"/>
      <c r="BT22" s="159"/>
      <c r="BU22" s="159"/>
      <c r="BV22" s="159"/>
      <c r="BW22" s="159"/>
      <c r="BX22" s="159"/>
      <c r="BY22" s="159"/>
      <c r="BZ22" s="150">
        <f t="shared" si="7"/>
        <v>7911722606592</v>
      </c>
      <c r="CA22" s="159"/>
      <c r="CB22" s="159"/>
      <c r="CC22" s="159"/>
      <c r="CD22" s="159"/>
      <c r="CE22" s="159"/>
      <c r="CF22" s="159"/>
      <c r="CG22" s="159"/>
      <c r="CH22" s="159"/>
      <c r="CI22" s="159"/>
      <c r="CJ22" s="159"/>
    </row>
    <row r="23" spans="1:88" ht="16" x14ac:dyDescent="0.2">
      <c r="A23" s="159"/>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0">
        <f>BO10-BP10</f>
        <v>0</v>
      </c>
      <c r="BQ23" s="159"/>
      <c r="BR23" s="150">
        <f t="shared" si="6"/>
        <v>0</v>
      </c>
      <c r="BS23" s="159"/>
      <c r="BT23" s="159"/>
      <c r="BU23" s="159"/>
      <c r="BV23" s="159"/>
      <c r="BW23" s="159"/>
      <c r="BX23" s="159"/>
      <c r="BY23" s="159"/>
      <c r="BZ23" s="150">
        <f t="shared" si="7"/>
        <v>7911722606592</v>
      </c>
      <c r="CA23" s="159"/>
      <c r="CB23" s="159"/>
      <c r="CC23" s="159"/>
      <c r="CD23" s="159"/>
      <c r="CE23" s="159"/>
      <c r="CF23" s="159"/>
      <c r="CG23" s="159"/>
      <c r="CH23" s="159"/>
      <c r="CI23" s="159"/>
      <c r="CJ23" s="159"/>
    </row>
    <row r="24" spans="1:88" ht="16" x14ac:dyDescent="0.2">
      <c r="A24" s="159"/>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0">
        <f t="shared" si="5"/>
        <v>79112908800</v>
      </c>
      <c r="BQ24" s="159"/>
      <c r="BR24" s="150">
        <f t="shared" si="6"/>
        <v>79112908800</v>
      </c>
      <c r="BS24" s="159"/>
      <c r="BT24" s="159"/>
      <c r="BU24" s="159"/>
      <c r="BV24" s="159"/>
      <c r="BW24" s="159"/>
      <c r="BX24" s="159"/>
      <c r="BY24" s="159"/>
      <c r="BZ24" s="150">
        <f t="shared" si="7"/>
        <v>79205216256</v>
      </c>
      <c r="CA24" s="159"/>
      <c r="CB24" s="159"/>
      <c r="CC24" s="159"/>
      <c r="CD24" s="159"/>
      <c r="CE24" s="159"/>
      <c r="CF24" s="159"/>
      <c r="CG24" s="159"/>
      <c r="CH24" s="159"/>
      <c r="CI24" s="159"/>
      <c r="CJ24" s="1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ED2B-0D94-5F4E-8E43-302EF71B91AF}">
  <dimension ref="A1:ED87"/>
  <sheetViews>
    <sheetView workbookViewId="0">
      <selection activeCell="E13" sqref="E13"/>
    </sheetView>
  </sheetViews>
  <sheetFormatPr baseColWidth="10" defaultRowHeight="16" x14ac:dyDescent="0.2"/>
  <cols>
    <col min="2" max="2" width="11.6640625" bestFit="1" customWidth="1"/>
    <col min="3" max="3" width="15" bestFit="1" customWidth="1"/>
    <col min="4" max="8" width="20.1640625" bestFit="1" customWidth="1"/>
    <col min="9" max="9" width="16.33203125" bestFit="1" customWidth="1"/>
    <col min="10" max="10" width="11.6640625" bestFit="1" customWidth="1"/>
    <col min="11" max="11" width="11.1640625" bestFit="1" customWidth="1"/>
    <col min="12" max="12" width="9.1640625" bestFit="1" customWidth="1"/>
    <col min="13" max="13" width="11.1640625" bestFit="1" customWidth="1"/>
    <col min="14" max="14" width="7.33203125" bestFit="1" customWidth="1"/>
    <col min="15" max="15" width="17.6640625" bestFit="1" customWidth="1"/>
    <col min="16" max="16" width="15" bestFit="1" customWidth="1"/>
    <col min="17" max="17" width="17.6640625" bestFit="1" customWidth="1"/>
    <col min="18" max="18" width="10.6640625" bestFit="1" customWidth="1"/>
    <col min="19" max="19" width="9.5" bestFit="1" customWidth="1"/>
    <col min="20" max="22" width="10.1640625" bestFit="1" customWidth="1"/>
    <col min="23" max="24" width="10.33203125" bestFit="1" customWidth="1"/>
    <col min="51" max="51" width="4.1640625" bestFit="1" customWidth="1"/>
    <col min="52" max="52" width="7.1640625" bestFit="1" customWidth="1"/>
    <col min="53" max="53" width="12.1640625" bestFit="1" customWidth="1"/>
    <col min="54" max="54" width="5.1640625" bestFit="1" customWidth="1"/>
    <col min="55" max="55" width="7.1640625" bestFit="1" customWidth="1"/>
    <col min="56" max="56" width="10.1640625" bestFit="1" customWidth="1"/>
    <col min="57" max="57" width="2.1640625" bestFit="1" customWidth="1"/>
    <col min="58" max="58" width="4.1640625" bestFit="1" customWidth="1"/>
    <col min="59" max="59" width="6.1640625" bestFit="1" customWidth="1"/>
    <col min="60" max="60" width="7.1640625" bestFit="1" customWidth="1"/>
    <col min="61" max="61" width="8.1640625" bestFit="1" customWidth="1"/>
    <col min="62" max="64" width="9.1640625" bestFit="1" customWidth="1"/>
    <col min="65" max="65" width="8.1640625" bestFit="1" customWidth="1"/>
    <col min="66" max="66" width="7.1640625" bestFit="1" customWidth="1"/>
    <col min="67" max="67" width="6.1640625" bestFit="1" customWidth="1"/>
    <col min="68" max="68" width="9.1640625" bestFit="1" customWidth="1"/>
    <col min="69" max="69" width="8.1640625" bestFit="1" customWidth="1"/>
    <col min="70" max="71" width="9.1640625" bestFit="1" customWidth="1"/>
    <col min="72" max="74" width="8.1640625" bestFit="1" customWidth="1"/>
    <col min="75" max="76" width="7.1640625" bestFit="1" customWidth="1"/>
    <col min="77" max="79" width="6.1640625" bestFit="1" customWidth="1"/>
    <col min="80" max="85" width="5.1640625" bestFit="1" customWidth="1"/>
    <col min="86" max="87" width="4.1640625" bestFit="1" customWidth="1"/>
    <col min="88" max="88" width="11.1640625" bestFit="1" customWidth="1"/>
    <col min="89" max="89" width="12.1640625" bestFit="1" customWidth="1"/>
    <col min="90" max="90" width="6.1640625" bestFit="1" customWidth="1"/>
    <col min="91" max="91" width="11.1640625" bestFit="1" customWidth="1"/>
    <col min="92" max="92" width="7.1640625" bestFit="1" customWidth="1"/>
    <col min="93" max="93" width="12.1640625" bestFit="1" customWidth="1"/>
    <col min="94" max="94" width="5.1640625" bestFit="1" customWidth="1"/>
    <col min="95" max="115" width="10.1640625" bestFit="1" customWidth="1"/>
    <col min="116" max="121" width="12.1640625" bestFit="1" customWidth="1"/>
    <col min="122" max="122" width="7.1640625" bestFit="1" customWidth="1"/>
    <col min="123" max="125" width="10.1640625" bestFit="1" customWidth="1"/>
    <col min="126" max="126" width="4.6640625" bestFit="1" customWidth="1"/>
    <col min="127" max="127" width="11.1640625" bestFit="1" customWidth="1"/>
    <col min="128" max="128" width="10.1640625" bestFit="1" customWidth="1"/>
    <col min="129" max="129" width="11.1640625" bestFit="1" customWidth="1"/>
    <col min="130" max="131" width="4.6640625" bestFit="1" customWidth="1"/>
    <col min="132" max="132" width="5.5" bestFit="1" customWidth="1"/>
    <col min="133" max="134" width="4.6640625" bestFit="1" customWidth="1"/>
  </cols>
  <sheetData>
    <row r="1" spans="2:17" ht="17" thickBot="1" x14ac:dyDescent="0.25"/>
    <row r="2" spans="2:17" x14ac:dyDescent="0.2">
      <c r="P2" s="13"/>
      <c r="Q2" s="13"/>
    </row>
    <row r="3" spans="2:17" x14ac:dyDescent="0.2">
      <c r="P3" s="10"/>
      <c r="Q3" s="11"/>
    </row>
    <row r="4" spans="2:17" x14ac:dyDescent="0.2">
      <c r="P4" s="10"/>
      <c r="Q4" s="11"/>
    </row>
    <row r="5" spans="2:17" x14ac:dyDescent="0.2">
      <c r="P5" s="10"/>
      <c r="Q5" s="11"/>
    </row>
    <row r="6" spans="2:17" x14ac:dyDescent="0.2">
      <c r="P6" s="10"/>
      <c r="Q6" s="11"/>
    </row>
    <row r="7" spans="2:17" x14ac:dyDescent="0.2">
      <c r="P7" s="10"/>
      <c r="Q7" s="11"/>
    </row>
    <row r="8" spans="2:17" x14ac:dyDescent="0.2">
      <c r="P8" s="10"/>
      <c r="Q8" s="11"/>
    </row>
    <row r="9" spans="2:17" x14ac:dyDescent="0.2">
      <c r="B9" t="s">
        <v>46</v>
      </c>
      <c r="C9" t="s">
        <v>47</v>
      </c>
      <c r="P9" s="10"/>
      <c r="Q9" s="11"/>
    </row>
    <row r="10" spans="2:17" x14ac:dyDescent="0.2">
      <c r="B10" t="s">
        <v>48</v>
      </c>
      <c r="C10">
        <v>334</v>
      </c>
      <c r="P10" s="10"/>
      <c r="Q10" s="11"/>
    </row>
    <row r="11" spans="2:17" x14ac:dyDescent="0.2">
      <c r="B11" t="s">
        <v>49</v>
      </c>
      <c r="C11">
        <v>22705</v>
      </c>
      <c r="P11" s="10"/>
      <c r="Q11" s="11"/>
    </row>
    <row r="12" spans="2:17" ht="17" thickBot="1" x14ac:dyDescent="0.25">
      <c r="B12" t="s">
        <v>50</v>
      </c>
      <c r="C12">
        <v>598393</v>
      </c>
      <c r="P12" s="12"/>
      <c r="Q12" s="12"/>
    </row>
    <row r="13" spans="2:17" x14ac:dyDescent="0.2">
      <c r="B13" t="s">
        <v>51</v>
      </c>
      <c r="C13">
        <v>6057638</v>
      </c>
    </row>
    <row r="14" spans="2:17" x14ac:dyDescent="0.2">
      <c r="B14" t="s">
        <v>52</v>
      </c>
      <c r="C14">
        <v>24171206</v>
      </c>
    </row>
    <row r="15" spans="2:17" x14ac:dyDescent="0.2">
      <c r="B15" t="s">
        <v>53</v>
      </c>
      <c r="C15">
        <v>38297816</v>
      </c>
    </row>
    <row r="16" spans="2:17" x14ac:dyDescent="0.2">
      <c r="B16" t="s">
        <v>54</v>
      </c>
      <c r="C16">
        <v>24173312</v>
      </c>
    </row>
    <row r="17" spans="2:5" x14ac:dyDescent="0.2">
      <c r="B17" t="s">
        <v>55</v>
      </c>
      <c r="C17">
        <v>6057805</v>
      </c>
    </row>
    <row r="18" spans="2:5" x14ac:dyDescent="0.2">
      <c r="B18" t="s">
        <v>56</v>
      </c>
      <c r="C18">
        <v>597347</v>
      </c>
    </row>
    <row r="19" spans="2:5" x14ac:dyDescent="0.2">
      <c r="B19" t="s">
        <v>57</v>
      </c>
      <c r="C19">
        <v>23139</v>
      </c>
    </row>
    <row r="24" spans="2:5" x14ac:dyDescent="0.2">
      <c r="B24" t="s">
        <v>58</v>
      </c>
      <c r="C24" t="s">
        <v>59</v>
      </c>
      <c r="D24" t="s">
        <v>60</v>
      </c>
      <c r="E24" t="s">
        <v>61</v>
      </c>
    </row>
    <row r="25" spans="2:5" x14ac:dyDescent="0.2">
      <c r="B25">
        <v>0</v>
      </c>
      <c r="C25">
        <v>0</v>
      </c>
      <c r="D25">
        <v>0</v>
      </c>
      <c r="E25">
        <v>333</v>
      </c>
    </row>
    <row r="26" spans="2:5" x14ac:dyDescent="0.2">
      <c r="B26">
        <v>1</v>
      </c>
      <c r="C26">
        <v>0</v>
      </c>
      <c r="D26">
        <v>0</v>
      </c>
      <c r="E26">
        <v>22663</v>
      </c>
    </row>
    <row r="27" spans="2:5" x14ac:dyDescent="0.2">
      <c r="B27">
        <v>2</v>
      </c>
      <c r="C27">
        <v>0</v>
      </c>
      <c r="D27">
        <v>0</v>
      </c>
      <c r="E27">
        <v>597808</v>
      </c>
    </row>
    <row r="28" spans="2:5" x14ac:dyDescent="0.2">
      <c r="B28">
        <v>3</v>
      </c>
      <c r="C28">
        <v>54601</v>
      </c>
      <c r="D28">
        <v>301187</v>
      </c>
      <c r="E28">
        <v>6055097</v>
      </c>
    </row>
    <row r="29" spans="2:5" x14ac:dyDescent="0.2">
      <c r="B29">
        <v>4</v>
      </c>
      <c r="C29">
        <v>1863133</v>
      </c>
      <c r="D29">
        <v>4595826</v>
      </c>
      <c r="E29">
        <v>24178839</v>
      </c>
    </row>
    <row r="30" spans="2:5" x14ac:dyDescent="0.2">
      <c r="B30">
        <v>5</v>
      </c>
      <c r="C30">
        <v>3970441</v>
      </c>
      <c r="D30">
        <v>12948297</v>
      </c>
      <c r="E30">
        <v>38290592</v>
      </c>
    </row>
    <row r="31" spans="2:5" x14ac:dyDescent="0.2">
      <c r="B31">
        <v>6</v>
      </c>
      <c r="C31">
        <v>5805703</v>
      </c>
      <c r="D31">
        <v>22748303</v>
      </c>
      <c r="E31">
        <v>24172746</v>
      </c>
    </row>
    <row r="32" spans="2:5" x14ac:dyDescent="0.2">
      <c r="B32">
        <v>7</v>
      </c>
      <c r="C32">
        <v>7339798</v>
      </c>
      <c r="D32">
        <v>27340013</v>
      </c>
      <c r="E32">
        <v>6060014</v>
      </c>
    </row>
    <row r="33" spans="2:5" x14ac:dyDescent="0.2">
      <c r="B33">
        <v>8</v>
      </c>
      <c r="C33">
        <v>7462048</v>
      </c>
      <c r="D33">
        <v>20878671</v>
      </c>
      <c r="E33">
        <v>598601</v>
      </c>
    </row>
    <row r="34" spans="2:5" x14ac:dyDescent="0.2">
      <c r="B34">
        <v>9</v>
      </c>
      <c r="C34">
        <v>6956366</v>
      </c>
      <c r="D34">
        <v>6839367</v>
      </c>
      <c r="E34">
        <v>22989</v>
      </c>
    </row>
    <row r="35" spans="2:5" x14ac:dyDescent="0.2">
      <c r="C35">
        <f>SUM(C25:C34)</f>
        <v>33452090</v>
      </c>
      <c r="D35">
        <f>SUM(D25:D34)</f>
        <v>95651664</v>
      </c>
      <c r="E35">
        <f>SUM(E25:E34)</f>
        <v>99999682</v>
      </c>
    </row>
    <row r="58" spans="3:24" ht="51" x14ac:dyDescent="0.2">
      <c r="C58" s="60" t="s">
        <v>221</v>
      </c>
      <c r="D58" s="60" t="s">
        <v>172</v>
      </c>
      <c r="E58" s="60" t="s">
        <v>173</v>
      </c>
      <c r="F58" s="60" t="s">
        <v>194</v>
      </c>
      <c r="G58" s="60" t="s">
        <v>195</v>
      </c>
      <c r="H58" s="60" t="s">
        <v>196</v>
      </c>
      <c r="I58" s="61"/>
      <c r="J58" s="60"/>
      <c r="K58" s="60" t="s">
        <v>197</v>
      </c>
      <c r="L58" s="60" t="s">
        <v>198</v>
      </c>
      <c r="M58" s="60" t="s">
        <v>199</v>
      </c>
      <c r="N58" s="60" t="s">
        <v>200</v>
      </c>
      <c r="O58" s="60" t="s">
        <v>205</v>
      </c>
      <c r="P58" s="60" t="s">
        <v>206</v>
      </c>
      <c r="Q58" s="60" t="s">
        <v>207</v>
      </c>
      <c r="R58" s="60" t="s">
        <v>208</v>
      </c>
      <c r="S58" s="60" t="s">
        <v>201</v>
      </c>
      <c r="T58" s="60" t="s">
        <v>202</v>
      </c>
      <c r="U58" s="60" t="s">
        <v>203</v>
      </c>
      <c r="V58" s="60" t="s">
        <v>204</v>
      </c>
      <c r="W58" s="60"/>
      <c r="X58" s="60"/>
    </row>
    <row r="59" spans="3:24" x14ac:dyDescent="0.2">
      <c r="C59" s="66">
        <v>54991632226</v>
      </c>
      <c r="D59" s="66">
        <v>3665926332416</v>
      </c>
      <c r="E59" s="66">
        <v>3465777897472</v>
      </c>
      <c r="F59" s="66">
        <v>3386668740608</v>
      </c>
      <c r="G59" s="66">
        <v>3665834024960</v>
      </c>
      <c r="H59" s="66">
        <v>3586724868096</v>
      </c>
      <c r="I59" s="62"/>
      <c r="J59" s="63"/>
      <c r="K59" s="59">
        <v>1302364160</v>
      </c>
      <c r="L59" s="59">
        <v>10000512</v>
      </c>
      <c r="M59" s="59">
        <v>1292363648</v>
      </c>
      <c r="N59" s="64">
        <v>0.01</v>
      </c>
      <c r="O59" s="66">
        <v>3580006184</v>
      </c>
      <c r="P59" s="66">
        <v>77345180</v>
      </c>
      <c r="Q59" s="66">
        <v>3307293692</v>
      </c>
      <c r="R59" s="64">
        <v>0.03</v>
      </c>
      <c r="S59" s="59" t="s">
        <v>257</v>
      </c>
      <c r="T59" s="59" t="s">
        <v>72</v>
      </c>
      <c r="U59" s="59" t="s">
        <v>258</v>
      </c>
      <c r="V59" s="64">
        <v>0.03</v>
      </c>
      <c r="W59" s="65"/>
      <c r="X59" s="63"/>
    </row>
    <row r="61" spans="3:24" x14ac:dyDescent="0.2">
      <c r="E61" s="17">
        <f>E59+C59</f>
        <v>3520769529698</v>
      </c>
      <c r="F61" s="17">
        <f>E59-F59</f>
        <v>79109156864</v>
      </c>
      <c r="H61" s="17">
        <f>G59-H59</f>
        <v>79109156864</v>
      </c>
      <c r="O61" s="17">
        <f>O59*1024</f>
        <v>3665926332416</v>
      </c>
      <c r="P61" s="17">
        <f>P59*1024</f>
        <v>79201464320</v>
      </c>
      <c r="Q61" s="17">
        <f>Q59*1024</f>
        <v>3386668740608</v>
      </c>
    </row>
    <row r="63" spans="3:24" x14ac:dyDescent="0.2">
      <c r="E63" s="17"/>
      <c r="F63" s="17">
        <f>F61-C59</f>
        <v>24117524638</v>
      </c>
    </row>
    <row r="64" spans="3:24" x14ac:dyDescent="0.2">
      <c r="F64">
        <f>F63/F61</f>
        <v>0.30486388168011308</v>
      </c>
    </row>
    <row r="65" spans="1:87" x14ac:dyDescent="0.2">
      <c r="F65">
        <f>F64*100</f>
        <v>30.48638816801131</v>
      </c>
    </row>
    <row r="68" spans="1:87" x14ac:dyDescent="0.2">
      <c r="F68" s="67">
        <f>((E59-F59)-C59)/(E59-F59)</f>
        <v>0.30486388168011308</v>
      </c>
    </row>
    <row r="72" spans="1:87" s="70" customFormat="1" ht="51" x14ac:dyDescent="0.2">
      <c r="A72" s="60" t="s">
        <v>38</v>
      </c>
      <c r="B72" s="60" t="s">
        <v>43</v>
      </c>
      <c r="C72" s="61" t="s">
        <v>40</v>
      </c>
      <c r="D72" s="60" t="s">
        <v>0</v>
      </c>
      <c r="E72" s="60" t="s">
        <v>1</v>
      </c>
      <c r="F72" s="60" t="s">
        <v>2</v>
      </c>
      <c r="G72" s="60" t="s">
        <v>3</v>
      </c>
      <c r="H72" s="71" t="s">
        <v>161</v>
      </c>
      <c r="I72" s="71" t="s">
        <v>162</v>
      </c>
      <c r="J72" s="71" t="s">
        <v>163</v>
      </c>
      <c r="K72" s="71" t="s">
        <v>164</v>
      </c>
      <c r="L72" s="71" t="s">
        <v>165</v>
      </c>
      <c r="M72" s="71" t="s">
        <v>166</v>
      </c>
      <c r="N72" s="71" t="s">
        <v>167</v>
      </c>
      <c r="O72" s="71" t="s">
        <v>168</v>
      </c>
      <c r="P72" s="71" t="s">
        <v>169</v>
      </c>
      <c r="Q72" s="71" t="s">
        <v>170</v>
      </c>
      <c r="R72" s="72" t="s">
        <v>141</v>
      </c>
      <c r="S72" s="72" t="s">
        <v>142</v>
      </c>
      <c r="T72" s="72" t="s">
        <v>143</v>
      </c>
      <c r="U72" s="72" t="s">
        <v>144</v>
      </c>
      <c r="V72" s="72" t="s">
        <v>145</v>
      </c>
      <c r="W72" s="72" t="s">
        <v>146</v>
      </c>
      <c r="X72" s="72" t="s">
        <v>147</v>
      </c>
      <c r="Y72" s="72" t="s">
        <v>148</v>
      </c>
      <c r="Z72" s="72" t="s">
        <v>149</v>
      </c>
      <c r="AA72" s="72" t="s">
        <v>150</v>
      </c>
      <c r="AB72" s="72" t="s">
        <v>151</v>
      </c>
      <c r="AC72" s="72" t="s">
        <v>152</v>
      </c>
      <c r="AD72" s="72" t="s">
        <v>153</v>
      </c>
      <c r="AE72" s="72" t="s">
        <v>154</v>
      </c>
      <c r="AF72" s="72" t="s">
        <v>155</v>
      </c>
      <c r="AG72" s="72" t="s">
        <v>156</v>
      </c>
      <c r="AH72" s="72" t="s">
        <v>157</v>
      </c>
      <c r="AI72" s="72" t="s">
        <v>158</v>
      </c>
      <c r="AJ72" s="72" t="s">
        <v>159</v>
      </c>
      <c r="AK72" s="72" t="s">
        <v>160</v>
      </c>
      <c r="AL72" s="60" t="s">
        <v>25</v>
      </c>
      <c r="AM72" s="60" t="s">
        <v>90</v>
      </c>
      <c r="AN72" s="60" t="s">
        <v>26</v>
      </c>
      <c r="AO72" s="60" t="s">
        <v>27</v>
      </c>
      <c r="AP72" s="60" t="s">
        <v>28</v>
      </c>
      <c r="AQ72" s="61" t="s">
        <v>221</v>
      </c>
      <c r="AR72" s="60" t="s">
        <v>220</v>
      </c>
      <c r="AS72" s="60" t="s">
        <v>171</v>
      </c>
      <c r="AT72" s="73" t="s">
        <v>174</v>
      </c>
      <c r="AU72" s="73" t="s">
        <v>175</v>
      </c>
      <c r="AV72" s="73" t="s">
        <v>176</v>
      </c>
      <c r="AW72" s="73" t="s">
        <v>177</v>
      </c>
      <c r="AX72" s="73" t="s">
        <v>178</v>
      </c>
      <c r="AY72" s="73" t="s">
        <v>179</v>
      </c>
      <c r="AZ72" s="73" t="s">
        <v>180</v>
      </c>
      <c r="BA72" s="73" t="s">
        <v>181</v>
      </c>
      <c r="BB72" s="73" t="s">
        <v>182</v>
      </c>
      <c r="BC72" s="73" t="s">
        <v>183</v>
      </c>
      <c r="BD72" s="73" t="s">
        <v>184</v>
      </c>
      <c r="BE72" s="73" t="s">
        <v>185</v>
      </c>
      <c r="BF72" s="73" t="s">
        <v>186</v>
      </c>
      <c r="BG72" s="73" t="s">
        <v>187</v>
      </c>
      <c r="BH72" s="73" t="s">
        <v>188</v>
      </c>
      <c r="BI72" s="73" t="s">
        <v>189</v>
      </c>
      <c r="BJ72" s="73" t="s">
        <v>190</v>
      </c>
      <c r="BK72" s="73" t="s">
        <v>191</v>
      </c>
      <c r="BL72" s="73" t="s">
        <v>192</v>
      </c>
      <c r="BM72" s="73" t="s">
        <v>193</v>
      </c>
      <c r="BN72" s="60" t="s">
        <v>172</v>
      </c>
      <c r="BO72" s="60" t="s">
        <v>173</v>
      </c>
      <c r="BP72" s="60" t="s">
        <v>194</v>
      </c>
      <c r="BQ72" s="60" t="s">
        <v>195</v>
      </c>
      <c r="BR72" s="60" t="s">
        <v>196</v>
      </c>
      <c r="BS72" s="61" t="s">
        <v>41</v>
      </c>
      <c r="BT72" s="60" t="s">
        <v>44</v>
      </c>
      <c r="BU72" s="60" t="s">
        <v>197</v>
      </c>
      <c r="BV72" s="60" t="s">
        <v>198</v>
      </c>
      <c r="BW72" s="60" t="s">
        <v>199</v>
      </c>
      <c r="BX72" s="60" t="s">
        <v>200</v>
      </c>
      <c r="BY72" s="60" t="s">
        <v>205</v>
      </c>
      <c r="BZ72" s="60" t="s">
        <v>206</v>
      </c>
      <c r="CA72" s="60" t="s">
        <v>207</v>
      </c>
      <c r="CB72" s="60" t="s">
        <v>208</v>
      </c>
      <c r="CC72" s="60" t="s">
        <v>201</v>
      </c>
      <c r="CD72" s="60" t="s">
        <v>202</v>
      </c>
      <c r="CE72" s="60" t="s">
        <v>203</v>
      </c>
      <c r="CF72" s="60" t="s">
        <v>204</v>
      </c>
    </row>
    <row r="73" spans="1:87" s="70" customFormat="1" x14ac:dyDescent="0.2">
      <c r="A73" s="59" t="s">
        <v>62</v>
      </c>
      <c r="B73" s="63">
        <v>0.56558321759259256</v>
      </c>
      <c r="C73" s="62">
        <v>78967809435211</v>
      </c>
      <c r="D73" s="59">
        <v>500</v>
      </c>
      <c r="E73" s="59">
        <v>20000</v>
      </c>
      <c r="F73" s="59">
        <v>10000000</v>
      </c>
      <c r="G73" s="59">
        <v>1</v>
      </c>
      <c r="H73" s="59">
        <v>28</v>
      </c>
      <c r="I73" s="59">
        <v>2320</v>
      </c>
      <c r="J73" s="59">
        <v>59866</v>
      </c>
      <c r="K73" s="59">
        <v>606648</v>
      </c>
      <c r="L73" s="59">
        <v>2415088</v>
      </c>
      <c r="M73" s="59">
        <v>3830154</v>
      </c>
      <c r="N73" s="59">
        <v>2417166</v>
      </c>
      <c r="O73" s="59">
        <v>606761</v>
      </c>
      <c r="P73" s="59">
        <v>59587</v>
      </c>
      <c r="Q73" s="59">
        <v>2341</v>
      </c>
      <c r="R73" s="59">
        <v>0</v>
      </c>
      <c r="S73" s="59">
        <v>16913</v>
      </c>
      <c r="T73" s="59">
        <v>8467612</v>
      </c>
      <c r="U73" s="59">
        <v>1101911</v>
      </c>
      <c r="V73" s="59">
        <v>273704</v>
      </c>
      <c r="W73" s="59">
        <v>77994</v>
      </c>
      <c r="X73" s="59">
        <v>25967</v>
      </c>
      <c r="Y73" s="59">
        <v>11530</v>
      </c>
      <c r="Z73" s="59">
        <v>9410</v>
      </c>
      <c r="AA73" s="59">
        <v>6746</v>
      </c>
      <c r="AB73" s="59">
        <v>2466</v>
      </c>
      <c r="AC73" s="59">
        <v>1053</v>
      </c>
      <c r="AD73" s="59">
        <v>467</v>
      </c>
      <c r="AE73" s="59">
        <v>224</v>
      </c>
      <c r="AF73" s="59">
        <v>121</v>
      </c>
      <c r="AG73" s="59">
        <v>75</v>
      </c>
      <c r="AH73" s="59">
        <v>41</v>
      </c>
      <c r="AI73" s="59">
        <v>30</v>
      </c>
      <c r="AJ73" s="59">
        <v>36</v>
      </c>
      <c r="AK73" s="59">
        <v>24</v>
      </c>
      <c r="AL73" s="59">
        <v>35424153</v>
      </c>
      <c r="AM73" s="62">
        <v>1037179018280</v>
      </c>
      <c r="AN73" s="59">
        <v>40505</v>
      </c>
      <c r="AO73" s="59">
        <v>4721381412</v>
      </c>
      <c r="AP73" s="59">
        <v>103717</v>
      </c>
      <c r="AQ73" s="62">
        <v>54997429121</v>
      </c>
      <c r="AR73" s="59">
        <v>5499</v>
      </c>
      <c r="AS73" s="59">
        <v>53.025973999999998</v>
      </c>
      <c r="AT73" s="59">
        <v>75.971959999999996</v>
      </c>
      <c r="AU73" s="59">
        <v>23.986719999999998</v>
      </c>
      <c r="AV73" s="59">
        <v>75.735534999999999</v>
      </c>
      <c r="AW73" s="59">
        <v>81.016846000000001</v>
      </c>
      <c r="AX73" s="59">
        <v>75.508690000000001</v>
      </c>
      <c r="AY73" s="59">
        <v>78.222244000000003</v>
      </c>
      <c r="AZ73" s="59">
        <v>80.353980000000007</v>
      </c>
      <c r="BA73" s="59">
        <v>79.440780000000004</v>
      </c>
      <c r="BB73" s="59">
        <v>79.439970000000002</v>
      </c>
      <c r="BC73" s="59">
        <v>79.567589999999996</v>
      </c>
      <c r="BD73" s="59">
        <v>74.421683999999999</v>
      </c>
      <c r="BE73" s="59">
        <v>77.680250000000001</v>
      </c>
      <c r="BF73" s="59">
        <v>77.734660000000005</v>
      </c>
      <c r="BG73" s="59">
        <v>78.271039999999999</v>
      </c>
      <c r="BH73" s="59">
        <v>21.17698</v>
      </c>
      <c r="BI73" s="59">
        <v>75.698440000000005</v>
      </c>
      <c r="BJ73" s="59">
        <v>61.044918000000003</v>
      </c>
      <c r="BK73" s="59">
        <v>65.907646</v>
      </c>
      <c r="BL73" s="59">
        <v>66.85427</v>
      </c>
      <c r="BM73" s="59">
        <v>17.554887999999998</v>
      </c>
      <c r="BN73" s="62">
        <v>3998833524736</v>
      </c>
      <c r="BO73" s="62">
        <v>3970919317504</v>
      </c>
      <c r="BP73" s="62">
        <v>3846905892864</v>
      </c>
      <c r="BQ73" s="62">
        <v>3970919317504</v>
      </c>
      <c r="BR73" s="62">
        <v>3846905892864</v>
      </c>
      <c r="BS73" s="62">
        <v>80039891959342</v>
      </c>
      <c r="BT73" s="63">
        <v>0.57799162037037044</v>
      </c>
      <c r="BU73" s="59">
        <v>781403712</v>
      </c>
      <c r="BV73" s="59">
        <v>10000504</v>
      </c>
      <c r="BW73" s="59">
        <v>771403208</v>
      </c>
      <c r="BX73" s="64">
        <v>0.02</v>
      </c>
      <c r="BY73" s="59">
        <v>3905110864</v>
      </c>
      <c r="BZ73" s="59">
        <v>109635688</v>
      </c>
      <c r="CA73" s="59">
        <v>3795475176</v>
      </c>
      <c r="CB73" s="64">
        <v>0.03</v>
      </c>
      <c r="CC73" s="59" t="s">
        <v>254</v>
      </c>
      <c r="CD73" s="59" t="s">
        <v>255</v>
      </c>
      <c r="CE73" s="59" t="s">
        <v>256</v>
      </c>
      <c r="CF73" s="64">
        <v>0.03</v>
      </c>
      <c r="CG73" s="65">
        <f t="shared" ref="CG73:CG74" si="0">((BS73-C73)/1000000000)/60</f>
        <v>17.868042068849999</v>
      </c>
      <c r="CH73" s="63">
        <f t="shared" ref="CH73:CH74" si="1">BT73-B73</f>
        <v>1.2408402777777883E-2</v>
      </c>
      <c r="CI73" s="69">
        <f t="shared" ref="CI73:CI74" si="2">((BO73-BP73)-AQ73)/(BO73-BP73)</f>
        <v>0.55652035833497326</v>
      </c>
    </row>
    <row r="74" spans="1:87" s="70" customFormat="1" x14ac:dyDescent="0.2">
      <c r="A74" s="59" t="s">
        <v>62</v>
      </c>
      <c r="B74" s="63">
        <v>0.69821638888888893</v>
      </c>
      <c r="C74" s="62">
        <v>90427315188174</v>
      </c>
      <c r="D74" s="59">
        <v>1000</v>
      </c>
      <c r="E74" s="59">
        <v>100000</v>
      </c>
      <c r="F74" s="59">
        <v>100000000</v>
      </c>
      <c r="G74" s="59">
        <v>1</v>
      </c>
      <c r="H74" s="59">
        <v>327</v>
      </c>
      <c r="I74" s="59">
        <v>23110</v>
      </c>
      <c r="J74" s="59">
        <v>599178</v>
      </c>
      <c r="K74" s="59">
        <v>6058210</v>
      </c>
      <c r="L74" s="59">
        <v>24176454</v>
      </c>
      <c r="M74" s="59">
        <v>38291431</v>
      </c>
      <c r="N74" s="59">
        <v>24172220</v>
      </c>
      <c r="O74" s="59">
        <v>6059210</v>
      </c>
      <c r="P74" s="59">
        <v>596580</v>
      </c>
      <c r="Q74" s="59">
        <v>22945</v>
      </c>
      <c r="R74" s="59">
        <v>0</v>
      </c>
      <c r="S74" s="59">
        <v>240527</v>
      </c>
      <c r="T74" s="59">
        <v>78818912</v>
      </c>
      <c r="U74" s="59">
        <v>12936726</v>
      </c>
      <c r="V74" s="59">
        <v>3204924</v>
      </c>
      <c r="W74" s="59">
        <v>2806458</v>
      </c>
      <c r="X74" s="59">
        <v>1243871</v>
      </c>
      <c r="Y74" s="59">
        <v>238382</v>
      </c>
      <c r="Z74" s="59">
        <v>120192</v>
      </c>
      <c r="AA74" s="59">
        <v>69366</v>
      </c>
      <c r="AB74" s="59">
        <v>28995</v>
      </c>
      <c r="AC74" s="59">
        <v>14394</v>
      </c>
      <c r="AD74" s="59">
        <v>5870</v>
      </c>
      <c r="AE74" s="59">
        <v>2763</v>
      </c>
      <c r="AF74" s="59">
        <v>1506</v>
      </c>
      <c r="AG74" s="59">
        <v>1059</v>
      </c>
      <c r="AH74" s="59">
        <v>1504</v>
      </c>
      <c r="AI74" s="59">
        <v>1331</v>
      </c>
      <c r="AJ74" s="59">
        <v>498</v>
      </c>
      <c r="AK74" s="59">
        <v>204</v>
      </c>
      <c r="AL74" s="59">
        <v>3733472913</v>
      </c>
      <c r="AM74" s="62">
        <v>14277531142510</v>
      </c>
      <c r="AN74" s="59">
        <v>41387</v>
      </c>
      <c r="AO74" s="59">
        <v>5079069769</v>
      </c>
      <c r="AP74" s="59">
        <v>142775</v>
      </c>
      <c r="AQ74" s="62">
        <v>549944003390</v>
      </c>
      <c r="AR74" s="59">
        <v>5499</v>
      </c>
      <c r="AS74" s="59">
        <v>38.518146999999999</v>
      </c>
      <c r="AT74" s="59">
        <v>75.678290000000004</v>
      </c>
      <c r="AU74" s="59">
        <v>73.038475000000005</v>
      </c>
      <c r="AV74" s="59">
        <v>41.805813000000001</v>
      </c>
      <c r="AW74" s="59">
        <v>35.897550000000003</v>
      </c>
      <c r="AX74" s="59">
        <v>26.836514999999999</v>
      </c>
      <c r="AY74" s="59">
        <v>26.706205000000001</v>
      </c>
      <c r="AZ74" s="59">
        <v>28.436820000000001</v>
      </c>
      <c r="BA74" s="59">
        <v>22.338379</v>
      </c>
      <c r="BB74" s="59">
        <v>27.572512</v>
      </c>
      <c r="BC74" s="59">
        <v>28.251283999999998</v>
      </c>
      <c r="BD74" s="59">
        <v>28.804113000000001</v>
      </c>
      <c r="BE74" s="59">
        <v>26.300667000000001</v>
      </c>
      <c r="BF74" s="59">
        <v>30.691327999999999</v>
      </c>
      <c r="BG74" s="59">
        <v>27.786000000000001</v>
      </c>
      <c r="BH74" s="59">
        <v>28.837160000000001</v>
      </c>
      <c r="BI74" s="59">
        <v>26.272235999999999</v>
      </c>
      <c r="BJ74" s="59">
        <v>32.693317</v>
      </c>
      <c r="BK74" s="59">
        <v>25.421230000000001</v>
      </c>
      <c r="BL74" s="59">
        <v>30.406711999999999</v>
      </c>
      <c r="BM74" s="59">
        <v>41.166096000000003</v>
      </c>
      <c r="BN74" s="62">
        <v>3998833524736</v>
      </c>
      <c r="BO74" s="62">
        <v>3970919317504</v>
      </c>
      <c r="BP74" s="62">
        <v>3093392449536</v>
      </c>
      <c r="BQ74" s="62">
        <v>3970919317504</v>
      </c>
      <c r="BR74" s="62">
        <v>3093392449536</v>
      </c>
      <c r="BS74" s="62">
        <v>105034104113804</v>
      </c>
      <c r="BT74" s="63">
        <v>0.86727649305555554</v>
      </c>
      <c r="BU74" s="59">
        <v>781403712</v>
      </c>
      <c r="BV74" s="59">
        <v>100001004</v>
      </c>
      <c r="BW74" s="59">
        <v>681402708</v>
      </c>
      <c r="BX74" s="64">
        <v>0.13</v>
      </c>
      <c r="BY74" s="59">
        <v>3905110864</v>
      </c>
      <c r="BZ74" s="59">
        <v>850925380</v>
      </c>
      <c r="CA74" s="59">
        <v>3054185484</v>
      </c>
      <c r="CB74" s="64">
        <v>0.22</v>
      </c>
      <c r="CC74" s="59" t="s">
        <v>254</v>
      </c>
      <c r="CD74" s="59" t="s">
        <v>270</v>
      </c>
      <c r="CE74" s="59" t="s">
        <v>271</v>
      </c>
      <c r="CF74" s="64">
        <v>0.22</v>
      </c>
      <c r="CG74" s="65">
        <f t="shared" si="0"/>
        <v>243.44648209383334</v>
      </c>
      <c r="CH74" s="63">
        <f t="shared" si="1"/>
        <v>0.16906010416666661</v>
      </c>
      <c r="CI74" s="69">
        <f t="shared" si="2"/>
        <v>0.37330237572844971</v>
      </c>
    </row>
    <row r="82" spans="51:134" x14ac:dyDescent="0.2">
      <c r="AY82" t="s">
        <v>62</v>
      </c>
      <c r="AZ82" s="53">
        <v>0.56558321759259256</v>
      </c>
      <c r="BA82">
        <v>78967809435211</v>
      </c>
      <c r="BB82">
        <v>500</v>
      </c>
      <c r="BC82">
        <v>20000</v>
      </c>
      <c r="BD82">
        <v>10000000</v>
      </c>
      <c r="BE82">
        <v>1</v>
      </c>
      <c r="BF82">
        <v>28</v>
      </c>
      <c r="BG82">
        <v>2320</v>
      </c>
      <c r="BH82">
        <v>59866</v>
      </c>
      <c r="BI82">
        <v>606648</v>
      </c>
      <c r="BJ82">
        <v>2415088</v>
      </c>
      <c r="BK82">
        <v>3830154</v>
      </c>
      <c r="BL82">
        <v>2417166</v>
      </c>
      <c r="BM82">
        <v>606761</v>
      </c>
      <c r="BN82">
        <v>59587</v>
      </c>
      <c r="BO82">
        <v>2341</v>
      </c>
      <c r="BP82">
        <v>0</v>
      </c>
      <c r="BQ82">
        <v>16913</v>
      </c>
      <c r="BR82">
        <v>8467612</v>
      </c>
      <c r="BS82">
        <v>1101911</v>
      </c>
      <c r="BT82">
        <v>273704</v>
      </c>
      <c r="BU82">
        <v>77994</v>
      </c>
      <c r="BV82">
        <v>25967</v>
      </c>
      <c r="BW82">
        <v>11530</v>
      </c>
      <c r="BX82">
        <v>9410</v>
      </c>
      <c r="BY82">
        <v>6746</v>
      </c>
      <c r="BZ82">
        <v>2466</v>
      </c>
      <c r="CA82">
        <v>1053</v>
      </c>
      <c r="CB82">
        <v>467</v>
      </c>
      <c r="CC82">
        <v>224</v>
      </c>
      <c r="CD82">
        <v>121</v>
      </c>
      <c r="CE82">
        <v>75</v>
      </c>
      <c r="CF82">
        <v>41</v>
      </c>
      <c r="CG82">
        <v>30</v>
      </c>
      <c r="CH82">
        <v>36</v>
      </c>
      <c r="CI82">
        <v>24</v>
      </c>
      <c r="CJ82">
        <v>35424153</v>
      </c>
      <c r="CK82">
        <v>1037179018280</v>
      </c>
      <c r="CL82">
        <v>40505</v>
      </c>
      <c r="CM82">
        <v>4721381412</v>
      </c>
      <c r="CN82">
        <v>103717</v>
      </c>
      <c r="CO82">
        <v>54997429121</v>
      </c>
      <c r="CP82">
        <v>5499</v>
      </c>
      <c r="CQ82">
        <v>53.025973999999998</v>
      </c>
      <c r="CR82">
        <v>75.971959999999996</v>
      </c>
      <c r="CS82">
        <v>23.986719999999998</v>
      </c>
      <c r="CT82">
        <v>75.735534999999999</v>
      </c>
      <c r="CU82">
        <v>81.016846000000001</v>
      </c>
      <c r="CV82">
        <v>75.508690000000001</v>
      </c>
      <c r="CW82">
        <v>78.222244000000003</v>
      </c>
      <c r="CX82">
        <v>80.353980000000007</v>
      </c>
      <c r="CY82">
        <v>79.440780000000004</v>
      </c>
      <c r="CZ82">
        <v>79.439970000000002</v>
      </c>
      <c r="DA82">
        <v>79.567589999999996</v>
      </c>
      <c r="DB82">
        <v>74.421683999999999</v>
      </c>
      <c r="DC82">
        <v>77.680250000000001</v>
      </c>
      <c r="DD82">
        <v>77.734660000000005</v>
      </c>
      <c r="DE82">
        <v>78.271039999999999</v>
      </c>
      <c r="DF82">
        <v>21.17698</v>
      </c>
      <c r="DG82">
        <v>75.698440000000005</v>
      </c>
      <c r="DH82">
        <v>61.044918000000003</v>
      </c>
      <c r="DI82">
        <v>65.907646</v>
      </c>
      <c r="DJ82">
        <v>66.85427</v>
      </c>
      <c r="DK82">
        <v>17.554887999999998</v>
      </c>
      <c r="DL82">
        <v>3998833524736</v>
      </c>
      <c r="DM82">
        <v>3970919317504</v>
      </c>
      <c r="DN82">
        <v>3846905892864</v>
      </c>
      <c r="DO82">
        <v>3970919317504</v>
      </c>
      <c r="DP82">
        <v>3846905892864</v>
      </c>
      <c r="DQ82">
        <v>80039891959342</v>
      </c>
      <c r="DR82" s="53">
        <v>0.57799162037037044</v>
      </c>
      <c r="DS82">
        <v>781403712</v>
      </c>
      <c r="DT82">
        <v>10000504</v>
      </c>
      <c r="DU82">
        <v>771403208</v>
      </c>
      <c r="DV82" s="19">
        <v>0.02</v>
      </c>
      <c r="DW82">
        <v>3905110864</v>
      </c>
      <c r="DX82">
        <v>109635688</v>
      </c>
      <c r="DY82">
        <v>3795475176</v>
      </c>
      <c r="DZ82" s="19">
        <v>0.03</v>
      </c>
      <c r="EA82" t="s">
        <v>254</v>
      </c>
      <c r="EB82" t="s">
        <v>255</v>
      </c>
      <c r="EC82" t="s">
        <v>256</v>
      </c>
      <c r="ED82" s="19">
        <v>0.03</v>
      </c>
    </row>
    <row r="83" spans="51:134" x14ac:dyDescent="0.2">
      <c r="AY83" t="s">
        <v>62</v>
      </c>
      <c r="AZ83" s="53">
        <v>0.69821638888888893</v>
      </c>
      <c r="BA83">
        <v>90427315188174</v>
      </c>
      <c r="BB83">
        <v>1000</v>
      </c>
      <c r="BC83">
        <v>100000</v>
      </c>
      <c r="BD83">
        <v>100000000</v>
      </c>
      <c r="BE83">
        <v>1</v>
      </c>
      <c r="BF83">
        <v>327</v>
      </c>
      <c r="BG83">
        <v>23110</v>
      </c>
      <c r="BH83">
        <v>599178</v>
      </c>
      <c r="BI83">
        <v>6058210</v>
      </c>
      <c r="BJ83">
        <v>24176454</v>
      </c>
      <c r="BK83">
        <v>38291431</v>
      </c>
      <c r="BL83">
        <v>24172220</v>
      </c>
      <c r="BM83">
        <v>6059210</v>
      </c>
      <c r="BN83">
        <v>596580</v>
      </c>
      <c r="BO83">
        <v>22945</v>
      </c>
      <c r="BP83">
        <v>0</v>
      </c>
      <c r="BQ83">
        <v>240527</v>
      </c>
      <c r="BR83">
        <v>78818912</v>
      </c>
      <c r="BS83">
        <v>12936726</v>
      </c>
      <c r="BT83">
        <v>3204924</v>
      </c>
      <c r="BU83">
        <v>2806458</v>
      </c>
      <c r="BV83">
        <v>1243871</v>
      </c>
      <c r="BW83">
        <v>238382</v>
      </c>
      <c r="BX83">
        <v>120192</v>
      </c>
      <c r="BY83">
        <v>69366</v>
      </c>
      <c r="BZ83">
        <v>28995</v>
      </c>
      <c r="CA83">
        <v>14394</v>
      </c>
      <c r="CB83">
        <v>5870</v>
      </c>
      <c r="CC83">
        <v>2763</v>
      </c>
      <c r="CD83">
        <v>1506</v>
      </c>
      <c r="CE83">
        <v>1059</v>
      </c>
      <c r="CF83">
        <v>1504</v>
      </c>
      <c r="CG83">
        <v>1331</v>
      </c>
      <c r="CH83">
        <v>498</v>
      </c>
      <c r="CI83">
        <v>204</v>
      </c>
      <c r="CJ83">
        <v>3733472913</v>
      </c>
      <c r="CK83">
        <v>14277531142510</v>
      </c>
      <c r="CL83">
        <v>41387</v>
      </c>
      <c r="CM83">
        <v>5079069769</v>
      </c>
      <c r="CN83">
        <v>142775</v>
      </c>
      <c r="CO83">
        <v>549944003390</v>
      </c>
      <c r="CP83">
        <v>5499</v>
      </c>
      <c r="CQ83">
        <v>38.518146999999999</v>
      </c>
      <c r="CR83">
        <v>75.678290000000004</v>
      </c>
      <c r="CS83">
        <v>73.038475000000005</v>
      </c>
      <c r="CT83">
        <v>41.805813000000001</v>
      </c>
      <c r="CU83">
        <v>35.897550000000003</v>
      </c>
      <c r="CV83">
        <v>26.836514999999999</v>
      </c>
      <c r="CW83">
        <v>26.706205000000001</v>
      </c>
      <c r="CX83">
        <v>28.436820000000001</v>
      </c>
      <c r="CY83">
        <v>22.338379</v>
      </c>
      <c r="CZ83">
        <v>27.572512</v>
      </c>
      <c r="DA83">
        <v>28.251283999999998</v>
      </c>
      <c r="DB83">
        <v>28.804113000000001</v>
      </c>
      <c r="DC83">
        <v>26.300667000000001</v>
      </c>
      <c r="DD83">
        <v>30.691327999999999</v>
      </c>
      <c r="DE83">
        <v>27.786000000000001</v>
      </c>
      <c r="DF83">
        <v>28.837160000000001</v>
      </c>
      <c r="DG83">
        <v>26.272235999999999</v>
      </c>
      <c r="DH83">
        <v>32.693317</v>
      </c>
      <c r="DI83">
        <v>25.421230000000001</v>
      </c>
      <c r="DJ83">
        <v>30.406711999999999</v>
      </c>
      <c r="DK83">
        <v>41.166096000000003</v>
      </c>
      <c r="DL83">
        <v>3998833524736</v>
      </c>
      <c r="DM83">
        <v>3970919317504</v>
      </c>
      <c r="DN83">
        <v>3093392449536</v>
      </c>
      <c r="DO83">
        <v>3970919317504</v>
      </c>
      <c r="DP83">
        <v>3093392449536</v>
      </c>
      <c r="DQ83">
        <v>105034104113804</v>
      </c>
      <c r="DR83" s="53">
        <v>0.86727649305555554</v>
      </c>
      <c r="DS83">
        <v>781403712</v>
      </c>
      <c r="DT83">
        <v>100001004</v>
      </c>
      <c r="DU83">
        <v>681402708</v>
      </c>
      <c r="DV83" s="19">
        <v>0.13</v>
      </c>
      <c r="DW83">
        <v>3905110864</v>
      </c>
      <c r="DX83">
        <v>850925380</v>
      </c>
      <c r="DY83">
        <v>3054185484</v>
      </c>
      <c r="DZ83" s="19">
        <v>0.22</v>
      </c>
      <c r="EA83" t="s">
        <v>254</v>
      </c>
      <c r="EB83" t="s">
        <v>270</v>
      </c>
      <c r="EC83" t="s">
        <v>271</v>
      </c>
      <c r="ED83" s="19">
        <v>0.22</v>
      </c>
    </row>
    <row r="84" spans="51:134" x14ac:dyDescent="0.2">
      <c r="AY84" t="s">
        <v>62</v>
      </c>
      <c r="AZ84" s="53">
        <v>0.53948442129629626</v>
      </c>
      <c r="BA84">
        <v>530860334103</v>
      </c>
      <c r="BB84">
        <v>500</v>
      </c>
      <c r="BC84">
        <v>20000</v>
      </c>
      <c r="BD84">
        <v>10000000</v>
      </c>
      <c r="BE84">
        <v>1</v>
      </c>
      <c r="BF84">
        <v>36</v>
      </c>
      <c r="BG84">
        <v>2295</v>
      </c>
      <c r="BH84">
        <v>59725</v>
      </c>
      <c r="BI84">
        <v>606688</v>
      </c>
      <c r="BJ84">
        <v>2414647</v>
      </c>
      <c r="BK84">
        <v>3828268</v>
      </c>
      <c r="BL84">
        <v>2419702</v>
      </c>
      <c r="BM84">
        <v>606543</v>
      </c>
      <c r="BN84">
        <v>59820</v>
      </c>
      <c r="BO84">
        <v>2246</v>
      </c>
      <c r="BP84">
        <v>0</v>
      </c>
      <c r="BQ84">
        <v>406</v>
      </c>
      <c r="BR84">
        <v>8961001</v>
      </c>
      <c r="BS84">
        <v>644862</v>
      </c>
      <c r="BT84">
        <v>211960</v>
      </c>
      <c r="BU84">
        <v>113722</v>
      </c>
      <c r="BV84">
        <v>23331</v>
      </c>
      <c r="BW84">
        <v>10035</v>
      </c>
      <c r="BX84">
        <v>10066</v>
      </c>
      <c r="BY84">
        <v>8603</v>
      </c>
      <c r="BZ84">
        <v>6717</v>
      </c>
      <c r="CA84">
        <v>3175</v>
      </c>
      <c r="CB84">
        <v>1316</v>
      </c>
      <c r="CC84">
        <v>555</v>
      </c>
      <c r="CD84">
        <v>303</v>
      </c>
      <c r="CE84">
        <v>184</v>
      </c>
      <c r="CF84">
        <v>154</v>
      </c>
      <c r="CG84">
        <v>88</v>
      </c>
      <c r="CH84">
        <v>43</v>
      </c>
      <c r="CI84">
        <v>37</v>
      </c>
      <c r="CJ84">
        <v>33926497</v>
      </c>
      <c r="CK84">
        <v>994690184135</v>
      </c>
      <c r="CL84">
        <v>45576</v>
      </c>
      <c r="CM84">
        <v>4974370908</v>
      </c>
      <c r="CN84">
        <v>99469</v>
      </c>
      <c r="CO84">
        <v>54999867897</v>
      </c>
      <c r="CP84">
        <v>5499</v>
      </c>
      <c r="CQ84">
        <v>55.293464999999998</v>
      </c>
      <c r="CR84">
        <v>78.726910000000004</v>
      </c>
      <c r="CS84">
        <v>78.762569999999997</v>
      </c>
      <c r="CT84">
        <v>83.590866000000005</v>
      </c>
      <c r="CU84">
        <v>82.286100000000005</v>
      </c>
      <c r="CV84">
        <v>83.415580000000006</v>
      </c>
      <c r="CW84">
        <v>82.293139999999994</v>
      </c>
      <c r="CX84">
        <v>84.608109999999996</v>
      </c>
      <c r="CY84">
        <v>83.622280000000003</v>
      </c>
      <c r="CZ84">
        <v>82.822100000000006</v>
      </c>
      <c r="DA84">
        <v>22.684570000000001</v>
      </c>
      <c r="DB84">
        <v>83.140379999999993</v>
      </c>
      <c r="DC84">
        <v>83.912890000000004</v>
      </c>
      <c r="DD84">
        <v>82.506675999999999</v>
      </c>
      <c r="DE84">
        <v>80.876419999999996</v>
      </c>
      <c r="DF84">
        <v>82.489919999999998</v>
      </c>
      <c r="DG84">
        <v>82.484780000000001</v>
      </c>
      <c r="DH84">
        <v>80.825789999999998</v>
      </c>
      <c r="DI84">
        <v>62.40616</v>
      </c>
      <c r="DJ84">
        <v>80.309430000000006</v>
      </c>
      <c r="DK84">
        <v>83.806049999999999</v>
      </c>
      <c r="DL84">
        <v>3998833524736</v>
      </c>
      <c r="DM84">
        <v>3970919317504</v>
      </c>
      <c r="DN84">
        <v>3845025173504</v>
      </c>
      <c r="DO84">
        <v>3970919317504</v>
      </c>
      <c r="DP84">
        <v>3845025173504</v>
      </c>
      <c r="DQ84">
        <v>1560920296845</v>
      </c>
      <c r="DR84" s="53">
        <v>0.55140644675925932</v>
      </c>
      <c r="DS84">
        <v>781403712</v>
      </c>
      <c r="DT84">
        <v>10000504</v>
      </c>
      <c r="DU84">
        <v>771403208</v>
      </c>
      <c r="DV84" s="19">
        <v>0.02</v>
      </c>
      <c r="DW84">
        <v>3905110864</v>
      </c>
      <c r="DX84">
        <v>109602308</v>
      </c>
      <c r="DY84">
        <v>3795508556</v>
      </c>
      <c r="DZ84" s="19">
        <v>0.03</v>
      </c>
      <c r="EA84" t="s">
        <v>254</v>
      </c>
      <c r="EB84" t="s">
        <v>255</v>
      </c>
      <c r="EC84" t="s">
        <v>256</v>
      </c>
      <c r="ED84" s="19">
        <v>0.03</v>
      </c>
    </row>
    <row r="85" spans="51:134" x14ac:dyDescent="0.2">
      <c r="AY85" t="s">
        <v>62</v>
      </c>
      <c r="AZ85" s="53">
        <v>0.56641527777777778</v>
      </c>
      <c r="BA85">
        <v>2857686716640</v>
      </c>
      <c r="BB85">
        <v>1000</v>
      </c>
      <c r="BC85">
        <v>100000</v>
      </c>
      <c r="BD85">
        <v>100000000</v>
      </c>
      <c r="BE85">
        <v>1</v>
      </c>
      <c r="BF85">
        <v>316</v>
      </c>
      <c r="BG85">
        <v>23069</v>
      </c>
      <c r="BH85">
        <v>599115</v>
      </c>
      <c r="BI85">
        <v>6058317</v>
      </c>
      <c r="BJ85">
        <v>24176023</v>
      </c>
      <c r="BK85">
        <v>38285282</v>
      </c>
      <c r="BL85">
        <v>24175345</v>
      </c>
      <c r="BM85">
        <v>6061001</v>
      </c>
      <c r="BN85">
        <v>598495</v>
      </c>
      <c r="BO85">
        <v>22722</v>
      </c>
      <c r="BP85">
        <v>0</v>
      </c>
      <c r="BQ85">
        <v>2999540</v>
      </c>
      <c r="BR85">
        <v>86666419</v>
      </c>
      <c r="BS85">
        <v>6750712</v>
      </c>
      <c r="BT85">
        <v>1804658</v>
      </c>
      <c r="BU85">
        <v>1087950</v>
      </c>
      <c r="BV85">
        <v>267725</v>
      </c>
      <c r="BW85">
        <v>124053</v>
      </c>
      <c r="BX85">
        <v>94076</v>
      </c>
      <c r="BY85">
        <v>62809</v>
      </c>
      <c r="BZ85">
        <v>36289</v>
      </c>
      <c r="CA85">
        <v>16397</v>
      </c>
      <c r="CB85">
        <v>8234</v>
      </c>
      <c r="CC85">
        <v>5795</v>
      </c>
      <c r="CD85">
        <v>3300</v>
      </c>
      <c r="CE85">
        <v>1718</v>
      </c>
      <c r="CF85">
        <v>1151</v>
      </c>
      <c r="CG85">
        <v>898</v>
      </c>
      <c r="CH85">
        <v>705</v>
      </c>
      <c r="CI85">
        <v>596</v>
      </c>
      <c r="CJ85">
        <v>185237105</v>
      </c>
      <c r="CK85">
        <v>11168543986465</v>
      </c>
      <c r="CL85">
        <v>38979</v>
      </c>
      <c r="CM85">
        <v>5367533012</v>
      </c>
      <c r="CN85">
        <v>111685</v>
      </c>
      <c r="CO85">
        <v>549947533505</v>
      </c>
      <c r="CP85">
        <v>5499</v>
      </c>
      <c r="CQ85">
        <v>49.240749999999998</v>
      </c>
      <c r="CR85">
        <v>54.544727000000002</v>
      </c>
      <c r="CS85">
        <v>39.055267000000001</v>
      </c>
      <c r="CT85">
        <v>32.254528000000001</v>
      </c>
      <c r="CU85">
        <v>48.684837000000002</v>
      </c>
      <c r="CV85">
        <v>48.096428000000003</v>
      </c>
      <c r="CW85">
        <v>43.268566</v>
      </c>
      <c r="CX85">
        <v>44.380740000000003</v>
      </c>
      <c r="CY85">
        <v>48.705112</v>
      </c>
      <c r="CZ85">
        <v>45.845753000000002</v>
      </c>
      <c r="DA85">
        <v>44.737834999999997</v>
      </c>
      <c r="DB85">
        <v>44.653606000000003</v>
      </c>
      <c r="DC85">
        <v>49.124003999999999</v>
      </c>
      <c r="DD85">
        <v>45.452025999999996</v>
      </c>
      <c r="DE85">
        <v>49.04148</v>
      </c>
      <c r="DF85">
        <v>45.256880000000002</v>
      </c>
      <c r="DG85">
        <v>44.869155999999997</v>
      </c>
      <c r="DH85">
        <v>44.907432999999997</v>
      </c>
      <c r="DI85">
        <v>46.20279</v>
      </c>
      <c r="DJ85">
        <v>46.933585999999998</v>
      </c>
      <c r="DK85">
        <v>47.136580000000002</v>
      </c>
      <c r="DL85">
        <v>3998833524736</v>
      </c>
      <c r="DM85">
        <v>3970919317504</v>
      </c>
      <c r="DN85">
        <v>3091714732032</v>
      </c>
      <c r="DO85">
        <v>3970919317504</v>
      </c>
      <c r="DP85">
        <v>3091714732032</v>
      </c>
      <c r="DQ85">
        <v>14307041587122</v>
      </c>
      <c r="DR85" s="53">
        <v>0.6989309953703704</v>
      </c>
      <c r="DS85">
        <v>781403712</v>
      </c>
      <c r="DT85">
        <v>100001004</v>
      </c>
      <c r="DU85">
        <v>681402708</v>
      </c>
      <c r="DV85" s="19">
        <v>0.13</v>
      </c>
      <c r="DW85">
        <v>3905110864</v>
      </c>
      <c r="DX85">
        <v>850901236</v>
      </c>
      <c r="DY85">
        <v>3054209628</v>
      </c>
      <c r="DZ85" s="19">
        <v>0.22</v>
      </c>
      <c r="EA85" t="s">
        <v>254</v>
      </c>
      <c r="EB85" t="s">
        <v>270</v>
      </c>
      <c r="EC85" t="s">
        <v>271</v>
      </c>
      <c r="ED85" s="19">
        <v>0.22</v>
      </c>
    </row>
    <row r="86" spans="51:134" x14ac:dyDescent="0.2">
      <c r="AY86" t="s">
        <v>62</v>
      </c>
      <c r="AZ86" s="53">
        <v>0.71151358796296293</v>
      </c>
      <c r="BA86">
        <v>15394180389710</v>
      </c>
      <c r="BB86">
        <v>1000</v>
      </c>
      <c r="BC86">
        <v>100000</v>
      </c>
      <c r="BD86">
        <v>100000000</v>
      </c>
      <c r="BE86">
        <v>1</v>
      </c>
      <c r="BF86">
        <v>336</v>
      </c>
      <c r="BG86">
        <v>23116</v>
      </c>
      <c r="BH86">
        <v>597760</v>
      </c>
      <c r="BI86">
        <v>6059626</v>
      </c>
      <c r="BJ86">
        <v>24165352</v>
      </c>
      <c r="BK86">
        <v>38301314</v>
      </c>
      <c r="BL86">
        <v>24176413</v>
      </c>
      <c r="BM86">
        <v>6056100</v>
      </c>
      <c r="BN86">
        <v>596682</v>
      </c>
      <c r="BO86">
        <v>22994</v>
      </c>
      <c r="BP86">
        <v>99999990</v>
      </c>
      <c r="BQ86">
        <v>7</v>
      </c>
      <c r="BR86">
        <v>0</v>
      </c>
      <c r="BS86">
        <v>0</v>
      </c>
      <c r="BT86">
        <v>1</v>
      </c>
      <c r="BU86">
        <v>1</v>
      </c>
      <c r="BV86">
        <v>0</v>
      </c>
      <c r="BW86">
        <v>0</v>
      </c>
      <c r="BX86">
        <v>0</v>
      </c>
      <c r="BY86">
        <v>0</v>
      </c>
      <c r="BZ86">
        <v>0</v>
      </c>
      <c r="CA86">
        <v>0</v>
      </c>
      <c r="CB86">
        <v>0</v>
      </c>
      <c r="CC86">
        <v>0</v>
      </c>
      <c r="CD86">
        <v>0</v>
      </c>
      <c r="CE86">
        <v>0</v>
      </c>
      <c r="CF86">
        <v>0</v>
      </c>
      <c r="CG86">
        <v>0</v>
      </c>
      <c r="CH86">
        <v>0</v>
      </c>
      <c r="CI86">
        <v>0</v>
      </c>
      <c r="CJ86">
        <v>352348</v>
      </c>
      <c r="CK86">
        <v>2923489792</v>
      </c>
      <c r="CL86">
        <v>26</v>
      </c>
      <c r="CM86">
        <v>4359773</v>
      </c>
      <c r="CN86">
        <v>29</v>
      </c>
      <c r="CO86">
        <v>549948581295</v>
      </c>
      <c r="CP86">
        <v>5499</v>
      </c>
      <c r="CQ86">
        <v>188113.72</v>
      </c>
      <c r="CR86">
        <v>186501.97</v>
      </c>
      <c r="CS86">
        <v>188102.22</v>
      </c>
      <c r="CT86">
        <v>187386.19</v>
      </c>
      <c r="CU86">
        <v>188311.48</v>
      </c>
      <c r="CV86">
        <v>175827.56</v>
      </c>
      <c r="CW86">
        <v>190905.28</v>
      </c>
      <c r="CX86">
        <v>188642.27</v>
      </c>
      <c r="CY86">
        <v>191610.31</v>
      </c>
      <c r="CZ86">
        <v>187606.48</v>
      </c>
      <c r="DA86">
        <v>192210.75</v>
      </c>
      <c r="DB86">
        <v>191772.92</v>
      </c>
      <c r="DC86">
        <v>191194.8</v>
      </c>
      <c r="DD86">
        <v>190862.39</v>
      </c>
      <c r="DE86">
        <v>191861.8</v>
      </c>
      <c r="DF86">
        <v>189330.3</v>
      </c>
      <c r="DG86">
        <v>192292.16</v>
      </c>
      <c r="DH86">
        <v>191959.44</v>
      </c>
      <c r="DI86">
        <v>191752.23</v>
      </c>
      <c r="DJ86">
        <v>191505.64</v>
      </c>
      <c r="DK86">
        <v>183876.03</v>
      </c>
      <c r="DL86">
        <v>3998833524736</v>
      </c>
      <c r="DM86">
        <v>3127510659072</v>
      </c>
      <c r="DN86">
        <v>3127510659072</v>
      </c>
      <c r="DO86">
        <v>3127510659072</v>
      </c>
      <c r="DP86">
        <v>3127510659072</v>
      </c>
      <c r="DQ86">
        <v>15487725350677</v>
      </c>
      <c r="DR86" s="53">
        <v>0.71259631944444435</v>
      </c>
      <c r="DS86">
        <v>781403712</v>
      </c>
      <c r="DT86">
        <v>100001004</v>
      </c>
      <c r="DU86">
        <v>681402708</v>
      </c>
      <c r="DV86" s="19">
        <v>0.13</v>
      </c>
      <c r="DW86">
        <v>3905110864</v>
      </c>
      <c r="DX86">
        <v>850901236</v>
      </c>
      <c r="DY86">
        <v>3054209628</v>
      </c>
      <c r="DZ86" s="19">
        <v>0.22</v>
      </c>
      <c r="EA86" t="s">
        <v>254</v>
      </c>
      <c r="EB86" t="s">
        <v>270</v>
      </c>
      <c r="EC86" t="s">
        <v>271</v>
      </c>
      <c r="ED86" s="19">
        <v>0.22</v>
      </c>
    </row>
    <row r="87" spans="51:134" x14ac:dyDescent="0.2">
      <c r="AY87" t="s">
        <v>62</v>
      </c>
      <c r="AZ87" s="53">
        <v>0.74167540509259255</v>
      </c>
      <c r="BA87">
        <v>18000161635848</v>
      </c>
      <c r="BB87">
        <v>500</v>
      </c>
      <c r="BC87">
        <v>20000</v>
      </c>
      <c r="BD87">
        <v>10000000</v>
      </c>
      <c r="BE87">
        <v>1</v>
      </c>
      <c r="BF87">
        <v>38</v>
      </c>
      <c r="BG87">
        <v>2316</v>
      </c>
      <c r="BH87">
        <v>59819</v>
      </c>
      <c r="BI87">
        <v>606892</v>
      </c>
      <c r="BJ87">
        <v>2417204</v>
      </c>
      <c r="BK87">
        <v>3829920</v>
      </c>
      <c r="BL87">
        <v>2416750</v>
      </c>
      <c r="BM87">
        <v>605320</v>
      </c>
      <c r="BN87">
        <v>59475</v>
      </c>
      <c r="BO87">
        <v>2240</v>
      </c>
      <c r="BP87">
        <v>10000000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49500</v>
      </c>
      <c r="CK87">
        <v>311986263</v>
      </c>
      <c r="CL87">
        <v>26</v>
      </c>
      <c r="CM87">
        <v>21603</v>
      </c>
      <c r="CN87">
        <v>31</v>
      </c>
      <c r="CO87">
        <v>54992710493</v>
      </c>
      <c r="CP87">
        <v>5499</v>
      </c>
      <c r="CQ87">
        <v>176266.45</v>
      </c>
      <c r="CR87">
        <v>166660.54999999999</v>
      </c>
      <c r="CS87">
        <v>169447.44</v>
      </c>
      <c r="CT87">
        <v>174157.94</v>
      </c>
      <c r="CU87">
        <v>177885.23</v>
      </c>
      <c r="CV87">
        <v>182037.97</v>
      </c>
      <c r="CW87">
        <v>181666.75</v>
      </c>
      <c r="CX87">
        <v>181892.34</v>
      </c>
      <c r="CY87">
        <v>181788.7</v>
      </c>
      <c r="CZ87">
        <v>181593.78</v>
      </c>
      <c r="DA87">
        <v>182135.11</v>
      </c>
      <c r="DB87">
        <v>181990.62</v>
      </c>
      <c r="DC87">
        <v>150861.29999999999</v>
      </c>
      <c r="DD87">
        <v>182283.06</v>
      </c>
      <c r="DE87">
        <v>181640.19</v>
      </c>
      <c r="DF87">
        <v>181769.56</v>
      </c>
      <c r="DG87">
        <v>181743.22</v>
      </c>
      <c r="DH87">
        <v>181875.53</v>
      </c>
      <c r="DI87">
        <v>182017.12</v>
      </c>
      <c r="DJ87">
        <v>181277.77</v>
      </c>
      <c r="DK87">
        <v>181546.28</v>
      </c>
      <c r="DL87">
        <v>3998833524736</v>
      </c>
      <c r="DM87">
        <v>3127510659072</v>
      </c>
      <c r="DN87">
        <v>3127510659072</v>
      </c>
      <c r="DO87">
        <v>3127510659072</v>
      </c>
      <c r="DP87">
        <v>3127510659072</v>
      </c>
      <c r="DQ87">
        <v>18012509516922</v>
      </c>
      <c r="DR87" s="53">
        <v>0.74181835648148153</v>
      </c>
      <c r="DS87">
        <v>781403712</v>
      </c>
      <c r="DT87">
        <v>100001004</v>
      </c>
      <c r="DU87">
        <v>681402708</v>
      </c>
      <c r="DV87" s="19">
        <v>0.13</v>
      </c>
      <c r="DW87">
        <v>3905110864</v>
      </c>
      <c r="DX87">
        <v>850901236</v>
      </c>
      <c r="DY87">
        <v>3054209628</v>
      </c>
      <c r="DZ87" s="19">
        <v>0.22</v>
      </c>
      <c r="EA87" t="s">
        <v>254</v>
      </c>
      <c r="EB87" t="s">
        <v>270</v>
      </c>
      <c r="EC87" t="s">
        <v>271</v>
      </c>
      <c r="ED87" s="19">
        <v>0.22</v>
      </c>
    </row>
  </sheetData>
  <sortState xmlns:xlrd2="http://schemas.microsoft.com/office/spreadsheetml/2017/richdata2" ref="P3:P11">
    <sortCondition ref="P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31C4-3CAB-2943-925D-A6282A2CA9F6}">
  <dimension ref="A2:AR46"/>
  <sheetViews>
    <sheetView workbookViewId="0">
      <selection activeCell="S48" sqref="S48"/>
    </sheetView>
  </sheetViews>
  <sheetFormatPr baseColWidth="10" defaultRowHeight="16" x14ac:dyDescent="0.2"/>
  <cols>
    <col min="2" max="2" width="12.83203125" customWidth="1"/>
    <col min="3" max="3" width="18.83203125" style="2" bestFit="1" customWidth="1"/>
    <col min="4" max="4" width="8" customWidth="1"/>
    <col min="5" max="5" width="12" customWidth="1"/>
    <col min="6" max="6" width="14" bestFit="1" customWidth="1"/>
    <col min="7" max="7" width="7.6640625" bestFit="1" customWidth="1"/>
    <col min="8" max="8" width="5" bestFit="1" customWidth="1"/>
    <col min="9" max="9" width="7.1640625" bestFit="1" customWidth="1"/>
    <col min="10" max="10" width="8.1640625" bestFit="1" customWidth="1"/>
    <col min="11" max="11" width="9.1640625" bestFit="1" customWidth="1"/>
    <col min="12" max="14" width="10.1640625" bestFit="1" customWidth="1"/>
    <col min="15" max="15" width="9.1640625" bestFit="1" customWidth="1"/>
    <col min="16" max="16" width="8.1640625" customWidth="1"/>
    <col min="17" max="17" width="7.1640625" bestFit="1" customWidth="1"/>
    <col min="18" max="20" width="5.83203125" bestFit="1" customWidth="1"/>
    <col min="21" max="21" width="8.1640625" bestFit="1" customWidth="1"/>
    <col min="22" max="27" width="9.1640625" bestFit="1" customWidth="1"/>
    <col min="28" max="28" width="12.1640625" customWidth="1"/>
    <col min="29" max="29" width="18.83203125" bestFit="1" customWidth="1"/>
    <col min="30" max="30" width="8.5" customWidth="1"/>
    <col min="31" max="31" width="11" customWidth="1"/>
    <col min="32" max="32" width="8.33203125" customWidth="1"/>
    <col min="33" max="33" width="16.33203125" style="2" bestFit="1" customWidth="1"/>
    <col min="35" max="35" width="5" bestFit="1" customWidth="1"/>
    <col min="36" max="36" width="6.33203125" bestFit="1" customWidth="1"/>
    <col min="37" max="37" width="12.83203125" customWidth="1"/>
    <col min="38" max="38" width="11.6640625" customWidth="1"/>
    <col min="40" max="40" width="11.6640625" bestFit="1" customWidth="1"/>
  </cols>
  <sheetData>
    <row r="2" spans="1:44" s="4" customFormat="1" ht="51" x14ac:dyDescent="0.2">
      <c r="A2" s="4" t="s">
        <v>38</v>
      </c>
      <c r="B2" s="4" t="s">
        <v>43</v>
      </c>
      <c r="C2" s="3" t="s">
        <v>40</v>
      </c>
      <c r="D2" s="4" t="s">
        <v>0</v>
      </c>
      <c r="E2" s="4" t="s">
        <v>1</v>
      </c>
      <c r="F2" s="4" t="s">
        <v>2</v>
      </c>
      <c r="G2" s="4" t="s">
        <v>3</v>
      </c>
      <c r="H2" s="8" t="s">
        <v>4</v>
      </c>
      <c r="I2" s="8" t="s">
        <v>5</v>
      </c>
      <c r="J2" s="8" t="s">
        <v>6</v>
      </c>
      <c r="K2" s="8" t="s">
        <v>7</v>
      </c>
      <c r="L2" s="8" t="s">
        <v>8</v>
      </c>
      <c r="M2" s="8" t="s">
        <v>9</v>
      </c>
      <c r="N2" s="8" t="s">
        <v>10</v>
      </c>
      <c r="O2" s="8" t="s">
        <v>11</v>
      </c>
      <c r="P2" s="8" t="s">
        <v>12</v>
      </c>
      <c r="Q2" s="8" t="s">
        <v>13</v>
      </c>
      <c r="R2" s="9" t="s">
        <v>14</v>
      </c>
      <c r="S2" s="9" t="s">
        <v>15</v>
      </c>
      <c r="T2" s="9" t="s">
        <v>16</v>
      </c>
      <c r="U2" s="9" t="s">
        <v>17</v>
      </c>
      <c r="V2" s="9" t="s">
        <v>18</v>
      </c>
      <c r="W2" s="9" t="s">
        <v>19</v>
      </c>
      <c r="X2" s="9" t="s">
        <v>20</v>
      </c>
      <c r="Y2" s="9" t="s">
        <v>21</v>
      </c>
      <c r="Z2" s="9" t="s">
        <v>22</v>
      </c>
      <c r="AA2" s="9" t="s">
        <v>23</v>
      </c>
      <c r="AB2" s="4" t="s">
        <v>25</v>
      </c>
      <c r="AC2" s="4" t="s">
        <v>24</v>
      </c>
      <c r="AD2" s="4" t="s">
        <v>26</v>
      </c>
      <c r="AE2" s="4" t="s">
        <v>27</v>
      </c>
      <c r="AF2" s="4" t="s">
        <v>28</v>
      </c>
      <c r="AG2" s="3" t="s">
        <v>41</v>
      </c>
      <c r="AH2" s="4" t="s">
        <v>42</v>
      </c>
      <c r="AI2" s="4" t="s">
        <v>29</v>
      </c>
      <c r="AJ2" s="4" t="s">
        <v>37</v>
      </c>
      <c r="AK2" s="4" t="s">
        <v>44</v>
      </c>
      <c r="AL2" s="4" t="s">
        <v>45</v>
      </c>
    </row>
    <row r="3" spans="1:44" x14ac:dyDescent="0.2">
      <c r="A3" t="s">
        <v>39</v>
      </c>
      <c r="B3" s="7">
        <v>0.61471758101851848</v>
      </c>
      <c r="C3" s="2">
        <v>97128660492752</v>
      </c>
      <c r="D3">
        <v>10</v>
      </c>
      <c r="E3" s="16">
        <v>100</v>
      </c>
      <c r="F3" s="16">
        <v>1000</v>
      </c>
      <c r="G3">
        <v>1</v>
      </c>
      <c r="H3">
        <v>0</v>
      </c>
      <c r="I3">
        <v>0</v>
      </c>
      <c r="J3">
        <v>5</v>
      </c>
      <c r="K3">
        <v>58</v>
      </c>
      <c r="L3">
        <v>217</v>
      </c>
      <c r="M3">
        <v>403</v>
      </c>
      <c r="N3">
        <v>251</v>
      </c>
      <c r="O3">
        <v>59</v>
      </c>
      <c r="P3">
        <v>7</v>
      </c>
      <c r="Q3">
        <v>0</v>
      </c>
      <c r="R3">
        <v>0</v>
      </c>
      <c r="S3">
        <v>0</v>
      </c>
      <c r="T3">
        <v>0</v>
      </c>
      <c r="U3">
        <v>0</v>
      </c>
      <c r="V3">
        <v>38</v>
      </c>
      <c r="W3">
        <v>473</v>
      </c>
      <c r="X3">
        <v>113</v>
      </c>
      <c r="Y3">
        <v>94</v>
      </c>
      <c r="Z3">
        <v>135</v>
      </c>
      <c r="AA3">
        <v>65</v>
      </c>
      <c r="AB3">
        <v>927290</v>
      </c>
      <c r="AC3" s="2">
        <v>144085767</v>
      </c>
      <c r="AD3">
        <v>93724</v>
      </c>
      <c r="AE3">
        <v>3494988</v>
      </c>
      <c r="AF3">
        <v>144085</v>
      </c>
      <c r="AG3" s="2">
        <v>97128665675788</v>
      </c>
      <c r="AH3" s="2">
        <f>AG3-C3</f>
        <v>5183036</v>
      </c>
      <c r="AI3" s="2">
        <v>0</v>
      </c>
      <c r="AJ3" s="6" t="s">
        <v>30</v>
      </c>
      <c r="AK3" s="7">
        <v>0.61472009259259253</v>
      </c>
      <c r="AL3" s="7">
        <f t="shared" ref="AL3:AL10" si="0">AK3-B3</f>
        <v>2.5115740740488945E-6</v>
      </c>
    </row>
    <row r="4" spans="1:44" x14ac:dyDescent="0.2">
      <c r="A4" t="s">
        <v>39</v>
      </c>
      <c r="B4" s="7">
        <v>0.61717560185185183</v>
      </c>
      <c r="C4" s="2">
        <v>97341952255245</v>
      </c>
      <c r="D4">
        <v>20</v>
      </c>
      <c r="E4" s="16">
        <v>500</v>
      </c>
      <c r="F4" s="16">
        <v>10000</v>
      </c>
      <c r="G4">
        <v>1</v>
      </c>
      <c r="H4">
        <v>0</v>
      </c>
      <c r="I4">
        <v>1</v>
      </c>
      <c r="J4">
        <v>51</v>
      </c>
      <c r="K4">
        <v>632</v>
      </c>
      <c r="L4">
        <v>2457</v>
      </c>
      <c r="M4">
        <v>3776</v>
      </c>
      <c r="N4">
        <v>2418</v>
      </c>
      <c r="O4">
        <v>612</v>
      </c>
      <c r="P4">
        <v>52</v>
      </c>
      <c r="Q4">
        <v>1</v>
      </c>
      <c r="R4">
        <v>0</v>
      </c>
      <c r="S4">
        <v>0</v>
      </c>
      <c r="T4">
        <v>0</v>
      </c>
      <c r="U4">
        <v>2302</v>
      </c>
      <c r="V4">
        <v>3947</v>
      </c>
      <c r="W4">
        <v>2412</v>
      </c>
      <c r="X4">
        <v>731</v>
      </c>
      <c r="Y4">
        <v>225</v>
      </c>
      <c r="Z4">
        <v>173</v>
      </c>
      <c r="AA4">
        <v>100</v>
      </c>
      <c r="AB4">
        <v>1439497</v>
      </c>
      <c r="AC4" s="2">
        <v>986001420</v>
      </c>
      <c r="AD4">
        <v>63642</v>
      </c>
      <c r="AE4">
        <v>3889932</v>
      </c>
      <c r="AF4">
        <v>98600</v>
      </c>
      <c r="AG4" s="2">
        <v>97341962293221</v>
      </c>
      <c r="AH4" s="2">
        <f t="shared" ref="AH4:AH8" si="1">AG4-C4</f>
        <v>10037976</v>
      </c>
      <c r="AI4" s="2">
        <v>0</v>
      </c>
      <c r="AJ4" s="6" t="s">
        <v>30</v>
      </c>
      <c r="AK4" s="7">
        <v>0.61718880787037034</v>
      </c>
      <c r="AL4" s="7">
        <f t="shared" si="0"/>
        <v>1.3206018518507889E-5</v>
      </c>
    </row>
    <row r="5" spans="1:44" x14ac:dyDescent="0.2">
      <c r="A5" t="s">
        <v>39</v>
      </c>
      <c r="B5" s="7">
        <v>0.63423666666666667</v>
      </c>
      <c r="C5" s="2">
        <v>98824274783984</v>
      </c>
      <c r="D5">
        <v>100</v>
      </c>
      <c r="E5" s="16">
        <v>1000</v>
      </c>
      <c r="F5" s="16">
        <v>100000</v>
      </c>
      <c r="G5">
        <v>1</v>
      </c>
      <c r="H5">
        <v>0</v>
      </c>
      <c r="I5">
        <v>16</v>
      </c>
      <c r="J5">
        <v>604</v>
      </c>
      <c r="K5">
        <v>5906</v>
      </c>
      <c r="L5">
        <v>24171</v>
      </c>
      <c r="M5">
        <v>38438</v>
      </c>
      <c r="N5">
        <v>24250</v>
      </c>
      <c r="O5">
        <v>6011</v>
      </c>
      <c r="P5">
        <v>585</v>
      </c>
      <c r="Q5">
        <v>18</v>
      </c>
      <c r="R5">
        <v>0</v>
      </c>
      <c r="S5">
        <v>0</v>
      </c>
      <c r="T5">
        <v>0</v>
      </c>
      <c r="U5">
        <v>37779</v>
      </c>
      <c r="V5">
        <v>47771</v>
      </c>
      <c r="W5">
        <v>8804</v>
      </c>
      <c r="X5">
        <v>1990</v>
      </c>
      <c r="Y5">
        <v>1182</v>
      </c>
      <c r="Z5">
        <v>1059</v>
      </c>
      <c r="AA5">
        <v>651</v>
      </c>
      <c r="AB5">
        <v>5809448</v>
      </c>
      <c r="AC5" s="2">
        <v>8965406614</v>
      </c>
      <c r="AD5">
        <v>62982</v>
      </c>
      <c r="AE5">
        <v>18323652</v>
      </c>
      <c r="AF5">
        <v>89654</v>
      </c>
      <c r="AG5" s="2">
        <v>98824284905607</v>
      </c>
      <c r="AH5" s="2">
        <f t="shared" si="1"/>
        <v>10121623</v>
      </c>
      <c r="AI5" s="2">
        <v>0</v>
      </c>
      <c r="AJ5" s="6" t="s">
        <v>31</v>
      </c>
      <c r="AK5" s="7">
        <v>0.63434531250000004</v>
      </c>
      <c r="AL5" s="7">
        <f t="shared" si="0"/>
        <v>1.0864583333336508E-4</v>
      </c>
    </row>
    <row r="6" spans="1:44" x14ac:dyDescent="0.2">
      <c r="A6" t="s">
        <v>39</v>
      </c>
      <c r="B6" s="7">
        <v>0.63604326388888888</v>
      </c>
      <c r="C6" s="2">
        <v>99059618067150</v>
      </c>
      <c r="D6">
        <v>100</v>
      </c>
      <c r="E6" s="16">
        <v>10000</v>
      </c>
      <c r="F6" s="16">
        <v>1000000</v>
      </c>
      <c r="G6">
        <v>1</v>
      </c>
      <c r="H6">
        <v>3</v>
      </c>
      <c r="I6">
        <v>222</v>
      </c>
      <c r="J6">
        <v>6106</v>
      </c>
      <c r="K6">
        <v>60409</v>
      </c>
      <c r="L6">
        <v>241719</v>
      </c>
      <c r="M6">
        <v>382809</v>
      </c>
      <c r="N6">
        <v>242205</v>
      </c>
      <c r="O6">
        <v>60345</v>
      </c>
      <c r="P6">
        <v>5955</v>
      </c>
      <c r="Q6">
        <v>223</v>
      </c>
      <c r="R6">
        <v>0</v>
      </c>
      <c r="S6">
        <v>0</v>
      </c>
      <c r="T6">
        <v>0</v>
      </c>
      <c r="U6">
        <v>475028</v>
      </c>
      <c r="V6">
        <v>413424</v>
      </c>
      <c r="W6">
        <v>68127</v>
      </c>
      <c r="X6">
        <v>14998</v>
      </c>
      <c r="Y6">
        <v>10806</v>
      </c>
      <c r="Z6">
        <v>9006</v>
      </c>
      <c r="AA6">
        <v>4837</v>
      </c>
      <c r="AB6">
        <v>6128402</v>
      </c>
      <c r="AC6" s="2">
        <v>86250611523</v>
      </c>
      <c r="AD6">
        <v>61878</v>
      </c>
      <c r="AE6">
        <v>33862689</v>
      </c>
      <c r="AF6">
        <v>86250</v>
      </c>
      <c r="AG6" s="2">
        <v>99059623393544</v>
      </c>
      <c r="AH6" s="2">
        <f t="shared" si="1"/>
        <v>5326394</v>
      </c>
      <c r="AI6" s="2">
        <v>0</v>
      </c>
      <c r="AJ6" s="6" t="s">
        <v>32</v>
      </c>
      <c r="AK6" s="7">
        <v>0.63706914351851851</v>
      </c>
      <c r="AL6" s="7">
        <f t="shared" si="0"/>
        <v>1.0258796296296335E-3</v>
      </c>
    </row>
    <row r="7" spans="1:44" x14ac:dyDescent="0.2">
      <c r="A7" t="s">
        <v>39</v>
      </c>
      <c r="B7" s="7">
        <v>0.63914006944444446</v>
      </c>
      <c r="C7" s="2">
        <v>100161632230134</v>
      </c>
      <c r="D7">
        <v>500</v>
      </c>
      <c r="E7" s="16">
        <v>20000</v>
      </c>
      <c r="F7" s="16">
        <v>10000000</v>
      </c>
      <c r="G7">
        <v>1</v>
      </c>
      <c r="H7">
        <v>29</v>
      </c>
      <c r="I7">
        <v>2359</v>
      </c>
      <c r="J7">
        <v>59474</v>
      </c>
      <c r="K7">
        <v>604303</v>
      </c>
      <c r="L7">
        <v>2416735</v>
      </c>
      <c r="M7">
        <v>3830452</v>
      </c>
      <c r="N7">
        <v>2417564</v>
      </c>
      <c r="O7">
        <v>607302</v>
      </c>
      <c r="P7">
        <v>59452</v>
      </c>
      <c r="Q7">
        <v>2295</v>
      </c>
      <c r="R7">
        <v>0</v>
      </c>
      <c r="S7">
        <v>0</v>
      </c>
      <c r="T7">
        <v>0</v>
      </c>
      <c r="U7">
        <v>2771279</v>
      </c>
      <c r="V7">
        <v>5535633</v>
      </c>
      <c r="W7">
        <v>1233727</v>
      </c>
      <c r="X7">
        <v>287644</v>
      </c>
      <c r="Y7">
        <v>75764</v>
      </c>
      <c r="Z7">
        <v>42538</v>
      </c>
      <c r="AA7">
        <v>24692</v>
      </c>
      <c r="AB7">
        <v>30240531</v>
      </c>
      <c r="AC7" s="2">
        <v>901342535553</v>
      </c>
      <c r="AD7">
        <v>61467</v>
      </c>
      <c r="AE7">
        <v>52733173</v>
      </c>
      <c r="AF7">
        <v>90134</v>
      </c>
      <c r="AG7" s="2">
        <v>100161638909016</v>
      </c>
      <c r="AH7" s="2">
        <f t="shared" si="1"/>
        <v>6678882</v>
      </c>
      <c r="AI7" s="2">
        <v>0</v>
      </c>
      <c r="AJ7" s="6" t="s">
        <v>33</v>
      </c>
      <c r="AK7" s="7">
        <v>0.64982394675925925</v>
      </c>
      <c r="AL7" s="7">
        <f t="shared" si="0"/>
        <v>1.0683877314814794E-2</v>
      </c>
    </row>
    <row r="8" spans="1:44" x14ac:dyDescent="0.2">
      <c r="A8" t="s">
        <v>39</v>
      </c>
      <c r="B8" s="7">
        <v>0.66268622685185186</v>
      </c>
      <c r="C8" s="2">
        <v>114920586846154</v>
      </c>
      <c r="D8">
        <v>1000</v>
      </c>
      <c r="E8" s="16">
        <v>100000</v>
      </c>
      <c r="F8" s="16">
        <v>100000000</v>
      </c>
      <c r="G8">
        <v>1</v>
      </c>
      <c r="H8">
        <v>333</v>
      </c>
      <c r="I8">
        <v>22663</v>
      </c>
      <c r="J8">
        <v>597808</v>
      </c>
      <c r="K8">
        <v>6055097</v>
      </c>
      <c r="L8">
        <v>24178839</v>
      </c>
      <c r="M8">
        <v>38290592</v>
      </c>
      <c r="N8">
        <v>24172746</v>
      </c>
      <c r="O8">
        <v>6060014</v>
      </c>
      <c r="P8">
        <v>598601</v>
      </c>
      <c r="Q8">
        <v>22989</v>
      </c>
      <c r="R8">
        <v>0</v>
      </c>
      <c r="S8">
        <v>0</v>
      </c>
      <c r="T8">
        <v>0</v>
      </c>
      <c r="U8">
        <v>2161544</v>
      </c>
      <c r="V8">
        <v>12038188</v>
      </c>
      <c r="W8">
        <v>21370933</v>
      </c>
      <c r="X8">
        <v>23501458</v>
      </c>
      <c r="Y8">
        <v>24395944</v>
      </c>
      <c r="Z8">
        <v>11964867</v>
      </c>
      <c r="AA8">
        <v>2085583</v>
      </c>
      <c r="AB8">
        <v>99109171</v>
      </c>
      <c r="AC8" s="2">
        <v>13420672506618</v>
      </c>
      <c r="AD8">
        <v>63069</v>
      </c>
      <c r="AE8">
        <v>121425245</v>
      </c>
      <c r="AF8">
        <v>134206</v>
      </c>
      <c r="AG8" s="2">
        <v>114920612956835</v>
      </c>
      <c r="AH8" s="2">
        <f t="shared" si="1"/>
        <v>26110681</v>
      </c>
      <c r="AI8" s="2">
        <v>0</v>
      </c>
      <c r="AJ8" s="6" t="s">
        <v>34</v>
      </c>
      <c r="AK8" s="7">
        <v>0.82064542824074083</v>
      </c>
      <c r="AL8" s="7">
        <f t="shared" si="0"/>
        <v>0.15795920138888897</v>
      </c>
    </row>
    <row r="9" spans="1:44" x14ac:dyDescent="0.2">
      <c r="A9" t="s">
        <v>39</v>
      </c>
      <c r="B9" s="7">
        <v>0.86168613425925933</v>
      </c>
      <c r="C9" s="2">
        <v>126506660523212</v>
      </c>
      <c r="D9">
        <v>1000</v>
      </c>
      <c r="E9" s="16">
        <v>100000</v>
      </c>
      <c r="F9" s="16">
        <v>100000000</v>
      </c>
      <c r="G9">
        <v>2</v>
      </c>
      <c r="H9">
        <v>343</v>
      </c>
      <c r="I9">
        <v>22778</v>
      </c>
      <c r="J9">
        <v>598627</v>
      </c>
      <c r="K9">
        <v>6060609</v>
      </c>
      <c r="L9">
        <v>24169589</v>
      </c>
      <c r="M9">
        <v>38296968</v>
      </c>
      <c r="N9">
        <v>24165294</v>
      </c>
      <c r="O9">
        <v>6064474</v>
      </c>
      <c r="P9">
        <v>598195</v>
      </c>
      <c r="Q9">
        <v>22744</v>
      </c>
      <c r="R9">
        <v>0</v>
      </c>
      <c r="S9">
        <v>0</v>
      </c>
      <c r="T9">
        <v>0</v>
      </c>
      <c r="U9">
        <v>301187</v>
      </c>
      <c r="V9">
        <v>4595826</v>
      </c>
      <c r="W9">
        <v>12948297</v>
      </c>
      <c r="X9">
        <v>22748303</v>
      </c>
      <c r="Y9">
        <v>27340013</v>
      </c>
      <c r="Z9">
        <v>20878671</v>
      </c>
      <c r="AA9">
        <v>6839367</v>
      </c>
      <c r="AB9">
        <v>89028293</v>
      </c>
      <c r="AC9" s="2">
        <v>15821197829518</v>
      </c>
      <c r="AD9">
        <v>62424</v>
      </c>
      <c r="AE9">
        <v>642583433</v>
      </c>
      <c r="AF9">
        <v>158211</v>
      </c>
      <c r="AG9" s="2">
        <v>126506680468577</v>
      </c>
      <c r="AH9" s="2">
        <f t="shared" ref="AH9" si="2">AG9-C9</f>
        <v>19945365</v>
      </c>
      <c r="AI9" s="2">
        <v>0</v>
      </c>
      <c r="AJ9" s="6" t="s">
        <v>35</v>
      </c>
      <c r="AK9" s="7">
        <v>0.95474341435185195</v>
      </c>
      <c r="AL9" s="7">
        <f t="shared" si="0"/>
        <v>9.305728009259262E-2</v>
      </c>
    </row>
    <row r="10" spans="1:44" x14ac:dyDescent="0.2">
      <c r="A10" t="s">
        <v>39</v>
      </c>
      <c r="B10" s="7">
        <v>0.22260638888888887</v>
      </c>
      <c r="C10" s="2">
        <v>164481270342931</v>
      </c>
      <c r="D10">
        <v>1000</v>
      </c>
      <c r="E10" s="16">
        <v>100000</v>
      </c>
      <c r="F10" s="16">
        <v>100000000</v>
      </c>
      <c r="G10">
        <v>3</v>
      </c>
      <c r="H10">
        <v>334</v>
      </c>
      <c r="I10">
        <v>22705</v>
      </c>
      <c r="J10">
        <v>598393</v>
      </c>
      <c r="K10">
        <v>6057638</v>
      </c>
      <c r="L10">
        <v>24171206</v>
      </c>
      <c r="M10">
        <v>38297816</v>
      </c>
      <c r="N10">
        <v>24173312</v>
      </c>
      <c r="O10">
        <v>6057805</v>
      </c>
      <c r="P10">
        <v>597347</v>
      </c>
      <c r="Q10">
        <v>23139</v>
      </c>
      <c r="R10">
        <v>0</v>
      </c>
      <c r="S10">
        <v>0</v>
      </c>
      <c r="T10">
        <v>0</v>
      </c>
      <c r="U10">
        <v>54601</v>
      </c>
      <c r="V10">
        <v>1863133</v>
      </c>
      <c r="W10">
        <v>3970441</v>
      </c>
      <c r="X10">
        <v>5805703</v>
      </c>
      <c r="Y10">
        <v>7339798</v>
      </c>
      <c r="Z10">
        <v>7462048</v>
      </c>
      <c r="AA10">
        <v>6956366</v>
      </c>
      <c r="AB10">
        <v>292634797</v>
      </c>
      <c r="AC10" s="2">
        <v>44170659079015</v>
      </c>
      <c r="AD10">
        <v>65467</v>
      </c>
      <c r="AE10">
        <v>714059729</v>
      </c>
      <c r="AF10">
        <v>441706</v>
      </c>
      <c r="AG10" s="2">
        <v>164481300760528</v>
      </c>
      <c r="AH10" s="2">
        <f t="shared" ref="AH10:AH11" si="3">AG10-C10</f>
        <v>30417597</v>
      </c>
      <c r="AI10" s="2">
        <v>0</v>
      </c>
      <c r="AJ10" s="6" t="s">
        <v>36</v>
      </c>
      <c r="AK10" s="7">
        <v>0.39426449074074071</v>
      </c>
      <c r="AL10" s="7">
        <f t="shared" si="0"/>
        <v>0.17165810185185185</v>
      </c>
      <c r="AO10">
        <f>AC10/1000000000</f>
        <v>44170.659079015</v>
      </c>
      <c r="AP10">
        <f>AO10/60</f>
        <v>736.17765131691669</v>
      </c>
      <c r="AQ10">
        <f>AP10/60</f>
        <v>12.269627521948612</v>
      </c>
    </row>
    <row r="11" spans="1:44" x14ac:dyDescent="0.2">
      <c r="A11" s="91" t="s">
        <v>39</v>
      </c>
      <c r="B11" s="189">
        <v>0.42568484953703706</v>
      </c>
      <c r="C11" s="194">
        <v>383150880623902</v>
      </c>
      <c r="D11" s="191">
        <v>5000</v>
      </c>
      <c r="E11" s="195">
        <v>200000</v>
      </c>
      <c r="F11" s="190">
        <v>1000000000</v>
      </c>
      <c r="G11" s="91">
        <v>2</v>
      </c>
      <c r="H11" s="91">
        <v>3392</v>
      </c>
      <c r="I11" s="91">
        <v>229106</v>
      </c>
      <c r="J11" s="91">
        <v>5976792</v>
      </c>
      <c r="K11" s="91">
        <v>60601327</v>
      </c>
      <c r="L11" s="91">
        <v>241738704</v>
      </c>
      <c r="M11" s="91">
        <v>382925005</v>
      </c>
      <c r="N11" s="91">
        <v>241717303</v>
      </c>
      <c r="O11" s="91">
        <v>60598945</v>
      </c>
      <c r="P11" s="91">
        <v>5977458</v>
      </c>
      <c r="Q11" s="91">
        <v>228493</v>
      </c>
      <c r="R11" s="91">
        <v>0</v>
      </c>
      <c r="S11" s="91">
        <v>0</v>
      </c>
      <c r="T11" s="91">
        <v>3</v>
      </c>
      <c r="U11" s="91">
        <v>494424</v>
      </c>
      <c r="V11" s="91">
        <v>5979488</v>
      </c>
      <c r="W11" s="91">
        <v>14168821</v>
      </c>
      <c r="X11" s="91">
        <v>20571249</v>
      </c>
      <c r="Y11" s="91">
        <v>25085554</v>
      </c>
      <c r="Z11" s="91">
        <v>25909285</v>
      </c>
      <c r="AA11" s="91">
        <v>25342264</v>
      </c>
      <c r="AB11" s="91">
        <v>36520841866</v>
      </c>
      <c r="AC11" s="179">
        <v>429546743256173</v>
      </c>
      <c r="AD11" s="91">
        <v>57655</v>
      </c>
      <c r="AE11" s="91">
        <v>5267183940</v>
      </c>
      <c r="AF11" s="91">
        <v>429546</v>
      </c>
      <c r="AG11" s="179">
        <v>383150922922904</v>
      </c>
      <c r="AH11" s="179">
        <f t="shared" si="3"/>
        <v>42299002</v>
      </c>
      <c r="AI11" s="179">
        <v>0</v>
      </c>
      <c r="AJ11" s="193" t="s">
        <v>77</v>
      </c>
      <c r="AK11" s="189">
        <v>0.92516290509259258</v>
      </c>
      <c r="AL11" s="196">
        <f>AM11-B11</f>
        <v>0.57430357638888885</v>
      </c>
      <c r="AM11" s="196">
        <v>0.99998842592592585</v>
      </c>
      <c r="AN11" s="197">
        <f>AH11/1000000</f>
        <v>42.299002000000002</v>
      </c>
      <c r="AO11" s="91">
        <f>AC11/1000000000</f>
        <v>429546.74325617298</v>
      </c>
      <c r="AP11" s="91">
        <f>AO11/60</f>
        <v>7159.1123876028832</v>
      </c>
      <c r="AQ11" s="91">
        <f>AP11/60</f>
        <v>119.31853979338139</v>
      </c>
      <c r="AR11" s="91">
        <f>AQ11/24</f>
        <v>4.9716058247242243</v>
      </c>
    </row>
    <row r="14" spans="1:44" x14ac:dyDescent="0.2">
      <c r="B14" s="7"/>
      <c r="C14" s="1"/>
    </row>
    <row r="15" spans="1:44" x14ac:dyDescent="0.2">
      <c r="B15" s="7"/>
    </row>
    <row r="16" spans="1:44" x14ac:dyDescent="0.2">
      <c r="B16" s="7"/>
    </row>
    <row r="17" spans="2:2" x14ac:dyDescent="0.2">
      <c r="B17" s="7"/>
    </row>
    <row r="18" spans="2:2" x14ac:dyDescent="0.2">
      <c r="B18" s="7"/>
    </row>
    <row r="19" spans="2:2" x14ac:dyDescent="0.2">
      <c r="B19" s="7"/>
    </row>
    <row r="20" spans="2:2" x14ac:dyDescent="0.2">
      <c r="B20" s="7"/>
    </row>
    <row r="21" spans="2:2" x14ac:dyDescent="0.2">
      <c r="B21" s="7"/>
    </row>
    <row r="22" spans="2:2" x14ac:dyDescent="0.2">
      <c r="B22" s="7"/>
    </row>
    <row r="23" spans="2:2" x14ac:dyDescent="0.2">
      <c r="B23" s="7"/>
    </row>
    <row r="24" spans="2:2" x14ac:dyDescent="0.2">
      <c r="B24" s="7"/>
    </row>
    <row r="25" spans="2:2" x14ac:dyDescent="0.2">
      <c r="B25" s="7"/>
    </row>
    <row r="26" spans="2:2" x14ac:dyDescent="0.2">
      <c r="B26" s="7"/>
    </row>
    <row r="27" spans="2:2" x14ac:dyDescent="0.2">
      <c r="B27" s="7"/>
    </row>
    <row r="28" spans="2:2" x14ac:dyDescent="0.2">
      <c r="B28" s="7"/>
    </row>
    <row r="29" spans="2:2" x14ac:dyDescent="0.2">
      <c r="B29" s="7"/>
    </row>
    <row r="30" spans="2:2" x14ac:dyDescent="0.2">
      <c r="B30" s="7"/>
    </row>
    <row r="31" spans="2:2" x14ac:dyDescent="0.2">
      <c r="B31" s="7"/>
    </row>
    <row r="32" spans="2:2" x14ac:dyDescent="0.2">
      <c r="B32" s="7"/>
    </row>
    <row r="33" spans="2:2" x14ac:dyDescent="0.2">
      <c r="B33" s="7"/>
    </row>
    <row r="34" spans="2:2" x14ac:dyDescent="0.2">
      <c r="B34" s="7"/>
    </row>
    <row r="35" spans="2:2" x14ac:dyDescent="0.2">
      <c r="B35" s="7"/>
    </row>
    <row r="36" spans="2:2" x14ac:dyDescent="0.2">
      <c r="B36" s="7"/>
    </row>
    <row r="37" spans="2:2" x14ac:dyDescent="0.2">
      <c r="B37" s="7"/>
    </row>
    <row r="38" spans="2:2" x14ac:dyDescent="0.2">
      <c r="B38" s="7"/>
    </row>
    <row r="39" spans="2:2" x14ac:dyDescent="0.2">
      <c r="B39" s="7"/>
    </row>
    <row r="40" spans="2:2" x14ac:dyDescent="0.2">
      <c r="B40" s="7"/>
    </row>
    <row r="41" spans="2:2" x14ac:dyDescent="0.2">
      <c r="B41" s="7"/>
    </row>
    <row r="42" spans="2:2" x14ac:dyDescent="0.2">
      <c r="B42" s="7"/>
    </row>
    <row r="43" spans="2:2" x14ac:dyDescent="0.2">
      <c r="B43" s="7"/>
    </row>
    <row r="44" spans="2:2" x14ac:dyDescent="0.2">
      <c r="B44" s="7"/>
    </row>
    <row r="45" spans="2:2" x14ac:dyDescent="0.2">
      <c r="B45" s="7"/>
    </row>
    <row r="46" spans="2:2" x14ac:dyDescent="0.2">
      <c r="B46" s="7"/>
    </row>
  </sheetData>
  <sortState xmlns:xlrd2="http://schemas.microsoft.com/office/spreadsheetml/2017/richdata2" ref="C3:AG8">
    <sortCondition ref="F3:F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C7BF-63CF-CF49-8238-99B44655494A}">
  <dimension ref="A2:AM11"/>
  <sheetViews>
    <sheetView workbookViewId="0">
      <selection activeCell="F18" sqref="F18"/>
    </sheetView>
  </sheetViews>
  <sheetFormatPr baseColWidth="10" defaultRowHeight="16" x14ac:dyDescent="0.2"/>
  <cols>
    <col min="1" max="1" width="10.1640625" bestFit="1" customWidth="1"/>
    <col min="2" max="2" width="12.1640625" customWidth="1"/>
    <col min="3" max="3" width="16.6640625" customWidth="1"/>
    <col min="4" max="4" width="5.1640625" bestFit="1" customWidth="1"/>
    <col min="5" max="5" width="11.5" bestFit="1" customWidth="1"/>
    <col min="6" max="6" width="16.6640625" bestFit="1" customWidth="1"/>
    <col min="7" max="7" width="7.6640625" customWidth="1"/>
    <col min="8" max="8" width="5.1640625" bestFit="1" customWidth="1"/>
    <col min="9" max="9" width="7.1640625" bestFit="1" customWidth="1"/>
    <col min="10" max="10" width="8.1640625" bestFit="1" customWidth="1"/>
    <col min="11" max="11" width="9.1640625" bestFit="1" customWidth="1"/>
    <col min="12" max="14" width="10.1640625" bestFit="1" customWidth="1"/>
    <col min="15" max="15" width="9.1640625" bestFit="1" customWidth="1"/>
    <col min="16" max="16" width="8.1640625" bestFit="1" customWidth="1"/>
    <col min="17" max="17" width="7.1640625" bestFit="1" customWidth="1"/>
    <col min="18" max="18" width="5.83203125" bestFit="1" customWidth="1"/>
    <col min="19" max="19" width="7.1640625" bestFit="1" customWidth="1"/>
    <col min="20" max="20" width="9.1640625" bestFit="1" customWidth="1"/>
    <col min="21" max="22" width="10.1640625" bestFit="1" customWidth="1"/>
    <col min="23" max="24" width="9.1640625" bestFit="1" customWidth="1"/>
    <col min="25" max="27" width="8.1640625" bestFit="1" customWidth="1"/>
    <col min="28" max="28" width="11.1640625" bestFit="1" customWidth="1"/>
    <col min="29" max="29" width="12.1640625" bestFit="1" customWidth="1"/>
    <col min="30" max="30" width="6.1640625" bestFit="1" customWidth="1"/>
    <col min="31" max="31" width="11.1640625" bestFit="1" customWidth="1"/>
    <col min="32" max="32" width="7.1640625" bestFit="1" customWidth="1"/>
    <col min="33" max="33" width="17" customWidth="1"/>
    <col min="35" max="35" width="12.83203125" bestFit="1" customWidth="1"/>
    <col min="36" max="36" width="8.83203125" customWidth="1"/>
    <col min="37" max="37" width="11.6640625" bestFit="1" customWidth="1"/>
    <col min="38" max="38" width="12.1640625" customWidth="1"/>
    <col min="39" max="39" width="11.6640625" bestFit="1" customWidth="1"/>
  </cols>
  <sheetData>
    <row r="2" spans="1:39" s="5" customFormat="1" ht="51" x14ac:dyDescent="0.2">
      <c r="A2" s="4" t="s">
        <v>38</v>
      </c>
      <c r="B2" s="4" t="s">
        <v>43</v>
      </c>
      <c r="C2" s="3" t="s">
        <v>40</v>
      </c>
      <c r="D2" s="4" t="s">
        <v>0</v>
      </c>
      <c r="E2" s="4" t="s">
        <v>1</v>
      </c>
      <c r="F2" s="4" t="s">
        <v>2</v>
      </c>
      <c r="G2" s="4" t="s">
        <v>3</v>
      </c>
      <c r="H2" s="8" t="s">
        <v>4</v>
      </c>
      <c r="I2" s="8" t="s">
        <v>5</v>
      </c>
      <c r="J2" s="8" t="s">
        <v>6</v>
      </c>
      <c r="K2" s="8" t="s">
        <v>7</v>
      </c>
      <c r="L2" s="8" t="s">
        <v>8</v>
      </c>
      <c r="M2" s="8" t="s">
        <v>9</v>
      </c>
      <c r="N2" s="8" t="s">
        <v>10</v>
      </c>
      <c r="O2" s="8" t="s">
        <v>11</v>
      </c>
      <c r="P2" s="8" t="s">
        <v>12</v>
      </c>
      <c r="Q2" s="8" t="s">
        <v>13</v>
      </c>
      <c r="R2" s="9" t="s">
        <v>14</v>
      </c>
      <c r="S2" s="9" t="s">
        <v>15</v>
      </c>
      <c r="T2" s="9" t="s">
        <v>16</v>
      </c>
      <c r="U2" s="9" t="s">
        <v>17</v>
      </c>
      <c r="V2" s="9" t="s">
        <v>18</v>
      </c>
      <c r="W2" s="9" t="s">
        <v>19</v>
      </c>
      <c r="X2" s="9" t="s">
        <v>20</v>
      </c>
      <c r="Y2" s="9" t="s">
        <v>21</v>
      </c>
      <c r="Z2" s="9" t="s">
        <v>22</v>
      </c>
      <c r="AA2" s="9" t="s">
        <v>23</v>
      </c>
      <c r="AB2" s="4" t="s">
        <v>25</v>
      </c>
      <c r="AC2" s="4" t="s">
        <v>24</v>
      </c>
      <c r="AD2" s="4" t="s">
        <v>26</v>
      </c>
      <c r="AE2" s="4" t="s">
        <v>27</v>
      </c>
      <c r="AF2" s="4" t="s">
        <v>28</v>
      </c>
      <c r="AG2" s="3" t="s">
        <v>41</v>
      </c>
      <c r="AH2" s="4" t="s">
        <v>42</v>
      </c>
      <c r="AI2" s="4" t="s">
        <v>63</v>
      </c>
      <c r="AJ2" s="4" t="s">
        <v>37</v>
      </c>
      <c r="AK2" s="4" t="s">
        <v>44</v>
      </c>
      <c r="AL2" s="4" t="s">
        <v>45</v>
      </c>
    </row>
    <row r="3" spans="1:39" x14ac:dyDescent="0.2">
      <c r="A3" t="s">
        <v>62</v>
      </c>
      <c r="B3" s="7">
        <v>0.51225556712962961</v>
      </c>
      <c r="C3" s="2">
        <v>88275908319180</v>
      </c>
      <c r="D3">
        <v>10</v>
      </c>
      <c r="E3" s="16">
        <v>100</v>
      </c>
      <c r="F3" s="16">
        <v>1000</v>
      </c>
      <c r="G3">
        <v>1</v>
      </c>
      <c r="H3">
        <v>0</v>
      </c>
      <c r="I3">
        <v>0</v>
      </c>
      <c r="J3">
        <v>8</v>
      </c>
      <c r="K3">
        <v>58</v>
      </c>
      <c r="L3">
        <v>240</v>
      </c>
      <c r="M3">
        <v>373</v>
      </c>
      <c r="N3">
        <v>250</v>
      </c>
      <c r="O3">
        <v>66</v>
      </c>
      <c r="P3">
        <v>5</v>
      </c>
      <c r="Q3">
        <v>0</v>
      </c>
      <c r="R3">
        <v>0</v>
      </c>
      <c r="S3">
        <v>0</v>
      </c>
      <c r="T3">
        <v>0</v>
      </c>
      <c r="U3">
        <v>34</v>
      </c>
      <c r="V3">
        <v>504</v>
      </c>
      <c r="W3">
        <v>142</v>
      </c>
      <c r="X3">
        <v>150</v>
      </c>
      <c r="Y3">
        <v>120</v>
      </c>
      <c r="Z3">
        <v>24</v>
      </c>
      <c r="AA3">
        <v>10</v>
      </c>
      <c r="AB3">
        <v>1107180</v>
      </c>
      <c r="AC3">
        <v>112344437</v>
      </c>
      <c r="AD3">
        <v>76140</v>
      </c>
      <c r="AE3">
        <v>3433735</v>
      </c>
      <c r="AF3">
        <v>112344</v>
      </c>
      <c r="AG3" s="2">
        <v>88275914499933</v>
      </c>
      <c r="AH3" s="2">
        <f>AG3-C3</f>
        <v>6180753</v>
      </c>
      <c r="AI3">
        <v>1014</v>
      </c>
      <c r="AJ3" s="14" t="s">
        <v>64</v>
      </c>
      <c r="AK3" s="7">
        <v>0.51225769675925925</v>
      </c>
      <c r="AL3" s="7">
        <f>AK3-B3</f>
        <v>2.1296296296435813E-6</v>
      </c>
    </row>
    <row r="4" spans="1:39" x14ac:dyDescent="0.2">
      <c r="A4" t="s">
        <v>62</v>
      </c>
      <c r="B4" s="7">
        <v>0.51118122685185186</v>
      </c>
      <c r="C4" s="2">
        <v>88183836989616</v>
      </c>
      <c r="D4">
        <v>20</v>
      </c>
      <c r="E4" s="16">
        <v>500</v>
      </c>
      <c r="F4" s="16">
        <v>10000</v>
      </c>
      <c r="G4">
        <v>1</v>
      </c>
      <c r="H4">
        <v>0</v>
      </c>
      <c r="I4">
        <v>2</v>
      </c>
      <c r="J4">
        <v>73</v>
      </c>
      <c r="K4">
        <v>593</v>
      </c>
      <c r="L4">
        <v>2400</v>
      </c>
      <c r="M4">
        <v>3818</v>
      </c>
      <c r="N4">
        <v>2451</v>
      </c>
      <c r="O4">
        <v>594</v>
      </c>
      <c r="P4">
        <v>69</v>
      </c>
      <c r="Q4">
        <v>0</v>
      </c>
      <c r="R4">
        <v>0</v>
      </c>
      <c r="S4">
        <v>0</v>
      </c>
      <c r="T4">
        <v>2618</v>
      </c>
      <c r="U4">
        <v>3349</v>
      </c>
      <c r="V4">
        <v>2641</v>
      </c>
      <c r="W4">
        <v>660</v>
      </c>
      <c r="X4">
        <v>277</v>
      </c>
      <c r="Y4">
        <v>170</v>
      </c>
      <c r="Z4">
        <v>142</v>
      </c>
      <c r="AA4">
        <v>86</v>
      </c>
      <c r="AB4">
        <v>1774108</v>
      </c>
      <c r="AC4">
        <v>796182888</v>
      </c>
      <c r="AD4">
        <v>48195</v>
      </c>
      <c r="AE4">
        <v>3471632</v>
      </c>
      <c r="AF4">
        <v>79618</v>
      </c>
      <c r="AG4" s="2">
        <v>88183841953090</v>
      </c>
      <c r="AH4" s="2">
        <f t="shared" ref="AH4:AH9" si="0">AG4-C4</f>
        <v>4963474</v>
      </c>
      <c r="AI4" s="1">
        <v>10024</v>
      </c>
      <c r="AJ4" s="14" t="s">
        <v>65</v>
      </c>
      <c r="AK4" s="7">
        <v>0.51119204861111112</v>
      </c>
      <c r="AL4" s="7">
        <f>AK4-B4</f>
        <v>1.0821759259260766E-5</v>
      </c>
    </row>
    <row r="5" spans="1:39" x14ac:dyDescent="0.2">
      <c r="A5" t="s">
        <v>62</v>
      </c>
      <c r="B5" s="7">
        <v>0.50918545138888882</v>
      </c>
      <c r="C5" s="2">
        <v>88017162425823</v>
      </c>
      <c r="D5">
        <v>100</v>
      </c>
      <c r="E5" s="16">
        <v>1000</v>
      </c>
      <c r="F5" s="16">
        <v>100000</v>
      </c>
      <c r="G5">
        <v>1</v>
      </c>
      <c r="H5">
        <v>0</v>
      </c>
      <c r="I5">
        <v>13</v>
      </c>
      <c r="J5">
        <v>569</v>
      </c>
      <c r="K5">
        <v>6062</v>
      </c>
      <c r="L5">
        <v>24182</v>
      </c>
      <c r="M5">
        <v>38127</v>
      </c>
      <c r="N5">
        <v>24283</v>
      </c>
      <c r="O5">
        <v>6104</v>
      </c>
      <c r="P5">
        <v>634</v>
      </c>
      <c r="Q5">
        <v>25</v>
      </c>
      <c r="R5">
        <v>0</v>
      </c>
      <c r="S5">
        <v>0</v>
      </c>
      <c r="T5">
        <v>63770</v>
      </c>
      <c r="U5">
        <v>28004</v>
      </c>
      <c r="V5">
        <v>5490</v>
      </c>
      <c r="W5">
        <v>1325</v>
      </c>
      <c r="X5">
        <v>651</v>
      </c>
      <c r="Y5">
        <v>311</v>
      </c>
      <c r="Z5">
        <v>148</v>
      </c>
      <c r="AA5">
        <v>111</v>
      </c>
      <c r="AB5">
        <v>6809881</v>
      </c>
      <c r="AC5">
        <v>6298032962</v>
      </c>
      <c r="AD5">
        <v>41053</v>
      </c>
      <c r="AE5">
        <v>26186389</v>
      </c>
      <c r="AF5">
        <v>62980</v>
      </c>
      <c r="AG5" s="2">
        <v>88017173293944</v>
      </c>
      <c r="AH5" s="2">
        <f t="shared" si="0"/>
        <v>10868121</v>
      </c>
      <c r="AI5">
        <v>100104</v>
      </c>
      <c r="AJ5" s="6" t="s">
        <v>65</v>
      </c>
      <c r="AK5" s="7">
        <v>0.50926300925925927</v>
      </c>
      <c r="AL5" s="7">
        <f>AK5-B5</f>
        <v>7.7557870370448256E-5</v>
      </c>
    </row>
    <row r="6" spans="1:39" x14ac:dyDescent="0.2">
      <c r="A6" t="s">
        <v>62</v>
      </c>
      <c r="B6" s="7">
        <v>0.50498934027777775</v>
      </c>
      <c r="C6" s="2">
        <v>87700088567906</v>
      </c>
      <c r="D6">
        <v>100</v>
      </c>
      <c r="E6" s="16">
        <v>10000</v>
      </c>
      <c r="F6" s="16">
        <v>1000000</v>
      </c>
      <c r="G6">
        <v>1</v>
      </c>
      <c r="H6">
        <v>5</v>
      </c>
      <c r="I6">
        <v>254</v>
      </c>
      <c r="J6">
        <v>5927</v>
      </c>
      <c r="K6">
        <v>60810</v>
      </c>
      <c r="L6">
        <v>241920</v>
      </c>
      <c r="M6">
        <v>382556</v>
      </c>
      <c r="N6">
        <v>241533</v>
      </c>
      <c r="O6">
        <v>60777</v>
      </c>
      <c r="P6">
        <v>6002</v>
      </c>
      <c r="Q6">
        <v>213</v>
      </c>
      <c r="R6">
        <v>0</v>
      </c>
      <c r="S6">
        <v>24167</v>
      </c>
      <c r="T6">
        <v>900739</v>
      </c>
      <c r="U6">
        <v>50181</v>
      </c>
      <c r="V6">
        <v>8367</v>
      </c>
      <c r="W6">
        <v>8331</v>
      </c>
      <c r="X6">
        <v>4692</v>
      </c>
      <c r="Y6">
        <v>1492</v>
      </c>
      <c r="Z6">
        <v>816</v>
      </c>
      <c r="AA6">
        <v>516</v>
      </c>
      <c r="AB6">
        <v>5763232</v>
      </c>
      <c r="AC6">
        <v>50429385061</v>
      </c>
      <c r="AD6">
        <v>33240</v>
      </c>
      <c r="AE6">
        <v>1376699578</v>
      </c>
      <c r="AF6">
        <v>50429</v>
      </c>
      <c r="AG6" s="2">
        <v>87700096358917</v>
      </c>
      <c r="AH6" s="2">
        <f t="shared" si="0"/>
        <v>7791011</v>
      </c>
      <c r="AI6" s="1">
        <v>1000104</v>
      </c>
      <c r="AJ6" s="14" t="s">
        <v>66</v>
      </c>
      <c r="AK6" s="7">
        <v>0.50559313657407412</v>
      </c>
      <c r="AL6" s="7">
        <f>AK6-B6</f>
        <v>6.0379629629636611E-4</v>
      </c>
    </row>
    <row r="7" spans="1:39" x14ac:dyDescent="0.2">
      <c r="A7" t="s">
        <v>62</v>
      </c>
      <c r="B7" s="7">
        <v>0.41056140046296297</v>
      </c>
      <c r="C7" s="2">
        <v>80463902656746</v>
      </c>
      <c r="D7">
        <v>500</v>
      </c>
      <c r="E7" s="16">
        <v>20000</v>
      </c>
      <c r="F7" s="16">
        <v>10000000</v>
      </c>
      <c r="G7">
        <v>1</v>
      </c>
      <c r="H7">
        <v>45</v>
      </c>
      <c r="I7">
        <v>2301</v>
      </c>
      <c r="J7">
        <v>59524</v>
      </c>
      <c r="K7">
        <v>605796</v>
      </c>
      <c r="L7">
        <v>2416643</v>
      </c>
      <c r="M7">
        <v>3831371</v>
      </c>
      <c r="N7">
        <v>2416668</v>
      </c>
      <c r="O7">
        <v>605580</v>
      </c>
      <c r="P7">
        <v>59778</v>
      </c>
      <c r="Q7">
        <v>2263</v>
      </c>
      <c r="R7">
        <v>0</v>
      </c>
      <c r="S7">
        <v>128771</v>
      </c>
      <c r="T7">
        <v>8698083</v>
      </c>
      <c r="U7">
        <v>771316</v>
      </c>
      <c r="V7">
        <v>148604</v>
      </c>
      <c r="W7">
        <v>136546</v>
      </c>
      <c r="X7">
        <v>67263</v>
      </c>
      <c r="Y7">
        <v>16073</v>
      </c>
      <c r="Z7">
        <v>8105</v>
      </c>
      <c r="AA7">
        <v>5370</v>
      </c>
      <c r="AB7">
        <v>27129820</v>
      </c>
      <c r="AC7">
        <v>957303782682</v>
      </c>
      <c r="AD7">
        <v>32937</v>
      </c>
      <c r="AE7">
        <v>4631376040</v>
      </c>
      <c r="AF7">
        <v>95730</v>
      </c>
      <c r="AG7" s="2">
        <v>80463912576898</v>
      </c>
      <c r="AH7" s="2">
        <f t="shared" si="0"/>
        <v>9920152</v>
      </c>
      <c r="AI7">
        <v>10000504</v>
      </c>
      <c r="AJ7" s="14" t="s">
        <v>67</v>
      </c>
      <c r="AK7" s="7">
        <v>0.42184100694444443</v>
      </c>
      <c r="AL7" s="7">
        <f>AK7-B7</f>
        <v>1.1279606481481463E-2</v>
      </c>
    </row>
    <row r="8" spans="1:39" x14ac:dyDescent="0.2">
      <c r="A8" t="s">
        <v>62</v>
      </c>
      <c r="B8" s="7">
        <v>0.89395266203703694</v>
      </c>
      <c r="C8" s="2">
        <v>45815641243423</v>
      </c>
      <c r="D8">
        <v>1000</v>
      </c>
      <c r="E8" s="16">
        <v>100000</v>
      </c>
      <c r="F8" s="16">
        <v>100000000</v>
      </c>
      <c r="G8">
        <v>1</v>
      </c>
      <c r="H8">
        <v>310</v>
      </c>
      <c r="I8">
        <v>22971</v>
      </c>
      <c r="J8">
        <v>599059</v>
      </c>
      <c r="K8">
        <v>6059884</v>
      </c>
      <c r="L8">
        <v>24175077</v>
      </c>
      <c r="M8">
        <v>38292873</v>
      </c>
      <c r="N8">
        <v>24171737</v>
      </c>
      <c r="O8">
        <v>6057007</v>
      </c>
      <c r="P8">
        <v>597763</v>
      </c>
      <c r="Q8">
        <v>22961</v>
      </c>
      <c r="R8">
        <v>0</v>
      </c>
      <c r="S8">
        <v>12962</v>
      </c>
      <c r="T8">
        <v>73341030</v>
      </c>
      <c r="U8">
        <v>21384029</v>
      </c>
      <c r="V8">
        <v>2584241</v>
      </c>
      <c r="W8">
        <v>1369622</v>
      </c>
      <c r="X8">
        <v>803490</v>
      </c>
      <c r="Y8">
        <v>157329</v>
      </c>
      <c r="Z8">
        <v>108978</v>
      </c>
      <c r="AA8">
        <v>62020</v>
      </c>
      <c r="AB8">
        <v>576433058</v>
      </c>
      <c r="AC8">
        <v>10769418037349</v>
      </c>
      <c r="AD8">
        <v>31594</v>
      </c>
      <c r="AE8">
        <v>4882719613</v>
      </c>
      <c r="AF8">
        <v>107694</v>
      </c>
      <c r="AG8" s="2">
        <v>45815650161208</v>
      </c>
      <c r="AH8" s="2">
        <f t="shared" si="0"/>
        <v>8917785</v>
      </c>
      <c r="AI8" s="1">
        <v>100001004</v>
      </c>
      <c r="AJ8" s="14" t="s">
        <v>36</v>
      </c>
      <c r="AK8" s="7">
        <v>2.081945601851852E-2</v>
      </c>
      <c r="AL8" s="7">
        <f>AM8-B8+AK8</f>
        <v>0.12685521990740745</v>
      </c>
      <c r="AM8" s="7">
        <v>0.99998842592592585</v>
      </c>
    </row>
    <row r="9" spans="1:39" x14ac:dyDescent="0.2">
      <c r="A9" s="91" t="s">
        <v>62</v>
      </c>
      <c r="B9" s="189">
        <v>0.61441476851851851</v>
      </c>
      <c r="C9" s="179">
        <v>589710033508597</v>
      </c>
      <c r="D9" s="91">
        <v>5000</v>
      </c>
      <c r="E9" s="190">
        <v>200000</v>
      </c>
      <c r="F9" s="190">
        <v>1000000000</v>
      </c>
      <c r="G9" s="91">
        <v>1</v>
      </c>
      <c r="H9" s="91">
        <v>3378</v>
      </c>
      <c r="I9" s="91">
        <v>229124</v>
      </c>
      <c r="J9" s="91">
        <v>5977678</v>
      </c>
      <c r="K9" s="91">
        <v>60604022</v>
      </c>
      <c r="L9" s="91">
        <v>241710302</v>
      </c>
      <c r="M9" s="91">
        <v>382929272</v>
      </c>
      <c r="N9" s="91">
        <v>241730326</v>
      </c>
      <c r="O9" s="91">
        <v>60608334</v>
      </c>
      <c r="P9" s="91">
        <v>5975606</v>
      </c>
      <c r="Q9" s="91">
        <v>228543</v>
      </c>
      <c r="R9" s="91">
        <v>0</v>
      </c>
      <c r="S9" s="91">
        <v>0</v>
      </c>
      <c r="T9" s="91">
        <v>0</v>
      </c>
      <c r="U9" s="91">
        <v>482312804</v>
      </c>
      <c r="V9" s="91">
        <v>384586923</v>
      </c>
      <c r="W9" s="91">
        <v>89596959</v>
      </c>
      <c r="X9" s="91">
        <v>30749511</v>
      </c>
      <c r="Y9" s="91">
        <v>5089080</v>
      </c>
      <c r="Z9" s="91">
        <v>2481748</v>
      </c>
      <c r="AA9" s="91">
        <v>1441967</v>
      </c>
      <c r="AB9" s="91">
        <v>4697513858</v>
      </c>
      <c r="AC9" s="91">
        <v>136999315787313</v>
      </c>
      <c r="AD9" s="91">
        <v>60062</v>
      </c>
      <c r="AE9" s="91">
        <v>5472431393</v>
      </c>
      <c r="AF9" s="91">
        <v>136999</v>
      </c>
      <c r="AG9" s="179">
        <v>589710064277502</v>
      </c>
      <c r="AH9" s="179">
        <f t="shared" si="0"/>
        <v>30768905</v>
      </c>
      <c r="AI9" s="191">
        <v>1000005004</v>
      </c>
      <c r="AJ9" s="193" t="s">
        <v>68</v>
      </c>
      <c r="AK9" s="189">
        <v>0.22465203703703704</v>
      </c>
      <c r="AL9" s="189">
        <f>AM9-B9+AK9</f>
        <v>0.61022569444444441</v>
      </c>
      <c r="AM9" s="189">
        <v>0.99998842592592585</v>
      </c>
    </row>
    <row r="11" spans="1:39" x14ac:dyDescent="0.2">
      <c r="AH11" s="8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24F97-8EB5-884C-86A5-E141366065D8}">
  <dimension ref="A2:AM23"/>
  <sheetViews>
    <sheetView zoomScale="110" zoomScaleNormal="110" workbookViewId="0">
      <selection activeCell="Q50" sqref="Q50"/>
    </sheetView>
  </sheetViews>
  <sheetFormatPr baseColWidth="10" defaultRowHeight="16" x14ac:dyDescent="0.2"/>
  <cols>
    <col min="1" max="1" width="10.1640625" bestFit="1" customWidth="1"/>
    <col min="2" max="2" width="11.6640625" bestFit="1" customWidth="1"/>
    <col min="3" max="3" width="17.1640625" bestFit="1" customWidth="1"/>
    <col min="4" max="4" width="7.5" customWidth="1"/>
    <col min="5" max="5" width="11.5" customWidth="1"/>
    <col min="6" max="6" width="16.6640625" bestFit="1" customWidth="1"/>
    <col min="7" max="7" width="8.1640625" customWidth="1"/>
    <col min="8" max="8" width="5.1640625" bestFit="1" customWidth="1"/>
    <col min="9" max="9" width="7.1640625" bestFit="1" customWidth="1"/>
    <col min="10" max="10" width="8.1640625" bestFit="1" customWidth="1"/>
    <col min="11" max="11" width="9.1640625" bestFit="1" customWidth="1"/>
    <col min="12" max="14" width="10.1640625" bestFit="1" customWidth="1"/>
    <col min="15" max="15" width="9.1640625" bestFit="1" customWidth="1"/>
    <col min="16" max="16" width="8.1640625" bestFit="1" customWidth="1"/>
    <col min="17" max="17" width="7.1640625" bestFit="1" customWidth="1"/>
    <col min="18" max="18" width="5.83203125" bestFit="1" customWidth="1"/>
    <col min="19" max="19" width="5.6640625" customWidth="1"/>
    <col min="20" max="20" width="7.1640625" bestFit="1" customWidth="1"/>
    <col min="21" max="22" width="10.1640625" bestFit="1" customWidth="1"/>
    <col min="23" max="24" width="9.1640625" bestFit="1" customWidth="1"/>
    <col min="25" max="27" width="8.1640625" bestFit="1" customWidth="1"/>
    <col min="28" max="28" width="12.33203125" customWidth="1"/>
    <col min="29" max="29" width="17.1640625" bestFit="1" customWidth="1"/>
    <col min="30" max="30" width="7.1640625" bestFit="1" customWidth="1"/>
    <col min="31" max="31" width="11.33203125" customWidth="1"/>
    <col min="32" max="32" width="7.1640625" bestFit="1" customWidth="1"/>
    <col min="33" max="33" width="18.83203125" bestFit="1" customWidth="1"/>
    <col min="34" max="34" width="9.83203125" bestFit="1" customWidth="1"/>
    <col min="35" max="35" width="12.83203125" bestFit="1" customWidth="1"/>
    <col min="36" max="36" width="10.6640625" bestFit="1" customWidth="1"/>
    <col min="37" max="37" width="11.6640625" bestFit="1" customWidth="1"/>
    <col min="38" max="38" width="12" customWidth="1"/>
    <col min="39" max="39" width="11.6640625" bestFit="1" customWidth="1"/>
  </cols>
  <sheetData>
    <row r="2" spans="1:39" s="5" customFormat="1" ht="51" x14ac:dyDescent="0.2">
      <c r="A2" s="4" t="s">
        <v>38</v>
      </c>
      <c r="B2" s="4" t="s">
        <v>43</v>
      </c>
      <c r="C2" s="3" t="s">
        <v>40</v>
      </c>
      <c r="D2" s="4" t="s">
        <v>0</v>
      </c>
      <c r="E2" s="4" t="s">
        <v>1</v>
      </c>
      <c r="F2" s="4" t="s">
        <v>2</v>
      </c>
      <c r="G2" s="4" t="s">
        <v>3</v>
      </c>
      <c r="H2" s="8" t="s">
        <v>4</v>
      </c>
      <c r="I2" s="8" t="s">
        <v>5</v>
      </c>
      <c r="J2" s="8" t="s">
        <v>6</v>
      </c>
      <c r="K2" s="8" t="s">
        <v>7</v>
      </c>
      <c r="L2" s="8" t="s">
        <v>8</v>
      </c>
      <c r="M2" s="8" t="s">
        <v>9</v>
      </c>
      <c r="N2" s="8" t="s">
        <v>10</v>
      </c>
      <c r="O2" s="8" t="s">
        <v>11</v>
      </c>
      <c r="P2" s="8" t="s">
        <v>12</v>
      </c>
      <c r="Q2" s="8" t="s">
        <v>13</v>
      </c>
      <c r="R2" s="9" t="s">
        <v>14</v>
      </c>
      <c r="S2" s="9" t="s">
        <v>15</v>
      </c>
      <c r="T2" s="9" t="s">
        <v>16</v>
      </c>
      <c r="U2" s="9" t="s">
        <v>17</v>
      </c>
      <c r="V2" s="9" t="s">
        <v>18</v>
      </c>
      <c r="W2" s="9" t="s">
        <v>19</v>
      </c>
      <c r="X2" s="9" t="s">
        <v>20</v>
      </c>
      <c r="Y2" s="9" t="s">
        <v>21</v>
      </c>
      <c r="Z2" s="9" t="s">
        <v>22</v>
      </c>
      <c r="AA2" s="9" t="s">
        <v>23</v>
      </c>
      <c r="AB2" s="4" t="s">
        <v>25</v>
      </c>
      <c r="AC2" s="4" t="s">
        <v>24</v>
      </c>
      <c r="AD2" s="4" t="s">
        <v>26</v>
      </c>
      <c r="AE2" s="4" t="s">
        <v>27</v>
      </c>
      <c r="AF2" s="4" t="s">
        <v>28</v>
      </c>
      <c r="AG2" s="3" t="s">
        <v>41</v>
      </c>
      <c r="AH2" s="4" t="s">
        <v>42</v>
      </c>
      <c r="AI2" s="4" t="s">
        <v>63</v>
      </c>
      <c r="AJ2" s="4" t="s">
        <v>37</v>
      </c>
      <c r="AK2" s="4" t="s">
        <v>44</v>
      </c>
      <c r="AL2" s="4" t="s">
        <v>45</v>
      </c>
    </row>
    <row r="3" spans="1:39" x14ac:dyDescent="0.2">
      <c r="A3" t="s">
        <v>69</v>
      </c>
      <c r="B3" s="7">
        <v>0.85103002314814813</v>
      </c>
      <c r="C3" s="2">
        <v>31145922174939</v>
      </c>
      <c r="D3">
        <v>2</v>
      </c>
      <c r="E3">
        <v>50</v>
      </c>
      <c r="F3" s="16">
        <v>100</v>
      </c>
      <c r="G3">
        <v>1</v>
      </c>
      <c r="H3">
        <v>0</v>
      </c>
      <c r="I3">
        <v>0</v>
      </c>
      <c r="J3">
        <v>1</v>
      </c>
      <c r="K3">
        <v>3</v>
      </c>
      <c r="L3">
        <v>34</v>
      </c>
      <c r="M3">
        <v>33</v>
      </c>
      <c r="N3">
        <v>27</v>
      </c>
      <c r="O3">
        <v>2</v>
      </c>
      <c r="P3">
        <v>0</v>
      </c>
      <c r="Q3">
        <v>0</v>
      </c>
      <c r="R3">
        <v>0</v>
      </c>
      <c r="S3">
        <v>0</v>
      </c>
      <c r="T3">
        <v>0</v>
      </c>
      <c r="U3">
        <v>0</v>
      </c>
      <c r="V3">
        <v>0</v>
      </c>
      <c r="W3">
        <v>0</v>
      </c>
      <c r="X3">
        <v>0</v>
      </c>
      <c r="Y3">
        <v>0</v>
      </c>
      <c r="Z3">
        <v>29</v>
      </c>
      <c r="AA3">
        <v>33</v>
      </c>
      <c r="AB3">
        <v>591242</v>
      </c>
      <c r="AC3" s="2">
        <v>28608218</v>
      </c>
      <c r="AD3">
        <v>170241</v>
      </c>
      <c r="AE3">
        <v>5534707</v>
      </c>
      <c r="AF3">
        <v>286082</v>
      </c>
      <c r="AG3" s="2">
        <v>31145928806330</v>
      </c>
      <c r="AH3" s="2">
        <f>AG3-C3</f>
        <v>6631391</v>
      </c>
      <c r="AI3" s="1">
        <v>114</v>
      </c>
      <c r="AJ3" s="14" t="s">
        <v>76</v>
      </c>
      <c r="AK3" s="7">
        <v>0.85103100694444445</v>
      </c>
      <c r="AL3" s="7">
        <f t="shared" ref="AL3:AL9" si="0">AK3-B3</f>
        <v>9.8379629631661913E-7</v>
      </c>
    </row>
    <row r="4" spans="1:39" x14ac:dyDescent="0.2">
      <c r="A4" t="s">
        <v>69</v>
      </c>
      <c r="B4" s="7">
        <v>0.84962653935185184</v>
      </c>
      <c r="C4" s="2">
        <v>31024846988325</v>
      </c>
      <c r="D4">
        <v>10</v>
      </c>
      <c r="E4">
        <v>100</v>
      </c>
      <c r="F4" s="16">
        <v>1000</v>
      </c>
      <c r="G4">
        <v>1</v>
      </c>
      <c r="H4">
        <v>0</v>
      </c>
      <c r="I4">
        <v>0</v>
      </c>
      <c r="J4">
        <v>4</v>
      </c>
      <c r="K4">
        <v>63</v>
      </c>
      <c r="L4">
        <v>223</v>
      </c>
      <c r="M4">
        <v>389</v>
      </c>
      <c r="N4">
        <v>239</v>
      </c>
      <c r="O4">
        <v>77</v>
      </c>
      <c r="P4">
        <v>5</v>
      </c>
      <c r="Q4">
        <v>0</v>
      </c>
      <c r="R4">
        <v>0</v>
      </c>
      <c r="S4">
        <v>0</v>
      </c>
      <c r="T4">
        <v>0</v>
      </c>
      <c r="U4">
        <v>0</v>
      </c>
      <c r="V4">
        <v>0</v>
      </c>
      <c r="W4">
        <v>468</v>
      </c>
      <c r="X4">
        <v>187</v>
      </c>
      <c r="Y4">
        <v>96</v>
      </c>
      <c r="Z4">
        <v>83</v>
      </c>
      <c r="AA4">
        <v>106</v>
      </c>
      <c r="AB4">
        <v>986220</v>
      </c>
      <c r="AC4" s="2">
        <v>194381967</v>
      </c>
      <c r="AD4">
        <v>100685</v>
      </c>
      <c r="AE4">
        <v>18172462</v>
      </c>
      <c r="AF4">
        <v>194381</v>
      </c>
      <c r="AG4" s="2">
        <v>31024854189997</v>
      </c>
      <c r="AH4" s="2">
        <f t="shared" ref="AH4:AH10" si="1">AG4-C4</f>
        <v>7201672</v>
      </c>
      <c r="AJ4" s="6"/>
      <c r="AK4" s="7">
        <v>0.8496296874999999</v>
      </c>
      <c r="AL4" s="7">
        <f t="shared" si="0"/>
        <v>3.14814814805775E-6</v>
      </c>
    </row>
    <row r="5" spans="1:39" x14ac:dyDescent="0.2">
      <c r="A5" t="s">
        <v>69</v>
      </c>
      <c r="B5" s="7">
        <v>0.84867248842592591</v>
      </c>
      <c r="C5" s="2">
        <v>30944058730114</v>
      </c>
      <c r="D5">
        <v>20</v>
      </c>
      <c r="E5">
        <v>500</v>
      </c>
      <c r="F5" s="16">
        <v>10000</v>
      </c>
      <c r="G5">
        <v>1</v>
      </c>
      <c r="H5">
        <v>0</v>
      </c>
      <c r="I5">
        <v>3</v>
      </c>
      <c r="J5">
        <v>48</v>
      </c>
      <c r="K5">
        <v>548</v>
      </c>
      <c r="L5">
        <v>2508</v>
      </c>
      <c r="M5">
        <v>3756</v>
      </c>
      <c r="N5">
        <v>2418</v>
      </c>
      <c r="O5">
        <v>648</v>
      </c>
      <c r="P5">
        <v>67</v>
      </c>
      <c r="Q5">
        <v>4</v>
      </c>
      <c r="R5">
        <v>0</v>
      </c>
      <c r="S5">
        <v>0</v>
      </c>
      <c r="T5">
        <v>0</v>
      </c>
      <c r="U5">
        <v>4</v>
      </c>
      <c r="V5">
        <v>1764</v>
      </c>
      <c r="W5">
        <v>5448</v>
      </c>
      <c r="X5">
        <v>1370</v>
      </c>
      <c r="Y5">
        <v>442</v>
      </c>
      <c r="Z5">
        <v>381</v>
      </c>
      <c r="AA5">
        <v>319</v>
      </c>
      <c r="AB5">
        <v>1856176</v>
      </c>
      <c r="AC5" s="2">
        <v>1762877226</v>
      </c>
      <c r="AD5">
        <v>75799</v>
      </c>
      <c r="AE5">
        <v>63579345</v>
      </c>
      <c r="AF5">
        <v>176287</v>
      </c>
      <c r="AG5" s="2">
        <v>30944065237994</v>
      </c>
      <c r="AH5" s="2">
        <f t="shared" si="1"/>
        <v>6507880</v>
      </c>
      <c r="AI5">
        <v>10032</v>
      </c>
      <c r="AJ5" s="14" t="s">
        <v>75</v>
      </c>
      <c r="AK5" s="7">
        <v>0.84869462962962972</v>
      </c>
      <c r="AL5" s="7">
        <f t="shared" si="0"/>
        <v>2.2141203703807122E-5</v>
      </c>
    </row>
    <row r="6" spans="1:39" x14ac:dyDescent="0.2">
      <c r="A6" t="s">
        <v>69</v>
      </c>
      <c r="B6" s="7">
        <v>0.84694181712962957</v>
      </c>
      <c r="C6" s="2">
        <v>30806709523635</v>
      </c>
      <c r="D6">
        <v>100</v>
      </c>
      <c r="E6">
        <v>1000</v>
      </c>
      <c r="F6" s="16">
        <v>100000</v>
      </c>
      <c r="G6">
        <v>1</v>
      </c>
      <c r="H6">
        <v>0</v>
      </c>
      <c r="I6">
        <v>27</v>
      </c>
      <c r="J6">
        <v>603</v>
      </c>
      <c r="K6">
        <v>6017</v>
      </c>
      <c r="L6">
        <v>24095</v>
      </c>
      <c r="M6">
        <v>38484</v>
      </c>
      <c r="N6">
        <v>24161</v>
      </c>
      <c r="O6">
        <v>5949</v>
      </c>
      <c r="P6">
        <v>644</v>
      </c>
      <c r="Q6">
        <v>20</v>
      </c>
      <c r="R6">
        <v>0</v>
      </c>
      <c r="S6">
        <v>0</v>
      </c>
      <c r="T6">
        <v>0</v>
      </c>
      <c r="U6">
        <v>2176</v>
      </c>
      <c r="V6">
        <v>70619</v>
      </c>
      <c r="W6">
        <v>20563</v>
      </c>
      <c r="X6">
        <v>3383</v>
      </c>
      <c r="Y6">
        <v>1174</v>
      </c>
      <c r="Z6">
        <v>597</v>
      </c>
      <c r="AA6">
        <v>548</v>
      </c>
      <c r="AB6">
        <v>7061904</v>
      </c>
      <c r="AC6" s="2">
        <v>13679139122</v>
      </c>
      <c r="AD6">
        <v>69512</v>
      </c>
      <c r="AE6">
        <v>188374590</v>
      </c>
      <c r="AF6">
        <v>136791</v>
      </c>
      <c r="AG6" s="2">
        <v>30806717832394</v>
      </c>
      <c r="AH6" s="2">
        <f t="shared" si="1"/>
        <v>8308759</v>
      </c>
      <c r="AI6" s="1">
        <v>100112</v>
      </c>
      <c r="AJ6" s="14" t="s">
        <v>74</v>
      </c>
      <c r="AK6" s="7">
        <v>0.84710495370370376</v>
      </c>
      <c r="AL6" s="7">
        <f t="shared" si="0"/>
        <v>1.6313657407418525E-4</v>
      </c>
    </row>
    <row r="7" spans="1:39" x14ac:dyDescent="0.2">
      <c r="A7" t="s">
        <v>69</v>
      </c>
      <c r="B7" s="7">
        <v>0.83825127314814818</v>
      </c>
      <c r="C7" s="2">
        <v>30170462930174</v>
      </c>
      <c r="D7">
        <v>100</v>
      </c>
      <c r="E7">
        <v>10000</v>
      </c>
      <c r="F7" s="16">
        <v>1000000</v>
      </c>
      <c r="G7">
        <v>1</v>
      </c>
      <c r="H7">
        <v>1</v>
      </c>
      <c r="I7">
        <v>242</v>
      </c>
      <c r="J7">
        <v>5974</v>
      </c>
      <c r="K7">
        <v>60860</v>
      </c>
      <c r="L7">
        <v>240810</v>
      </c>
      <c r="M7">
        <v>383876</v>
      </c>
      <c r="N7">
        <v>241029</v>
      </c>
      <c r="O7">
        <v>61012</v>
      </c>
      <c r="P7">
        <v>5963</v>
      </c>
      <c r="Q7">
        <v>228</v>
      </c>
      <c r="R7">
        <v>0</v>
      </c>
      <c r="S7">
        <v>0</v>
      </c>
      <c r="T7">
        <v>783</v>
      </c>
      <c r="U7">
        <v>404392</v>
      </c>
      <c r="V7">
        <v>509374</v>
      </c>
      <c r="W7">
        <v>60474</v>
      </c>
      <c r="X7">
        <v>9333</v>
      </c>
      <c r="Y7">
        <v>5514</v>
      </c>
      <c r="Z7">
        <v>2692</v>
      </c>
      <c r="AA7">
        <v>2007</v>
      </c>
      <c r="AB7">
        <v>7083572</v>
      </c>
      <c r="AC7" s="2">
        <v>126676996532</v>
      </c>
      <c r="AD7">
        <v>55032</v>
      </c>
      <c r="AE7">
        <v>369341773</v>
      </c>
      <c r="AF7">
        <v>126676</v>
      </c>
      <c r="AG7" s="2">
        <v>30170473531649</v>
      </c>
      <c r="AH7" s="2">
        <f t="shared" si="1"/>
        <v>10601475</v>
      </c>
      <c r="AI7" s="1">
        <v>1000112</v>
      </c>
      <c r="AJ7" s="6" t="s">
        <v>73</v>
      </c>
      <c r="AK7" s="7">
        <v>0.83974101851851846</v>
      </c>
      <c r="AL7" s="7">
        <f t="shared" si="0"/>
        <v>1.4897453703702768E-3</v>
      </c>
    </row>
    <row r="8" spans="1:39" x14ac:dyDescent="0.2">
      <c r="A8" t="s">
        <v>69</v>
      </c>
      <c r="B8" s="7">
        <v>0.70810483796296297</v>
      </c>
      <c r="C8" s="2">
        <v>20066317028327</v>
      </c>
      <c r="D8">
        <v>500</v>
      </c>
      <c r="E8">
        <v>20000</v>
      </c>
      <c r="F8" s="16">
        <v>10000000</v>
      </c>
      <c r="G8">
        <v>1</v>
      </c>
      <c r="H8">
        <v>30</v>
      </c>
      <c r="I8">
        <v>2288</v>
      </c>
      <c r="J8">
        <v>59671</v>
      </c>
      <c r="K8">
        <v>606646</v>
      </c>
      <c r="L8">
        <v>2416372</v>
      </c>
      <c r="M8">
        <v>3830250</v>
      </c>
      <c r="N8">
        <v>2416413</v>
      </c>
      <c r="O8">
        <v>606439</v>
      </c>
      <c r="P8">
        <v>59570</v>
      </c>
      <c r="Q8">
        <v>2276</v>
      </c>
      <c r="R8">
        <v>0</v>
      </c>
      <c r="S8">
        <v>0</v>
      </c>
      <c r="T8">
        <v>12102</v>
      </c>
      <c r="U8">
        <v>4040800</v>
      </c>
      <c r="V8">
        <v>5076715</v>
      </c>
      <c r="W8">
        <v>630488</v>
      </c>
      <c r="X8">
        <v>94240</v>
      </c>
      <c r="Y8">
        <v>51306</v>
      </c>
      <c r="Z8">
        <v>25289</v>
      </c>
      <c r="AA8">
        <v>17417</v>
      </c>
      <c r="AB8">
        <v>40083447</v>
      </c>
      <c r="AC8" s="2">
        <v>1249616258301</v>
      </c>
      <c r="AD8">
        <v>52398</v>
      </c>
      <c r="AE8">
        <v>419883011</v>
      </c>
      <c r="AF8">
        <v>124961</v>
      </c>
      <c r="AG8" s="2">
        <v>20066326281579</v>
      </c>
      <c r="AH8" s="2">
        <f t="shared" si="1"/>
        <v>9253252</v>
      </c>
      <c r="AI8" s="1">
        <v>10000512</v>
      </c>
      <c r="AJ8" s="6" t="s">
        <v>72</v>
      </c>
      <c r="AK8" s="7">
        <v>0.72279487268518527</v>
      </c>
      <c r="AL8" s="7">
        <f t="shared" si="0"/>
        <v>1.46900347222223E-2</v>
      </c>
    </row>
    <row r="9" spans="1:39" x14ac:dyDescent="0.2">
      <c r="A9" t="s">
        <v>69</v>
      </c>
      <c r="B9" s="7">
        <v>0.49784282407407404</v>
      </c>
      <c r="C9" s="2">
        <v>14618811190366</v>
      </c>
      <c r="D9">
        <v>1000</v>
      </c>
      <c r="E9">
        <v>100000</v>
      </c>
      <c r="F9" s="16">
        <v>100000000</v>
      </c>
      <c r="G9">
        <v>1</v>
      </c>
      <c r="H9">
        <v>325</v>
      </c>
      <c r="I9">
        <v>22693</v>
      </c>
      <c r="J9">
        <v>595593</v>
      </c>
      <c r="K9">
        <v>6058912</v>
      </c>
      <c r="L9">
        <v>24173890</v>
      </c>
      <c r="M9">
        <v>38297871</v>
      </c>
      <c r="N9">
        <v>24170064</v>
      </c>
      <c r="O9">
        <v>6061044</v>
      </c>
      <c r="P9">
        <v>596459</v>
      </c>
      <c r="Q9">
        <v>22802</v>
      </c>
      <c r="R9">
        <v>0</v>
      </c>
      <c r="S9">
        <v>0</v>
      </c>
      <c r="T9">
        <v>164</v>
      </c>
      <c r="U9">
        <v>1832099</v>
      </c>
      <c r="V9">
        <v>73265991</v>
      </c>
      <c r="W9">
        <v>20437558</v>
      </c>
      <c r="X9">
        <v>1758710</v>
      </c>
      <c r="Y9">
        <v>1122825</v>
      </c>
      <c r="Z9">
        <v>466741</v>
      </c>
      <c r="AA9">
        <v>412824</v>
      </c>
      <c r="AB9">
        <v>155314382</v>
      </c>
      <c r="AC9" s="2">
        <v>13770464820936</v>
      </c>
      <c r="AD9">
        <v>52746</v>
      </c>
      <c r="AE9">
        <v>473368767</v>
      </c>
      <c r="AF9">
        <v>137704</v>
      </c>
      <c r="AG9" s="2">
        <v>14618835553691</v>
      </c>
      <c r="AH9" s="2">
        <f t="shared" si="1"/>
        <v>24363325</v>
      </c>
      <c r="AI9" s="1">
        <v>100001012</v>
      </c>
      <c r="AJ9" s="14" t="s">
        <v>71</v>
      </c>
      <c r="AK9" s="7">
        <v>0.65974523148148145</v>
      </c>
      <c r="AL9" s="7">
        <f t="shared" si="0"/>
        <v>0.16190240740740741</v>
      </c>
    </row>
    <row r="10" spans="1:39" x14ac:dyDescent="0.2">
      <c r="A10" s="91" t="s">
        <v>69</v>
      </c>
      <c r="B10" s="189">
        <v>0.87246285879629626</v>
      </c>
      <c r="C10" s="179">
        <v>132059063024342</v>
      </c>
      <c r="D10" s="91">
        <v>5000</v>
      </c>
      <c r="E10" s="91">
        <v>200000</v>
      </c>
      <c r="F10" s="190">
        <v>1000000000</v>
      </c>
      <c r="G10" s="91">
        <v>1</v>
      </c>
      <c r="H10" s="91">
        <v>3347</v>
      </c>
      <c r="I10" s="91">
        <v>229864</v>
      </c>
      <c r="J10" s="91">
        <v>5978751</v>
      </c>
      <c r="K10" s="91">
        <v>60592229</v>
      </c>
      <c r="L10" s="91">
        <v>241723780</v>
      </c>
      <c r="M10" s="91">
        <v>382914993</v>
      </c>
      <c r="N10" s="91">
        <v>241735599</v>
      </c>
      <c r="O10" s="91">
        <v>60606807</v>
      </c>
      <c r="P10" s="91">
        <v>5982794</v>
      </c>
      <c r="Q10" s="91">
        <v>228295</v>
      </c>
      <c r="R10" s="91">
        <v>0</v>
      </c>
      <c r="S10" s="91">
        <v>0</v>
      </c>
      <c r="T10" s="91">
        <v>191736</v>
      </c>
      <c r="U10" s="91">
        <v>284604790</v>
      </c>
      <c r="V10" s="91">
        <v>591224305</v>
      </c>
      <c r="W10" s="91">
        <v>94686806</v>
      </c>
      <c r="X10" s="91">
        <v>10835085</v>
      </c>
      <c r="Y10" s="91">
        <v>7059994</v>
      </c>
      <c r="Z10" s="91">
        <v>3021542</v>
      </c>
      <c r="AA10" s="91">
        <v>2570865</v>
      </c>
      <c r="AB10" s="91">
        <v>887323268</v>
      </c>
      <c r="AC10" s="179">
        <v>129050059736370</v>
      </c>
      <c r="AD10" s="91">
        <v>50338</v>
      </c>
      <c r="AE10" s="91">
        <v>690879135</v>
      </c>
      <c r="AF10" s="91">
        <v>129050</v>
      </c>
      <c r="AG10" s="179">
        <v>132059107366894</v>
      </c>
      <c r="AH10" s="179">
        <f t="shared" si="1"/>
        <v>44342552</v>
      </c>
      <c r="AI10" s="191">
        <v>1000005012</v>
      </c>
      <c r="AJ10" s="192" t="s">
        <v>70</v>
      </c>
      <c r="AK10" s="189">
        <v>0.38889320601851857</v>
      </c>
      <c r="AL10" s="189">
        <f>AM10-B10+AK10</f>
        <v>0.51641877314814821</v>
      </c>
      <c r="AM10" s="189">
        <v>0.99998842592592585</v>
      </c>
    </row>
    <row r="18" spans="6:27" ht="17" x14ac:dyDescent="0.2">
      <c r="H18" s="8" t="s">
        <v>4</v>
      </c>
      <c r="I18" s="8" t="s">
        <v>5</v>
      </c>
      <c r="J18" s="8" t="s">
        <v>6</v>
      </c>
      <c r="K18" s="8" t="s">
        <v>7</v>
      </c>
      <c r="L18" s="8" t="s">
        <v>8</v>
      </c>
      <c r="M18" s="8" t="s">
        <v>9</v>
      </c>
      <c r="N18" s="8" t="s">
        <v>10</v>
      </c>
      <c r="O18" s="8" t="s">
        <v>11</v>
      </c>
      <c r="P18" s="8" t="s">
        <v>12</v>
      </c>
      <c r="Q18" s="8" t="s">
        <v>13</v>
      </c>
    </row>
    <row r="19" spans="6:27" x14ac:dyDescent="0.2">
      <c r="F19">
        <v>10000000</v>
      </c>
      <c r="H19">
        <v>30</v>
      </c>
      <c r="I19">
        <v>2288</v>
      </c>
      <c r="J19">
        <v>59671</v>
      </c>
      <c r="K19">
        <v>606646</v>
      </c>
      <c r="L19">
        <v>2416372</v>
      </c>
      <c r="M19">
        <v>3830250</v>
      </c>
      <c r="N19">
        <v>2416413</v>
      </c>
      <c r="O19">
        <v>606439</v>
      </c>
      <c r="P19">
        <v>59570</v>
      </c>
      <c r="Q19">
        <v>2276</v>
      </c>
    </row>
    <row r="20" spans="6:27" ht="34" x14ac:dyDescent="0.2">
      <c r="F20">
        <v>100000000</v>
      </c>
      <c r="H20">
        <f>H9/10</f>
        <v>32.5</v>
      </c>
      <c r="I20">
        <f>I9/10</f>
        <v>2269.3000000000002</v>
      </c>
      <c r="J20">
        <f t="shared" ref="J20:Q20" si="2">J9/10</f>
        <v>59559.3</v>
      </c>
      <c r="K20">
        <f t="shared" si="2"/>
        <v>605891.19999999995</v>
      </c>
      <c r="L20">
        <f t="shared" si="2"/>
        <v>2417389</v>
      </c>
      <c r="M20">
        <f t="shared" si="2"/>
        <v>3829787.1</v>
      </c>
      <c r="N20">
        <f t="shared" si="2"/>
        <v>2417006.4</v>
      </c>
      <c r="O20">
        <f t="shared" si="2"/>
        <v>606104.4</v>
      </c>
      <c r="P20">
        <f t="shared" si="2"/>
        <v>59645.9</v>
      </c>
      <c r="Q20">
        <f t="shared" si="2"/>
        <v>2280.1999999999998</v>
      </c>
      <c r="R20" s="9" t="s">
        <v>14</v>
      </c>
      <c r="S20" s="9" t="s">
        <v>15</v>
      </c>
      <c r="T20" s="9" t="s">
        <v>16</v>
      </c>
      <c r="U20" s="9" t="s">
        <v>17</v>
      </c>
      <c r="V20" s="9" t="s">
        <v>18</v>
      </c>
      <c r="W20" s="9" t="s">
        <v>19</v>
      </c>
      <c r="X20" s="9" t="s">
        <v>20</v>
      </c>
      <c r="Y20" s="9" t="s">
        <v>21</v>
      </c>
      <c r="Z20" s="9" t="s">
        <v>22</v>
      </c>
      <c r="AA20" s="9" t="s">
        <v>23</v>
      </c>
    </row>
    <row r="21" spans="6:27" x14ac:dyDescent="0.2">
      <c r="F21">
        <v>1000000000</v>
      </c>
      <c r="H21">
        <f>H10/100</f>
        <v>33.47</v>
      </c>
      <c r="I21">
        <f t="shared" ref="I21:Q21" si="3">I10/100</f>
        <v>2298.64</v>
      </c>
      <c r="J21">
        <f t="shared" si="3"/>
        <v>59787.51</v>
      </c>
      <c r="K21">
        <f t="shared" si="3"/>
        <v>605922.29</v>
      </c>
      <c r="L21">
        <f t="shared" si="3"/>
        <v>2417237.7999999998</v>
      </c>
      <c r="M21">
        <f t="shared" si="3"/>
        <v>3829149.93</v>
      </c>
      <c r="N21">
        <f t="shared" si="3"/>
        <v>2417355.9900000002</v>
      </c>
      <c r="O21">
        <f t="shared" si="3"/>
        <v>606068.06999999995</v>
      </c>
      <c r="P21">
        <f t="shared" si="3"/>
        <v>59827.94</v>
      </c>
      <c r="Q21">
        <f t="shared" si="3"/>
        <v>2282.9499999999998</v>
      </c>
      <c r="R21">
        <v>0</v>
      </c>
      <c r="S21">
        <v>0</v>
      </c>
      <c r="T21">
        <v>12102</v>
      </c>
      <c r="U21">
        <v>4040800</v>
      </c>
      <c r="V21">
        <v>5076715</v>
      </c>
      <c r="W21">
        <v>630488</v>
      </c>
      <c r="X21">
        <v>94240</v>
      </c>
      <c r="Y21">
        <v>51306</v>
      </c>
      <c r="Z21">
        <v>25289</v>
      </c>
      <c r="AA21">
        <v>17417</v>
      </c>
    </row>
    <row r="22" spans="6:27" x14ac:dyDescent="0.2">
      <c r="R22">
        <f>R9/10</f>
        <v>0</v>
      </c>
      <c r="S22">
        <f t="shared" ref="S22:AA22" si="4">S9/10</f>
        <v>0</v>
      </c>
      <c r="T22">
        <f t="shared" si="4"/>
        <v>16.399999999999999</v>
      </c>
      <c r="U22">
        <f t="shared" si="4"/>
        <v>183209.9</v>
      </c>
      <c r="V22">
        <f t="shared" si="4"/>
        <v>7326599.0999999996</v>
      </c>
      <c r="W22">
        <f t="shared" si="4"/>
        <v>2043755.8</v>
      </c>
      <c r="X22">
        <f t="shared" si="4"/>
        <v>175871</v>
      </c>
      <c r="Y22">
        <f t="shared" si="4"/>
        <v>112282.5</v>
      </c>
      <c r="Z22">
        <f t="shared" si="4"/>
        <v>46674.1</v>
      </c>
      <c r="AA22">
        <f t="shared" si="4"/>
        <v>41282.400000000001</v>
      </c>
    </row>
    <row r="23" spans="6:27" x14ac:dyDescent="0.2">
      <c r="R23">
        <f>R10/100</f>
        <v>0</v>
      </c>
      <c r="S23">
        <f t="shared" ref="S23:AA23" si="5">S10/100</f>
        <v>0</v>
      </c>
      <c r="T23">
        <f t="shared" si="5"/>
        <v>1917.36</v>
      </c>
      <c r="U23">
        <f t="shared" si="5"/>
        <v>2846047.9</v>
      </c>
      <c r="V23">
        <f t="shared" si="5"/>
        <v>5912243.0499999998</v>
      </c>
      <c r="W23">
        <f t="shared" si="5"/>
        <v>946868.06</v>
      </c>
      <c r="X23">
        <f t="shared" si="5"/>
        <v>108350.85</v>
      </c>
      <c r="Y23">
        <f t="shared" si="5"/>
        <v>70599.94</v>
      </c>
      <c r="Z23">
        <f t="shared" si="5"/>
        <v>30215.42</v>
      </c>
      <c r="AA23">
        <f t="shared" si="5"/>
        <v>25708.65</v>
      </c>
    </row>
  </sheetData>
  <sortState xmlns:xlrd2="http://schemas.microsoft.com/office/spreadsheetml/2017/richdata2" ref="A3:AL10">
    <sortCondition ref="F3:F10"/>
  </sortState>
  <phoneticPr fontId="4"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6C01D-4750-E449-92D8-420C9E368649}">
  <dimension ref="A1:CG5"/>
  <sheetViews>
    <sheetView workbookViewId="0">
      <selection activeCell="M68" sqref="M68"/>
    </sheetView>
  </sheetViews>
  <sheetFormatPr baseColWidth="10" defaultRowHeight="16" x14ac:dyDescent="0.2"/>
  <cols>
    <col min="1" max="1" width="5.1640625" bestFit="1" customWidth="1"/>
    <col min="2" max="2" width="11.6640625" bestFit="1" customWidth="1"/>
    <col min="3" max="3" width="17.6640625" bestFit="1" customWidth="1"/>
    <col min="4" max="4" width="4.1640625" bestFit="1" customWidth="1"/>
    <col min="5" max="5" width="6.1640625" bestFit="1" customWidth="1"/>
    <col min="6" max="6" width="8.1640625" bestFit="1" customWidth="1"/>
    <col min="7" max="8" width="3.6640625" bestFit="1" customWidth="1"/>
    <col min="9" max="9" width="5.1640625" bestFit="1" customWidth="1"/>
    <col min="10" max="10" width="6.1640625" bestFit="1" customWidth="1"/>
    <col min="11" max="11" width="7.1640625" bestFit="1" customWidth="1"/>
    <col min="12" max="14" width="8.1640625" bestFit="1" customWidth="1"/>
    <col min="15" max="15" width="7.1640625" bestFit="1" customWidth="1"/>
    <col min="16" max="16" width="6.1640625" bestFit="1" customWidth="1"/>
    <col min="17" max="17" width="5.1640625" bestFit="1" customWidth="1"/>
    <col min="18" max="18" width="3.6640625" bestFit="1" customWidth="1"/>
    <col min="19" max="19" width="7.1640625" bestFit="1" customWidth="1"/>
    <col min="20" max="20" width="8.1640625" bestFit="1" customWidth="1"/>
    <col min="21" max="22" width="7.1640625" bestFit="1" customWidth="1"/>
    <col min="23" max="24" width="6.1640625" bestFit="1" customWidth="1"/>
    <col min="25" max="29" width="5.1640625" bestFit="1" customWidth="1"/>
    <col min="30" max="35" width="4.1640625" bestFit="1" customWidth="1"/>
    <col min="36" max="37" width="3.6640625" bestFit="1" customWidth="1"/>
    <col min="38" max="38" width="9.1640625" bestFit="1" customWidth="1"/>
    <col min="39" max="39" width="13.1640625" bestFit="1" customWidth="1"/>
    <col min="40" max="40" width="6.1640625" bestFit="1" customWidth="1"/>
    <col min="41" max="41" width="10.1640625" bestFit="1" customWidth="1"/>
    <col min="42" max="42" width="6.1640625" bestFit="1" customWidth="1"/>
    <col min="43" max="43" width="12.1640625" bestFit="1" customWidth="1"/>
    <col min="44" max="44" width="5.1640625" bestFit="1" customWidth="1"/>
    <col min="45" max="52" width="10.1640625" bestFit="1" customWidth="1"/>
    <col min="53" max="53" width="9.1640625" bestFit="1" customWidth="1"/>
    <col min="54" max="58" width="10.1640625" bestFit="1" customWidth="1"/>
    <col min="59" max="59" width="9.1640625" bestFit="1" customWidth="1"/>
    <col min="60" max="60" width="10.1640625" bestFit="1" customWidth="1"/>
    <col min="61" max="61" width="9.1640625" bestFit="1" customWidth="1"/>
    <col min="62" max="65" width="10.1640625" bestFit="1" customWidth="1"/>
    <col min="66" max="71" width="17.6640625" bestFit="1" customWidth="1"/>
    <col min="72" max="72" width="11.6640625" bestFit="1" customWidth="1"/>
    <col min="73" max="75" width="10.5" bestFit="1" customWidth="1"/>
    <col min="76" max="76" width="5.6640625" bestFit="1" customWidth="1"/>
    <col min="77" max="77" width="14" bestFit="1" customWidth="1"/>
    <col min="78" max="78" width="11.5" bestFit="1" customWidth="1"/>
    <col min="79" max="79" width="14" bestFit="1" customWidth="1"/>
    <col min="80" max="80" width="3.6640625" bestFit="1" customWidth="1"/>
    <col min="81" max="81" width="4.6640625" bestFit="1" customWidth="1"/>
    <col min="82" max="82" width="5" bestFit="1" customWidth="1"/>
    <col min="83" max="83" width="4.6640625" bestFit="1" customWidth="1"/>
    <col min="84" max="85" width="3.6640625" bestFit="1" customWidth="1"/>
  </cols>
  <sheetData>
    <row r="1" spans="1:85" ht="145"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24</v>
      </c>
      <c r="AN1" s="20" t="s">
        <v>26</v>
      </c>
      <c r="AO1" s="20" t="s">
        <v>27</v>
      </c>
      <c r="AP1" s="20" t="s">
        <v>28</v>
      </c>
      <c r="AQ1" s="21" t="s">
        <v>41</v>
      </c>
      <c r="AR1" s="20" t="s">
        <v>42</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row>
    <row r="2" spans="1:85" x14ac:dyDescent="0.2">
      <c r="A2" s="25" t="s">
        <v>134</v>
      </c>
      <c r="B2" s="26">
        <v>0.43420589120370368</v>
      </c>
      <c r="C2" s="27">
        <v>2752787651687</v>
      </c>
      <c r="D2" s="25">
        <v>20</v>
      </c>
      <c r="E2" s="25">
        <v>500</v>
      </c>
      <c r="F2" s="25">
        <v>10000</v>
      </c>
      <c r="G2" s="25">
        <v>1</v>
      </c>
      <c r="H2" s="25">
        <v>0</v>
      </c>
      <c r="I2" s="25">
        <v>1</v>
      </c>
      <c r="J2" s="25">
        <v>61</v>
      </c>
      <c r="K2" s="25">
        <v>582</v>
      </c>
      <c r="L2" s="25">
        <v>2350</v>
      </c>
      <c r="M2" s="25">
        <v>3761</v>
      </c>
      <c r="N2" s="25">
        <v>2564</v>
      </c>
      <c r="O2" s="25">
        <v>622</v>
      </c>
      <c r="P2" s="25">
        <v>56</v>
      </c>
      <c r="Q2" s="25">
        <v>3</v>
      </c>
      <c r="R2" s="25">
        <v>0</v>
      </c>
      <c r="S2" s="25">
        <v>237</v>
      </c>
      <c r="T2" s="25">
        <v>5673</v>
      </c>
      <c r="U2" s="25">
        <v>3111</v>
      </c>
      <c r="V2" s="25">
        <v>528</v>
      </c>
      <c r="W2" s="25">
        <v>162</v>
      </c>
      <c r="X2" s="25">
        <v>147</v>
      </c>
      <c r="Y2" s="25">
        <v>60</v>
      </c>
      <c r="Z2" s="25">
        <v>22</v>
      </c>
      <c r="AA2" s="25">
        <v>24</v>
      </c>
      <c r="AB2" s="25">
        <v>19</v>
      </c>
      <c r="AC2" s="25">
        <v>4</v>
      </c>
      <c r="AD2" s="25">
        <v>2</v>
      </c>
      <c r="AE2" s="25">
        <v>0</v>
      </c>
      <c r="AF2" s="25">
        <v>1</v>
      </c>
      <c r="AG2" s="25">
        <v>4</v>
      </c>
      <c r="AH2" s="25">
        <v>0</v>
      </c>
      <c r="AI2" s="25">
        <v>0</v>
      </c>
      <c r="AJ2" s="25">
        <v>0</v>
      </c>
      <c r="AK2" s="25">
        <v>0</v>
      </c>
      <c r="AL2" s="25">
        <v>1271606</v>
      </c>
      <c r="AM2" s="28">
        <v>892124504</v>
      </c>
      <c r="AN2" s="25">
        <v>41178</v>
      </c>
      <c r="AO2" s="25">
        <v>49198959</v>
      </c>
      <c r="AP2" s="25">
        <v>89212</v>
      </c>
      <c r="AQ2" s="25">
        <v>55264601</v>
      </c>
      <c r="AR2" s="25">
        <v>5526</v>
      </c>
      <c r="AS2" s="25">
        <v>61.947186000000002</v>
      </c>
      <c r="AT2" s="25">
        <v>25.028445999999999</v>
      </c>
      <c r="AU2" s="25">
        <v>58.365499999999997</v>
      </c>
      <c r="AV2" s="25">
        <v>61.197581999999997</v>
      </c>
      <c r="AW2" s="25">
        <v>62.069274999999998</v>
      </c>
      <c r="AX2" s="25">
        <v>67.218260000000001</v>
      </c>
      <c r="AY2" s="25">
        <v>69.959525999999997</v>
      </c>
      <c r="AZ2" s="25">
        <v>67.926079999999999</v>
      </c>
      <c r="BA2" s="25">
        <v>78.032049999999998</v>
      </c>
      <c r="BB2" s="25">
        <v>31.271409999999999</v>
      </c>
      <c r="BC2" s="25">
        <v>56.895879999999998</v>
      </c>
      <c r="BD2" s="25">
        <v>72.665000000000006</v>
      </c>
      <c r="BE2" s="25">
        <v>87.767200000000003</v>
      </c>
      <c r="BF2" s="25">
        <v>90.291854999999998</v>
      </c>
      <c r="BG2" s="25">
        <v>94.285790000000006</v>
      </c>
      <c r="BH2" s="25">
        <v>96.237309999999994</v>
      </c>
      <c r="BI2" s="25">
        <v>96.117459999999994</v>
      </c>
      <c r="BJ2" s="25">
        <v>35.753776999999999</v>
      </c>
      <c r="BK2" s="25">
        <v>94.805030000000002</v>
      </c>
      <c r="BL2" s="25">
        <v>94.135993999999997</v>
      </c>
      <c r="BM2" s="25">
        <v>96.272064</v>
      </c>
      <c r="BN2" s="27">
        <v>2000394739712</v>
      </c>
      <c r="BO2" s="27">
        <v>1990427922432</v>
      </c>
      <c r="BP2" s="27">
        <v>1990308397056</v>
      </c>
      <c r="BQ2" s="27">
        <v>1990427922432</v>
      </c>
      <c r="BR2" s="27">
        <v>1990308397056</v>
      </c>
      <c r="BS2" s="27">
        <v>2753885027856</v>
      </c>
      <c r="BT2" s="29">
        <v>0.43421863425925927</v>
      </c>
      <c r="BU2" s="27">
        <v>6056957</v>
      </c>
      <c r="BV2" s="27">
        <v>10022</v>
      </c>
      <c r="BW2" s="27">
        <v>6046935</v>
      </c>
      <c r="BX2" s="30">
        <v>0.01</v>
      </c>
      <c r="BY2" s="27">
        <v>1953510488</v>
      </c>
      <c r="BZ2" s="27">
        <v>9849944</v>
      </c>
      <c r="CA2" s="27">
        <v>1943660544</v>
      </c>
      <c r="CB2" s="30">
        <v>0.01</v>
      </c>
      <c r="CC2" s="25" t="s">
        <v>135</v>
      </c>
      <c r="CD2" s="25" t="s">
        <v>136</v>
      </c>
      <c r="CE2" s="25" t="s">
        <v>135</v>
      </c>
      <c r="CF2" s="30">
        <v>0.01</v>
      </c>
    </row>
    <row r="3" spans="1:85" x14ac:dyDescent="0.2">
      <c r="A3" s="25" t="s">
        <v>134</v>
      </c>
      <c r="B3" s="26">
        <v>0.43153819444444447</v>
      </c>
      <c r="C3" s="27">
        <v>2522299704153</v>
      </c>
      <c r="D3" s="25">
        <v>100</v>
      </c>
      <c r="E3" s="25">
        <v>1000</v>
      </c>
      <c r="F3" s="25">
        <v>100000</v>
      </c>
      <c r="G3" s="25">
        <v>1</v>
      </c>
      <c r="H3" s="25">
        <v>0</v>
      </c>
      <c r="I3" s="25">
        <v>27</v>
      </c>
      <c r="J3" s="25">
        <v>617</v>
      </c>
      <c r="K3" s="25">
        <v>6039</v>
      </c>
      <c r="L3" s="25">
        <v>24063</v>
      </c>
      <c r="M3" s="25">
        <v>38162</v>
      </c>
      <c r="N3" s="25">
        <v>24371</v>
      </c>
      <c r="O3" s="25">
        <v>6081</v>
      </c>
      <c r="P3" s="25">
        <v>615</v>
      </c>
      <c r="Q3" s="25">
        <v>25</v>
      </c>
      <c r="R3" s="25">
        <v>0</v>
      </c>
      <c r="S3" s="25">
        <v>9863</v>
      </c>
      <c r="T3" s="25">
        <v>81941</v>
      </c>
      <c r="U3" s="25">
        <v>5789</v>
      </c>
      <c r="V3" s="25">
        <v>1429</v>
      </c>
      <c r="W3" s="25">
        <v>334</v>
      </c>
      <c r="X3" s="25">
        <v>229</v>
      </c>
      <c r="Y3" s="25">
        <v>119</v>
      </c>
      <c r="Z3" s="25">
        <v>90</v>
      </c>
      <c r="AA3" s="25">
        <v>50</v>
      </c>
      <c r="AB3" s="25">
        <v>44</v>
      </c>
      <c r="AC3" s="25">
        <v>24</v>
      </c>
      <c r="AD3" s="25">
        <v>18</v>
      </c>
      <c r="AE3" s="25">
        <v>13</v>
      </c>
      <c r="AF3" s="25">
        <v>8</v>
      </c>
      <c r="AG3" s="25">
        <v>6</v>
      </c>
      <c r="AH3" s="25">
        <v>3</v>
      </c>
      <c r="AI3" s="25">
        <v>2</v>
      </c>
      <c r="AJ3" s="25">
        <v>2</v>
      </c>
      <c r="AK3" s="25">
        <v>1</v>
      </c>
      <c r="AL3" s="25">
        <v>4411376</v>
      </c>
      <c r="AM3" s="28">
        <v>6999781278</v>
      </c>
      <c r="AN3" s="25">
        <v>37886</v>
      </c>
      <c r="AO3" s="25">
        <v>828170127</v>
      </c>
      <c r="AP3" s="25">
        <v>69997</v>
      </c>
      <c r="AQ3" s="25">
        <v>550262119</v>
      </c>
      <c r="AR3" s="25">
        <v>5502</v>
      </c>
      <c r="AS3" s="25">
        <v>78.611329999999995</v>
      </c>
      <c r="AT3" s="25">
        <v>80.390366</v>
      </c>
      <c r="AU3" s="25">
        <v>95.899665999999996</v>
      </c>
      <c r="AV3" s="25">
        <v>87.503529999999998</v>
      </c>
      <c r="AW3" s="25">
        <v>22.958894999999998</v>
      </c>
      <c r="AX3" s="25">
        <v>98.207310000000007</v>
      </c>
      <c r="AY3" s="25">
        <v>97.086079999999995</v>
      </c>
      <c r="AZ3" s="25">
        <v>98.277405000000002</v>
      </c>
      <c r="BA3" s="25">
        <v>98.645060000000001</v>
      </c>
      <c r="BB3" s="25">
        <v>96.776505</v>
      </c>
      <c r="BC3" s="25">
        <v>100.04134999999999</v>
      </c>
      <c r="BD3" s="25">
        <v>83.023579999999995</v>
      </c>
      <c r="BE3" s="25">
        <v>97.090519999999998</v>
      </c>
      <c r="BF3" s="25">
        <v>98.501589999999993</v>
      </c>
      <c r="BG3" s="25">
        <v>97.690860000000001</v>
      </c>
      <c r="BH3" s="25">
        <v>74.446780000000004</v>
      </c>
      <c r="BI3" s="25">
        <v>99.103949999999998</v>
      </c>
      <c r="BJ3" s="25">
        <v>99.416663999999997</v>
      </c>
      <c r="BK3" s="25">
        <v>88.342100000000002</v>
      </c>
      <c r="BL3" s="25">
        <v>97.226944000000003</v>
      </c>
      <c r="BM3" s="25">
        <v>6.1877027</v>
      </c>
      <c r="BN3" s="27">
        <v>2000394739712</v>
      </c>
      <c r="BO3" s="27">
        <v>1990427922432</v>
      </c>
      <c r="BP3" s="27">
        <v>1989234741248</v>
      </c>
      <c r="BQ3" s="27">
        <v>1990427922432</v>
      </c>
      <c r="BR3" s="27">
        <v>1989234741248</v>
      </c>
      <c r="BS3" s="27">
        <v>2530006092798</v>
      </c>
      <c r="BT3" s="29">
        <v>0.43162744212962961</v>
      </c>
      <c r="BU3" s="27">
        <v>6056957</v>
      </c>
      <c r="BV3" s="27">
        <v>100102</v>
      </c>
      <c r="BW3" s="27">
        <v>5956855</v>
      </c>
      <c r="BX3" s="30">
        <v>0.02</v>
      </c>
      <c r="BY3" s="27">
        <v>1953510488</v>
      </c>
      <c r="BZ3" s="27">
        <v>10898436</v>
      </c>
      <c r="CA3" s="27">
        <v>1942612052</v>
      </c>
      <c r="CB3" s="30">
        <v>0.01</v>
      </c>
      <c r="CC3" s="25" t="s">
        <v>135</v>
      </c>
      <c r="CD3" s="25" t="s">
        <v>137</v>
      </c>
      <c r="CE3" s="25" t="s">
        <v>135</v>
      </c>
      <c r="CF3" s="30">
        <v>0.01</v>
      </c>
    </row>
    <row r="4" spans="1:85" x14ac:dyDescent="0.2">
      <c r="A4" s="25" t="s">
        <v>134</v>
      </c>
      <c r="B4" s="26">
        <v>0.42749215277777775</v>
      </c>
      <c r="C4" s="27">
        <v>2172720862871</v>
      </c>
      <c r="D4" s="25">
        <v>100</v>
      </c>
      <c r="E4" s="25">
        <v>10000</v>
      </c>
      <c r="F4" s="25">
        <v>1000000</v>
      </c>
      <c r="G4" s="25">
        <v>1</v>
      </c>
      <c r="H4" s="25">
        <v>5</v>
      </c>
      <c r="I4" s="25">
        <v>225</v>
      </c>
      <c r="J4" s="25">
        <v>5931</v>
      </c>
      <c r="K4" s="25">
        <v>60712</v>
      </c>
      <c r="L4" s="25">
        <v>241378</v>
      </c>
      <c r="M4" s="25">
        <v>382588</v>
      </c>
      <c r="N4" s="25">
        <v>242080</v>
      </c>
      <c r="O4" s="25">
        <v>60851</v>
      </c>
      <c r="P4" s="25">
        <v>6006</v>
      </c>
      <c r="Q4" s="25">
        <v>215</v>
      </c>
      <c r="R4" s="25">
        <v>0</v>
      </c>
      <c r="S4" s="25">
        <v>32623</v>
      </c>
      <c r="T4" s="25">
        <v>868458</v>
      </c>
      <c r="U4" s="25">
        <v>36298</v>
      </c>
      <c r="V4" s="25">
        <v>33084</v>
      </c>
      <c r="W4" s="25">
        <v>22107</v>
      </c>
      <c r="X4" s="25">
        <v>2981</v>
      </c>
      <c r="Y4" s="25">
        <v>1317</v>
      </c>
      <c r="Z4" s="25">
        <v>767</v>
      </c>
      <c r="AA4" s="25">
        <v>477</v>
      </c>
      <c r="AB4" s="25">
        <v>318</v>
      </c>
      <c r="AC4" s="25">
        <v>217</v>
      </c>
      <c r="AD4" s="25">
        <v>187</v>
      </c>
      <c r="AE4" s="25">
        <v>128</v>
      </c>
      <c r="AF4" s="25">
        <v>63</v>
      </c>
      <c r="AG4" s="25">
        <v>47</v>
      </c>
      <c r="AH4" s="25">
        <v>26</v>
      </c>
      <c r="AI4" s="25">
        <v>22</v>
      </c>
      <c r="AJ4" s="25">
        <v>17</v>
      </c>
      <c r="AK4" s="25">
        <v>17</v>
      </c>
      <c r="AL4" s="25">
        <v>4853623</v>
      </c>
      <c r="AM4" s="28">
        <v>83353415628</v>
      </c>
      <c r="AN4" s="25">
        <v>36244</v>
      </c>
      <c r="AO4" s="25">
        <v>702596205</v>
      </c>
      <c r="AP4" s="25">
        <v>83353</v>
      </c>
      <c r="AQ4" s="25">
        <v>5500511849</v>
      </c>
      <c r="AR4" s="25">
        <v>5500</v>
      </c>
      <c r="AS4" s="25">
        <v>65.99024</v>
      </c>
      <c r="AT4" s="25">
        <v>87.939269999999993</v>
      </c>
      <c r="AU4" s="25">
        <v>41.358147000000002</v>
      </c>
      <c r="AV4" s="25">
        <v>65.126273999999995</v>
      </c>
      <c r="AW4" s="25">
        <v>64.884429999999995</v>
      </c>
      <c r="AX4" s="25">
        <v>72.913734000000005</v>
      </c>
      <c r="AY4" s="25">
        <v>72.934619999999995</v>
      </c>
      <c r="AZ4" s="25">
        <v>69.774720000000002</v>
      </c>
      <c r="BA4" s="25">
        <v>67.795599999999993</v>
      </c>
      <c r="BB4" s="25">
        <v>69.835526000000002</v>
      </c>
      <c r="BC4" s="25">
        <v>43.566017000000002</v>
      </c>
      <c r="BD4" s="25">
        <v>75.173379999999995</v>
      </c>
      <c r="BE4" s="25">
        <v>64.350746000000001</v>
      </c>
      <c r="BF4" s="25">
        <v>74.804760000000002</v>
      </c>
      <c r="BG4" s="25">
        <v>78.979150000000004</v>
      </c>
      <c r="BH4" s="25">
        <v>35.268783999999997</v>
      </c>
      <c r="BI4" s="25">
        <v>75.775810000000007</v>
      </c>
      <c r="BJ4" s="25">
        <v>72.402979999999999</v>
      </c>
      <c r="BK4" s="25">
        <v>58.254116000000003</v>
      </c>
      <c r="BL4" s="25">
        <v>74.169910000000002</v>
      </c>
      <c r="BM4" s="25">
        <v>74.324929999999995</v>
      </c>
      <c r="BN4" s="27">
        <v>2000394739712</v>
      </c>
      <c r="BO4" s="27">
        <v>1990427922432</v>
      </c>
      <c r="BP4" s="27">
        <v>1978500829184</v>
      </c>
      <c r="BQ4" s="27">
        <v>1990427922432</v>
      </c>
      <c r="BR4" s="27">
        <v>1978500829184</v>
      </c>
      <c r="BS4" s="27">
        <v>2259991824902</v>
      </c>
      <c r="BT4" s="29">
        <v>0.42850226851851853</v>
      </c>
      <c r="BU4" s="27">
        <v>6056957</v>
      </c>
      <c r="BV4" s="27">
        <v>1000102</v>
      </c>
      <c r="BW4" s="27">
        <v>5056855</v>
      </c>
      <c r="BX4" s="30">
        <v>0.17</v>
      </c>
      <c r="BY4" s="27">
        <v>1953510488</v>
      </c>
      <c r="BZ4" s="27">
        <v>21380772</v>
      </c>
      <c r="CA4" s="27">
        <v>1932129716</v>
      </c>
      <c r="CB4" s="30">
        <v>0.02</v>
      </c>
      <c r="CC4" s="25" t="s">
        <v>135</v>
      </c>
      <c r="CD4" s="25" t="s">
        <v>138</v>
      </c>
      <c r="CE4" s="25" t="s">
        <v>139</v>
      </c>
      <c r="CF4" s="30">
        <v>0.02</v>
      </c>
    </row>
    <row r="5" spans="1:85" x14ac:dyDescent="0.2">
      <c r="A5" s="25" t="s">
        <v>134</v>
      </c>
      <c r="B5" s="26">
        <v>0.40791603009259259</v>
      </c>
      <c r="C5" s="27">
        <v>481344082924</v>
      </c>
      <c r="D5" s="25">
        <v>300</v>
      </c>
      <c r="E5" s="25">
        <v>20000</v>
      </c>
      <c r="F5" s="25">
        <v>6000000</v>
      </c>
      <c r="G5" s="25">
        <v>1</v>
      </c>
      <c r="H5" s="25">
        <v>16</v>
      </c>
      <c r="I5" s="25">
        <v>1384</v>
      </c>
      <c r="J5" s="25">
        <v>35756</v>
      </c>
      <c r="K5" s="25">
        <v>362926</v>
      </c>
      <c r="L5" s="25">
        <v>1451046</v>
      </c>
      <c r="M5" s="25">
        <v>2297531</v>
      </c>
      <c r="N5" s="25">
        <v>1449510</v>
      </c>
      <c r="O5" s="25">
        <v>364703</v>
      </c>
      <c r="P5" s="25">
        <v>35713</v>
      </c>
      <c r="Q5" s="25">
        <v>1402</v>
      </c>
      <c r="R5" s="25">
        <v>0</v>
      </c>
      <c r="S5" s="25">
        <v>308181</v>
      </c>
      <c r="T5" s="25">
        <v>5153707</v>
      </c>
      <c r="U5" s="25">
        <v>208535</v>
      </c>
      <c r="V5" s="25">
        <v>190294</v>
      </c>
      <c r="W5" s="25">
        <v>95805</v>
      </c>
      <c r="X5" s="25">
        <v>17375</v>
      </c>
      <c r="Y5" s="25">
        <v>8295</v>
      </c>
      <c r="Z5" s="25">
        <v>4507</v>
      </c>
      <c r="AA5" s="25">
        <v>2848</v>
      </c>
      <c r="AB5" s="25">
        <v>1739</v>
      </c>
      <c r="AC5" s="25">
        <v>1094</v>
      </c>
      <c r="AD5" s="25">
        <v>566</v>
      </c>
      <c r="AE5" s="25">
        <v>350</v>
      </c>
      <c r="AF5" s="25">
        <v>238</v>
      </c>
      <c r="AG5" s="25">
        <v>161</v>
      </c>
      <c r="AH5" s="25">
        <v>171</v>
      </c>
      <c r="AI5" s="25">
        <v>127</v>
      </c>
      <c r="AJ5" s="25">
        <v>79</v>
      </c>
      <c r="AK5" s="25">
        <v>59</v>
      </c>
      <c r="AL5" s="25">
        <v>14277535</v>
      </c>
      <c r="AM5" s="28">
        <v>516713721017</v>
      </c>
      <c r="AN5" s="25">
        <v>29325</v>
      </c>
      <c r="AO5" s="25">
        <v>992206378</v>
      </c>
      <c r="AP5" s="25">
        <v>86118</v>
      </c>
      <c r="AQ5" s="25">
        <v>32999304785</v>
      </c>
      <c r="AR5" s="25">
        <v>5499</v>
      </c>
      <c r="AS5" s="25">
        <v>63.863807999999999</v>
      </c>
      <c r="AT5" s="25">
        <v>73.631870000000006</v>
      </c>
      <c r="AU5" s="25">
        <v>73.271079999999998</v>
      </c>
      <c r="AV5" s="25">
        <v>72.919960000000003</v>
      </c>
      <c r="AW5" s="25">
        <v>63.305042</v>
      </c>
      <c r="AX5" s="25">
        <v>63.737139999999997</v>
      </c>
      <c r="AY5" s="25">
        <v>74.716729999999998</v>
      </c>
      <c r="AZ5" s="25">
        <v>76.760009999999994</v>
      </c>
      <c r="BA5" s="25">
        <v>77.545280000000005</v>
      </c>
      <c r="BB5" s="25">
        <v>54.176169999999999</v>
      </c>
      <c r="BC5" s="25">
        <v>78.342129999999997</v>
      </c>
      <c r="BD5" s="25">
        <v>48.132874000000001</v>
      </c>
      <c r="BE5" s="25">
        <v>76.60848</v>
      </c>
      <c r="BF5" s="25">
        <v>57.149901999999997</v>
      </c>
      <c r="BG5" s="25">
        <v>75.111350000000002</v>
      </c>
      <c r="BH5" s="25">
        <v>57.025866999999998</v>
      </c>
      <c r="BI5" s="25">
        <v>74.971119999999999</v>
      </c>
      <c r="BJ5" s="25">
        <v>50.977290000000004</v>
      </c>
      <c r="BK5" s="25">
        <v>76.779660000000007</v>
      </c>
      <c r="BL5" s="25">
        <v>58.317646000000003</v>
      </c>
      <c r="BM5" s="25">
        <v>75.589410000000001</v>
      </c>
      <c r="BN5" s="27">
        <v>2000394739712</v>
      </c>
      <c r="BO5" s="27">
        <v>1990427922432</v>
      </c>
      <c r="BP5" s="27">
        <v>1918865715200</v>
      </c>
      <c r="BQ5" s="27">
        <v>1990427922432</v>
      </c>
      <c r="BR5" s="27">
        <v>1918865715200</v>
      </c>
      <c r="BS5" s="27">
        <v>1017061625499</v>
      </c>
      <c r="BT5" s="29">
        <v>0.41411650462962962</v>
      </c>
      <c r="BU5" s="27">
        <v>6056957</v>
      </c>
      <c r="BV5" s="27">
        <v>6000302</v>
      </c>
      <c r="BW5" s="27">
        <v>56655</v>
      </c>
      <c r="BX5" s="30">
        <v>1</v>
      </c>
      <c r="BY5" s="27">
        <v>1953510488</v>
      </c>
      <c r="BZ5" s="27">
        <v>79618188</v>
      </c>
      <c r="CA5" s="27">
        <v>1873892300</v>
      </c>
      <c r="CB5" s="30">
        <v>0.05</v>
      </c>
      <c r="CC5" s="25" t="s">
        <v>135</v>
      </c>
      <c r="CD5" s="25" t="s">
        <v>140</v>
      </c>
      <c r="CE5" s="25" t="s">
        <v>139</v>
      </c>
      <c r="CF5" s="30">
        <v>0.05</v>
      </c>
      <c r="CG5" s="19"/>
    </row>
  </sheetData>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67F9-5921-8C46-BEA2-A9516D5D3C69}">
  <dimension ref="A1:CF45"/>
  <sheetViews>
    <sheetView workbookViewId="0">
      <selection activeCell="L52" sqref="L52"/>
    </sheetView>
  </sheetViews>
  <sheetFormatPr baseColWidth="10" defaultRowHeight="16" x14ac:dyDescent="0.2"/>
  <cols>
    <col min="1" max="1" width="5.6640625" bestFit="1" customWidth="1"/>
    <col min="2" max="2" width="11.6640625" bestFit="1" customWidth="1"/>
    <col min="3" max="3" width="19.6640625" bestFit="1" customWidth="1"/>
    <col min="4" max="4" width="5.1640625" bestFit="1" customWidth="1"/>
    <col min="5" max="5" width="7.1640625" bestFit="1" customWidth="1"/>
    <col min="6" max="6" width="12.5" bestFit="1" customWidth="1"/>
    <col min="7" max="7" width="2.1640625" bestFit="1" customWidth="1"/>
    <col min="8" max="8" width="4.1640625" bestFit="1" customWidth="1"/>
    <col min="9" max="9" width="6.1640625" bestFit="1" customWidth="1"/>
    <col min="10" max="10" width="7.1640625" bestFit="1" customWidth="1"/>
    <col min="11" max="11" width="8.1640625" bestFit="1" customWidth="1"/>
    <col min="12" max="14" width="9.1640625" bestFit="1" customWidth="1"/>
    <col min="15" max="15" width="8.1640625" bestFit="1" customWidth="1"/>
    <col min="16" max="16" width="7.1640625" bestFit="1" customWidth="1"/>
    <col min="17" max="17" width="6.1640625" bestFit="1" customWidth="1"/>
    <col min="18" max="19" width="2.1640625" bestFit="1" customWidth="1"/>
    <col min="20" max="20" width="6.1640625" bestFit="1" customWidth="1"/>
    <col min="21" max="21" width="8.1640625" bestFit="1" customWidth="1"/>
    <col min="22" max="24" width="9.1640625" bestFit="1" customWidth="1"/>
    <col min="25" max="26" width="8.1640625" bestFit="1" customWidth="1"/>
    <col min="27" max="32" width="7.1640625" bestFit="1" customWidth="1"/>
    <col min="33" max="35" width="6.1640625" bestFit="1" customWidth="1"/>
    <col min="36" max="37" width="5.1640625" bestFit="1" customWidth="1"/>
    <col min="38" max="38" width="10.1640625" bestFit="1" customWidth="1"/>
    <col min="39" max="39" width="15.1640625" bestFit="1" customWidth="1"/>
    <col min="40" max="40" width="11.5" bestFit="1" customWidth="1"/>
    <col min="41" max="41" width="10.1640625" bestFit="1" customWidth="1"/>
    <col min="42" max="42" width="7.1640625" bestFit="1" customWidth="1"/>
    <col min="43" max="43" width="13.1640625" bestFit="1" customWidth="1"/>
    <col min="44" max="44" width="5.1640625" bestFit="1" customWidth="1"/>
    <col min="45" max="65" width="10.1640625" bestFit="1" customWidth="1"/>
    <col min="66" max="70" width="18.6640625" bestFit="1" customWidth="1"/>
    <col min="71" max="71" width="19.6640625" bestFit="1" customWidth="1"/>
    <col min="72" max="72" width="11.6640625" bestFit="1" customWidth="1"/>
    <col min="77" max="77" width="12.1640625" bestFit="1" customWidth="1"/>
    <col min="78" max="78" width="10.1640625" bestFit="1" customWidth="1"/>
    <col min="79" max="79" width="12.1640625" bestFit="1" customWidth="1"/>
    <col min="80" max="80" width="3.6640625" bestFit="1" customWidth="1"/>
    <col min="81" max="81" width="4.1640625" bestFit="1" customWidth="1"/>
    <col min="82" max="82" width="5.5" bestFit="1" customWidth="1"/>
    <col min="83" max="83" width="4.1640625" bestFit="1" customWidth="1"/>
    <col min="84" max="84" width="3.6640625" bestFit="1" customWidth="1"/>
  </cols>
  <sheetData>
    <row r="1" spans="1:84" s="37" customFormat="1" ht="128" x14ac:dyDescent="0.2">
      <c r="A1" s="32" t="s">
        <v>38</v>
      </c>
      <c r="B1" s="32" t="s">
        <v>43</v>
      </c>
      <c r="C1" s="33" t="s">
        <v>40</v>
      </c>
      <c r="D1" s="32" t="s">
        <v>0</v>
      </c>
      <c r="E1" s="32" t="s">
        <v>1</v>
      </c>
      <c r="F1" s="32" t="s">
        <v>2</v>
      </c>
      <c r="G1" s="32" t="s">
        <v>3</v>
      </c>
      <c r="H1" s="34" t="s">
        <v>161</v>
      </c>
      <c r="I1" s="34" t="s">
        <v>162</v>
      </c>
      <c r="J1" s="34" t="s">
        <v>163</v>
      </c>
      <c r="K1" s="34" t="s">
        <v>164</v>
      </c>
      <c r="L1" s="34" t="s">
        <v>165</v>
      </c>
      <c r="M1" s="34" t="s">
        <v>166</v>
      </c>
      <c r="N1" s="34" t="s">
        <v>167</v>
      </c>
      <c r="O1" s="34" t="s">
        <v>168</v>
      </c>
      <c r="P1" s="34" t="s">
        <v>169</v>
      </c>
      <c r="Q1" s="34" t="s">
        <v>170</v>
      </c>
      <c r="R1" s="35" t="s">
        <v>141</v>
      </c>
      <c r="S1" s="35" t="s">
        <v>142</v>
      </c>
      <c r="T1" s="35" t="s">
        <v>143</v>
      </c>
      <c r="U1" s="35" t="s">
        <v>144</v>
      </c>
      <c r="V1" s="35" t="s">
        <v>145</v>
      </c>
      <c r="W1" s="35" t="s">
        <v>146</v>
      </c>
      <c r="X1" s="35" t="s">
        <v>147</v>
      </c>
      <c r="Y1" s="35" t="s">
        <v>148</v>
      </c>
      <c r="Z1" s="35" t="s">
        <v>149</v>
      </c>
      <c r="AA1" s="35" t="s">
        <v>150</v>
      </c>
      <c r="AB1" s="35" t="s">
        <v>151</v>
      </c>
      <c r="AC1" s="35" t="s">
        <v>152</v>
      </c>
      <c r="AD1" s="35" t="s">
        <v>153</v>
      </c>
      <c r="AE1" s="35" t="s">
        <v>154</v>
      </c>
      <c r="AF1" s="35" t="s">
        <v>155</v>
      </c>
      <c r="AG1" s="35" t="s">
        <v>156</v>
      </c>
      <c r="AH1" s="35" t="s">
        <v>157</v>
      </c>
      <c r="AI1" s="35" t="s">
        <v>158</v>
      </c>
      <c r="AJ1" s="35" t="s">
        <v>159</v>
      </c>
      <c r="AK1" s="35" t="s">
        <v>160</v>
      </c>
      <c r="AL1" s="32" t="s">
        <v>25</v>
      </c>
      <c r="AM1" s="32" t="s">
        <v>24</v>
      </c>
      <c r="AN1" s="32" t="s">
        <v>26</v>
      </c>
      <c r="AO1" s="32" t="s">
        <v>27</v>
      </c>
      <c r="AP1" s="32" t="s">
        <v>28</v>
      </c>
      <c r="AQ1" s="33" t="s">
        <v>41</v>
      </c>
      <c r="AR1" s="32" t="s">
        <v>42</v>
      </c>
      <c r="AS1" s="32" t="s">
        <v>171</v>
      </c>
      <c r="AT1" s="36" t="s">
        <v>174</v>
      </c>
      <c r="AU1" s="36" t="s">
        <v>175</v>
      </c>
      <c r="AV1" s="36" t="s">
        <v>176</v>
      </c>
      <c r="AW1" s="36" t="s">
        <v>177</v>
      </c>
      <c r="AX1" s="36" t="s">
        <v>178</v>
      </c>
      <c r="AY1" s="36" t="s">
        <v>179</v>
      </c>
      <c r="AZ1" s="36" t="s">
        <v>180</v>
      </c>
      <c r="BA1" s="36" t="s">
        <v>181</v>
      </c>
      <c r="BB1" s="36" t="s">
        <v>182</v>
      </c>
      <c r="BC1" s="36" t="s">
        <v>183</v>
      </c>
      <c r="BD1" s="36" t="s">
        <v>184</v>
      </c>
      <c r="BE1" s="36" t="s">
        <v>185</v>
      </c>
      <c r="BF1" s="36" t="s">
        <v>186</v>
      </c>
      <c r="BG1" s="36" t="s">
        <v>187</v>
      </c>
      <c r="BH1" s="36" t="s">
        <v>188</v>
      </c>
      <c r="BI1" s="36" t="s">
        <v>189</v>
      </c>
      <c r="BJ1" s="36" t="s">
        <v>190</v>
      </c>
      <c r="BK1" s="36" t="s">
        <v>191</v>
      </c>
      <c r="BL1" s="36" t="s">
        <v>192</v>
      </c>
      <c r="BM1" s="36" t="s">
        <v>193</v>
      </c>
      <c r="BN1" s="32" t="s">
        <v>172</v>
      </c>
      <c r="BO1" s="32" t="s">
        <v>173</v>
      </c>
      <c r="BP1" s="32" t="s">
        <v>194</v>
      </c>
      <c r="BQ1" s="32" t="s">
        <v>195</v>
      </c>
      <c r="BR1" s="32" t="s">
        <v>196</v>
      </c>
      <c r="BS1" s="33" t="s">
        <v>41</v>
      </c>
      <c r="BT1" s="32" t="s">
        <v>44</v>
      </c>
      <c r="BU1" s="32" t="s">
        <v>197</v>
      </c>
      <c r="BV1" s="32" t="s">
        <v>198</v>
      </c>
      <c r="BW1" s="32" t="s">
        <v>199</v>
      </c>
      <c r="BX1" s="32" t="s">
        <v>200</v>
      </c>
      <c r="BY1" s="32" t="s">
        <v>205</v>
      </c>
      <c r="BZ1" s="32" t="s">
        <v>206</v>
      </c>
      <c r="CA1" s="32" t="s">
        <v>207</v>
      </c>
      <c r="CB1" s="32" t="s">
        <v>208</v>
      </c>
      <c r="CC1" s="32" t="s">
        <v>201</v>
      </c>
      <c r="CD1" s="32" t="s">
        <v>202</v>
      </c>
      <c r="CE1" s="32" t="s">
        <v>203</v>
      </c>
      <c r="CF1" s="32" t="s">
        <v>204</v>
      </c>
    </row>
    <row r="2" spans="1:84" x14ac:dyDescent="0.2">
      <c r="A2" t="s">
        <v>39</v>
      </c>
      <c r="B2" s="15">
        <v>0.47468401620370365</v>
      </c>
      <c r="C2" s="16">
        <v>517029551539930</v>
      </c>
      <c r="D2">
        <v>100</v>
      </c>
      <c r="E2">
        <v>1000</v>
      </c>
      <c r="F2" s="16">
        <v>100000</v>
      </c>
      <c r="G2">
        <v>1</v>
      </c>
      <c r="H2">
        <v>0</v>
      </c>
      <c r="I2">
        <v>22</v>
      </c>
      <c r="J2">
        <v>616</v>
      </c>
      <c r="K2">
        <v>6047</v>
      </c>
      <c r="L2">
        <v>23975</v>
      </c>
      <c r="M2">
        <v>38393</v>
      </c>
      <c r="N2">
        <v>24240</v>
      </c>
      <c r="O2">
        <v>6074</v>
      </c>
      <c r="P2">
        <v>602</v>
      </c>
      <c r="Q2">
        <v>31</v>
      </c>
      <c r="R2">
        <v>0</v>
      </c>
      <c r="S2">
        <v>0</v>
      </c>
      <c r="T2">
        <v>633</v>
      </c>
      <c r="U2">
        <v>66028</v>
      </c>
      <c r="V2">
        <v>25484</v>
      </c>
      <c r="W2">
        <v>5184</v>
      </c>
      <c r="X2">
        <v>1159</v>
      </c>
      <c r="Y2">
        <v>667</v>
      </c>
      <c r="Z2">
        <v>402</v>
      </c>
      <c r="AA2">
        <v>212</v>
      </c>
      <c r="AB2">
        <v>105</v>
      </c>
      <c r="AC2">
        <v>48</v>
      </c>
      <c r="AD2">
        <v>29</v>
      </c>
      <c r="AE2">
        <v>13</v>
      </c>
      <c r="AF2">
        <v>9</v>
      </c>
      <c r="AG2">
        <v>3</v>
      </c>
      <c r="AH2">
        <v>4</v>
      </c>
      <c r="AI2">
        <v>2</v>
      </c>
      <c r="AJ2">
        <v>1</v>
      </c>
      <c r="AK2">
        <v>1</v>
      </c>
      <c r="AL2">
        <v>5951052</v>
      </c>
      <c r="AM2" s="2">
        <v>9961384584</v>
      </c>
      <c r="AN2">
        <v>66916</v>
      </c>
      <c r="AO2">
        <v>14060817</v>
      </c>
      <c r="AP2">
        <v>99613</v>
      </c>
      <c r="AQ2" s="2">
        <v>550294684</v>
      </c>
      <c r="AR2">
        <v>5502</v>
      </c>
      <c r="AS2">
        <v>55.242783000000003</v>
      </c>
      <c r="AT2">
        <v>53.480476000000003</v>
      </c>
      <c r="AU2">
        <v>60.154446</v>
      </c>
      <c r="AV2">
        <v>60.631923999999998</v>
      </c>
      <c r="AW2">
        <v>54.105643999999998</v>
      </c>
      <c r="AX2">
        <v>55.959263</v>
      </c>
      <c r="AY2">
        <v>56.75027</v>
      </c>
      <c r="AZ2">
        <v>58.332794</v>
      </c>
      <c r="BA2">
        <v>58.873309999999996</v>
      </c>
      <c r="BB2">
        <v>57.742268000000003</v>
      </c>
      <c r="BC2">
        <v>61.524883000000003</v>
      </c>
      <c r="BD2">
        <v>55.366084999999998</v>
      </c>
      <c r="BE2">
        <v>53.483246000000001</v>
      </c>
      <c r="BF2">
        <v>51.162660000000002</v>
      </c>
      <c r="BG2">
        <v>55.172027999999997</v>
      </c>
      <c r="BH2">
        <v>55.209567999999997</v>
      </c>
      <c r="BI2">
        <v>60.827556999999999</v>
      </c>
      <c r="BJ2">
        <v>52.255398</v>
      </c>
      <c r="BK2">
        <v>57.684669999999997</v>
      </c>
      <c r="BL2">
        <v>59.790030000000002</v>
      </c>
      <c r="BM2">
        <v>53.839170000000003</v>
      </c>
      <c r="BN2" s="16">
        <v>12000138625024</v>
      </c>
      <c r="BO2" s="16">
        <v>11997973053440</v>
      </c>
      <c r="BP2" s="16">
        <v>11997973053440</v>
      </c>
      <c r="BQ2" s="16">
        <v>12000134692864</v>
      </c>
      <c r="BR2" s="16">
        <v>12000134692864</v>
      </c>
      <c r="BS2" s="16">
        <v>517040326247797</v>
      </c>
      <c r="BT2" s="15">
        <v>0.47480876157407409</v>
      </c>
      <c r="BY2">
        <v>11718885376</v>
      </c>
      <c r="BZ2">
        <v>886540</v>
      </c>
      <c r="CA2">
        <v>11716001204</v>
      </c>
      <c r="CB2" s="19">
        <v>0.01</v>
      </c>
    </row>
    <row r="3" spans="1:84" x14ac:dyDescent="0.2">
      <c r="A3" t="s">
        <v>39</v>
      </c>
      <c r="B3" s="15">
        <v>0.47611028935185185</v>
      </c>
      <c r="C3" s="16">
        <v>517152781668950</v>
      </c>
      <c r="D3">
        <v>100</v>
      </c>
      <c r="E3">
        <v>10000</v>
      </c>
      <c r="F3" s="16">
        <v>1000000</v>
      </c>
      <c r="G3">
        <v>1</v>
      </c>
      <c r="H3">
        <v>2</v>
      </c>
      <c r="I3">
        <v>242</v>
      </c>
      <c r="J3">
        <v>5937</v>
      </c>
      <c r="K3">
        <v>60377</v>
      </c>
      <c r="L3">
        <v>241133</v>
      </c>
      <c r="M3">
        <v>383176</v>
      </c>
      <c r="N3">
        <v>242066</v>
      </c>
      <c r="O3">
        <v>60938</v>
      </c>
      <c r="P3">
        <v>5897</v>
      </c>
      <c r="Q3">
        <v>228</v>
      </c>
      <c r="R3">
        <v>0</v>
      </c>
      <c r="S3">
        <v>0</v>
      </c>
      <c r="T3">
        <v>13056</v>
      </c>
      <c r="U3">
        <v>797916</v>
      </c>
      <c r="V3">
        <v>139134</v>
      </c>
      <c r="W3">
        <v>20451</v>
      </c>
      <c r="X3">
        <v>12665</v>
      </c>
      <c r="Y3">
        <v>9823</v>
      </c>
      <c r="Z3">
        <v>4228</v>
      </c>
      <c r="AA3">
        <v>1612</v>
      </c>
      <c r="AB3">
        <v>550</v>
      </c>
      <c r="AC3">
        <v>210</v>
      </c>
      <c r="AD3">
        <v>104</v>
      </c>
      <c r="AE3">
        <v>63</v>
      </c>
      <c r="AF3">
        <v>34</v>
      </c>
      <c r="AG3">
        <v>25</v>
      </c>
      <c r="AH3">
        <v>17</v>
      </c>
      <c r="AI3">
        <v>17</v>
      </c>
      <c r="AJ3">
        <v>7</v>
      </c>
      <c r="AK3">
        <v>5</v>
      </c>
      <c r="AL3">
        <v>6399871</v>
      </c>
      <c r="AM3" s="2">
        <v>94362329781</v>
      </c>
      <c r="AN3">
        <v>65630</v>
      </c>
      <c r="AO3">
        <v>42021996</v>
      </c>
      <c r="AP3">
        <v>94362</v>
      </c>
      <c r="AQ3" s="2">
        <v>5501259130</v>
      </c>
      <c r="AR3">
        <v>5501</v>
      </c>
      <c r="AS3">
        <v>58.299315999999997</v>
      </c>
      <c r="AT3">
        <v>58.718525</v>
      </c>
      <c r="AU3">
        <v>57.691924999999998</v>
      </c>
      <c r="AV3">
        <v>56.766689999999997</v>
      </c>
      <c r="AW3">
        <v>59.763226000000003</v>
      </c>
      <c r="AX3">
        <v>59.992294000000001</v>
      </c>
      <c r="AY3">
        <v>58.108592999999999</v>
      </c>
      <c r="AZ3">
        <v>60.722385000000003</v>
      </c>
      <c r="BA3">
        <v>57.913882999999998</v>
      </c>
      <c r="BB3">
        <v>57.803882999999999</v>
      </c>
      <c r="BC3">
        <v>58.294759999999997</v>
      </c>
      <c r="BD3">
        <v>59.533394000000001</v>
      </c>
      <c r="BE3">
        <v>59.791514999999997</v>
      </c>
      <c r="BF3">
        <v>58.193080000000002</v>
      </c>
      <c r="BG3">
        <v>58.32687</v>
      </c>
      <c r="BH3">
        <v>58.114629999999998</v>
      </c>
      <c r="BI3">
        <v>61.012062</v>
      </c>
      <c r="BJ3">
        <v>61.538623999999999</v>
      </c>
      <c r="BK3">
        <v>57.682105999999997</v>
      </c>
      <c r="BL3">
        <v>57.914319999999996</v>
      </c>
      <c r="BM3">
        <v>58.086086000000002</v>
      </c>
      <c r="BN3" s="16">
        <v>12000138625024</v>
      </c>
      <c r="BO3" s="16">
        <v>11997972791296</v>
      </c>
      <c r="BP3" s="16">
        <v>11990251360256</v>
      </c>
      <c r="BQ3" s="16">
        <v>12000134430720</v>
      </c>
      <c r="BR3" s="16">
        <v>11991242772480</v>
      </c>
      <c r="BS3" s="16">
        <v>517251556912391</v>
      </c>
      <c r="BT3" s="15">
        <v>0.47725355324074076</v>
      </c>
      <c r="BY3">
        <v>11718885376</v>
      </c>
      <c r="BZ3">
        <v>8870192</v>
      </c>
      <c r="CA3">
        <v>11709075232</v>
      </c>
      <c r="CB3" s="19">
        <v>0.01</v>
      </c>
      <c r="CC3" t="s">
        <v>209</v>
      </c>
      <c r="CD3" t="s">
        <v>32</v>
      </c>
      <c r="CE3" t="s">
        <v>209</v>
      </c>
      <c r="CF3" s="19">
        <v>0.01</v>
      </c>
    </row>
    <row r="4" spans="1:84" x14ac:dyDescent="0.2">
      <c r="A4" t="s">
        <v>39</v>
      </c>
      <c r="B4" s="15">
        <v>0.48248210648148149</v>
      </c>
      <c r="C4" s="16">
        <v>517703307355034</v>
      </c>
      <c r="D4">
        <v>500</v>
      </c>
      <c r="E4">
        <v>20000</v>
      </c>
      <c r="F4" s="16">
        <v>10000000</v>
      </c>
      <c r="G4">
        <v>1</v>
      </c>
      <c r="H4">
        <v>36</v>
      </c>
      <c r="I4">
        <v>2283</v>
      </c>
      <c r="J4">
        <v>59620</v>
      </c>
      <c r="K4">
        <v>606295</v>
      </c>
      <c r="L4">
        <v>2418179</v>
      </c>
      <c r="M4">
        <v>3831847</v>
      </c>
      <c r="N4">
        <v>2414744</v>
      </c>
      <c r="O4">
        <v>605260</v>
      </c>
      <c r="P4">
        <v>59447</v>
      </c>
      <c r="Q4">
        <v>2253</v>
      </c>
      <c r="R4">
        <v>0</v>
      </c>
      <c r="S4">
        <v>0</v>
      </c>
      <c r="T4">
        <v>44716</v>
      </c>
      <c r="U4">
        <v>6674456</v>
      </c>
      <c r="V4">
        <v>2619968</v>
      </c>
      <c r="W4">
        <v>384533</v>
      </c>
      <c r="X4">
        <v>108797</v>
      </c>
      <c r="Y4">
        <v>83021</v>
      </c>
      <c r="Z4">
        <v>45281</v>
      </c>
      <c r="AA4">
        <v>20251</v>
      </c>
      <c r="AB4">
        <v>9843</v>
      </c>
      <c r="AC4">
        <v>4579</v>
      </c>
      <c r="AD4">
        <v>1771</v>
      </c>
      <c r="AE4">
        <v>812</v>
      </c>
      <c r="AF4">
        <v>439</v>
      </c>
      <c r="AG4">
        <v>309</v>
      </c>
      <c r="AH4">
        <v>192</v>
      </c>
      <c r="AI4">
        <v>147</v>
      </c>
      <c r="AJ4">
        <v>103</v>
      </c>
      <c r="AK4">
        <v>87</v>
      </c>
      <c r="AL4">
        <v>32536154</v>
      </c>
      <c r="AM4" s="2">
        <v>995587229945</v>
      </c>
      <c r="AN4">
        <v>67159</v>
      </c>
      <c r="AO4">
        <v>66743464</v>
      </c>
      <c r="AP4">
        <v>99558</v>
      </c>
      <c r="AQ4" s="2">
        <v>54987665622</v>
      </c>
      <c r="AR4">
        <v>5498</v>
      </c>
      <c r="AS4">
        <v>55.231388000000003</v>
      </c>
      <c r="AT4">
        <v>59.781610000000001</v>
      </c>
      <c r="AU4">
        <v>56.463740000000001</v>
      </c>
      <c r="AV4">
        <v>57.97936</v>
      </c>
      <c r="AW4">
        <v>57.118347</v>
      </c>
      <c r="AX4">
        <v>53.619427000000002</v>
      </c>
      <c r="AY4">
        <v>54.148586000000002</v>
      </c>
      <c r="AZ4">
        <v>58.861156000000001</v>
      </c>
      <c r="BA4">
        <v>57.577914999999997</v>
      </c>
      <c r="BB4">
        <v>53.860709999999997</v>
      </c>
      <c r="BC4">
        <v>56.721752000000002</v>
      </c>
      <c r="BD4">
        <v>56.475949999999997</v>
      </c>
      <c r="BE4">
        <v>55.427452000000002</v>
      </c>
      <c r="BF4">
        <v>52.901913</v>
      </c>
      <c r="BG4">
        <v>56.417476999999998</v>
      </c>
      <c r="BH4">
        <v>54.482017999999997</v>
      </c>
      <c r="BI4">
        <v>54.721310000000003</v>
      </c>
      <c r="BJ4">
        <v>54.296474000000003</v>
      </c>
      <c r="BK4">
        <v>49.825069999999997</v>
      </c>
      <c r="BL4">
        <v>50.404710000000001</v>
      </c>
      <c r="BM4">
        <v>52.1374</v>
      </c>
      <c r="BN4" s="16">
        <v>12000138625024</v>
      </c>
      <c r="BO4" s="16">
        <v>11997973053440</v>
      </c>
      <c r="BP4" s="16">
        <v>11909504126976</v>
      </c>
      <c r="BQ4" s="16">
        <v>12000134692864</v>
      </c>
      <c r="BR4" s="16">
        <v>11910614732800</v>
      </c>
      <c r="BS4" s="16">
        <v>518736506474355</v>
      </c>
      <c r="BT4" s="15">
        <v>0.49444047453703704</v>
      </c>
      <c r="BY4">
        <v>11718885376</v>
      </c>
      <c r="BZ4">
        <v>88602328</v>
      </c>
      <c r="CA4">
        <v>11629350088</v>
      </c>
      <c r="CB4" s="19">
        <v>0.01</v>
      </c>
      <c r="CC4" t="s">
        <v>209</v>
      </c>
      <c r="CD4" t="s">
        <v>33</v>
      </c>
      <c r="CE4" t="s">
        <v>209</v>
      </c>
      <c r="CF4" s="19">
        <v>0.01</v>
      </c>
    </row>
    <row r="5" spans="1:84" x14ac:dyDescent="0.2">
      <c r="A5" t="s">
        <v>39</v>
      </c>
      <c r="B5" s="15">
        <v>0.50334437500000007</v>
      </c>
      <c r="C5" s="16">
        <v>519505809000509</v>
      </c>
      <c r="D5">
        <v>1000</v>
      </c>
      <c r="E5">
        <v>100000</v>
      </c>
      <c r="F5" s="16">
        <v>100000000</v>
      </c>
      <c r="G5">
        <v>1</v>
      </c>
      <c r="H5">
        <v>322</v>
      </c>
      <c r="I5">
        <v>22659</v>
      </c>
      <c r="J5">
        <v>598260</v>
      </c>
      <c r="K5">
        <v>6063179</v>
      </c>
      <c r="L5">
        <v>24164686</v>
      </c>
      <c r="M5">
        <v>38298659</v>
      </c>
      <c r="N5">
        <v>24169106</v>
      </c>
      <c r="O5">
        <v>6061674</v>
      </c>
      <c r="P5">
        <v>598275</v>
      </c>
      <c r="Q5">
        <v>22837</v>
      </c>
      <c r="R5">
        <v>0</v>
      </c>
      <c r="S5">
        <v>0</v>
      </c>
      <c r="T5">
        <v>45313</v>
      </c>
      <c r="U5">
        <v>8938187</v>
      </c>
      <c r="V5">
        <v>24196977</v>
      </c>
      <c r="W5">
        <v>28717898</v>
      </c>
      <c r="X5">
        <v>27733313</v>
      </c>
      <c r="Y5">
        <v>7338919</v>
      </c>
      <c r="Z5">
        <v>1148670</v>
      </c>
      <c r="AA5">
        <v>521737</v>
      </c>
      <c r="AB5">
        <v>370327</v>
      </c>
      <c r="AC5">
        <v>283487</v>
      </c>
      <c r="AD5">
        <v>227834</v>
      </c>
      <c r="AE5">
        <v>185333</v>
      </c>
      <c r="AF5">
        <v>142106</v>
      </c>
      <c r="AG5">
        <v>88225</v>
      </c>
      <c r="AH5">
        <v>35777</v>
      </c>
      <c r="AI5">
        <v>11034</v>
      </c>
      <c r="AJ5">
        <v>3640</v>
      </c>
      <c r="AK5">
        <v>1542</v>
      </c>
      <c r="AL5">
        <v>110213927</v>
      </c>
      <c r="AM5" s="2">
        <v>14187347204955</v>
      </c>
      <c r="AN5">
        <v>66487</v>
      </c>
      <c r="AO5">
        <v>288313016</v>
      </c>
      <c r="AP5">
        <v>141873</v>
      </c>
      <c r="AQ5" s="2">
        <v>549948148224</v>
      </c>
      <c r="AR5">
        <v>5499</v>
      </c>
      <c r="AS5">
        <v>38.763283000000001</v>
      </c>
      <c r="AT5">
        <v>54.900272000000001</v>
      </c>
      <c r="AU5">
        <v>51.275615999999999</v>
      </c>
      <c r="AV5">
        <v>48.68927</v>
      </c>
      <c r="AW5">
        <v>46.132959999999997</v>
      </c>
      <c r="AX5">
        <v>44.635309999999997</v>
      </c>
      <c r="AY5">
        <v>43.419764999999998</v>
      </c>
      <c r="AZ5">
        <v>42.097329999999999</v>
      </c>
      <c r="BA5">
        <v>40.244197999999997</v>
      </c>
      <c r="BB5">
        <v>40.104526999999997</v>
      </c>
      <c r="BC5">
        <v>38.055366999999997</v>
      </c>
      <c r="BD5">
        <v>37.169314999999997</v>
      </c>
      <c r="BE5">
        <v>36.993459999999999</v>
      </c>
      <c r="BF5">
        <v>35.510886999999997</v>
      </c>
      <c r="BG5">
        <v>34.841679999999997</v>
      </c>
      <c r="BH5">
        <v>34.214188</v>
      </c>
      <c r="BI5">
        <v>32.620907000000003</v>
      </c>
      <c r="BJ5">
        <v>32.178789999999999</v>
      </c>
      <c r="BK5">
        <v>30.730387</v>
      </c>
      <c r="BL5">
        <v>31.116637999999998</v>
      </c>
      <c r="BM5">
        <v>30.297922</v>
      </c>
      <c r="BN5" s="16">
        <v>12000138625024</v>
      </c>
      <c r="BO5" s="16">
        <v>11997973053440</v>
      </c>
      <c r="BP5" s="16">
        <v>11099818590208</v>
      </c>
      <c r="BQ5" s="16">
        <v>12000134692864</v>
      </c>
      <c r="BR5" s="16">
        <v>11099827077120</v>
      </c>
      <c r="BS5" s="16">
        <v>534085075561583</v>
      </c>
      <c r="BT5" s="15">
        <v>0.67208594907407404</v>
      </c>
      <c r="BY5">
        <v>11718885376</v>
      </c>
      <c r="BZ5">
        <v>880717356</v>
      </c>
      <c r="CA5">
        <v>10838348436</v>
      </c>
      <c r="CB5" s="19">
        <v>0.08</v>
      </c>
      <c r="CC5" t="s">
        <v>209</v>
      </c>
      <c r="CD5" t="s">
        <v>214</v>
      </c>
      <c r="CE5" t="s">
        <v>209</v>
      </c>
      <c r="CF5" s="19">
        <v>0.08</v>
      </c>
    </row>
    <row r="41" spans="38:40" ht="62" x14ac:dyDescent="0.2">
      <c r="AL41" s="20" t="s">
        <v>2</v>
      </c>
      <c r="AM41" s="20" t="s">
        <v>24</v>
      </c>
      <c r="AN41" s="20" t="s">
        <v>215</v>
      </c>
    </row>
    <row r="42" spans="38:40" x14ac:dyDescent="0.2">
      <c r="AL42" s="16">
        <v>100000</v>
      </c>
      <c r="AM42" s="2">
        <v>9961384584</v>
      </c>
      <c r="AN42" s="31">
        <f>AM42/AL42</f>
        <v>99613.845839999994</v>
      </c>
    </row>
    <row r="43" spans="38:40" x14ac:dyDescent="0.2">
      <c r="AL43" s="16">
        <v>1000000</v>
      </c>
      <c r="AM43" s="2">
        <v>94362329781</v>
      </c>
      <c r="AN43" s="31">
        <f t="shared" ref="AN43:AN45" si="0">AM43/AL43</f>
        <v>94362.329780999993</v>
      </c>
    </row>
    <row r="44" spans="38:40" x14ac:dyDescent="0.2">
      <c r="AL44" s="16">
        <v>10000000</v>
      </c>
      <c r="AM44" s="2">
        <v>995587229945</v>
      </c>
      <c r="AN44" s="31">
        <f t="shared" si="0"/>
        <v>99558.7229945</v>
      </c>
    </row>
    <row r="45" spans="38:40" x14ac:dyDescent="0.2">
      <c r="AL45" s="16">
        <v>100000000</v>
      </c>
      <c r="AM45" s="2">
        <v>14187347204955</v>
      </c>
      <c r="AN45" s="31">
        <f t="shared" si="0"/>
        <v>141873.47204955001</v>
      </c>
    </row>
  </sheetData>
  <sortState xmlns:xlrd2="http://schemas.microsoft.com/office/spreadsheetml/2017/richdata2" ref="A2:CF5">
    <sortCondition ref="F2:F5"/>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A36FD-0826-D54F-81FC-D052C2F04C3A}">
  <dimension ref="A1:CF15"/>
  <sheetViews>
    <sheetView zoomScale="120" zoomScaleNormal="120" workbookViewId="0">
      <selection activeCell="F13" sqref="F13"/>
    </sheetView>
  </sheetViews>
  <sheetFormatPr baseColWidth="10" defaultRowHeight="16" x14ac:dyDescent="0.2"/>
  <cols>
    <col min="1" max="1" width="5.1640625" bestFit="1" customWidth="1"/>
    <col min="2" max="2" width="11.6640625" bestFit="1" customWidth="1"/>
    <col min="3" max="3" width="19.6640625" bestFit="1" customWidth="1"/>
    <col min="4" max="4" width="5.1640625" bestFit="1" customWidth="1"/>
    <col min="5" max="5" width="11.5" bestFit="1" customWidth="1"/>
    <col min="6" max="6" width="15" bestFit="1" customWidth="1"/>
    <col min="7" max="8" width="5" bestFit="1" customWidth="1"/>
    <col min="9" max="9" width="6.1640625" bestFit="1" customWidth="1"/>
    <col min="10" max="10" width="7.1640625" bestFit="1" customWidth="1"/>
    <col min="11" max="11" width="8.1640625" bestFit="1" customWidth="1"/>
    <col min="12" max="14" width="9.1640625" bestFit="1" customWidth="1"/>
    <col min="15" max="15" width="8.1640625" bestFit="1" customWidth="1"/>
    <col min="16" max="16" width="7.1640625" bestFit="1" customWidth="1"/>
    <col min="17" max="17" width="6.1640625" bestFit="1" customWidth="1"/>
    <col min="18" max="19" width="5" bestFit="1" customWidth="1"/>
    <col min="20" max="20" width="7.1640625" bestFit="1" customWidth="1"/>
    <col min="21" max="22" width="9.1640625" bestFit="1" customWidth="1"/>
    <col min="23" max="24" width="8.1640625" bestFit="1" customWidth="1"/>
    <col min="25" max="27" width="7.1640625" bestFit="1" customWidth="1"/>
    <col min="28" max="29" width="6.1640625" bestFit="1" customWidth="1"/>
    <col min="30" max="32" width="5.1640625" bestFit="1" customWidth="1"/>
    <col min="33" max="37" width="5" bestFit="1" customWidth="1"/>
    <col min="38" max="38" width="10.1640625" bestFit="1" customWidth="1"/>
    <col min="39" max="39" width="15.1640625" bestFit="1" customWidth="1"/>
    <col min="40" max="40" width="6.1640625" bestFit="1" customWidth="1"/>
    <col min="41" max="41" width="10.1640625" bestFit="1" customWidth="1"/>
    <col min="42" max="42" width="7.1640625" bestFit="1" customWidth="1"/>
    <col min="43" max="43" width="13.1640625" bestFit="1" customWidth="1"/>
    <col min="44" max="44" width="5.1640625" bestFit="1" customWidth="1"/>
    <col min="45" max="62" width="10.1640625" bestFit="1" customWidth="1"/>
    <col min="63" max="63" width="9.1640625" bestFit="1" customWidth="1"/>
    <col min="64" max="65" width="10.1640625" bestFit="1" customWidth="1"/>
    <col min="66" max="67" width="15.1640625" bestFit="1" customWidth="1"/>
    <col min="68" max="68" width="17.6640625" bestFit="1" customWidth="1"/>
    <col min="69" max="69" width="15.1640625" bestFit="1" customWidth="1"/>
    <col min="70" max="71" width="17.6640625" bestFit="1" customWidth="1"/>
    <col min="72" max="72" width="11.6640625" bestFit="1" customWidth="1"/>
    <col min="73" max="73" width="11.1640625" bestFit="1" customWidth="1"/>
    <col min="74" max="74" width="10.1640625" bestFit="1" customWidth="1"/>
    <col min="75" max="75" width="11.1640625" bestFit="1" customWidth="1"/>
    <col min="76" max="76" width="5" bestFit="1" customWidth="1"/>
    <col min="77" max="77" width="12.1640625" bestFit="1" customWidth="1"/>
    <col min="78" max="78" width="14" bestFit="1" customWidth="1"/>
    <col min="79" max="79" width="11.1640625" bestFit="1" customWidth="1"/>
    <col min="80" max="81" width="5" bestFit="1" customWidth="1"/>
    <col min="82" max="82" width="5.5" bestFit="1" customWidth="1"/>
    <col min="83" max="84" width="5" bestFit="1" customWidth="1"/>
  </cols>
  <sheetData>
    <row r="1" spans="1:84" s="46" customFormat="1" ht="171" x14ac:dyDescent="0.2">
      <c r="A1" s="20" t="s">
        <v>38</v>
      </c>
      <c r="B1" s="20" t="s">
        <v>43</v>
      </c>
      <c r="C1" s="21" t="s">
        <v>40</v>
      </c>
      <c r="D1" s="20" t="s">
        <v>0</v>
      </c>
      <c r="E1" s="20" t="s">
        <v>1</v>
      </c>
      <c r="F1" s="20" t="s">
        <v>2</v>
      </c>
      <c r="G1" s="20" t="s">
        <v>3</v>
      </c>
      <c r="H1" s="22" t="s">
        <v>161</v>
      </c>
      <c r="I1" s="22" t="s">
        <v>162</v>
      </c>
      <c r="J1" s="22" t="s">
        <v>163</v>
      </c>
      <c r="K1" s="22" t="s">
        <v>164</v>
      </c>
      <c r="L1" s="22" t="s">
        <v>165</v>
      </c>
      <c r="M1" s="22" t="s">
        <v>166</v>
      </c>
      <c r="N1" s="22" t="s">
        <v>167</v>
      </c>
      <c r="O1" s="22" t="s">
        <v>168</v>
      </c>
      <c r="P1" s="22" t="s">
        <v>169</v>
      </c>
      <c r="Q1" s="22" t="s">
        <v>170</v>
      </c>
      <c r="R1" s="23" t="s">
        <v>141</v>
      </c>
      <c r="S1" s="23" t="s">
        <v>142</v>
      </c>
      <c r="T1" s="23" t="s">
        <v>143</v>
      </c>
      <c r="U1" s="23" t="s">
        <v>144</v>
      </c>
      <c r="V1" s="23" t="s">
        <v>145</v>
      </c>
      <c r="W1" s="23" t="s">
        <v>146</v>
      </c>
      <c r="X1" s="23" t="s">
        <v>147</v>
      </c>
      <c r="Y1" s="23" t="s">
        <v>148</v>
      </c>
      <c r="Z1" s="23" t="s">
        <v>149</v>
      </c>
      <c r="AA1" s="23" t="s">
        <v>150</v>
      </c>
      <c r="AB1" s="23" t="s">
        <v>151</v>
      </c>
      <c r="AC1" s="23" t="s">
        <v>152</v>
      </c>
      <c r="AD1" s="23" t="s">
        <v>153</v>
      </c>
      <c r="AE1" s="23" t="s">
        <v>154</v>
      </c>
      <c r="AF1" s="23" t="s">
        <v>155</v>
      </c>
      <c r="AG1" s="23" t="s">
        <v>156</v>
      </c>
      <c r="AH1" s="23" t="s">
        <v>157</v>
      </c>
      <c r="AI1" s="23" t="s">
        <v>158</v>
      </c>
      <c r="AJ1" s="23" t="s">
        <v>159</v>
      </c>
      <c r="AK1" s="23" t="s">
        <v>160</v>
      </c>
      <c r="AL1" s="20" t="s">
        <v>25</v>
      </c>
      <c r="AM1" s="20" t="s">
        <v>90</v>
      </c>
      <c r="AN1" s="20" t="s">
        <v>26</v>
      </c>
      <c r="AO1" s="20" t="s">
        <v>27</v>
      </c>
      <c r="AP1" s="20" t="s">
        <v>28</v>
      </c>
      <c r="AQ1" s="21" t="s">
        <v>221</v>
      </c>
      <c r="AR1" s="20" t="s">
        <v>220</v>
      </c>
      <c r="AS1" s="20" t="s">
        <v>171</v>
      </c>
      <c r="AT1" s="24" t="s">
        <v>174</v>
      </c>
      <c r="AU1" s="24" t="s">
        <v>175</v>
      </c>
      <c r="AV1" s="24" t="s">
        <v>176</v>
      </c>
      <c r="AW1" s="24" t="s">
        <v>177</v>
      </c>
      <c r="AX1" s="24" t="s">
        <v>178</v>
      </c>
      <c r="AY1" s="24" t="s">
        <v>179</v>
      </c>
      <c r="AZ1" s="24" t="s">
        <v>180</v>
      </c>
      <c r="BA1" s="24" t="s">
        <v>181</v>
      </c>
      <c r="BB1" s="24" t="s">
        <v>182</v>
      </c>
      <c r="BC1" s="24" t="s">
        <v>183</v>
      </c>
      <c r="BD1" s="24" t="s">
        <v>184</v>
      </c>
      <c r="BE1" s="24" t="s">
        <v>185</v>
      </c>
      <c r="BF1" s="24" t="s">
        <v>186</v>
      </c>
      <c r="BG1" s="24" t="s">
        <v>187</v>
      </c>
      <c r="BH1" s="24" t="s">
        <v>188</v>
      </c>
      <c r="BI1" s="24" t="s">
        <v>189</v>
      </c>
      <c r="BJ1" s="24" t="s">
        <v>190</v>
      </c>
      <c r="BK1" s="24" t="s">
        <v>191</v>
      </c>
      <c r="BL1" s="24" t="s">
        <v>192</v>
      </c>
      <c r="BM1" s="24" t="s">
        <v>193</v>
      </c>
      <c r="BN1" s="20" t="s">
        <v>172</v>
      </c>
      <c r="BO1" s="20" t="s">
        <v>173</v>
      </c>
      <c r="BP1" s="20" t="s">
        <v>194</v>
      </c>
      <c r="BQ1" s="20" t="s">
        <v>195</v>
      </c>
      <c r="BR1" s="20" t="s">
        <v>196</v>
      </c>
      <c r="BS1" s="21" t="s">
        <v>41</v>
      </c>
      <c r="BT1" s="20" t="s">
        <v>44</v>
      </c>
      <c r="BU1" s="20" t="s">
        <v>197</v>
      </c>
      <c r="BV1" s="20" t="s">
        <v>198</v>
      </c>
      <c r="BW1" s="20" t="s">
        <v>199</v>
      </c>
      <c r="BX1" s="20" t="s">
        <v>200</v>
      </c>
      <c r="BY1" s="20" t="s">
        <v>205</v>
      </c>
      <c r="BZ1" s="20" t="s">
        <v>206</v>
      </c>
      <c r="CA1" s="20" t="s">
        <v>207</v>
      </c>
      <c r="CB1" s="20" t="s">
        <v>208</v>
      </c>
      <c r="CC1" s="20" t="s">
        <v>201</v>
      </c>
      <c r="CD1" s="20" t="s">
        <v>202</v>
      </c>
      <c r="CE1" s="20" t="s">
        <v>203</v>
      </c>
      <c r="CF1" s="20" t="s">
        <v>204</v>
      </c>
    </row>
    <row r="2" spans="1:84" s="39" customFormat="1" x14ac:dyDescent="0.2">
      <c r="A2" s="39" t="s">
        <v>69</v>
      </c>
      <c r="B2" s="40">
        <v>0.3340865393518519</v>
      </c>
      <c r="C2" s="16">
        <v>598902479644637</v>
      </c>
      <c r="D2" s="39">
        <v>1000</v>
      </c>
      <c r="E2" s="16">
        <v>100000</v>
      </c>
      <c r="F2" s="16">
        <v>100000000</v>
      </c>
      <c r="G2" s="39">
        <v>1</v>
      </c>
      <c r="H2" s="39">
        <v>318</v>
      </c>
      <c r="I2" s="39">
        <v>23158</v>
      </c>
      <c r="J2" s="39">
        <v>597833</v>
      </c>
      <c r="K2" s="39">
        <v>6058592</v>
      </c>
      <c r="L2" s="39">
        <v>24172878</v>
      </c>
      <c r="M2" s="39">
        <v>38287341</v>
      </c>
      <c r="N2" s="39">
        <v>24178338</v>
      </c>
      <c r="O2" s="39">
        <v>6060553</v>
      </c>
      <c r="P2" s="39">
        <v>597969</v>
      </c>
      <c r="Q2" s="39">
        <v>22684</v>
      </c>
      <c r="R2" s="39">
        <v>0</v>
      </c>
      <c r="S2" s="39">
        <v>0</v>
      </c>
      <c r="T2" s="39">
        <v>123236</v>
      </c>
      <c r="U2" s="39">
        <v>48780483</v>
      </c>
      <c r="V2" s="39">
        <v>46509302</v>
      </c>
      <c r="W2" s="39">
        <v>2012060</v>
      </c>
      <c r="X2" s="39">
        <v>1034229</v>
      </c>
      <c r="Y2" s="39">
        <v>567475</v>
      </c>
      <c r="Z2" s="39">
        <v>364510</v>
      </c>
      <c r="AA2" s="39">
        <v>113806</v>
      </c>
      <c r="AB2" s="39">
        <v>32967</v>
      </c>
      <c r="AC2" s="39">
        <v>13827</v>
      </c>
      <c r="AD2" s="39">
        <v>9312</v>
      </c>
      <c r="AE2" s="39">
        <v>4086</v>
      </c>
      <c r="AF2" s="39">
        <v>1590</v>
      </c>
      <c r="AG2" s="39">
        <v>631</v>
      </c>
      <c r="AH2" s="39">
        <v>247</v>
      </c>
      <c r="AI2" s="39">
        <v>126</v>
      </c>
      <c r="AJ2" s="39">
        <v>62</v>
      </c>
      <c r="AK2" s="39">
        <v>54</v>
      </c>
      <c r="AL2" s="39">
        <v>125096195</v>
      </c>
      <c r="AM2" s="38">
        <v>14423202396412</v>
      </c>
      <c r="AN2" s="39">
        <v>57079</v>
      </c>
      <c r="AO2" s="39">
        <v>389741347</v>
      </c>
      <c r="AP2" s="39">
        <v>144232</v>
      </c>
      <c r="AQ2" s="41">
        <v>549955916825</v>
      </c>
      <c r="AR2" s="39">
        <v>5499</v>
      </c>
      <c r="AS2" s="39">
        <v>38.129944000000002</v>
      </c>
      <c r="AT2" s="39">
        <v>38.273384</v>
      </c>
      <c r="AU2" s="39">
        <v>37.453220000000002</v>
      </c>
      <c r="AV2" s="39">
        <v>37.932549999999999</v>
      </c>
      <c r="AW2" s="39">
        <v>38.799187000000003</v>
      </c>
      <c r="AX2" s="39">
        <v>38.044040000000003</v>
      </c>
      <c r="AY2" s="39">
        <v>37.204239999999999</v>
      </c>
      <c r="AZ2" s="39">
        <v>38.570309999999999</v>
      </c>
      <c r="BA2" s="39">
        <v>38.717025999999997</v>
      </c>
      <c r="BB2" s="39">
        <v>38.660167999999999</v>
      </c>
      <c r="BC2" s="39">
        <v>38.243935</v>
      </c>
      <c r="BD2" s="39">
        <v>37.850273000000001</v>
      </c>
      <c r="BE2" s="39">
        <v>37.729385000000001</v>
      </c>
      <c r="BF2" s="39">
        <v>37.273229999999998</v>
      </c>
      <c r="BG2" s="39">
        <v>38.271538</v>
      </c>
      <c r="BH2" s="39">
        <v>37.827489999999997</v>
      </c>
      <c r="BI2" s="39">
        <v>36.599800000000002</v>
      </c>
      <c r="BJ2" s="39">
        <v>36.627490000000002</v>
      </c>
      <c r="BK2" s="39">
        <v>38.769060000000003</v>
      </c>
      <c r="BL2" s="39">
        <v>38.56682</v>
      </c>
      <c r="BM2" s="39">
        <v>37.380294999999997</v>
      </c>
      <c r="BN2" s="41">
        <v>11248186359808</v>
      </c>
      <c r="BO2" s="41">
        <v>10648098623488</v>
      </c>
      <c r="BP2" s="41">
        <v>9856758747136</v>
      </c>
      <c r="BQ2" s="41">
        <v>11248122331136</v>
      </c>
      <c r="BR2" s="41">
        <v>10456782454784</v>
      </c>
      <c r="BS2" s="41">
        <v>613637512915809</v>
      </c>
      <c r="BT2" s="40">
        <v>0.50463100694444452</v>
      </c>
      <c r="BU2" s="43">
        <v>2929721344</v>
      </c>
      <c r="BV2" s="43">
        <v>100001012</v>
      </c>
      <c r="BW2" s="43">
        <v>2829720332</v>
      </c>
      <c r="BX2" s="44">
        <v>0.04</v>
      </c>
      <c r="BY2" s="45">
        <v>10984556992</v>
      </c>
      <c r="BZ2" s="45">
        <v>772855376</v>
      </c>
      <c r="CA2" s="45">
        <v>9625740964</v>
      </c>
      <c r="CB2" s="42">
        <v>0.08</v>
      </c>
      <c r="CC2" s="39" t="s">
        <v>209</v>
      </c>
      <c r="CD2" s="45" t="s">
        <v>71</v>
      </c>
      <c r="CE2" s="45" t="s">
        <v>216</v>
      </c>
      <c r="CF2" s="42">
        <v>0.08</v>
      </c>
    </row>
    <row r="3" spans="1:84" s="39" customFormat="1" x14ac:dyDescent="0.2">
      <c r="A3" s="39" t="s">
        <v>69</v>
      </c>
      <c r="B3" s="40">
        <v>0.70060780092592589</v>
      </c>
      <c r="C3" s="16">
        <v>4233933106058</v>
      </c>
      <c r="D3" s="39">
        <v>100</v>
      </c>
      <c r="E3" s="16">
        <v>10000</v>
      </c>
      <c r="F3" s="16">
        <v>1000000</v>
      </c>
      <c r="G3" s="39">
        <v>1</v>
      </c>
      <c r="H3" s="39">
        <v>4</v>
      </c>
      <c r="I3" s="39">
        <v>237</v>
      </c>
      <c r="J3" s="39">
        <v>5942</v>
      </c>
      <c r="K3" s="39">
        <v>60878</v>
      </c>
      <c r="L3" s="39">
        <v>241484</v>
      </c>
      <c r="M3" s="39">
        <v>383298</v>
      </c>
      <c r="N3" s="39">
        <v>241573</v>
      </c>
      <c r="O3" s="39">
        <v>60383</v>
      </c>
      <c r="P3" s="39">
        <v>5970</v>
      </c>
      <c r="Q3" s="39">
        <v>227</v>
      </c>
      <c r="R3" s="39">
        <v>0</v>
      </c>
      <c r="S3" s="39">
        <v>0</v>
      </c>
      <c r="T3" s="39">
        <v>0</v>
      </c>
      <c r="U3" s="39">
        <v>292767</v>
      </c>
      <c r="V3" s="39">
        <v>628938</v>
      </c>
      <c r="W3" s="39">
        <v>40491</v>
      </c>
      <c r="X3" s="39">
        <v>16014</v>
      </c>
      <c r="Y3" s="39">
        <v>6172</v>
      </c>
      <c r="Z3" s="39">
        <v>6653</v>
      </c>
      <c r="AA3" s="39">
        <v>2644</v>
      </c>
      <c r="AB3" s="39">
        <v>793</v>
      </c>
      <c r="AC3" s="39">
        <v>312</v>
      </c>
      <c r="AD3" s="39">
        <v>178</v>
      </c>
      <c r="AE3" s="39">
        <v>80</v>
      </c>
      <c r="AF3" s="39">
        <v>28</v>
      </c>
      <c r="AG3" s="39">
        <v>14</v>
      </c>
      <c r="AH3" s="39">
        <v>6</v>
      </c>
      <c r="AI3" s="39">
        <v>3</v>
      </c>
      <c r="AJ3" s="39">
        <v>2</v>
      </c>
      <c r="AK3" s="39">
        <v>4</v>
      </c>
      <c r="AL3" s="39">
        <v>8691569</v>
      </c>
      <c r="AM3" s="38">
        <v>160235801147</v>
      </c>
      <c r="AN3" s="39">
        <v>79111</v>
      </c>
      <c r="AO3" s="39">
        <v>350127593</v>
      </c>
      <c r="AP3" s="39">
        <v>160235</v>
      </c>
      <c r="AQ3" s="41">
        <v>5498936080</v>
      </c>
      <c r="AR3" s="39">
        <v>5498</v>
      </c>
      <c r="AS3" s="39">
        <v>34.317776000000002</v>
      </c>
      <c r="AT3" s="39">
        <v>39.672060000000002</v>
      </c>
      <c r="AU3" s="39">
        <v>31.575962000000001</v>
      </c>
      <c r="AV3" s="39">
        <v>35.803646000000001</v>
      </c>
      <c r="AW3" s="39">
        <v>37.098514999999999</v>
      </c>
      <c r="AX3" s="39">
        <v>30.613018</v>
      </c>
      <c r="AY3" s="39">
        <v>36.797103999999997</v>
      </c>
      <c r="AZ3" s="39">
        <v>34.239857000000001</v>
      </c>
      <c r="BA3" s="39">
        <v>31.889717000000001</v>
      </c>
      <c r="BB3" s="39">
        <v>36.529559999999996</v>
      </c>
      <c r="BC3" s="39">
        <v>37.053417000000003</v>
      </c>
      <c r="BD3" s="39">
        <v>35.455475</v>
      </c>
      <c r="BE3" s="39">
        <v>39.503529999999998</v>
      </c>
      <c r="BF3" s="39">
        <v>28.767588</v>
      </c>
      <c r="BG3" s="39">
        <v>35.647174999999997</v>
      </c>
      <c r="BH3" s="39">
        <v>35.69303</v>
      </c>
      <c r="BI3" s="39">
        <v>28.60886</v>
      </c>
      <c r="BJ3" s="39">
        <v>32.272404000000002</v>
      </c>
      <c r="BK3" s="39">
        <v>36.074800000000003</v>
      </c>
      <c r="BL3" s="39">
        <v>31.297453000000001</v>
      </c>
      <c r="BM3" s="39">
        <v>36.302836999999997</v>
      </c>
      <c r="BN3" s="41">
        <v>3749370994688</v>
      </c>
      <c r="BO3" s="41">
        <v>3549222559744</v>
      </c>
      <c r="BP3" s="41">
        <v>3541312319488</v>
      </c>
      <c r="BQ3" s="41">
        <v>3749278687232</v>
      </c>
      <c r="BR3" s="41">
        <v>3741368446976</v>
      </c>
      <c r="BS3" s="41">
        <v>4398742670779</v>
      </c>
      <c r="BT3" s="40">
        <v>0.70251535879629623</v>
      </c>
      <c r="BU3" s="39">
        <v>976781312</v>
      </c>
      <c r="BV3" s="39">
        <v>1000112</v>
      </c>
      <c r="BW3" s="39">
        <v>975781200</v>
      </c>
      <c r="BX3" s="42">
        <v>0.01</v>
      </c>
    </row>
    <row r="4" spans="1:84" s="39" customFormat="1" x14ac:dyDescent="0.2">
      <c r="A4" s="39" t="s">
        <v>69</v>
      </c>
      <c r="B4" s="40">
        <v>0.71147291666666668</v>
      </c>
      <c r="C4" s="16">
        <v>5172679402658</v>
      </c>
      <c r="D4" s="39">
        <v>500</v>
      </c>
      <c r="E4" s="16">
        <v>20000</v>
      </c>
      <c r="F4" s="16">
        <v>10000000</v>
      </c>
      <c r="G4" s="39">
        <v>1</v>
      </c>
      <c r="H4" s="39">
        <v>33</v>
      </c>
      <c r="I4" s="39">
        <v>2270</v>
      </c>
      <c r="J4" s="39">
        <v>59197</v>
      </c>
      <c r="K4" s="39">
        <v>606635</v>
      </c>
      <c r="L4" s="39">
        <v>2418584</v>
      </c>
      <c r="M4" s="39">
        <v>3827751</v>
      </c>
      <c r="N4" s="39">
        <v>2417085</v>
      </c>
      <c r="O4" s="39">
        <v>606173</v>
      </c>
      <c r="P4" s="39">
        <v>59922</v>
      </c>
      <c r="Q4" s="39">
        <v>2322</v>
      </c>
      <c r="R4" s="39">
        <v>0</v>
      </c>
      <c r="S4" s="39">
        <v>0</v>
      </c>
      <c r="T4" s="39">
        <v>23</v>
      </c>
      <c r="U4" s="39">
        <v>3441401</v>
      </c>
      <c r="V4" s="39">
        <v>5883490</v>
      </c>
      <c r="W4" s="39">
        <v>336996</v>
      </c>
      <c r="X4" s="39">
        <v>137124</v>
      </c>
      <c r="Y4" s="39">
        <v>66512</v>
      </c>
      <c r="Z4" s="39">
        <v>55659</v>
      </c>
      <c r="AA4" s="39">
        <v>19949</v>
      </c>
      <c r="AB4" s="39">
        <v>6453</v>
      </c>
      <c r="AC4" s="39">
        <v>2423</v>
      </c>
      <c r="AD4" s="39">
        <v>1279</v>
      </c>
      <c r="AE4" s="39">
        <v>605</v>
      </c>
      <c r="AF4" s="39">
        <v>230</v>
      </c>
      <c r="AG4" s="39">
        <v>90</v>
      </c>
      <c r="AH4" s="39">
        <v>59</v>
      </c>
      <c r="AI4" s="39">
        <v>28</v>
      </c>
      <c r="AJ4" s="39">
        <v>8</v>
      </c>
      <c r="AK4" s="39">
        <v>9</v>
      </c>
      <c r="AL4" s="39">
        <v>46451541</v>
      </c>
      <c r="AM4" s="38">
        <v>1572250270160</v>
      </c>
      <c r="AN4" s="39">
        <v>72376</v>
      </c>
      <c r="AO4" s="39">
        <v>390674065</v>
      </c>
      <c r="AP4" s="39">
        <v>157225</v>
      </c>
      <c r="AQ4" s="41">
        <v>54995247462</v>
      </c>
      <c r="AR4" s="39">
        <v>5499</v>
      </c>
      <c r="AS4" s="39">
        <v>34.978682999999997</v>
      </c>
      <c r="AT4" s="39">
        <v>39.964866999999998</v>
      </c>
      <c r="AU4" s="39">
        <v>38.502960000000002</v>
      </c>
      <c r="AV4" s="39">
        <v>36.321759999999998</v>
      </c>
      <c r="AW4" s="39">
        <v>33.453743000000003</v>
      </c>
      <c r="AX4" s="39">
        <v>40.160805000000003</v>
      </c>
      <c r="AY4" s="39">
        <v>32.565075</v>
      </c>
      <c r="AZ4" s="39">
        <v>37.344143000000003</v>
      </c>
      <c r="BA4" s="39">
        <v>39.248894</v>
      </c>
      <c r="BB4" s="39">
        <v>38.245649999999998</v>
      </c>
      <c r="BC4" s="39">
        <v>37.304028000000002</v>
      </c>
      <c r="BD4" s="39">
        <v>38.102980000000002</v>
      </c>
      <c r="BE4" s="39">
        <v>34.053690000000003</v>
      </c>
      <c r="BF4" s="39">
        <v>30.769966</v>
      </c>
      <c r="BG4" s="39">
        <v>35.618389999999998</v>
      </c>
      <c r="BH4" s="39">
        <v>36.779186000000003</v>
      </c>
      <c r="BI4" s="39">
        <v>30.436866999999999</v>
      </c>
      <c r="BJ4" s="39">
        <v>35.967619999999997</v>
      </c>
      <c r="BK4" s="39">
        <v>32.966079999999998</v>
      </c>
      <c r="BL4" s="39">
        <v>37.853107000000001</v>
      </c>
      <c r="BM4" s="39">
        <v>32.490364</v>
      </c>
      <c r="BN4" s="41">
        <v>3749370994688</v>
      </c>
      <c r="BO4" s="41">
        <v>3549222559744</v>
      </c>
      <c r="BP4" s="41">
        <v>3470103699456</v>
      </c>
      <c r="BQ4" s="41">
        <v>3749278687232</v>
      </c>
      <c r="BR4" s="41">
        <v>3670159826944</v>
      </c>
      <c r="BS4" s="41">
        <v>6782512215278</v>
      </c>
      <c r="BT4" s="40">
        <v>0.73010528935185182</v>
      </c>
      <c r="BU4" s="39">
        <v>1302364160</v>
      </c>
    </row>
    <row r="5" spans="1:84" x14ac:dyDescent="0.2">
      <c r="A5" t="s">
        <v>69</v>
      </c>
      <c r="B5" s="40">
        <v>0.3340865393518519</v>
      </c>
      <c r="C5" s="16">
        <v>598902479644637</v>
      </c>
      <c r="D5">
        <v>1000</v>
      </c>
      <c r="E5" s="16">
        <v>100000</v>
      </c>
      <c r="F5" s="16">
        <v>100000000</v>
      </c>
      <c r="G5">
        <v>1</v>
      </c>
      <c r="H5">
        <v>318</v>
      </c>
      <c r="I5">
        <v>23158</v>
      </c>
      <c r="J5">
        <v>597833</v>
      </c>
      <c r="K5">
        <v>6058592</v>
      </c>
      <c r="L5">
        <v>24172878</v>
      </c>
      <c r="M5">
        <v>38287341</v>
      </c>
      <c r="N5">
        <v>24178338</v>
      </c>
      <c r="O5">
        <v>6060553</v>
      </c>
      <c r="P5">
        <v>597969</v>
      </c>
      <c r="Q5">
        <v>22684</v>
      </c>
      <c r="R5">
        <v>0</v>
      </c>
      <c r="S5">
        <v>0</v>
      </c>
      <c r="T5">
        <v>123236</v>
      </c>
      <c r="U5">
        <v>48780483</v>
      </c>
      <c r="V5">
        <v>46509302</v>
      </c>
      <c r="W5">
        <v>2012060</v>
      </c>
      <c r="X5">
        <v>1034229</v>
      </c>
      <c r="Y5">
        <v>567475</v>
      </c>
      <c r="Z5">
        <v>364510</v>
      </c>
      <c r="AA5">
        <v>113806</v>
      </c>
      <c r="AB5">
        <v>32967</v>
      </c>
      <c r="AC5">
        <v>13827</v>
      </c>
      <c r="AD5">
        <v>9312</v>
      </c>
      <c r="AE5">
        <v>4086</v>
      </c>
      <c r="AF5">
        <v>1590</v>
      </c>
      <c r="AG5">
        <v>631</v>
      </c>
      <c r="AH5">
        <v>247</v>
      </c>
      <c r="AI5">
        <v>126</v>
      </c>
      <c r="AJ5">
        <v>62</v>
      </c>
      <c r="AK5">
        <v>54</v>
      </c>
      <c r="AL5">
        <v>125096195</v>
      </c>
      <c r="AM5" s="38">
        <v>14423202396412</v>
      </c>
      <c r="AN5">
        <v>57079</v>
      </c>
      <c r="AO5">
        <v>389741347</v>
      </c>
      <c r="AP5">
        <v>144232</v>
      </c>
      <c r="AQ5" s="41">
        <v>549955916825</v>
      </c>
      <c r="AR5">
        <v>5499</v>
      </c>
      <c r="AS5">
        <v>38.129944000000002</v>
      </c>
      <c r="AT5">
        <v>38.273384</v>
      </c>
      <c r="AU5">
        <v>37.453220000000002</v>
      </c>
      <c r="AV5">
        <v>37.932549999999999</v>
      </c>
      <c r="AW5">
        <v>38.799187000000003</v>
      </c>
      <c r="AX5">
        <v>38.044040000000003</v>
      </c>
      <c r="AY5">
        <v>37.204239999999999</v>
      </c>
      <c r="AZ5">
        <v>38.570309999999999</v>
      </c>
      <c r="BA5">
        <v>38.717025999999997</v>
      </c>
      <c r="BB5">
        <v>38.660167999999999</v>
      </c>
      <c r="BC5">
        <v>38.243935</v>
      </c>
      <c r="BD5">
        <v>37.850273000000001</v>
      </c>
      <c r="BE5">
        <v>37.729385000000001</v>
      </c>
      <c r="BF5">
        <v>37.273229999999998</v>
      </c>
      <c r="BG5">
        <v>38.271538</v>
      </c>
      <c r="BH5">
        <v>37.827489999999997</v>
      </c>
      <c r="BI5">
        <v>36.599800000000002</v>
      </c>
      <c r="BJ5">
        <v>36.627490000000002</v>
      </c>
      <c r="BK5">
        <v>38.769060000000003</v>
      </c>
      <c r="BL5">
        <v>38.56682</v>
      </c>
      <c r="BM5">
        <v>37.380294999999997</v>
      </c>
      <c r="BN5" s="41">
        <v>11248186359808</v>
      </c>
      <c r="BO5" s="41">
        <v>10648098623488</v>
      </c>
      <c r="BP5" s="41">
        <v>9856758747136</v>
      </c>
      <c r="BQ5" s="41">
        <v>11248122331136</v>
      </c>
      <c r="BR5" s="41">
        <v>10456782454784</v>
      </c>
      <c r="BS5" s="41">
        <v>613637512915809</v>
      </c>
      <c r="BT5" s="40">
        <v>0.50463100694444452</v>
      </c>
    </row>
    <row r="6" spans="1:84" x14ac:dyDescent="0.2">
      <c r="A6" t="s">
        <v>69</v>
      </c>
      <c r="B6" s="40">
        <v>0.70060780092592589</v>
      </c>
      <c r="C6" s="16">
        <v>4233933106058</v>
      </c>
      <c r="D6">
        <v>100</v>
      </c>
      <c r="E6" s="16">
        <v>10000</v>
      </c>
      <c r="F6" s="16">
        <v>1000000</v>
      </c>
      <c r="G6">
        <v>1</v>
      </c>
      <c r="H6">
        <v>4</v>
      </c>
      <c r="I6">
        <v>237</v>
      </c>
      <c r="J6">
        <v>5942</v>
      </c>
      <c r="K6">
        <v>60878</v>
      </c>
      <c r="L6">
        <v>241484</v>
      </c>
      <c r="M6">
        <v>383298</v>
      </c>
      <c r="N6">
        <v>241573</v>
      </c>
      <c r="O6">
        <v>60383</v>
      </c>
      <c r="P6">
        <v>5970</v>
      </c>
      <c r="Q6">
        <v>227</v>
      </c>
      <c r="R6">
        <v>0</v>
      </c>
      <c r="S6">
        <v>0</v>
      </c>
      <c r="T6">
        <v>0</v>
      </c>
      <c r="U6">
        <v>292767</v>
      </c>
      <c r="V6">
        <v>628938</v>
      </c>
      <c r="W6">
        <v>40491</v>
      </c>
      <c r="X6">
        <v>16014</v>
      </c>
      <c r="Y6">
        <v>6172</v>
      </c>
      <c r="Z6">
        <v>6653</v>
      </c>
      <c r="AA6">
        <v>2644</v>
      </c>
      <c r="AB6">
        <v>793</v>
      </c>
      <c r="AC6">
        <v>312</v>
      </c>
      <c r="AD6">
        <v>178</v>
      </c>
      <c r="AE6">
        <v>80</v>
      </c>
      <c r="AF6">
        <v>28</v>
      </c>
      <c r="AG6">
        <v>14</v>
      </c>
      <c r="AH6">
        <v>6</v>
      </c>
      <c r="AI6">
        <v>3</v>
      </c>
      <c r="AJ6">
        <v>2</v>
      </c>
      <c r="AK6">
        <v>4</v>
      </c>
      <c r="AL6">
        <v>8691569</v>
      </c>
      <c r="AM6" s="38">
        <v>160235801147</v>
      </c>
      <c r="AN6">
        <v>79111</v>
      </c>
      <c r="AO6">
        <v>350127593</v>
      </c>
      <c r="AP6">
        <v>160235</v>
      </c>
      <c r="AQ6" s="41">
        <v>5498936080</v>
      </c>
      <c r="AR6">
        <v>5498</v>
      </c>
      <c r="AS6">
        <v>34.317776000000002</v>
      </c>
      <c r="AT6">
        <v>39.672060000000002</v>
      </c>
      <c r="AU6">
        <v>31.575962000000001</v>
      </c>
      <c r="AV6">
        <v>35.803646000000001</v>
      </c>
      <c r="AW6">
        <v>37.098514999999999</v>
      </c>
      <c r="AX6">
        <v>30.613018</v>
      </c>
      <c r="AY6">
        <v>36.797103999999997</v>
      </c>
      <c r="AZ6">
        <v>34.239857000000001</v>
      </c>
      <c r="BA6">
        <v>31.889717000000001</v>
      </c>
      <c r="BB6">
        <v>36.529559999999996</v>
      </c>
      <c r="BC6">
        <v>37.053417000000003</v>
      </c>
      <c r="BD6">
        <v>35.455475</v>
      </c>
      <c r="BE6">
        <v>39.503529999999998</v>
      </c>
      <c r="BF6">
        <v>28.767588</v>
      </c>
      <c r="BG6">
        <v>35.647174999999997</v>
      </c>
      <c r="BH6">
        <v>35.69303</v>
      </c>
      <c r="BI6">
        <v>28.60886</v>
      </c>
      <c r="BJ6">
        <v>32.272404000000002</v>
      </c>
      <c r="BK6">
        <v>36.074800000000003</v>
      </c>
      <c r="BL6">
        <v>31.297453000000001</v>
      </c>
      <c r="BM6">
        <v>36.302836999999997</v>
      </c>
      <c r="BN6" s="41">
        <v>3749370994688</v>
      </c>
      <c r="BO6" s="41">
        <v>3549222559744</v>
      </c>
      <c r="BP6" s="41">
        <v>3541312319488</v>
      </c>
      <c r="BQ6" s="41">
        <v>3749278687232</v>
      </c>
      <c r="BR6" s="41">
        <v>3741368446976</v>
      </c>
      <c r="BS6" s="41">
        <v>4398742670779</v>
      </c>
      <c r="BT6" s="40">
        <v>0.70251535879629623</v>
      </c>
    </row>
    <row r="7" spans="1:84" x14ac:dyDescent="0.2">
      <c r="A7" t="s">
        <v>217</v>
      </c>
      <c r="B7" s="40">
        <v>0.71147291666666668</v>
      </c>
      <c r="C7" s="16">
        <v>5172679402658</v>
      </c>
      <c r="D7">
        <v>500</v>
      </c>
      <c r="E7" s="16">
        <v>20000</v>
      </c>
      <c r="F7" s="16">
        <v>10000000</v>
      </c>
      <c r="G7">
        <v>1</v>
      </c>
      <c r="H7">
        <v>33</v>
      </c>
      <c r="I7">
        <v>2270</v>
      </c>
      <c r="J7">
        <v>59197</v>
      </c>
      <c r="K7">
        <v>606635</v>
      </c>
      <c r="L7">
        <v>2418584</v>
      </c>
      <c r="M7">
        <v>3827751</v>
      </c>
      <c r="N7">
        <v>2417085</v>
      </c>
      <c r="O7">
        <v>606173</v>
      </c>
      <c r="P7">
        <v>59922</v>
      </c>
      <c r="Q7">
        <v>2322</v>
      </c>
      <c r="R7">
        <v>0</v>
      </c>
      <c r="S7">
        <v>0</v>
      </c>
      <c r="T7">
        <v>23</v>
      </c>
      <c r="U7">
        <v>3441401</v>
      </c>
      <c r="V7">
        <v>5883490</v>
      </c>
      <c r="W7">
        <v>336996</v>
      </c>
      <c r="X7">
        <v>137124</v>
      </c>
      <c r="Y7">
        <v>66512</v>
      </c>
      <c r="Z7">
        <v>55659</v>
      </c>
      <c r="AA7">
        <v>19949</v>
      </c>
      <c r="AB7">
        <v>6453</v>
      </c>
      <c r="AC7">
        <v>2423</v>
      </c>
      <c r="AD7">
        <v>1279</v>
      </c>
      <c r="AE7">
        <v>605</v>
      </c>
      <c r="AF7">
        <v>230</v>
      </c>
      <c r="AG7">
        <v>90</v>
      </c>
      <c r="AH7">
        <v>59</v>
      </c>
      <c r="AI7">
        <v>28</v>
      </c>
      <c r="AJ7">
        <v>8</v>
      </c>
      <c r="AK7">
        <v>9</v>
      </c>
      <c r="AL7">
        <v>46451541</v>
      </c>
      <c r="AM7" s="38">
        <v>1572250270160</v>
      </c>
      <c r="AN7">
        <v>72376</v>
      </c>
      <c r="AO7">
        <v>390674065</v>
      </c>
      <c r="AP7">
        <v>157225</v>
      </c>
      <c r="AQ7" s="41">
        <v>54995247462</v>
      </c>
      <c r="AR7">
        <v>5499</v>
      </c>
      <c r="AS7">
        <v>34.978682999999997</v>
      </c>
      <c r="AT7">
        <v>39.964866999999998</v>
      </c>
      <c r="AU7">
        <v>38.502960000000002</v>
      </c>
      <c r="AV7">
        <v>36.321759999999998</v>
      </c>
      <c r="AW7">
        <v>33.453743000000003</v>
      </c>
      <c r="AX7">
        <v>40.160805000000003</v>
      </c>
      <c r="AY7">
        <v>32.565075</v>
      </c>
      <c r="AZ7">
        <v>37.344143000000003</v>
      </c>
      <c r="BA7">
        <v>39.248894</v>
      </c>
      <c r="BB7">
        <v>38.245649999999998</v>
      </c>
      <c r="BC7">
        <v>37.304028000000002</v>
      </c>
      <c r="BD7">
        <v>38.102980000000002</v>
      </c>
      <c r="BE7">
        <v>34.053690000000003</v>
      </c>
      <c r="BF7">
        <v>30.769966</v>
      </c>
      <c r="BG7">
        <v>35.618389999999998</v>
      </c>
      <c r="BH7">
        <v>36.779186000000003</v>
      </c>
      <c r="BI7">
        <v>30.436866999999999</v>
      </c>
      <c r="BJ7">
        <v>35.967619999999997</v>
      </c>
      <c r="BK7">
        <v>32.966079999999998</v>
      </c>
      <c r="BL7">
        <v>37.853107000000001</v>
      </c>
      <c r="BM7">
        <v>32.490364</v>
      </c>
      <c r="BN7" s="41">
        <v>3749370994688</v>
      </c>
      <c r="BO7" s="41">
        <v>3549222559744</v>
      </c>
      <c r="BP7" s="41">
        <v>3470103699456</v>
      </c>
      <c r="BQ7" s="41">
        <v>3749278687232</v>
      </c>
      <c r="BR7" s="41">
        <v>3670159826944</v>
      </c>
      <c r="BS7" s="41">
        <v>6782512215278</v>
      </c>
      <c r="BT7" s="40">
        <v>0.73010528935185182</v>
      </c>
    </row>
    <row r="8" spans="1:84" x14ac:dyDescent="0.2">
      <c r="B8" s="40"/>
      <c r="C8" s="16"/>
      <c r="E8" s="16"/>
      <c r="F8" s="16"/>
      <c r="AM8" s="38"/>
      <c r="AQ8" s="41"/>
      <c r="BN8" s="41"/>
      <c r="BO8" s="41"/>
      <c r="BP8" s="41"/>
      <c r="BQ8" s="41"/>
      <c r="BR8" s="41"/>
      <c r="BS8" s="41"/>
      <c r="BT8" s="40"/>
    </row>
    <row r="9" spans="1:84" x14ac:dyDescent="0.2">
      <c r="A9" t="s">
        <v>69</v>
      </c>
      <c r="B9" s="40">
        <v>0.38014910879629626</v>
      </c>
      <c r="C9" s="16">
        <v>62946301920153</v>
      </c>
      <c r="D9">
        <v>500</v>
      </c>
      <c r="E9" s="16">
        <v>20000</v>
      </c>
      <c r="F9" s="16">
        <v>10000000</v>
      </c>
      <c r="G9">
        <v>1</v>
      </c>
      <c r="H9">
        <v>41</v>
      </c>
      <c r="I9">
        <v>2288</v>
      </c>
      <c r="J9">
        <v>59706</v>
      </c>
      <c r="K9">
        <v>607851</v>
      </c>
      <c r="L9">
        <v>2415185</v>
      </c>
      <c r="M9">
        <v>3829551</v>
      </c>
      <c r="N9">
        <v>2418057</v>
      </c>
      <c r="O9">
        <v>605170</v>
      </c>
      <c r="P9">
        <v>59867</v>
      </c>
      <c r="Q9">
        <v>2257</v>
      </c>
      <c r="R9">
        <v>0</v>
      </c>
      <c r="S9">
        <v>0</v>
      </c>
      <c r="T9">
        <v>1377</v>
      </c>
      <c r="U9">
        <v>6141749</v>
      </c>
      <c r="V9">
        <v>3357721</v>
      </c>
      <c r="W9">
        <v>244683</v>
      </c>
      <c r="X9">
        <v>109947</v>
      </c>
      <c r="Y9">
        <v>50349</v>
      </c>
      <c r="Z9">
        <v>27243</v>
      </c>
      <c r="AA9">
        <v>11511</v>
      </c>
      <c r="AB9">
        <v>5932</v>
      </c>
      <c r="AC9">
        <v>3131</v>
      </c>
      <c r="AD9">
        <v>1232</v>
      </c>
      <c r="AE9">
        <v>474</v>
      </c>
      <c r="AF9">
        <v>209</v>
      </c>
      <c r="AG9">
        <v>88</v>
      </c>
      <c r="AH9">
        <v>71</v>
      </c>
      <c r="AI9">
        <v>47</v>
      </c>
      <c r="AJ9">
        <v>23</v>
      </c>
      <c r="AK9">
        <v>16</v>
      </c>
      <c r="AL9">
        <v>68224439</v>
      </c>
      <c r="AM9" s="38">
        <v>1438975190416</v>
      </c>
      <c r="AN9">
        <v>64886</v>
      </c>
      <c r="AO9">
        <v>495501214</v>
      </c>
      <c r="AP9">
        <v>143897</v>
      </c>
      <c r="AQ9" s="41">
        <v>54993406251</v>
      </c>
      <c r="AR9">
        <v>5499</v>
      </c>
      <c r="AS9">
        <v>38.217067999999998</v>
      </c>
      <c r="AT9">
        <v>37.815502000000002</v>
      </c>
      <c r="AU9">
        <v>38.959583000000002</v>
      </c>
      <c r="AV9">
        <v>37.334479999999999</v>
      </c>
      <c r="AW9">
        <v>37.260550000000002</v>
      </c>
      <c r="AX9">
        <v>41.362087000000002</v>
      </c>
      <c r="AY9">
        <v>39.344765000000002</v>
      </c>
      <c r="AZ9">
        <v>36.203761999999998</v>
      </c>
      <c r="BA9">
        <v>38.856133</v>
      </c>
      <c r="BB9">
        <v>40.10754</v>
      </c>
      <c r="BC9">
        <v>31.93242</v>
      </c>
      <c r="BD9">
        <v>42.188225000000003</v>
      </c>
      <c r="BE9">
        <v>39.94276</v>
      </c>
      <c r="BF9">
        <v>38.550179999999997</v>
      </c>
      <c r="BG9">
        <v>38.088659999999997</v>
      </c>
      <c r="BH9">
        <v>39.608443999999999</v>
      </c>
      <c r="BI9">
        <v>36.927044000000002</v>
      </c>
      <c r="BJ9">
        <v>37.647624999999998</v>
      </c>
      <c r="BK9">
        <v>42.499940000000002</v>
      </c>
      <c r="BL9">
        <v>37.451103000000003</v>
      </c>
      <c r="BM9">
        <v>40.736289999999997</v>
      </c>
      <c r="BN9" s="41">
        <v>3499033366528</v>
      </c>
      <c r="BO9" s="41">
        <v>3298880737280</v>
      </c>
      <c r="BP9" s="41">
        <v>3219772514304</v>
      </c>
      <c r="BQ9" s="41">
        <v>3498936864768</v>
      </c>
      <c r="BR9" s="41">
        <v>3419828641792</v>
      </c>
      <c r="BS9" s="41">
        <v>64419889708454</v>
      </c>
      <c r="BT9" s="40">
        <v>0.39720456018518518</v>
      </c>
      <c r="BU9">
        <v>1953529856</v>
      </c>
      <c r="BV9">
        <v>10000512</v>
      </c>
      <c r="BW9">
        <v>1943529344</v>
      </c>
      <c r="BX9" s="19">
        <v>0.01</v>
      </c>
      <c r="BY9">
        <v>3417024772</v>
      </c>
      <c r="BZ9">
        <v>77348364</v>
      </c>
      <c r="CA9">
        <v>3144309096</v>
      </c>
      <c r="CB9" s="19">
        <v>0.03</v>
      </c>
      <c r="CC9" t="s">
        <v>218</v>
      </c>
      <c r="CD9" t="s">
        <v>72</v>
      </c>
      <c r="CE9" t="s">
        <v>219</v>
      </c>
      <c r="CF9" s="19">
        <v>0.03</v>
      </c>
    </row>
    <row r="13" spans="1:84" x14ac:dyDescent="0.2">
      <c r="BO13" t="s">
        <v>222</v>
      </c>
      <c r="BP13" s="16">
        <f>BO9-BP9</f>
        <v>79108222976</v>
      </c>
      <c r="BQ13" t="s">
        <v>222</v>
      </c>
      <c r="BR13" s="16">
        <f>BQ9-BR9</f>
        <v>79108222976</v>
      </c>
      <c r="BS13" s="17">
        <f>BS9-C9</f>
        <v>1473587788301</v>
      </c>
      <c r="BT13" s="15"/>
      <c r="BZ13" s="16">
        <v>77348364</v>
      </c>
    </row>
    <row r="14" spans="1:84" x14ac:dyDescent="0.2">
      <c r="BP14" s="16">
        <v>54993406251</v>
      </c>
      <c r="BS14" s="31">
        <f>BS13/1000000000/60</f>
        <v>24.559796471683335</v>
      </c>
      <c r="BT14" s="15">
        <f>$BT$9-$B$9</f>
        <v>1.705545138888892E-2</v>
      </c>
    </row>
    <row r="15" spans="1:84" x14ac:dyDescent="0.2">
      <c r="BP15" s="17">
        <f>BP13-BP14</f>
        <v>24114816725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36</vt:i4>
      </vt:variant>
    </vt:vector>
  </HeadingPairs>
  <TitlesOfParts>
    <vt:vector size="59" baseType="lpstr">
      <vt:lpstr>README</vt:lpstr>
      <vt:lpstr>Sheet2</vt:lpstr>
      <vt:lpstr>Sheet3</vt:lpstr>
      <vt:lpstr>BtrFS</vt:lpstr>
      <vt:lpstr>XFS</vt:lpstr>
      <vt:lpstr>EXT4</vt:lpstr>
      <vt:lpstr>F2FS</vt:lpstr>
      <vt:lpstr>BtrFS-V2</vt:lpstr>
      <vt:lpstr>EXT4-V2-write</vt:lpstr>
      <vt:lpstr>XFS-V2</vt:lpstr>
      <vt:lpstr>XFS-write</vt:lpstr>
      <vt:lpstr>XFS-read</vt:lpstr>
      <vt:lpstr>EXT4-write</vt:lpstr>
      <vt:lpstr>EXT4-read</vt:lpstr>
      <vt:lpstr>BtrFS-write</vt:lpstr>
      <vt:lpstr>BtrFS-read</vt:lpstr>
      <vt:lpstr>F2FS-write</vt:lpstr>
      <vt:lpstr>F2FS-read</vt:lpstr>
      <vt:lpstr>EXT4-baseline</vt:lpstr>
      <vt:lpstr>Combined-write</vt:lpstr>
      <vt:lpstr>Combined-read</vt:lpstr>
      <vt:lpstr>XFS-1B-Write</vt:lpstr>
      <vt:lpstr>Blocks-write</vt:lpstr>
      <vt:lpstr>'BtrFS-read'!BtrFS_read</vt:lpstr>
      <vt:lpstr>'Combined-read'!BtrFS_read</vt:lpstr>
      <vt:lpstr>BtrFS!BtrFS_Stats</vt:lpstr>
      <vt:lpstr>'BtrFS-V2'!BtrFS_V2_stats</vt:lpstr>
      <vt:lpstr>Sheet2!BtrFS_V2_stats</vt:lpstr>
      <vt:lpstr>'Blocks-write'!BtrFS_write_1</vt:lpstr>
      <vt:lpstr>'BtrFS-write'!BtrFS_write_1</vt:lpstr>
      <vt:lpstr>'Combined-write'!BtrFS_write_1</vt:lpstr>
      <vt:lpstr>'Combined-read'!EXT4_read</vt:lpstr>
      <vt:lpstr>'EXT4-read'!EXT4_read</vt:lpstr>
      <vt:lpstr>'Combined-read'!EXT4_read_1</vt:lpstr>
      <vt:lpstr>'EXT4-read'!EXT4_read_1</vt:lpstr>
      <vt:lpstr>'Combined-read'!EXT4_read_2</vt:lpstr>
      <vt:lpstr>'EXT4'!EXT4_Stats.csv</vt:lpstr>
      <vt:lpstr>'EXT4-V2-write'!EXT4_V2</vt:lpstr>
      <vt:lpstr>'EXT4-V2-write'!EXT4_V2_1</vt:lpstr>
      <vt:lpstr>'EXT4-V2-write'!EXT4_V2_2</vt:lpstr>
      <vt:lpstr>'Combined-write'!EXT4_write</vt:lpstr>
      <vt:lpstr>'EXT4-baseline'!EXT4_write</vt:lpstr>
      <vt:lpstr>'EXT4-write'!EXT4_write</vt:lpstr>
      <vt:lpstr>F2FS!F2FS</vt:lpstr>
      <vt:lpstr>'Combined-read'!F2FS_read</vt:lpstr>
      <vt:lpstr>'F2FS-read'!F2FS_read</vt:lpstr>
      <vt:lpstr>'Blocks-write'!F2FS_write</vt:lpstr>
      <vt:lpstr>'Combined-write'!F2FS_write</vt:lpstr>
      <vt:lpstr>'F2FS-write'!F2FS_write</vt:lpstr>
      <vt:lpstr>'XFS-V2'!XFS</vt:lpstr>
      <vt:lpstr>'Combined-read'!XFS_read</vt:lpstr>
      <vt:lpstr>'XFS-read'!XFS_read</vt:lpstr>
      <vt:lpstr>'XFS-read'!XFS_read_1</vt:lpstr>
      <vt:lpstr>XFS!XFS_Stats</vt:lpstr>
      <vt:lpstr>Sheet3!XFS_write</vt:lpstr>
      <vt:lpstr>'XFS-1B-Write'!XFS_write</vt:lpstr>
      <vt:lpstr>'Combined-write'!XFS_write_1</vt:lpstr>
      <vt:lpstr>Sheet3!XFS_write_1</vt:lpstr>
      <vt:lpstr>'XFS-write'!XFS_write_3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Sohail Shaikh</cp:lastModifiedBy>
  <dcterms:created xsi:type="dcterms:W3CDTF">2022-04-03T22:22:59Z</dcterms:created>
  <dcterms:modified xsi:type="dcterms:W3CDTF">2022-05-09T18:49:23Z</dcterms:modified>
</cp:coreProperties>
</file>