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Sheet2" sheetId="2" state="visible" r:id="rId3"/>
    <sheet name="Sheet2_a" sheetId="3" state="visible" r:id="rId4"/>
    <sheet name="Sheet3" sheetId="4" state="visible" r:id="rId5"/>
    <sheet name="Sheet3_a" sheetId="5" state="visible" r:id="rId6"/>
    <sheet name="Sheet4" sheetId="6" state="visible" r:id="rId7"/>
    <sheet name="Sheet4_a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(Bold Points)Transformed Origin at Clamp D</t>
        </r>
      </text>
    </comment>
    <comment ref="X17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longer edge</t>
        </r>
      </text>
    </comment>
    <comment ref="X18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gap between each rectangle in flat mesh created by ****** in CAM on the shorter  edge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35" authorId="0">
      <text>
        <r>
          <rPr>
            <sz val="11"/>
            <color rgb="FF000000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(Bold Points)Transformed Origin at Clamp D</t>
        </r>
      </text>
    </comment>
  </commentList>
</comments>
</file>

<file path=xl/sharedStrings.xml><?xml version="1.0" encoding="utf-8"?>
<sst xmlns="http://schemas.openxmlformats.org/spreadsheetml/2006/main" count="954" uniqueCount="159">
  <si>
    <t xml:space="preserve">Trial 1</t>
  </si>
  <si>
    <t xml:space="preserve">3 pt</t>
  </si>
  <si>
    <t xml:space="preserve">center point</t>
  </si>
  <si>
    <t xml:space="preserve">Side 2</t>
  </si>
  <si>
    <t xml:space="preserve">Grip Locations</t>
  </si>
  <si>
    <t xml:space="preserve">Tabs in</t>
  </si>
  <si>
    <t xml:space="preserve">X</t>
  </si>
  <si>
    <t xml:space="preserve">Y</t>
  </si>
  <si>
    <t xml:space="preserve">Z</t>
  </si>
  <si>
    <t xml:space="preserve">A</t>
  </si>
  <si>
    <t xml:space="preserve">Gripping Locations</t>
  </si>
  <si>
    <t xml:space="preserve">cm inside</t>
  </si>
  <si>
    <t xml:space="preserve">meshes in</t>
  </si>
  <si>
    <t xml:space="preserve">B</t>
  </si>
  <si>
    <t xml:space="preserve">C</t>
  </si>
  <si>
    <t xml:space="preserve">A'</t>
  </si>
  <si>
    <t xml:space="preserve">D </t>
  </si>
  <si>
    <t xml:space="preserve">Side 1</t>
  </si>
  <si>
    <t xml:space="preserve">Side 3</t>
  </si>
  <si>
    <t xml:space="preserve">B'</t>
  </si>
  <si>
    <t xml:space="preserve">NEW</t>
  </si>
  <si>
    <t xml:space="preserve">Length</t>
  </si>
  <si>
    <t xml:space="preserve">No. of Markers</t>
  </si>
  <si>
    <t xml:space="preserve">Length/No. of Markers</t>
  </si>
  <si>
    <t xml:space="preserve">Mesh (in m / in cm)</t>
  </si>
  <si>
    <t xml:space="preserve">longside</t>
  </si>
  <si>
    <t xml:space="preserve">Short Side</t>
  </si>
  <si>
    <t xml:space="preserve">C'</t>
  </si>
  <si>
    <t xml:space="preserve">24576 quant 64x64</t>
  </si>
  <si>
    <t xml:space="preserve">inch</t>
  </si>
  <si>
    <t xml:space="preserve">m</t>
  </si>
  <si>
    <t xml:space="preserve">Side 4</t>
  </si>
  <si>
    <t xml:space="preserve">positive x is up</t>
  </si>
  <si>
    <t xml:space="preserve">D</t>
  </si>
  <si>
    <t xml:space="preserve">positive y is left</t>
  </si>
  <si>
    <t xml:space="preserve">new vertexIDs</t>
  </si>
  <si>
    <t xml:space="preserve">Origin</t>
  </si>
  <si>
    <t xml:space="preserve">corner</t>
  </si>
  <si>
    <t xml:space="preserve">T1S1.txt</t>
  </si>
  <si>
    <t xml:space="preserve">T1S1.xyz</t>
  </si>
  <si>
    <t xml:space="preserve">4 to 5</t>
  </si>
  <si>
    <t xml:space="preserve">long side</t>
  </si>
  <si>
    <t xml:space="preserve">8 to 9</t>
  </si>
  <si>
    <t xml:space="preserve">short side</t>
  </si>
  <si>
    <t xml:space="preserve">12 to 13</t>
  </si>
  <si>
    <t xml:space="preserve">15 to 17</t>
  </si>
  <si>
    <t xml:space="preserve">shortside</t>
  </si>
  <si>
    <t xml:space="preserve">x</t>
  </si>
  <si>
    <t xml:space="preserve">y</t>
  </si>
  <si>
    <t xml:space="preserve">z</t>
  </si>
  <si>
    <t xml:space="preserve">equals</t>
  </si>
  <si>
    <t xml:space="preserve">1/8"</t>
  </si>
  <si>
    <t xml:space="preserve">markers spacing* number markers</t>
  </si>
  <si>
    <t xml:space="preserve">Offest for flat- 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</si>
  <si>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</si>
  <si>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</si>
  <si>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</si>
  <si>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</si>
  <si>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</si>
  <si>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</si>
  <si>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A’B</t>
  </si>
  <si>
    <t xml:space="preserve">A’C</t>
  </si>
  <si>
    <t xml:space="preserve">A’D</t>
  </si>
  <si>
    <t xml:space="preserve">A’B’</t>
  </si>
  <si>
    <t xml:space="preserve">B’C</t>
  </si>
  <si>
    <t xml:space="preserve">B’D</t>
  </si>
  <si>
    <t xml:space="preserve">C=15447</t>
  </si>
  <si>
    <t xml:space="preserve">A’C’</t>
  </si>
  <si>
    <t xml:space="preserve">B’C’</t>
  </si>
  <si>
    <t xml:space="preserve">C’D</t>
  </si>
  <si>
    <t xml:space="preserve">C=11922</t>
  </si>
  <si>
    <t xml:space="preserve">(-0.716100 0.000000 0.191913)</t>
  </si>
  <si>
    <t xml:space="preserve">*Change represented in this color</t>
  </si>
  <si>
    <t xml:space="preserve">Density = 0.18</t>
  </si>
  <si>
    <t xml:space="preserve">Density = 0.19</t>
  </si>
  <si>
    <t xml:space="preserve">Position</t>
  </si>
  <si>
    <t xml:space="preserve">max_error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</si>
  <si>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</si>
  <si>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</si>
  <si>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</si>
  <si>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</si>
  <si>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</si>
  <si>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T1</t>
  </si>
  <si>
    <t xml:space="preserve">C=15539</t>
  </si>
  <si>
    <t xml:space="preserve"> (0.258900 0.000000 1.041991)</t>
  </si>
  <si>
    <t xml:space="preserve">Density = 0.3</t>
  </si>
  <si>
    <t xml:space="preserve">Density = 0.34</t>
  </si>
  <si>
    <t xml:space="preserve">C=12132</t>
  </si>
  <si>
    <t xml:space="preserve"> (-0.647545 0.000000 1.169960)</t>
  </si>
  <si>
    <t xml:space="preserve">Trial 3</t>
  </si>
  <si>
    <t xml:space="preserve">5 ^</t>
  </si>
  <si>
    <t xml:space="preserve">3 -&gt;</t>
  </si>
  <si>
    <t xml:space="preserve">2 v</t>
  </si>
  <si>
    <t xml:space="preserve">4 &lt;-</t>
  </si>
  <si>
    <t xml:space="preserve">Sheet len</t>
  </si>
  <si>
    <t xml:space="preserve">Len- 1/4in</t>
  </si>
  <si>
    <t xml:space="preserve">div by # spaces</t>
  </si>
  <si>
    <t xml:space="preserve">in inch</t>
  </si>
  <si>
    <t xml:space="preserve">each mesh</t>
  </si>
  <si>
    <t xml:space="preserve">Long Side</t>
  </si>
  <si>
    <t xml:space="preserve">in m</t>
  </si>
  <si>
    <t xml:space="preserve">in cm</t>
  </si>
  <si>
    <t xml:space="preserve">center on 72</t>
  </si>
  <si>
    <t xml:space="preserve">center on 1082</t>
  </si>
  <si>
    <t xml:space="preserve">center on 277</t>
  </si>
  <si>
    <t xml:space="preserve">center on 4075</t>
  </si>
  <si>
    <t xml:space="preserve">test v1</t>
  </si>
  <si>
    <t xml:space="preserve">or?</t>
  </si>
  <si>
    <r>
      <rPr>
        <b val="true"/>
        <sz val="11"/>
        <color rgb="FF000000"/>
        <rFont val="Calibri"/>
        <family val="2"/>
      </rPr>
      <t xml:space="preserve">int</t>
    </r>
    <r>
      <rPr>
        <sz val="11"/>
        <color rgb="FF000000"/>
        <rFont val="Calibri"/>
        <family val="2"/>
      </rPr>
      <t xml:space="preserve"> mesh in</t>
    </r>
  </si>
  <si>
    <t xml:space="preserve">C=15457</t>
  </si>
  <si>
    <t xml:space="preserve">C=15301</t>
  </si>
  <si>
    <t xml:space="preserve">(-0.777000 0.000000 0.127929)</t>
  </si>
  <si>
    <t xml:space="preserve">C=16347</t>
  </si>
  <si>
    <t xml:space="preserve"> (0.198000 0.000000 0.914022)</t>
  </si>
  <si>
    <t xml:space="preserve">T2</t>
  </si>
  <si>
    <t xml:space="preserve">C=12136</t>
  </si>
  <si>
    <t xml:space="preserve"> (-0.647508 0.000000 1.169960)</t>
  </si>
  <si>
    <t xml:space="preserve">4 ^</t>
  </si>
  <si>
    <t xml:space="preserve">2 -&gt;</t>
  </si>
  <si>
    <t xml:space="preserve">5 v</t>
  </si>
  <si>
    <t xml:space="preserve">3 &lt;-</t>
  </si>
  <si>
    <t xml:space="preserve">div by 16 spaces</t>
  </si>
  <si>
    <t xml:space="preserve">CLAMP DIMENSIONS ( A-C)</t>
  </si>
  <si>
    <t xml:space="preserve">cm</t>
  </si>
  <si>
    <t xml:space="preserve">L</t>
  </si>
  <si>
    <t xml:space="preserve">W</t>
  </si>
  <si>
    <t xml:space="preserve">CLAMP DIMENSIONS ( D)</t>
  </si>
  <si>
    <t xml:space="preserve">C = 12231</t>
  </si>
  <si>
    <t xml:space="preserve">-----------&gt;---------------&gt;--------&gt;</t>
  </si>
  <si>
    <t xml:space="preserve">Offset for Origin</t>
  </si>
  <si>
    <t xml:space="preserve">15459           16605</t>
  </si>
  <si>
    <t xml:space="preserve">CLAMP</t>
  </si>
  <si>
    <t xml:space="preserve">---------C----------</t>
  </si>
  <si>
    <t xml:space="preserve">C=16229</t>
  </si>
  <si>
    <t xml:space="preserve">C=12394</t>
  </si>
  <si>
    <t xml:space="preserve">--------A-------</t>
  </si>
  <si>
    <r>
      <rPr>
        <sz val="11"/>
        <color rgb="FF000000"/>
        <rFont val="Calibri"/>
        <family val="2"/>
      </rPr>
      <t xml:space="preserve">-------</t>
    </r>
    <r>
      <rPr>
        <b val="true"/>
        <sz val="11"/>
        <color rgb="FF000000"/>
        <rFont val="Calibri"/>
        <family val="2"/>
      </rPr>
      <t xml:space="preserve">B</t>
    </r>
    <r>
      <rPr>
        <sz val="11"/>
        <color rgb="FF000000"/>
        <rFont val="Calibri"/>
        <family val="2"/>
      </rPr>
      <t xml:space="preserve">---------</t>
    </r>
  </si>
  <si>
    <t xml:space="preserve">T3</t>
  </si>
  <si>
    <t xml:space="preserve">C = 12132</t>
  </si>
  <si>
    <t xml:space="preserve">Trial 4</t>
  </si>
  <si>
    <t xml:space="preserve">mesh inside</t>
  </si>
  <si>
    <t xml:space="preserve">3 ^</t>
  </si>
  <si>
    <t xml:space="preserve">6 v</t>
  </si>
  <si>
    <t xml:space="preserve">Each Mesh (in m / in cm)</t>
  </si>
  <si>
    <t xml:space="preserve">Average</t>
  </si>
  <si>
    <t xml:space="preserve">7 to 8</t>
  </si>
  <si>
    <t xml:space="preserve">17 to 18</t>
  </si>
  <si>
    <t xml:space="preserve">13 to 15</t>
  </si>
  <si>
    <t xml:space="preserve">4145                     4146</t>
  </si>
  <si>
    <t xml:space="preserve">7781                     7785</t>
  </si>
  <si>
    <t xml:space="preserve">11284           8083</t>
  </si>
  <si>
    <t xml:space="preserve">277                4179</t>
  </si>
  <si>
    <t xml:space="preserve">C=11937</t>
  </si>
  <si>
    <t xml:space="preserve">(-0.777000 0.000000 0.319882)</t>
  </si>
  <si>
    <t xml:space="preserve"> (0.198000 0.000000 1.041991)</t>
  </si>
  <si>
    <t xml:space="preserve">T4</t>
  </si>
  <si>
    <t xml:space="preserve"> (-0.708445 0.000000 1.169960)</t>
  </si>
  <si>
    <t xml:space="preserve">Surface Density</t>
  </si>
  <si>
    <t xml:space="preserve">Trail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</si>
</sst>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2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A65D"/>
      <name val="Calibri"/>
      <family val="2"/>
    </font>
    <font>
      <sz val="11"/>
      <name val="Calibri"/>
      <family val="2"/>
    </font>
    <font>
      <sz val="11"/>
      <color rgb="FFED1C24"/>
      <name val="Calibri"/>
      <family val="2"/>
    </font>
    <font>
      <sz val="11"/>
      <color rgb="FFCE181E"/>
      <name val="Calibri"/>
      <family val="2"/>
    </font>
    <font>
      <sz val="11"/>
      <color rgb="FF00A65D"/>
      <name val="Calibri"/>
      <family val="2"/>
    </font>
    <font>
      <sz val="11"/>
      <color rgb="FF000000"/>
      <name val="Calibri"/>
      <family val="0"/>
    </font>
    <font>
      <b val="true"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 style="hair">
        <color rgb="FF000080"/>
      </bottom>
      <diagonal/>
    </border>
    <border diagonalUp="false" diagonalDown="false">
      <left/>
      <right/>
      <top style="hair">
        <color rgb="FF000080"/>
      </top>
      <bottom style="hair">
        <color rgb="FF000080"/>
      </bottom>
      <diagonal/>
    </border>
    <border diagonalUp="false" diagonalDown="false">
      <left/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320040</xdr:colOff>
      <xdr:row>3</xdr:row>
      <xdr:rowOff>82800</xdr:rowOff>
    </xdr:from>
    <xdr:to>
      <xdr:col>17</xdr:col>
      <xdr:colOff>106200</xdr:colOff>
      <xdr:row>23</xdr:row>
      <xdr:rowOff>14400</xdr:rowOff>
    </xdr:to>
    <xdr:sp>
      <xdr:nvSpPr>
        <xdr:cNvPr id="0" name="CustomShape 1"/>
        <xdr:cNvSpPr/>
      </xdr:nvSpPr>
      <xdr:spPr>
        <a:xfrm>
          <a:off x="9720360" y="639000"/>
          <a:ext cx="3580200" cy="3589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549360</xdr:colOff>
      <xdr:row>2</xdr:row>
      <xdr:rowOff>23760</xdr:rowOff>
    </xdr:from>
    <xdr:to>
      <xdr:col>17</xdr:col>
      <xdr:colOff>184320</xdr:colOff>
      <xdr:row>5</xdr:row>
      <xdr:rowOff>15120</xdr:rowOff>
    </xdr:to>
    <xdr:sp>
      <xdr:nvSpPr>
        <xdr:cNvPr id="1" name="CustomShape 1"/>
        <xdr:cNvSpPr/>
      </xdr:nvSpPr>
      <xdr:spPr>
        <a:xfrm>
          <a:off x="12226320" y="389520"/>
          <a:ext cx="1152360" cy="5475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26280</xdr:colOff>
      <xdr:row>2</xdr:row>
      <xdr:rowOff>125280</xdr:rowOff>
    </xdr:from>
    <xdr:to>
      <xdr:col>13</xdr:col>
      <xdr:colOff>308160</xdr:colOff>
      <xdr:row>5</xdr:row>
      <xdr:rowOff>116640</xdr:rowOff>
    </xdr:to>
    <xdr:sp>
      <xdr:nvSpPr>
        <xdr:cNvPr id="2" name="CustomShape 1"/>
        <xdr:cNvSpPr/>
      </xdr:nvSpPr>
      <xdr:spPr>
        <a:xfrm>
          <a:off x="9426600" y="491040"/>
          <a:ext cx="1040760" cy="5475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21600</xdr:colOff>
      <xdr:row>20</xdr:row>
      <xdr:rowOff>44640</xdr:rowOff>
    </xdr:from>
    <xdr:to>
      <xdr:col>13</xdr:col>
      <xdr:colOff>461160</xdr:colOff>
      <xdr:row>23</xdr:row>
      <xdr:rowOff>34560</xdr:rowOff>
    </xdr:to>
    <xdr:sp>
      <xdr:nvSpPr>
        <xdr:cNvPr id="3" name="CustomShape 1"/>
        <xdr:cNvSpPr/>
      </xdr:nvSpPr>
      <xdr:spPr>
        <a:xfrm>
          <a:off x="9421920" y="3702240"/>
          <a:ext cx="1198440" cy="546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20</xdr:row>
      <xdr:rowOff>15840</xdr:rowOff>
    </xdr:from>
    <xdr:to>
      <xdr:col>17</xdr:col>
      <xdr:colOff>265320</xdr:colOff>
      <xdr:row>23</xdr:row>
      <xdr:rowOff>13680</xdr:rowOff>
    </xdr:to>
    <xdr:sp>
      <xdr:nvSpPr>
        <xdr:cNvPr id="4" name="CustomShape 1"/>
        <xdr:cNvSpPr/>
      </xdr:nvSpPr>
      <xdr:spPr>
        <a:xfrm>
          <a:off x="12449520" y="3673440"/>
          <a:ext cx="1010160" cy="554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487080</xdr:colOff>
      <xdr:row>49</xdr:row>
      <xdr:rowOff>30600</xdr:rowOff>
    </xdr:from>
    <xdr:to>
      <xdr:col>23</xdr:col>
      <xdr:colOff>609480</xdr:colOff>
      <xdr:row>50</xdr:row>
      <xdr:rowOff>15480</xdr:rowOff>
    </xdr:to>
    <xdr:sp>
      <xdr:nvSpPr>
        <xdr:cNvPr id="5" name="CustomShape 1"/>
        <xdr:cNvSpPr/>
      </xdr:nvSpPr>
      <xdr:spPr>
        <a:xfrm>
          <a:off x="19298160" y="8993520"/>
          <a:ext cx="122400" cy="160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12240</xdr:colOff>
      <xdr:row>53</xdr:row>
      <xdr:rowOff>151560</xdr:rowOff>
    </xdr:from>
    <xdr:to>
      <xdr:col>21</xdr:col>
      <xdr:colOff>134280</xdr:colOff>
      <xdr:row>54</xdr:row>
      <xdr:rowOff>121680</xdr:rowOff>
    </xdr:to>
    <xdr:sp>
      <xdr:nvSpPr>
        <xdr:cNvPr id="6" name="CustomShape 1"/>
        <xdr:cNvSpPr/>
      </xdr:nvSpPr>
      <xdr:spPr>
        <a:xfrm>
          <a:off x="16511760" y="9815400"/>
          <a:ext cx="122040" cy="145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-360</xdr:colOff>
      <xdr:row>67</xdr:row>
      <xdr:rowOff>117360</xdr:rowOff>
    </xdr:from>
    <xdr:to>
      <xdr:col>24</xdr:col>
      <xdr:colOff>0</xdr:colOff>
      <xdr:row>68</xdr:row>
      <xdr:rowOff>87480</xdr:rowOff>
    </xdr:to>
    <xdr:sp>
      <xdr:nvSpPr>
        <xdr:cNvPr id="7" name="CustomShape 1"/>
        <xdr:cNvSpPr/>
      </xdr:nvSpPr>
      <xdr:spPr>
        <a:xfrm>
          <a:off x="19569600" y="12250080"/>
          <a:ext cx="360" cy="145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450720</xdr:colOff>
      <xdr:row>69</xdr:row>
      <xdr:rowOff>40320</xdr:rowOff>
    </xdr:from>
    <xdr:to>
      <xdr:col>21</xdr:col>
      <xdr:colOff>572760</xdr:colOff>
      <xdr:row>70</xdr:row>
      <xdr:rowOff>15120</xdr:rowOff>
    </xdr:to>
    <xdr:sp>
      <xdr:nvSpPr>
        <xdr:cNvPr id="8" name="CustomShape 1"/>
        <xdr:cNvSpPr/>
      </xdr:nvSpPr>
      <xdr:spPr>
        <a:xfrm>
          <a:off x="16950240" y="12523680"/>
          <a:ext cx="122040" cy="150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3</xdr:row>
      <xdr:rowOff>82800</xdr:rowOff>
    </xdr:from>
    <xdr:to>
      <xdr:col>17</xdr:col>
      <xdr:colOff>106200</xdr:colOff>
      <xdr:row>22</xdr:row>
      <xdr:rowOff>14040</xdr:rowOff>
    </xdr:to>
    <xdr:sp>
      <xdr:nvSpPr>
        <xdr:cNvPr id="9" name="CustomShape 1"/>
        <xdr:cNvSpPr/>
      </xdr:nvSpPr>
      <xdr:spPr>
        <a:xfrm>
          <a:off x="9720000" y="639000"/>
          <a:ext cx="3580560" cy="3535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549360</xdr:colOff>
      <xdr:row>2</xdr:row>
      <xdr:rowOff>23760</xdr:rowOff>
    </xdr:from>
    <xdr:to>
      <xdr:col>17</xdr:col>
      <xdr:colOff>185040</xdr:colOff>
      <xdr:row>5</xdr:row>
      <xdr:rowOff>30960</xdr:rowOff>
    </xdr:to>
    <xdr:sp>
      <xdr:nvSpPr>
        <xdr:cNvPr id="10" name="CustomShape 1"/>
        <xdr:cNvSpPr/>
      </xdr:nvSpPr>
      <xdr:spPr>
        <a:xfrm>
          <a:off x="12226320" y="389520"/>
          <a:ext cx="1153080" cy="56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26280</xdr:colOff>
      <xdr:row>2</xdr:row>
      <xdr:rowOff>125280</xdr:rowOff>
    </xdr:from>
    <xdr:to>
      <xdr:col>13</xdr:col>
      <xdr:colOff>308160</xdr:colOff>
      <xdr:row>5</xdr:row>
      <xdr:rowOff>132480</xdr:rowOff>
    </xdr:to>
    <xdr:sp>
      <xdr:nvSpPr>
        <xdr:cNvPr id="11" name="CustomShape 1"/>
        <xdr:cNvSpPr/>
      </xdr:nvSpPr>
      <xdr:spPr>
        <a:xfrm>
          <a:off x="9426600" y="491040"/>
          <a:ext cx="1040760" cy="56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21240</xdr:colOff>
      <xdr:row>19</xdr:row>
      <xdr:rowOff>45360</xdr:rowOff>
    </xdr:from>
    <xdr:to>
      <xdr:col>13</xdr:col>
      <xdr:colOff>461160</xdr:colOff>
      <xdr:row>22</xdr:row>
      <xdr:rowOff>34200</xdr:rowOff>
    </xdr:to>
    <xdr:sp>
      <xdr:nvSpPr>
        <xdr:cNvPr id="12" name="CustomShape 1"/>
        <xdr:cNvSpPr/>
      </xdr:nvSpPr>
      <xdr:spPr>
        <a:xfrm>
          <a:off x="9421560" y="3634200"/>
          <a:ext cx="1198800" cy="560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19</xdr:row>
      <xdr:rowOff>16560</xdr:rowOff>
    </xdr:from>
    <xdr:to>
      <xdr:col>17</xdr:col>
      <xdr:colOff>265320</xdr:colOff>
      <xdr:row>22</xdr:row>
      <xdr:rowOff>13320</xdr:rowOff>
    </xdr:to>
    <xdr:sp>
      <xdr:nvSpPr>
        <xdr:cNvPr id="13" name="CustomShape 1"/>
        <xdr:cNvSpPr/>
      </xdr:nvSpPr>
      <xdr:spPr>
        <a:xfrm>
          <a:off x="12449520" y="3605400"/>
          <a:ext cx="1010160" cy="568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320040</xdr:colOff>
      <xdr:row>3</xdr:row>
      <xdr:rowOff>63360</xdr:rowOff>
    </xdr:from>
    <xdr:to>
      <xdr:col>17</xdr:col>
      <xdr:colOff>106200</xdr:colOff>
      <xdr:row>21</xdr:row>
      <xdr:rowOff>129600</xdr:rowOff>
    </xdr:to>
    <xdr:sp>
      <xdr:nvSpPr>
        <xdr:cNvPr id="14" name="CustomShape 1"/>
        <xdr:cNvSpPr/>
      </xdr:nvSpPr>
      <xdr:spPr>
        <a:xfrm>
          <a:off x="9720360" y="588960"/>
          <a:ext cx="3580200" cy="3264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549360</xdr:colOff>
      <xdr:row>2</xdr:row>
      <xdr:rowOff>9000</xdr:rowOff>
    </xdr:from>
    <xdr:to>
      <xdr:col>17</xdr:col>
      <xdr:colOff>185040</xdr:colOff>
      <xdr:row>4</xdr:row>
      <xdr:rowOff>175320</xdr:rowOff>
    </xdr:to>
    <xdr:sp>
      <xdr:nvSpPr>
        <xdr:cNvPr id="15" name="CustomShape 1"/>
        <xdr:cNvSpPr/>
      </xdr:nvSpPr>
      <xdr:spPr>
        <a:xfrm>
          <a:off x="12226320" y="359280"/>
          <a:ext cx="1153080" cy="5320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26640</xdr:colOff>
      <xdr:row>2</xdr:row>
      <xdr:rowOff>102600</xdr:rowOff>
    </xdr:from>
    <xdr:to>
      <xdr:col>13</xdr:col>
      <xdr:colOff>308160</xdr:colOff>
      <xdr:row>5</xdr:row>
      <xdr:rowOff>94680</xdr:rowOff>
    </xdr:to>
    <xdr:sp>
      <xdr:nvSpPr>
        <xdr:cNvPr id="16" name="CustomShape 1"/>
        <xdr:cNvSpPr/>
      </xdr:nvSpPr>
      <xdr:spPr>
        <a:xfrm>
          <a:off x="9426960" y="452880"/>
          <a:ext cx="1040400" cy="533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21600</xdr:colOff>
      <xdr:row>19</xdr:row>
      <xdr:rowOff>13320</xdr:rowOff>
    </xdr:from>
    <xdr:to>
      <xdr:col>13</xdr:col>
      <xdr:colOff>461160</xdr:colOff>
      <xdr:row>21</xdr:row>
      <xdr:rowOff>148320</xdr:rowOff>
    </xdr:to>
    <xdr:sp>
      <xdr:nvSpPr>
        <xdr:cNvPr id="17" name="CustomShape 1"/>
        <xdr:cNvSpPr/>
      </xdr:nvSpPr>
      <xdr:spPr>
        <a:xfrm>
          <a:off x="9421920" y="3358440"/>
          <a:ext cx="1198440" cy="513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18</xdr:row>
      <xdr:rowOff>161640</xdr:rowOff>
    </xdr:from>
    <xdr:to>
      <xdr:col>17</xdr:col>
      <xdr:colOff>265320</xdr:colOff>
      <xdr:row>21</xdr:row>
      <xdr:rowOff>128880</xdr:rowOff>
    </xdr:to>
    <xdr:sp>
      <xdr:nvSpPr>
        <xdr:cNvPr id="18" name="CustomShape 1"/>
        <xdr:cNvSpPr/>
      </xdr:nvSpPr>
      <xdr:spPr>
        <a:xfrm>
          <a:off x="12449520" y="3331440"/>
          <a:ext cx="1010160" cy="520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487080</xdr:colOff>
      <xdr:row>49</xdr:row>
      <xdr:rowOff>16200</xdr:rowOff>
    </xdr:from>
    <xdr:to>
      <xdr:col>23</xdr:col>
      <xdr:colOff>609480</xdr:colOff>
      <xdr:row>49</xdr:row>
      <xdr:rowOff>175320</xdr:rowOff>
    </xdr:to>
    <xdr:sp>
      <xdr:nvSpPr>
        <xdr:cNvPr id="19" name="CustomShape 1"/>
        <xdr:cNvSpPr/>
      </xdr:nvSpPr>
      <xdr:spPr>
        <a:xfrm>
          <a:off x="19298160" y="8646840"/>
          <a:ext cx="122400" cy="159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11880</xdr:colOff>
      <xdr:row>53</xdr:row>
      <xdr:rowOff>119880</xdr:rowOff>
    </xdr:from>
    <xdr:to>
      <xdr:col>21</xdr:col>
      <xdr:colOff>133920</xdr:colOff>
      <xdr:row>54</xdr:row>
      <xdr:rowOff>91800</xdr:rowOff>
    </xdr:to>
    <xdr:sp>
      <xdr:nvSpPr>
        <xdr:cNvPr id="20" name="CustomShape 1"/>
        <xdr:cNvSpPr/>
      </xdr:nvSpPr>
      <xdr:spPr>
        <a:xfrm>
          <a:off x="16511400" y="9451800"/>
          <a:ext cx="122040" cy="146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-360</xdr:colOff>
      <xdr:row>67</xdr:row>
      <xdr:rowOff>101880</xdr:rowOff>
    </xdr:from>
    <xdr:to>
      <xdr:col>24</xdr:col>
      <xdr:colOff>0</xdr:colOff>
      <xdr:row>68</xdr:row>
      <xdr:rowOff>71640</xdr:rowOff>
    </xdr:to>
    <xdr:sp>
      <xdr:nvSpPr>
        <xdr:cNvPr id="21" name="CustomShape 1"/>
        <xdr:cNvSpPr/>
      </xdr:nvSpPr>
      <xdr:spPr>
        <a:xfrm>
          <a:off x="19569600" y="11901240"/>
          <a:ext cx="360" cy="14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450360</xdr:colOff>
      <xdr:row>69</xdr:row>
      <xdr:rowOff>24840</xdr:rowOff>
    </xdr:from>
    <xdr:to>
      <xdr:col>21</xdr:col>
      <xdr:colOff>572400</xdr:colOff>
      <xdr:row>69</xdr:row>
      <xdr:rowOff>174600</xdr:rowOff>
    </xdr:to>
    <xdr:sp>
      <xdr:nvSpPr>
        <xdr:cNvPr id="22" name="CustomShape 1"/>
        <xdr:cNvSpPr/>
      </xdr:nvSpPr>
      <xdr:spPr>
        <a:xfrm>
          <a:off x="16949880" y="12174840"/>
          <a:ext cx="122040" cy="149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3</xdr:row>
      <xdr:rowOff>82800</xdr:rowOff>
    </xdr:from>
    <xdr:to>
      <xdr:col>17</xdr:col>
      <xdr:colOff>105480</xdr:colOff>
      <xdr:row>21</xdr:row>
      <xdr:rowOff>189360</xdr:rowOff>
    </xdr:to>
    <xdr:sp>
      <xdr:nvSpPr>
        <xdr:cNvPr id="23" name="CustomShape 1"/>
        <xdr:cNvSpPr/>
      </xdr:nvSpPr>
      <xdr:spPr>
        <a:xfrm>
          <a:off x="9720000" y="639000"/>
          <a:ext cx="3579840" cy="3535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549360</xdr:colOff>
      <xdr:row>2</xdr:row>
      <xdr:rowOff>23760</xdr:rowOff>
    </xdr:from>
    <xdr:to>
      <xdr:col>17</xdr:col>
      <xdr:colOff>184320</xdr:colOff>
      <xdr:row>5</xdr:row>
      <xdr:rowOff>15840</xdr:rowOff>
    </xdr:to>
    <xdr:sp>
      <xdr:nvSpPr>
        <xdr:cNvPr id="24" name="CustomShape 1"/>
        <xdr:cNvSpPr/>
      </xdr:nvSpPr>
      <xdr:spPr>
        <a:xfrm>
          <a:off x="12226320" y="389520"/>
          <a:ext cx="1152360" cy="56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26280</xdr:colOff>
      <xdr:row>2</xdr:row>
      <xdr:rowOff>125280</xdr:rowOff>
    </xdr:from>
    <xdr:to>
      <xdr:col>13</xdr:col>
      <xdr:colOff>308160</xdr:colOff>
      <xdr:row>5</xdr:row>
      <xdr:rowOff>117360</xdr:rowOff>
    </xdr:to>
    <xdr:sp>
      <xdr:nvSpPr>
        <xdr:cNvPr id="25" name="CustomShape 1"/>
        <xdr:cNvSpPr/>
      </xdr:nvSpPr>
      <xdr:spPr>
        <a:xfrm>
          <a:off x="9426600" y="491040"/>
          <a:ext cx="1040760" cy="563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21240</xdr:colOff>
      <xdr:row>19</xdr:row>
      <xdr:rowOff>30240</xdr:rowOff>
    </xdr:from>
    <xdr:to>
      <xdr:col>13</xdr:col>
      <xdr:colOff>461160</xdr:colOff>
      <xdr:row>22</xdr:row>
      <xdr:rowOff>19080</xdr:rowOff>
    </xdr:to>
    <xdr:sp>
      <xdr:nvSpPr>
        <xdr:cNvPr id="26" name="CustomShape 1"/>
        <xdr:cNvSpPr/>
      </xdr:nvSpPr>
      <xdr:spPr>
        <a:xfrm>
          <a:off x="9421560" y="3634200"/>
          <a:ext cx="1198800" cy="560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19</xdr:row>
      <xdr:rowOff>720</xdr:rowOff>
    </xdr:from>
    <xdr:to>
      <xdr:col>17</xdr:col>
      <xdr:colOff>264600</xdr:colOff>
      <xdr:row>21</xdr:row>
      <xdr:rowOff>188640</xdr:rowOff>
    </xdr:to>
    <xdr:sp>
      <xdr:nvSpPr>
        <xdr:cNvPr id="27" name="CustomShape 1"/>
        <xdr:cNvSpPr/>
      </xdr:nvSpPr>
      <xdr:spPr>
        <a:xfrm>
          <a:off x="12449520" y="3604680"/>
          <a:ext cx="1009440" cy="569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320040</xdr:colOff>
      <xdr:row>3</xdr:row>
      <xdr:rowOff>70200</xdr:rowOff>
    </xdr:from>
    <xdr:to>
      <xdr:col>17</xdr:col>
      <xdr:colOff>105480</xdr:colOff>
      <xdr:row>21</xdr:row>
      <xdr:rowOff>174960</xdr:rowOff>
    </xdr:to>
    <xdr:sp>
      <xdr:nvSpPr>
        <xdr:cNvPr id="28" name="CustomShape 1"/>
        <xdr:cNvSpPr/>
      </xdr:nvSpPr>
      <xdr:spPr>
        <a:xfrm>
          <a:off x="9720360" y="595800"/>
          <a:ext cx="3579480" cy="328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549360</xdr:colOff>
      <xdr:row>2</xdr:row>
      <xdr:rowOff>11160</xdr:rowOff>
    </xdr:from>
    <xdr:to>
      <xdr:col>17</xdr:col>
      <xdr:colOff>184320</xdr:colOff>
      <xdr:row>5</xdr:row>
      <xdr:rowOff>15120</xdr:rowOff>
    </xdr:to>
    <xdr:sp>
      <xdr:nvSpPr>
        <xdr:cNvPr id="29" name="CustomShape 1"/>
        <xdr:cNvSpPr/>
      </xdr:nvSpPr>
      <xdr:spPr>
        <a:xfrm>
          <a:off x="12226320" y="361440"/>
          <a:ext cx="1152360" cy="529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26640</xdr:colOff>
      <xdr:row>2</xdr:row>
      <xdr:rowOff>112680</xdr:rowOff>
    </xdr:from>
    <xdr:to>
      <xdr:col>13</xdr:col>
      <xdr:colOff>308160</xdr:colOff>
      <xdr:row>5</xdr:row>
      <xdr:rowOff>116640</xdr:rowOff>
    </xdr:to>
    <xdr:sp>
      <xdr:nvSpPr>
        <xdr:cNvPr id="30" name="CustomShape 1"/>
        <xdr:cNvSpPr/>
      </xdr:nvSpPr>
      <xdr:spPr>
        <a:xfrm>
          <a:off x="9426960" y="462960"/>
          <a:ext cx="1040400" cy="5299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21600</xdr:colOff>
      <xdr:row>19</xdr:row>
      <xdr:rowOff>15120</xdr:rowOff>
    </xdr:from>
    <xdr:to>
      <xdr:col>13</xdr:col>
      <xdr:colOff>461160</xdr:colOff>
      <xdr:row>22</xdr:row>
      <xdr:rowOff>19800</xdr:rowOff>
    </xdr:to>
    <xdr:sp>
      <xdr:nvSpPr>
        <xdr:cNvPr id="31" name="CustomShape 1"/>
        <xdr:cNvSpPr/>
      </xdr:nvSpPr>
      <xdr:spPr>
        <a:xfrm>
          <a:off x="9421920" y="3344760"/>
          <a:ext cx="1198440" cy="558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13680</xdr:colOff>
      <xdr:row>19</xdr:row>
      <xdr:rowOff>360</xdr:rowOff>
    </xdr:from>
    <xdr:to>
      <xdr:col>17</xdr:col>
      <xdr:colOff>264600</xdr:colOff>
      <xdr:row>21</xdr:row>
      <xdr:rowOff>174960</xdr:rowOff>
    </xdr:to>
    <xdr:sp>
      <xdr:nvSpPr>
        <xdr:cNvPr id="32" name="CustomShape 1"/>
        <xdr:cNvSpPr/>
      </xdr:nvSpPr>
      <xdr:spPr>
        <a:xfrm>
          <a:off x="12449520" y="3330000"/>
          <a:ext cx="1009440" cy="553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30240</xdr:colOff>
      <xdr:row>1</xdr:row>
      <xdr:rowOff>19800</xdr:rowOff>
    </xdr:from>
    <xdr:to>
      <xdr:col>17</xdr:col>
      <xdr:colOff>493560</xdr:colOff>
      <xdr:row>24</xdr:row>
      <xdr:rowOff>128160</xdr:rowOff>
    </xdr:to>
    <xdr:sp>
      <xdr:nvSpPr>
        <xdr:cNvPr id="33" name="CustomShape 1"/>
        <xdr:cNvSpPr/>
      </xdr:nvSpPr>
      <xdr:spPr>
        <a:xfrm>
          <a:off x="9430560" y="194760"/>
          <a:ext cx="4257360" cy="4167360"/>
        </a:xfrm>
        <a:prstGeom prst="rect">
          <a:avLst/>
        </a:prstGeom>
        <a:noFill/>
        <a:ln w="36720">
          <a:solidFill>
            <a:srgbClr val="1c1c1c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489240</xdr:colOff>
      <xdr:row>49</xdr:row>
      <xdr:rowOff>15480</xdr:rowOff>
    </xdr:from>
    <xdr:to>
      <xdr:col>23</xdr:col>
      <xdr:colOff>610200</xdr:colOff>
      <xdr:row>49</xdr:row>
      <xdr:rowOff>174960</xdr:rowOff>
    </xdr:to>
    <xdr:sp>
      <xdr:nvSpPr>
        <xdr:cNvPr id="34" name="CustomShape 1"/>
        <xdr:cNvSpPr/>
      </xdr:nvSpPr>
      <xdr:spPr>
        <a:xfrm>
          <a:off x="19229760" y="8631000"/>
          <a:ext cx="120960" cy="159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67</xdr:row>
      <xdr:rowOff>104040</xdr:rowOff>
    </xdr:from>
    <xdr:to>
      <xdr:col>24</xdr:col>
      <xdr:colOff>360</xdr:colOff>
      <xdr:row>68</xdr:row>
      <xdr:rowOff>72000</xdr:rowOff>
    </xdr:to>
    <xdr:sp>
      <xdr:nvSpPr>
        <xdr:cNvPr id="35" name="CustomShape 1"/>
        <xdr:cNvSpPr/>
      </xdr:nvSpPr>
      <xdr:spPr>
        <a:xfrm>
          <a:off x="19613160" y="11918520"/>
          <a:ext cx="360" cy="158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451440</xdr:colOff>
      <xdr:row>69</xdr:row>
      <xdr:rowOff>27000</xdr:rowOff>
    </xdr:from>
    <xdr:to>
      <xdr:col>21</xdr:col>
      <xdr:colOff>572760</xdr:colOff>
      <xdr:row>69</xdr:row>
      <xdr:rowOff>175320</xdr:rowOff>
    </xdr:to>
    <xdr:sp>
      <xdr:nvSpPr>
        <xdr:cNvPr id="36" name="CustomShape 1"/>
        <xdr:cNvSpPr/>
      </xdr:nvSpPr>
      <xdr:spPr>
        <a:xfrm>
          <a:off x="17103960" y="12207240"/>
          <a:ext cx="121320" cy="148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7200</xdr:colOff>
      <xdr:row>53</xdr:row>
      <xdr:rowOff>122760</xdr:rowOff>
    </xdr:from>
    <xdr:to>
      <xdr:col>20</xdr:col>
      <xdr:colOff>90360</xdr:colOff>
      <xdr:row>54</xdr:row>
      <xdr:rowOff>91800</xdr:rowOff>
    </xdr:to>
    <xdr:sp>
      <xdr:nvSpPr>
        <xdr:cNvPr id="37" name="CustomShape 1"/>
        <xdr:cNvSpPr/>
      </xdr:nvSpPr>
      <xdr:spPr>
        <a:xfrm>
          <a:off x="15901200" y="9453240"/>
          <a:ext cx="83160" cy="159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320400</xdr:colOff>
      <xdr:row>3</xdr:row>
      <xdr:rowOff>68400</xdr:rowOff>
    </xdr:from>
    <xdr:to>
      <xdr:col>17</xdr:col>
      <xdr:colOff>106200</xdr:colOff>
      <xdr:row>22</xdr:row>
      <xdr:rowOff>15120</xdr:rowOff>
    </xdr:to>
    <xdr:sp>
      <xdr:nvSpPr>
        <xdr:cNvPr id="38" name="CustomShape 1"/>
        <xdr:cNvSpPr/>
      </xdr:nvSpPr>
      <xdr:spPr>
        <a:xfrm>
          <a:off x="9720720" y="624600"/>
          <a:ext cx="3579840" cy="3554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549720</xdr:colOff>
      <xdr:row>2</xdr:row>
      <xdr:rowOff>8640</xdr:rowOff>
    </xdr:from>
    <xdr:to>
      <xdr:col>17</xdr:col>
      <xdr:colOff>185040</xdr:colOff>
      <xdr:row>5</xdr:row>
      <xdr:rowOff>29880</xdr:rowOff>
    </xdr:to>
    <xdr:sp>
      <xdr:nvSpPr>
        <xdr:cNvPr id="39" name="CustomShape 1"/>
        <xdr:cNvSpPr/>
      </xdr:nvSpPr>
      <xdr:spPr>
        <a:xfrm>
          <a:off x="12226680" y="374400"/>
          <a:ext cx="1152720" cy="577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27000</xdr:colOff>
      <xdr:row>2</xdr:row>
      <xdr:rowOff>110160</xdr:rowOff>
    </xdr:from>
    <xdr:to>
      <xdr:col>13</xdr:col>
      <xdr:colOff>308160</xdr:colOff>
      <xdr:row>5</xdr:row>
      <xdr:rowOff>131400</xdr:rowOff>
    </xdr:to>
    <xdr:sp>
      <xdr:nvSpPr>
        <xdr:cNvPr id="40" name="CustomShape 1"/>
        <xdr:cNvSpPr/>
      </xdr:nvSpPr>
      <xdr:spPr>
        <a:xfrm>
          <a:off x="9427320" y="475920"/>
          <a:ext cx="1040040" cy="577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21960</xdr:colOff>
      <xdr:row>19</xdr:row>
      <xdr:rowOff>28440</xdr:rowOff>
    </xdr:from>
    <xdr:to>
      <xdr:col>13</xdr:col>
      <xdr:colOff>461160</xdr:colOff>
      <xdr:row>22</xdr:row>
      <xdr:rowOff>35280</xdr:rowOff>
    </xdr:to>
    <xdr:sp>
      <xdr:nvSpPr>
        <xdr:cNvPr id="41" name="CustomShape 1"/>
        <xdr:cNvSpPr/>
      </xdr:nvSpPr>
      <xdr:spPr>
        <a:xfrm>
          <a:off x="9422280" y="3621240"/>
          <a:ext cx="1198080" cy="5781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14040</xdr:colOff>
      <xdr:row>19</xdr:row>
      <xdr:rowOff>7560</xdr:rowOff>
    </xdr:from>
    <xdr:to>
      <xdr:col>17</xdr:col>
      <xdr:colOff>265320</xdr:colOff>
      <xdr:row>22</xdr:row>
      <xdr:rowOff>14040</xdr:rowOff>
    </xdr:to>
    <xdr:sp>
      <xdr:nvSpPr>
        <xdr:cNvPr id="42" name="CustomShape 1"/>
        <xdr:cNvSpPr/>
      </xdr:nvSpPr>
      <xdr:spPr>
        <a:xfrm>
          <a:off x="12449880" y="3600360"/>
          <a:ext cx="1009800" cy="577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488880</xdr:colOff>
      <xdr:row>49</xdr:row>
      <xdr:rowOff>18000</xdr:rowOff>
    </xdr:from>
    <xdr:to>
      <xdr:col>23</xdr:col>
      <xdr:colOff>609840</xdr:colOff>
      <xdr:row>49</xdr:row>
      <xdr:rowOff>177120</xdr:rowOff>
    </xdr:to>
    <xdr:sp>
      <xdr:nvSpPr>
        <xdr:cNvPr id="43" name="CustomShape 1"/>
        <xdr:cNvSpPr/>
      </xdr:nvSpPr>
      <xdr:spPr>
        <a:xfrm>
          <a:off x="20113200" y="9289440"/>
          <a:ext cx="120960" cy="159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12600</xdr:colOff>
      <xdr:row>53</xdr:row>
      <xdr:rowOff>120600</xdr:rowOff>
    </xdr:from>
    <xdr:to>
      <xdr:col>21</xdr:col>
      <xdr:colOff>133560</xdr:colOff>
      <xdr:row>54</xdr:row>
      <xdr:rowOff>90720</xdr:rowOff>
    </xdr:to>
    <xdr:sp>
      <xdr:nvSpPr>
        <xdr:cNvPr id="44" name="CustomShape 1"/>
        <xdr:cNvSpPr/>
      </xdr:nvSpPr>
      <xdr:spPr>
        <a:xfrm>
          <a:off x="16512120" y="10154160"/>
          <a:ext cx="120960" cy="160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1089000</xdr:colOff>
      <xdr:row>67</xdr:row>
      <xdr:rowOff>103680</xdr:rowOff>
    </xdr:from>
    <xdr:to>
      <xdr:col>23</xdr:col>
      <xdr:colOff>1209960</xdr:colOff>
      <xdr:row>68</xdr:row>
      <xdr:rowOff>72360</xdr:rowOff>
    </xdr:to>
    <xdr:sp>
      <xdr:nvSpPr>
        <xdr:cNvPr id="45" name="CustomShape 1"/>
        <xdr:cNvSpPr/>
      </xdr:nvSpPr>
      <xdr:spPr>
        <a:xfrm>
          <a:off x="20713320" y="12804120"/>
          <a:ext cx="120960" cy="159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451080</xdr:colOff>
      <xdr:row>69</xdr:row>
      <xdr:rowOff>27360</xdr:rowOff>
    </xdr:from>
    <xdr:to>
      <xdr:col>21</xdr:col>
      <xdr:colOff>572040</xdr:colOff>
      <xdr:row>69</xdr:row>
      <xdr:rowOff>186480</xdr:rowOff>
    </xdr:to>
    <xdr:sp>
      <xdr:nvSpPr>
        <xdr:cNvPr id="46" name="CustomShape 1"/>
        <xdr:cNvSpPr/>
      </xdr:nvSpPr>
      <xdr:spPr>
        <a:xfrm>
          <a:off x="16950600" y="13108680"/>
          <a:ext cx="120960" cy="159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320400</xdr:colOff>
      <xdr:row>3</xdr:row>
      <xdr:rowOff>70920</xdr:rowOff>
    </xdr:from>
    <xdr:to>
      <xdr:col>17</xdr:col>
      <xdr:colOff>106560</xdr:colOff>
      <xdr:row>22</xdr:row>
      <xdr:rowOff>14400</xdr:rowOff>
    </xdr:to>
    <xdr:sp>
      <xdr:nvSpPr>
        <xdr:cNvPr id="47" name="CustomShape 1"/>
        <xdr:cNvSpPr/>
      </xdr:nvSpPr>
      <xdr:spPr>
        <a:xfrm>
          <a:off x="9720720" y="596520"/>
          <a:ext cx="3580200" cy="330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549720</xdr:colOff>
      <xdr:row>2</xdr:row>
      <xdr:rowOff>11160</xdr:rowOff>
    </xdr:from>
    <xdr:to>
      <xdr:col>17</xdr:col>
      <xdr:colOff>185040</xdr:colOff>
      <xdr:row>5</xdr:row>
      <xdr:rowOff>29520</xdr:rowOff>
    </xdr:to>
    <xdr:sp>
      <xdr:nvSpPr>
        <xdr:cNvPr id="48" name="CustomShape 1"/>
        <xdr:cNvSpPr/>
      </xdr:nvSpPr>
      <xdr:spPr>
        <a:xfrm>
          <a:off x="12226680" y="361440"/>
          <a:ext cx="1152720" cy="544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Released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26640</xdr:colOff>
      <xdr:row>2</xdr:row>
      <xdr:rowOff>112680</xdr:rowOff>
    </xdr:from>
    <xdr:to>
      <xdr:col>13</xdr:col>
      <xdr:colOff>308160</xdr:colOff>
      <xdr:row>5</xdr:row>
      <xdr:rowOff>131040</xdr:rowOff>
    </xdr:to>
    <xdr:sp>
      <xdr:nvSpPr>
        <xdr:cNvPr id="49" name="CustomShape 1"/>
        <xdr:cNvSpPr/>
      </xdr:nvSpPr>
      <xdr:spPr>
        <a:xfrm>
          <a:off x="9426960" y="462960"/>
          <a:ext cx="1040400" cy="544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C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Third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21960</xdr:colOff>
      <xdr:row>19</xdr:row>
      <xdr:rowOff>30960</xdr:rowOff>
    </xdr:from>
    <xdr:to>
      <xdr:col>13</xdr:col>
      <xdr:colOff>461160</xdr:colOff>
      <xdr:row>22</xdr:row>
      <xdr:rowOff>34560</xdr:rowOff>
    </xdr:to>
    <xdr:sp>
      <xdr:nvSpPr>
        <xdr:cNvPr id="50" name="CustomShape 1"/>
        <xdr:cNvSpPr/>
      </xdr:nvSpPr>
      <xdr:spPr>
        <a:xfrm>
          <a:off x="9422280" y="3391200"/>
          <a:ext cx="1198080" cy="5295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B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Second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14040</xdr:colOff>
      <xdr:row>19</xdr:row>
      <xdr:rowOff>10080</xdr:rowOff>
    </xdr:from>
    <xdr:to>
      <xdr:col>17</xdr:col>
      <xdr:colOff>265680</xdr:colOff>
      <xdr:row>22</xdr:row>
      <xdr:rowOff>13320</xdr:rowOff>
    </xdr:to>
    <xdr:sp>
      <xdr:nvSpPr>
        <xdr:cNvPr id="51" name="CustomShape 1"/>
        <xdr:cNvSpPr/>
      </xdr:nvSpPr>
      <xdr:spPr>
        <a:xfrm>
          <a:off x="12449880" y="3370320"/>
          <a:ext cx="1010160" cy="529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Corner 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First Moved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Grips side 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487080</xdr:colOff>
      <xdr:row>49</xdr:row>
      <xdr:rowOff>16200</xdr:rowOff>
    </xdr:from>
    <xdr:to>
      <xdr:col>23</xdr:col>
      <xdr:colOff>609480</xdr:colOff>
      <xdr:row>49</xdr:row>
      <xdr:rowOff>175320</xdr:rowOff>
    </xdr:to>
    <xdr:sp>
      <xdr:nvSpPr>
        <xdr:cNvPr id="52" name="CustomShape 1"/>
        <xdr:cNvSpPr/>
      </xdr:nvSpPr>
      <xdr:spPr>
        <a:xfrm>
          <a:off x="19247400" y="8649360"/>
          <a:ext cx="122400" cy="159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10800</xdr:colOff>
      <xdr:row>53</xdr:row>
      <xdr:rowOff>119880</xdr:rowOff>
    </xdr:from>
    <xdr:to>
      <xdr:col>21</xdr:col>
      <xdr:colOff>133200</xdr:colOff>
      <xdr:row>54</xdr:row>
      <xdr:rowOff>91080</xdr:rowOff>
    </xdr:to>
    <xdr:sp>
      <xdr:nvSpPr>
        <xdr:cNvPr id="53" name="CustomShape 1"/>
        <xdr:cNvSpPr/>
      </xdr:nvSpPr>
      <xdr:spPr>
        <a:xfrm>
          <a:off x="16625520" y="9454320"/>
          <a:ext cx="122400" cy="146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-360</xdr:colOff>
      <xdr:row>67</xdr:row>
      <xdr:rowOff>101880</xdr:rowOff>
    </xdr:from>
    <xdr:to>
      <xdr:col>24</xdr:col>
      <xdr:colOff>0</xdr:colOff>
      <xdr:row>68</xdr:row>
      <xdr:rowOff>71640</xdr:rowOff>
    </xdr:to>
    <xdr:sp>
      <xdr:nvSpPr>
        <xdr:cNvPr id="54" name="CustomShape 1"/>
        <xdr:cNvSpPr/>
      </xdr:nvSpPr>
      <xdr:spPr>
        <a:xfrm>
          <a:off x="19612800" y="11903760"/>
          <a:ext cx="360" cy="14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449280</xdr:colOff>
      <xdr:row>69</xdr:row>
      <xdr:rowOff>24840</xdr:rowOff>
    </xdr:from>
    <xdr:to>
      <xdr:col>21</xdr:col>
      <xdr:colOff>571680</xdr:colOff>
      <xdr:row>69</xdr:row>
      <xdr:rowOff>174600</xdr:rowOff>
    </xdr:to>
    <xdr:sp>
      <xdr:nvSpPr>
        <xdr:cNvPr id="55" name="CustomShape 1"/>
        <xdr:cNvSpPr/>
      </xdr:nvSpPr>
      <xdr:spPr>
        <a:xfrm>
          <a:off x="17064000" y="12177360"/>
          <a:ext cx="122400" cy="149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80"/>
  <sheetViews>
    <sheetView showFormulas="false" showGridLines="true" showRowColHeaders="true" showZeros="true" rightToLeft="false" tabSelected="false" showOutlineSymbols="true" defaultGridColor="true" view="normal" topLeftCell="B46" colorId="64" zoomScale="100" zoomScaleNormal="100" zoomScalePageLayoutView="100" workbookViewId="0">
      <selection pane="topLeft" activeCell="N74" activeCellId="0" sqref="N7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B2" s="0" t="s">
        <v>0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661.287</v>
      </c>
      <c r="F4" s="0" t="n">
        <v>-268.851</v>
      </c>
      <c r="G4" s="0" t="n">
        <v>270.186</v>
      </c>
      <c r="U4" s="0" t="s">
        <v>10</v>
      </c>
      <c r="W4" s="0" t="s">
        <v>11</v>
      </c>
      <c r="X4" s="0" t="s">
        <v>12</v>
      </c>
    </row>
    <row r="5" customFormat="false" ht="13.8" hidden="false" customHeight="false" outlineLevel="0" collapsed="false">
      <c r="E5" s="0" t="n">
        <v>649.503</v>
      </c>
      <c r="F5" s="0" t="n">
        <v>-273.533</v>
      </c>
      <c r="G5" s="0" t="n">
        <v>292.365</v>
      </c>
      <c r="H5" s="0" t="n">
        <f aca="false">E5</f>
        <v>649.503</v>
      </c>
      <c r="I5" s="0" t="n">
        <f aca="false">F5</f>
        <v>-273.533</v>
      </c>
      <c r="J5" s="0" t="n">
        <f aca="false">AVERAGE(G4,G6)</f>
        <v>270.072</v>
      </c>
      <c r="U5" s="0" t="s">
        <v>9</v>
      </c>
      <c r="V5" s="0" t="n">
        <v>3</v>
      </c>
      <c r="W5" s="0" t="n">
        <f aca="false">(V5-1)*6.5</f>
        <v>13</v>
      </c>
      <c r="X5" s="0" t="n">
        <f aca="false">W5/Y22</f>
        <v>14.2216387703752</v>
      </c>
      <c r="Y5" s="0" t="n">
        <v>14</v>
      </c>
    </row>
    <row r="6" customFormat="false" ht="13.8" hidden="false" customHeight="false" outlineLevel="0" collapsed="false">
      <c r="E6" s="0" t="n">
        <v>639.582</v>
      </c>
      <c r="F6" s="0" t="n">
        <v>-267.865</v>
      </c>
      <c r="G6" s="0" t="n">
        <v>269.958</v>
      </c>
      <c r="U6" s="0" t="s">
        <v>13</v>
      </c>
      <c r="V6" s="0" t="n">
        <v>2</v>
      </c>
      <c r="W6" s="0" t="n">
        <f aca="false">(V6-1)*6.5</f>
        <v>6.5</v>
      </c>
      <c r="X6" s="0" t="n">
        <f aca="false">W6/Y23</f>
        <v>8.53354338978601</v>
      </c>
      <c r="Y6" s="0" t="n">
        <v>9</v>
      </c>
    </row>
    <row r="7" customFormat="false" ht="13.8" hidden="false" customHeight="false" outlineLevel="0" collapsed="false">
      <c r="U7" s="0" t="s">
        <v>14</v>
      </c>
      <c r="V7" s="0" t="n">
        <v>4</v>
      </c>
      <c r="W7" s="0" t="n">
        <f aca="false">(V7-1)*6.5</f>
        <v>19.5</v>
      </c>
      <c r="X7" s="0" t="n">
        <f aca="false">W7/Y22</f>
        <v>21.3324581555628</v>
      </c>
      <c r="Y7" s="0" t="n">
        <v>21</v>
      </c>
    </row>
    <row r="8" customFormat="false" ht="13.8" hidden="false" customHeight="false" outlineLevel="0" collapsed="false">
      <c r="C8" s="0" t="s">
        <v>15</v>
      </c>
      <c r="D8" s="0" t="n">
        <v>1</v>
      </c>
      <c r="E8" s="0" t="n">
        <v>555.039</v>
      </c>
      <c r="F8" s="0" t="n">
        <v>-299.566</v>
      </c>
      <c r="G8" s="0" t="n">
        <v>382.509</v>
      </c>
      <c r="U8" s="0" t="s">
        <v>16</v>
      </c>
      <c r="V8" s="0" t="n">
        <v>5</v>
      </c>
      <c r="W8" s="0" t="n">
        <f aca="false">(V8-1)*6.5</f>
        <v>26</v>
      </c>
      <c r="X8" s="0" t="n">
        <f aca="false">W8/Y23</f>
        <v>34.134173559144</v>
      </c>
      <c r="Y8" s="0" t="n">
        <v>34</v>
      </c>
    </row>
    <row r="9" customFormat="false" ht="13.8" hidden="false" customHeight="false" outlineLevel="0" collapsed="false">
      <c r="E9" s="0" t="n">
        <v>575.75</v>
      </c>
      <c r="F9" s="0" t="n">
        <v>-297.382</v>
      </c>
      <c r="G9" s="0" t="n">
        <v>410.026</v>
      </c>
      <c r="H9" s="0" t="n">
        <f aca="false">E9</f>
        <v>575.75</v>
      </c>
      <c r="I9" s="0" t="n">
        <f aca="false">F9</f>
        <v>-297.382</v>
      </c>
      <c r="J9" s="0" t="n">
        <f aca="false">AVERAGE(G8,G10)</f>
        <v>382.629</v>
      </c>
    </row>
    <row r="10" customFormat="false" ht="15" hidden="false" customHeight="false" outlineLevel="0" collapsed="false">
      <c r="E10" s="0" t="n">
        <v>576.505</v>
      </c>
      <c r="F10" s="0" t="n">
        <v>-299.342</v>
      </c>
      <c r="G10" s="0" t="n">
        <v>382.749</v>
      </c>
    </row>
    <row r="11" customFormat="false" ht="13.8" hidden="false" customHeight="false" outlineLevel="0" collapsed="false"/>
    <row r="12" customFormat="false" ht="15" hidden="false" customHeight="false" outlineLevel="0" collapsed="false">
      <c r="C12" s="0" t="s">
        <v>13</v>
      </c>
      <c r="D12" s="0" t="n">
        <v>2</v>
      </c>
      <c r="E12" s="0" t="n">
        <v>667.77</v>
      </c>
      <c r="F12" s="0" t="n">
        <v>-1169.479</v>
      </c>
      <c r="G12" s="0" t="n">
        <v>305.603</v>
      </c>
    </row>
    <row r="13" customFormat="false" ht="13.8" hidden="false" customHeight="false" outlineLevel="0" collapsed="false">
      <c r="E13" s="0" t="n">
        <v>664.369</v>
      </c>
      <c r="F13" s="0" t="n">
        <v>-1179.361</v>
      </c>
      <c r="G13" s="0" t="n">
        <v>320.534</v>
      </c>
      <c r="H13" s="0" t="n">
        <f aca="false">E13</f>
        <v>664.369</v>
      </c>
      <c r="I13" s="0" t="n">
        <f aca="false">F13</f>
        <v>-1179.361</v>
      </c>
      <c r="J13" s="0" t="n">
        <f aca="false">AVERAGE(G12,G14)</f>
        <v>305.082</v>
      </c>
      <c r="L13" s="0" t="s">
        <v>17</v>
      </c>
      <c r="S13" s="0" t="s">
        <v>18</v>
      </c>
    </row>
    <row r="14" customFormat="false" ht="13.8" hidden="false" customHeight="false" outlineLevel="0" collapsed="false">
      <c r="E14" s="0" t="n">
        <v>663.169</v>
      </c>
      <c r="F14" s="0" t="n">
        <v>-1190.007</v>
      </c>
      <c r="G14" s="0" t="n">
        <v>304.561</v>
      </c>
    </row>
    <row r="16" customFormat="false" ht="15" hidden="false" customHeight="false" outlineLevel="0" collapsed="false">
      <c r="C16" s="0" t="s">
        <v>19</v>
      </c>
      <c r="D16" s="0" t="n">
        <v>2</v>
      </c>
      <c r="E16" s="0" t="n">
        <v>607.478</v>
      </c>
      <c r="F16" s="0" t="n">
        <v>-1148.591</v>
      </c>
      <c r="G16" s="0" t="n">
        <v>390.436</v>
      </c>
    </row>
    <row r="17" customFormat="false" ht="15" hidden="false" customHeight="false" outlineLevel="0" collapsed="false">
      <c r="E17" s="0" t="n">
        <v>606.205</v>
      </c>
      <c r="F17" s="0" t="n">
        <v>-1161.7</v>
      </c>
      <c r="G17" s="0" t="n">
        <v>411.067</v>
      </c>
      <c r="H17" s="0" t="n">
        <f aca="false">E17</f>
        <v>606.205</v>
      </c>
      <c r="I17" s="0" t="n">
        <f aca="false">F17</f>
        <v>-1161.7</v>
      </c>
      <c r="J17" s="0" t="n">
        <f aca="false">AVERAGE(G16,G18)</f>
        <v>390.855</v>
      </c>
    </row>
    <row r="18" customFormat="false" ht="13.8" hidden="false" customHeight="false" outlineLevel="0" collapsed="false">
      <c r="E18" s="0" t="n">
        <v>602.976</v>
      </c>
      <c r="F18" s="0" t="n">
        <v>-1174.625</v>
      </c>
      <c r="G18" s="0" t="n">
        <v>391.274</v>
      </c>
    </row>
    <row r="20" customFormat="false" ht="15" hidden="false" customHeight="false" outlineLevel="0" collapsed="false">
      <c r="C20" s="0" t="s">
        <v>14</v>
      </c>
      <c r="D20" s="0" t="n">
        <v>3</v>
      </c>
      <c r="E20" s="0" t="n">
        <v>-290.866</v>
      </c>
      <c r="F20" s="0" t="n">
        <v>-1111.339</v>
      </c>
      <c r="G20" s="0" t="n">
        <v>284.778</v>
      </c>
    </row>
    <row r="21" customFormat="false" ht="13.8" hidden="false" customHeight="false" outlineLevel="0" collapsed="false">
      <c r="E21" s="0" t="n">
        <v>-306.526</v>
      </c>
      <c r="F21" s="0" t="n">
        <v>-1111.659</v>
      </c>
      <c r="G21" s="0" t="n">
        <v>305.34</v>
      </c>
      <c r="H21" s="0" t="n">
        <f aca="false">E21</f>
        <v>-306.526</v>
      </c>
      <c r="I21" s="0" t="n">
        <f aca="false">F21</f>
        <v>-1111.659</v>
      </c>
      <c r="J21" s="0" t="n">
        <f aca="false">AVERAGE(G20,G22)</f>
        <v>284.8115</v>
      </c>
      <c r="T21" s="1" t="s">
        <v>20</v>
      </c>
      <c r="U21" s="2" t="s">
        <v>21</v>
      </c>
      <c r="V21" s="2" t="s">
        <v>22</v>
      </c>
      <c r="W21" s="2" t="s">
        <v>23</v>
      </c>
      <c r="X21" s="3" t="s">
        <v>24</v>
      </c>
      <c r="Y21" s="3"/>
    </row>
    <row r="22" customFormat="false" ht="15" hidden="false" customHeight="false" outlineLevel="0" collapsed="false">
      <c r="E22" s="0" t="n">
        <v>-318.436</v>
      </c>
      <c r="F22" s="0" t="n">
        <v>-1106.88</v>
      </c>
      <c r="G22" s="0" t="n">
        <v>284.845</v>
      </c>
      <c r="T22" s="4" t="s">
        <v>25</v>
      </c>
      <c r="U22" s="0" t="n">
        <v>1.17</v>
      </c>
      <c r="V22" s="0" t="n">
        <v>19</v>
      </c>
      <c r="W22" s="0" t="n">
        <f aca="false">U22/(V22-1)</f>
        <v>0.065</v>
      </c>
      <c r="X22" s="5" t="n">
        <v>0.009141</v>
      </c>
      <c r="Y22" s="0" t="n">
        <f aca="false">X22*100</f>
        <v>0.9141</v>
      </c>
    </row>
    <row r="23" customFormat="false" ht="15" hidden="false" customHeight="false" outlineLevel="0" collapsed="false">
      <c r="T23" s="6" t="s">
        <v>26</v>
      </c>
      <c r="U23" s="0" t="n">
        <v>0.975</v>
      </c>
      <c r="V23" s="0" t="n">
        <v>16</v>
      </c>
      <c r="W23" s="0" t="n">
        <f aca="false">U23/(V23-1)</f>
        <v>0.065</v>
      </c>
      <c r="X23" s="5" t="n">
        <v>0.007617</v>
      </c>
      <c r="Y23" s="0" t="n">
        <f aca="false">X23*100</f>
        <v>0.7617</v>
      </c>
    </row>
    <row r="24" customFormat="false" ht="15" hidden="false" customHeight="false" outlineLevel="0" collapsed="false">
      <c r="C24" s="0" t="s">
        <v>27</v>
      </c>
      <c r="D24" s="0" t="n">
        <v>3</v>
      </c>
      <c r="E24" s="0" t="n">
        <v>-286.751</v>
      </c>
      <c r="F24" s="0" t="n">
        <v>-1116.283</v>
      </c>
      <c r="G24" s="0" t="n">
        <v>376.838</v>
      </c>
    </row>
    <row r="25" customFormat="false" ht="15" hidden="false" customHeight="false" outlineLevel="0" collapsed="false">
      <c r="E25" s="0" t="n">
        <v>-300.276</v>
      </c>
      <c r="F25" s="0" t="n">
        <v>-1108.617</v>
      </c>
      <c r="G25" s="0" t="n">
        <v>396.07</v>
      </c>
      <c r="H25" s="0" t="n">
        <f aca="false">E25</f>
        <v>-300.276</v>
      </c>
      <c r="I25" s="0" t="n">
        <f aca="false">F25</f>
        <v>-1108.617</v>
      </c>
      <c r="J25" s="0" t="n">
        <f aca="false">AVERAGE(G24,G26)</f>
        <v>376.6735</v>
      </c>
      <c r="T25" s="0" t="s">
        <v>28</v>
      </c>
      <c r="X25" s="7" t="s">
        <v>29</v>
      </c>
      <c r="Y25" s="0" t="s">
        <v>30</v>
      </c>
      <c r="AB25" s="0" t="n">
        <v>38.5</v>
      </c>
      <c r="AC25" s="0" t="n">
        <v>48</v>
      </c>
    </row>
    <row r="26" customFormat="false" ht="15" hidden="false" customHeight="false" outlineLevel="0" collapsed="false">
      <c r="E26" s="0" t="n">
        <v>-316.012</v>
      </c>
      <c r="F26" s="0" t="n">
        <v>-1110.704</v>
      </c>
      <c r="G26" s="0" t="n">
        <v>376.509</v>
      </c>
      <c r="O26" s="0" t="s">
        <v>31</v>
      </c>
      <c r="T26" s="0" t="s">
        <v>6</v>
      </c>
      <c r="U26" s="0" t="n">
        <v>0.01528</v>
      </c>
      <c r="V26" s="0" t="n">
        <f aca="false">U26*1000/25.4</f>
        <v>0.601574803149606</v>
      </c>
      <c r="X26" s="0" t="n">
        <v>0.25</v>
      </c>
      <c r="Y26" s="0" t="n">
        <f aca="false">X26*25.4/1000</f>
        <v>0.00635</v>
      </c>
      <c r="AB26" s="0" t="n">
        <f aca="false">AB25*25.4/1000</f>
        <v>0.9779</v>
      </c>
      <c r="AC26" s="0" t="n">
        <f aca="false">AC25*25.4/1000</f>
        <v>1.2192</v>
      </c>
    </row>
    <row r="27" customFormat="false" ht="15" hidden="false" customHeight="false" outlineLevel="0" collapsed="false">
      <c r="L27" s="0" t="s">
        <v>32</v>
      </c>
      <c r="T27" s="0" t="s">
        <v>7</v>
      </c>
      <c r="U27" s="0" t="n">
        <v>0.01905</v>
      </c>
      <c r="V27" s="0" t="n">
        <f aca="false">U27*1000/25.4</f>
        <v>0.75</v>
      </c>
      <c r="X27" s="0" t="n">
        <v>0.5</v>
      </c>
      <c r="Y27" s="0" t="n">
        <f aca="false">X27*25.4/1000</f>
        <v>0.0127</v>
      </c>
      <c r="AB27" s="0" t="n">
        <f aca="false">AB26/64</f>
        <v>0.0152796875</v>
      </c>
      <c r="AC27" s="0" t="n">
        <f aca="false">AC26/64</f>
        <v>0.01905</v>
      </c>
    </row>
    <row r="28" customFormat="false" ht="15" hidden="false" customHeight="false" outlineLevel="0" collapsed="false">
      <c r="C28" s="0" t="s">
        <v>33</v>
      </c>
      <c r="D28" s="0" t="n">
        <v>4</v>
      </c>
      <c r="E28" s="0" t="n">
        <v>-389.369</v>
      </c>
      <c r="F28" s="0" t="n">
        <v>-362.851</v>
      </c>
      <c r="G28" s="0" t="n">
        <v>271.716</v>
      </c>
      <c r="L28" s="0" t="s">
        <v>34</v>
      </c>
      <c r="X28" s="0" t="n">
        <v>1</v>
      </c>
      <c r="Y28" s="0" t="n">
        <f aca="false">X28*25.4/1000</f>
        <v>0.0254</v>
      </c>
    </row>
    <row r="29" customFormat="false" ht="13.8" hidden="false" customHeight="false" outlineLevel="0" collapsed="false">
      <c r="E29" s="0" t="n">
        <v>-389.756</v>
      </c>
      <c r="F29" s="0" t="n">
        <v>-376.949</v>
      </c>
      <c r="G29" s="0" t="n">
        <v>299.965</v>
      </c>
      <c r="H29" s="8" t="n">
        <f aca="false">E29</f>
        <v>-389.756</v>
      </c>
      <c r="I29" s="8" t="n">
        <f aca="false">F29</f>
        <v>-376.949</v>
      </c>
      <c r="J29" s="8" t="n">
        <f aca="false">AVERAGE(G30,G28)</f>
        <v>271.694</v>
      </c>
    </row>
    <row r="30" customFormat="false" ht="13.8" hidden="false" customHeight="false" outlineLevel="0" collapsed="false">
      <c r="E30" s="0" t="n">
        <v>-392.771</v>
      </c>
      <c r="F30" s="0" t="n">
        <v>-392.611</v>
      </c>
      <c r="G30" s="0" t="n">
        <v>271.672</v>
      </c>
    </row>
    <row r="31" customFormat="false" ht="15" hidden="false" customHeight="false" outlineLevel="0" collapsed="false">
      <c r="U31" s="0" t="n">
        <v>4080</v>
      </c>
      <c r="V31" s="0" t="n">
        <v>4089</v>
      </c>
      <c r="AC31" s="0" t="n">
        <f aca="false">AC26-0.00525</f>
        <v>1.21395</v>
      </c>
    </row>
    <row r="32" customFormat="false" ht="15.75" hidden="false" customHeight="false" outlineLevel="0" collapsed="false">
      <c r="P32" s="0" t="s">
        <v>35</v>
      </c>
      <c r="U32" s="0" t="n">
        <v>7401</v>
      </c>
      <c r="V32" s="0" t="n">
        <v>7457</v>
      </c>
    </row>
    <row r="33" customFormat="false" ht="15" hidden="false" customHeight="false" outlineLevel="0" collapsed="false">
      <c r="L33" s="0" t="s">
        <v>36</v>
      </c>
      <c r="U33" s="9" t="n">
        <v>4</v>
      </c>
      <c r="V33" s="10" t="s">
        <v>33</v>
      </c>
      <c r="W33" s="10"/>
      <c r="X33" s="11" t="n">
        <v>1</v>
      </c>
    </row>
    <row r="34" customFormat="false" ht="15" hidden="false" customHeight="false" outlineLevel="0" collapsed="false">
      <c r="D34" s="0" t="s">
        <v>37</v>
      </c>
      <c r="E34" s="0" t="s">
        <v>38</v>
      </c>
      <c r="F34" s="0" t="s">
        <v>39</v>
      </c>
      <c r="M34" s="0" t="s">
        <v>33</v>
      </c>
      <c r="N34" s="0" t="s">
        <v>9</v>
      </c>
      <c r="P34" s="0" t="s">
        <v>9</v>
      </c>
      <c r="Q34" s="7" t="s">
        <v>40</v>
      </c>
      <c r="R34" s="0" t="s">
        <v>41</v>
      </c>
      <c r="U34" s="4"/>
      <c r="X34" s="12" t="s">
        <v>9</v>
      </c>
      <c r="Y34" s="0" t="n">
        <v>3236</v>
      </c>
      <c r="Z34" s="0" t="n">
        <v>273</v>
      </c>
    </row>
    <row r="35" customFormat="false" ht="15" hidden="false" customHeight="false" outlineLevel="0" collapsed="false">
      <c r="D35" s="0" t="s">
        <v>9</v>
      </c>
      <c r="M35" s="0" t="s">
        <v>14</v>
      </c>
      <c r="N35" s="0" t="s">
        <v>13</v>
      </c>
      <c r="P35" s="0" t="s">
        <v>13</v>
      </c>
      <c r="Q35" s="0" t="s">
        <v>42</v>
      </c>
      <c r="R35" s="0" t="s">
        <v>43</v>
      </c>
      <c r="U35" s="4"/>
      <c r="X35" s="12"/>
      <c r="Y35" s="0" t="n">
        <v>3235</v>
      </c>
      <c r="Z35" s="0" t="n">
        <v>4163</v>
      </c>
    </row>
    <row r="36" customFormat="false" ht="13.8" hidden="false" customHeight="false" outlineLevel="0" collapsed="false">
      <c r="D36" s="0" t="s">
        <v>13</v>
      </c>
      <c r="G36" s="8" t="s">
        <v>9</v>
      </c>
      <c r="H36" s="0" t="n">
        <f aca="false">H5</f>
        <v>649.503</v>
      </c>
      <c r="I36" s="0" t="n">
        <f aca="false">I5</f>
        <v>-273.533</v>
      </c>
      <c r="J36" s="0" t="n">
        <f aca="false">J5</f>
        <v>270.072</v>
      </c>
      <c r="K36" s="8" t="n">
        <f aca="false">H36-H$42</f>
        <v>1039.259</v>
      </c>
      <c r="L36" s="8" t="n">
        <f aca="false">I36-I$42</f>
        <v>103.416</v>
      </c>
      <c r="M36" s="8" t="n">
        <f aca="false">J36-J$42</f>
        <v>-1.62200000000001</v>
      </c>
      <c r="P36" s="0" t="s">
        <v>14</v>
      </c>
      <c r="Q36" s="7" t="s">
        <v>44</v>
      </c>
      <c r="R36" s="0" t="s">
        <v>41</v>
      </c>
      <c r="U36" s="4"/>
      <c r="X36" s="12"/>
    </row>
    <row r="37" customFormat="false" ht="13.8" hidden="false" customHeight="false" outlineLevel="0" collapsed="false">
      <c r="D37" s="0" t="s">
        <v>14</v>
      </c>
      <c r="G37" s="8" t="s">
        <v>15</v>
      </c>
      <c r="H37" s="0" t="n">
        <f aca="false">H9</f>
        <v>575.75</v>
      </c>
      <c r="I37" s="0" t="n">
        <f aca="false">I9</f>
        <v>-297.382</v>
      </c>
      <c r="J37" s="0" t="n">
        <f aca="false">J9</f>
        <v>382.629</v>
      </c>
      <c r="K37" s="8" t="n">
        <f aca="false">H37-H$42</f>
        <v>965.506</v>
      </c>
      <c r="L37" s="8" t="n">
        <f aca="false">I37-I$42</f>
        <v>79.567</v>
      </c>
      <c r="M37" s="8" t="n">
        <f aca="false">J37-J$42</f>
        <v>110.935</v>
      </c>
      <c r="P37" s="0" t="s">
        <v>33</v>
      </c>
      <c r="Q37" s="0" t="s">
        <v>45</v>
      </c>
      <c r="R37" s="0" t="s">
        <v>46</v>
      </c>
      <c r="U37" s="4" t="s">
        <v>14</v>
      </c>
      <c r="X37" s="12"/>
    </row>
    <row r="38" customFormat="false" ht="13.8" hidden="false" customHeight="false" outlineLevel="0" collapsed="false">
      <c r="D38" s="0" t="s">
        <v>33</v>
      </c>
      <c r="G38" s="8" t="s">
        <v>13</v>
      </c>
      <c r="H38" s="0" t="n">
        <f aca="false">H13</f>
        <v>664.369</v>
      </c>
      <c r="I38" s="0" t="n">
        <f aca="false">I13</f>
        <v>-1179.361</v>
      </c>
      <c r="J38" s="0" t="n">
        <f aca="false">J13</f>
        <v>305.082</v>
      </c>
      <c r="K38" s="8" t="n">
        <f aca="false">H38-H$42</f>
        <v>1054.125</v>
      </c>
      <c r="L38" s="8" t="n">
        <f aca="false">I38-I$42</f>
        <v>-802.412</v>
      </c>
      <c r="M38" s="8" t="n">
        <f aca="false">J38-J$42</f>
        <v>33.388</v>
      </c>
      <c r="U38" s="13" t="n">
        <v>3</v>
      </c>
      <c r="V38" s="14"/>
      <c r="W38" s="14" t="s">
        <v>13</v>
      </c>
      <c r="X38" s="15" t="n">
        <v>2</v>
      </c>
    </row>
    <row r="39" customFormat="false" ht="13.8" hidden="false" customHeight="false" outlineLevel="0" collapsed="false">
      <c r="G39" s="8" t="s">
        <v>19</v>
      </c>
      <c r="H39" s="0" t="n">
        <f aca="false">H17</f>
        <v>606.205</v>
      </c>
      <c r="I39" s="0" t="n">
        <f aca="false">I17</f>
        <v>-1161.7</v>
      </c>
      <c r="J39" s="0" t="n">
        <f aca="false">J17</f>
        <v>390.855</v>
      </c>
      <c r="K39" s="8" t="n">
        <f aca="false">H39-H$42</f>
        <v>995.961</v>
      </c>
      <c r="L39" s="8" t="n">
        <f aca="false">I39-I$42</f>
        <v>-784.751</v>
      </c>
      <c r="M39" s="8" t="n">
        <f aca="false">J39-J$42</f>
        <v>119.161</v>
      </c>
      <c r="Q39" s="0" t="s">
        <v>47</v>
      </c>
      <c r="R39" s="0" t="s">
        <v>48</v>
      </c>
      <c r="S39" s="0" t="s">
        <v>49</v>
      </c>
      <c r="U39" s="0" t="n">
        <v>4106</v>
      </c>
      <c r="V39" s="0" t="n">
        <v>3142</v>
      </c>
      <c r="X39" s="0" t="n">
        <v>8301</v>
      </c>
      <c r="Y39" s="0" t="n">
        <v>11896</v>
      </c>
    </row>
    <row r="40" customFormat="false" ht="13.8" hidden="false" customHeight="false" outlineLevel="0" collapsed="false">
      <c r="G40" s="8" t="s">
        <v>14</v>
      </c>
      <c r="H40" s="0" t="n">
        <f aca="false">H21</f>
        <v>-306.526</v>
      </c>
      <c r="I40" s="0" t="n">
        <f aca="false">I21</f>
        <v>-1111.659</v>
      </c>
      <c r="J40" s="0" t="n">
        <f aca="false">J21</f>
        <v>284.8115</v>
      </c>
      <c r="K40" s="8" t="n">
        <f aca="false">H40-H$42</f>
        <v>83.23</v>
      </c>
      <c r="L40" s="8" t="n">
        <f aca="false">I40-I$42</f>
        <v>-734.71</v>
      </c>
      <c r="M40" s="8" t="n">
        <f aca="false">J40-J$42</f>
        <v>13.1175</v>
      </c>
      <c r="P40" s="0" t="s">
        <v>9</v>
      </c>
      <c r="Q40" s="0" t="n">
        <v>0.725785</v>
      </c>
      <c r="R40" s="0" t="n">
        <v>0</v>
      </c>
      <c r="S40" s="0" t="n">
        <v>0.082555</v>
      </c>
      <c r="U40" s="0" t="n">
        <v>259</v>
      </c>
      <c r="V40" s="0" t="n">
        <v>3141</v>
      </c>
      <c r="X40" s="0" t="n">
        <v>4216</v>
      </c>
      <c r="Y40" s="0" t="n">
        <v>79</v>
      </c>
    </row>
    <row r="41" customFormat="false" ht="13.8" hidden="false" customHeight="false" outlineLevel="0" collapsed="false">
      <c r="G41" s="8" t="s">
        <v>27</v>
      </c>
      <c r="H41" s="0" t="n">
        <f aca="false">H25</f>
        <v>-300.276</v>
      </c>
      <c r="I41" s="0" t="n">
        <f aca="false">I25</f>
        <v>-1108.617</v>
      </c>
      <c r="J41" s="0" t="n">
        <f aca="false">J25</f>
        <v>376.6735</v>
      </c>
      <c r="K41" s="8" t="n">
        <f aca="false">H41-H$42</f>
        <v>89.48</v>
      </c>
      <c r="L41" s="8" t="n">
        <f aca="false">I41-I$42</f>
        <v>-731.668</v>
      </c>
      <c r="M41" s="8" t="n">
        <f aca="false">J41-J$42</f>
        <v>104.9795</v>
      </c>
      <c r="P41" s="0" t="s">
        <v>13</v>
      </c>
      <c r="Q41" s="0" t="n">
        <v>0.603548</v>
      </c>
      <c r="R41" s="0" t="n">
        <v>0</v>
      </c>
      <c r="S41" s="0" t="n">
        <f aca="false">1.2065+0.00525</f>
        <v>1.21175</v>
      </c>
      <c r="AC41" s="0" t="n">
        <f aca="false">AC26-S41</f>
        <v>0.00744999999999973</v>
      </c>
    </row>
    <row r="42" customFormat="false" ht="13.8" hidden="false" customHeight="false" outlineLevel="0" collapsed="false">
      <c r="G42" s="8" t="s">
        <v>33</v>
      </c>
      <c r="H42" s="0" t="n">
        <f aca="false">H29</f>
        <v>-389.756</v>
      </c>
      <c r="I42" s="0" t="n">
        <f aca="false">I29</f>
        <v>-376.949</v>
      </c>
      <c r="J42" s="0" t="n">
        <f aca="false">J29</f>
        <v>271.694</v>
      </c>
      <c r="K42" s="8" t="n">
        <f aca="false">H42-H$42</f>
        <v>0</v>
      </c>
      <c r="L42" s="8" t="n">
        <f aca="false">I42-I$42</f>
        <v>0</v>
      </c>
      <c r="M42" s="8" t="n">
        <f aca="false">J42-J$42</f>
        <v>0</v>
      </c>
      <c r="P42" s="0" t="s">
        <v>14</v>
      </c>
      <c r="Q42" s="0" t="n">
        <v>-0.236835</v>
      </c>
      <c r="R42" s="0" t="n">
        <v>0</v>
      </c>
      <c r="S42" s="0" t="n">
        <v>0.977905</v>
      </c>
    </row>
    <row r="43" customFormat="false" ht="13.8" hidden="false" customHeight="false" outlineLevel="0" collapsed="false">
      <c r="K43" s="0" t="s">
        <v>8</v>
      </c>
      <c r="L43" s="0" t="s">
        <v>6</v>
      </c>
      <c r="M43" s="0" t="s">
        <v>7</v>
      </c>
      <c r="P43" s="0" t="s">
        <v>33</v>
      </c>
      <c r="Q43" s="0" t="n">
        <v>0</v>
      </c>
      <c r="R43" s="0" t="n">
        <v>0</v>
      </c>
      <c r="S43" s="0" t="n">
        <v>0</v>
      </c>
    </row>
    <row r="44" customFormat="false" ht="15" hidden="false" customHeight="false" outlineLevel="0" collapsed="false">
      <c r="W44" s="0" t="n">
        <v>0.01905</v>
      </c>
      <c r="X44" s="0" t="n">
        <v>0.3456</v>
      </c>
      <c r="Y44" s="0" t="s">
        <v>50</v>
      </c>
      <c r="Z44" s="0" t="s">
        <v>51</v>
      </c>
      <c r="AA44" s="0" t="s">
        <v>52</v>
      </c>
    </row>
    <row r="45" customFormat="false" ht="13.8" hidden="false" customHeight="false" outlineLevel="0" collapsed="false">
      <c r="G45" s="8"/>
      <c r="Q45" s="0" t="s">
        <v>6</v>
      </c>
      <c r="R45" s="0" t="s">
        <v>7</v>
      </c>
      <c r="S45" s="0" t="s">
        <v>8</v>
      </c>
      <c r="W45" s="0" t="n">
        <f aca="false">W44*2</f>
        <v>0.0381</v>
      </c>
      <c r="X45" s="0" t="n">
        <f aca="false">X44+0.003</f>
        <v>0.3486</v>
      </c>
    </row>
    <row r="46" customFormat="false" ht="13.8" hidden="false" customHeight="false" outlineLevel="0" collapsed="false">
      <c r="O46" s="0" t="s">
        <v>53</v>
      </c>
      <c r="Q46" s="0" t="n">
        <v>-0.244475</v>
      </c>
      <c r="R46" s="0" t="n">
        <v>0</v>
      </c>
      <c r="S46" s="0" t="n">
        <f aca="false">Y26/2</f>
        <v>0.003175</v>
      </c>
      <c r="W46" s="0" t="n">
        <f aca="false">W44*3</f>
        <v>0.05715</v>
      </c>
    </row>
    <row r="48" customFormat="false" ht="13.8" hidden="false" customHeight="false" outlineLevel="0" collapsed="false">
      <c r="G48" s="16" t="s">
        <v>54</v>
      </c>
      <c r="H48" s="16" t="s">
        <v>55</v>
      </c>
      <c r="I48" s="16" t="s">
        <v>56</v>
      </c>
      <c r="J48" s="16" t="s">
        <v>57</v>
      </c>
      <c r="K48" s="16" t="s">
        <v>58</v>
      </c>
      <c r="L48" s="16" t="s">
        <v>59</v>
      </c>
      <c r="P48" s="0" t="s">
        <v>9</v>
      </c>
      <c r="Q48" s="0" t="n">
        <f aca="false">U23+Q46</f>
        <v>0.730525</v>
      </c>
    </row>
    <row r="49" customFormat="false" ht="13.8" hidden="false" customHeight="false" outlineLevel="0" collapsed="false">
      <c r="G49" s="17" t="n">
        <f aca="false">SQRT((K36-K38)^2+(L36-L38)^2+(M36-M38)^2)/1000</f>
        <v>0.906626198408142</v>
      </c>
      <c r="H49" s="17" t="n">
        <f aca="false">SQRT((K36-K40)^2+(L36-L40)^2+(M36-M40)^2)/1000</f>
        <v>1.27148098435535</v>
      </c>
      <c r="I49" s="17" t="n">
        <f aca="false">SQRT((K36-K42)^2+(L36-L42)^2+(M36-M42)^2)/1000</f>
        <v>1.04439301463625</v>
      </c>
      <c r="J49" s="17" t="n">
        <f aca="false">SQRT((K38-K40)^2+(L38-L40)^2+(M38-M40)^2)/1000</f>
        <v>0.973463689615206</v>
      </c>
      <c r="K49" s="17" t="n">
        <f aca="false">SQRT((K38-K42)^2+(L38-L42)^2+(M38-M42)^2)/1000</f>
        <v>1.32520160425235</v>
      </c>
      <c r="L49" s="17" t="n">
        <f aca="false">SQRT((K40-K42)^2+(L40-L42)^2+(M40-M42)^2)/1000</f>
        <v>0.739525581576628</v>
      </c>
      <c r="P49" s="0" t="s">
        <v>13</v>
      </c>
    </row>
    <row r="50" customFormat="false" ht="13.8" hidden="false" customHeight="false" outlineLevel="0" collapsed="false">
      <c r="G50" s="16" t="s">
        <v>60</v>
      </c>
      <c r="H50" s="16" t="s">
        <v>61</v>
      </c>
      <c r="I50" s="16" t="s">
        <v>62</v>
      </c>
      <c r="P50" s="0" t="s">
        <v>14</v>
      </c>
    </row>
    <row r="51" customFormat="false" ht="13.8" hidden="false" customHeight="false" outlineLevel="0" collapsed="false">
      <c r="G51" s="18" t="n">
        <f aca="false">SQRT((K37-K38)^2+(L37-L38)^2+(M37-M38)^2)/1000</f>
        <v>0.889805496055739</v>
      </c>
      <c r="H51" s="18" t="n">
        <f aca="false">SQRT((K37-K40)^2+(L37-L40)^2+(M37-M40)^2)/1000</f>
        <v>1.20458550390217</v>
      </c>
      <c r="I51" s="18" t="n">
        <f aca="false">SQRT((K37-K42)^2+(L37-L42)^2+(M37-M42)^2)/1000</f>
        <v>0.975109900344572</v>
      </c>
      <c r="J51" s="0" t="n">
        <f aca="false">SQRT((K38-K40)^2+(L38-L40)^2+(M38-M40)^2)/1000</f>
        <v>0.973463689615206</v>
      </c>
      <c r="K51" s="0" t="n">
        <f aca="false">SQRT((K38-K42)^2+(L38-L42)^2+(M38-M42)^2)/1000</f>
        <v>1.32520160425235</v>
      </c>
      <c r="L51" s="0" t="n">
        <f aca="false">SQRT((K40-K42)^2+(L40-L42)^2+(M40-M42)^2)/1000</f>
        <v>0.739525581576628</v>
      </c>
      <c r="P51" s="0" t="s">
        <v>33</v>
      </c>
    </row>
    <row r="52" customFormat="false" ht="13.8" hidden="false" customHeight="false" outlineLevel="0" collapsed="false">
      <c r="G52" s="16" t="s">
        <v>63</v>
      </c>
      <c r="H52" s="8"/>
      <c r="I52" s="8"/>
      <c r="J52" s="16" t="s">
        <v>64</v>
      </c>
      <c r="K52" s="16" t="s">
        <v>65</v>
      </c>
      <c r="Y52" s="0" t="s">
        <v>66</v>
      </c>
      <c r="Z52" s="19" t="s">
        <v>33</v>
      </c>
    </row>
    <row r="53" customFormat="false" ht="13.8" hidden="false" customHeight="false" outlineLevel="0" collapsed="false">
      <c r="G53" s="18" t="n">
        <f aca="false">SQRT((K37-K39)^2+(L37-L39)^2+(M37-M39)^2)/1000</f>
        <v>0.864893507447593</v>
      </c>
      <c r="H53" s="0" t="n">
        <f aca="false">SQRT((K37-K40)^2+(L37-L40)^2+(M37-M40)^2)/1000</f>
        <v>1.20458550390217</v>
      </c>
      <c r="I53" s="0" t="n">
        <f aca="false">SQRT((K37-K42)^2+(L37-L42)^2+(M37-M42)^2)/1000</f>
        <v>0.975109900344572</v>
      </c>
      <c r="J53" s="18" t="n">
        <f aca="false">SQRT((K39-K40)^2+(L39-L40)^2+(M39-M40)^2)/1000</f>
        <v>0.920232146762027</v>
      </c>
      <c r="K53" s="18" t="n">
        <f aca="false">SQRT((K39-K42)^2+(L39-L42)^2+(M39-M42)^2)/1000</f>
        <v>1.27356656262757</v>
      </c>
      <c r="L53" s="0" t="n">
        <f aca="false">SQRT((K40-K42)^2+(L40-L42)^2+(M40-M42)^2)/1000</f>
        <v>0.739525581576628</v>
      </c>
      <c r="Z53" s="20" t="n">
        <v>3954</v>
      </c>
      <c r="AA53" s="20" t="n">
        <v>11756</v>
      </c>
    </row>
    <row r="54" customFormat="false" ht="13.8" hidden="false" customHeight="false" outlineLevel="0" collapsed="false">
      <c r="H54" s="16" t="s">
        <v>67</v>
      </c>
      <c r="I54" s="8"/>
      <c r="J54" s="16" t="s">
        <v>68</v>
      </c>
      <c r="K54" s="8"/>
      <c r="L54" s="16" t="s">
        <v>69</v>
      </c>
      <c r="Z54" s="20" t="n">
        <v>12207</v>
      </c>
      <c r="AA54" s="20" t="n">
        <v>12206</v>
      </c>
    </row>
    <row r="55" customFormat="false" ht="15" hidden="false" customHeight="false" outlineLevel="0" collapsed="false">
      <c r="G55" s="0" t="n">
        <f aca="false">SQRT((K37-K39)^2+(L37-L39)^2+(M37-M39)^2)/1000</f>
        <v>0.864893507447593</v>
      </c>
      <c r="H55" s="18" t="n">
        <f aca="false">SQRT((K37-K41)^2+(L37-L41)^2+(M37-M41)^2)/1000</f>
        <v>1.19396785797661</v>
      </c>
      <c r="I55" s="0" t="n">
        <f aca="false">SQRT((K37-K42)^2+(L37-L42)^2+(M37-M42)^2)/1000</f>
        <v>0.975109900344572</v>
      </c>
      <c r="J55" s="18" t="n">
        <f aca="false">SQRT((K39-K41)^2+(L39-L41)^2+(M39-M41)^2)/1000</f>
        <v>0.908144659837985</v>
      </c>
      <c r="K55" s="0" t="n">
        <f aca="false">SQRT((K40-K42)^2+(L40-L42)^2+(M40-M42)^2)/1000</f>
        <v>0.739525581576628</v>
      </c>
      <c r="L55" s="21" t="n">
        <f aca="false">SQRT((K41-K42)^2+(L41-L42)^2+(M41-M42)^2)/1000</f>
        <v>0.744557202667632</v>
      </c>
      <c r="X55" s="22"/>
      <c r="Y55" s="10"/>
      <c r="Z55" s="23"/>
    </row>
    <row r="56" customFormat="false" ht="13.8" hidden="false" customHeight="false" outlineLevel="0" collapsed="false">
      <c r="X56" s="4"/>
      <c r="Y56" s="24"/>
      <c r="Z56" s="12"/>
    </row>
    <row r="57" customFormat="false" ht="13.8" hidden="false" customHeight="false" outlineLevel="0" collapsed="false">
      <c r="T57" s="20" t="s">
        <v>70</v>
      </c>
      <c r="U57" s="0" t="s">
        <v>71</v>
      </c>
      <c r="X57" s="4"/>
      <c r="Y57" s="24"/>
      <c r="Z57" s="12"/>
    </row>
    <row r="58" customFormat="false" ht="13.8" hidden="false" customHeight="false" outlineLevel="0" collapsed="false">
      <c r="G58" s="25" t="s">
        <v>72</v>
      </c>
      <c r="H58" s="25"/>
      <c r="I58" s="25"/>
      <c r="J58" s="25"/>
      <c r="V58" s="26" t="s">
        <v>14</v>
      </c>
      <c r="W58" s="26"/>
      <c r="X58" s="4"/>
      <c r="Y58" s="24"/>
      <c r="Z58" s="12"/>
    </row>
    <row r="59" customFormat="false" ht="13.8" hidden="false" customHeight="false" outlineLevel="0" collapsed="false">
      <c r="V59" s="20" t="n">
        <v>7940</v>
      </c>
      <c r="W59" s="20" t="n">
        <v>2050</v>
      </c>
      <c r="X59" s="4"/>
      <c r="Y59" s="24"/>
      <c r="Z59" s="12"/>
    </row>
    <row r="60" customFormat="false" ht="13.8" hidden="false" customHeight="false" outlineLevel="0" collapsed="false">
      <c r="V60" s="20" t="n">
        <v>16228</v>
      </c>
      <c r="W60" s="20" t="n">
        <v>15305</v>
      </c>
      <c r="X60" s="4"/>
      <c r="Y60" s="24"/>
      <c r="Z60" s="12"/>
    </row>
    <row r="61" customFormat="false" ht="13.8" hidden="false" customHeight="false" outlineLevel="0" collapsed="false">
      <c r="X61" s="4"/>
      <c r="Y61" s="24"/>
      <c r="Z61" s="12"/>
    </row>
    <row r="62" customFormat="false" ht="13.8" hidden="false" customHeight="false" outlineLevel="0" collapsed="false">
      <c r="H62" s="27" t="s">
        <v>73</v>
      </c>
      <c r="I62" s="27"/>
      <c r="K62" s="27" t="s">
        <v>74</v>
      </c>
      <c r="L62" s="27"/>
      <c r="X62" s="4"/>
      <c r="Y62" s="24"/>
      <c r="Z62" s="12"/>
    </row>
    <row r="63" customFormat="false" ht="13.8" hidden="false" customHeight="false" outlineLevel="0" collapsed="false">
      <c r="H63" s="28" t="s">
        <v>75</v>
      </c>
      <c r="I63" s="29" t="s">
        <v>76</v>
      </c>
      <c r="K63" s="28" t="s">
        <v>75</v>
      </c>
      <c r="L63" s="29" t="s">
        <v>76</v>
      </c>
      <c r="X63" s="4"/>
      <c r="Y63" s="24"/>
      <c r="Z63" s="12"/>
    </row>
    <row r="64" customFormat="false" ht="13.8" hidden="false" customHeight="false" outlineLevel="0" collapsed="false">
      <c r="H64" s="28"/>
      <c r="I64" s="29"/>
      <c r="K64" s="28"/>
      <c r="L64" s="29"/>
      <c r="X64" s="4"/>
      <c r="Y64" s="24"/>
      <c r="Z64" s="12"/>
    </row>
    <row r="65" customFormat="false" ht="13.8" hidden="false" customHeight="false" outlineLevel="0" collapsed="false">
      <c r="H65" s="28" t="s">
        <v>77</v>
      </c>
      <c r="I65" s="29" t="n">
        <v>0.117219</v>
      </c>
      <c r="K65" s="28" t="s">
        <v>77</v>
      </c>
      <c r="L65" s="29" t="n">
        <v>0.113617</v>
      </c>
      <c r="X65" s="4"/>
      <c r="Y65" s="24"/>
      <c r="Z65" s="12"/>
    </row>
    <row r="66" customFormat="false" ht="13.8" hidden="false" customHeight="false" outlineLevel="0" collapsed="false">
      <c r="H66" s="28" t="s">
        <v>78</v>
      </c>
      <c r="I66" s="29" t="n">
        <v>0.140812</v>
      </c>
      <c r="K66" s="28" t="s">
        <v>78</v>
      </c>
      <c r="L66" s="29" t="n">
        <v>0.137474</v>
      </c>
      <c r="X66" s="4"/>
      <c r="Y66" s="24"/>
      <c r="Z66" s="12"/>
    </row>
    <row r="67" customFormat="false" ht="13.8" hidden="false" customHeight="false" outlineLevel="0" collapsed="false">
      <c r="H67" s="28" t="s">
        <v>79</v>
      </c>
      <c r="I67" s="29" t="n">
        <v>0.15841</v>
      </c>
      <c r="K67" s="28" t="s">
        <v>79</v>
      </c>
      <c r="L67" s="29" t="n">
        <v>0.156274</v>
      </c>
      <c r="X67" s="4"/>
      <c r="Y67" s="24"/>
      <c r="Z67" s="12"/>
    </row>
    <row r="68" customFormat="false" ht="13.8" hidden="false" customHeight="false" outlineLevel="0" collapsed="false">
      <c r="H68" s="28" t="s">
        <v>80</v>
      </c>
      <c r="I68" s="29" t="n">
        <v>0.159891</v>
      </c>
      <c r="K68" s="28" t="s">
        <v>80</v>
      </c>
      <c r="L68" s="29" t="n">
        <v>0.159042</v>
      </c>
      <c r="X68" s="4"/>
      <c r="Y68" s="24"/>
      <c r="Z68" s="12"/>
    </row>
    <row r="69" customFormat="false" ht="13.8" hidden="false" customHeight="false" outlineLevel="0" collapsed="false">
      <c r="H69" s="30" t="s">
        <v>81</v>
      </c>
      <c r="I69" s="31" t="n">
        <v>0.133516</v>
      </c>
      <c r="K69" s="30" t="s">
        <v>81</v>
      </c>
      <c r="L69" s="31" t="n">
        <v>0.133646</v>
      </c>
      <c r="X69" s="4"/>
      <c r="Y69" s="24"/>
      <c r="Z69" s="12"/>
    </row>
    <row r="70" customFormat="false" ht="13.8" hidden="false" customHeight="false" outlineLevel="0" collapsed="false">
      <c r="J70" s="32" t="s">
        <v>82</v>
      </c>
      <c r="X70" s="4"/>
      <c r="Y70" s="24"/>
      <c r="Z70" s="12"/>
      <c r="AA70" s="20" t="s">
        <v>83</v>
      </c>
      <c r="AB70" s="0" t="s">
        <v>84</v>
      </c>
    </row>
    <row r="71" customFormat="false" ht="13.8" hidden="false" customHeight="false" outlineLevel="0" collapsed="false">
      <c r="J71" s="32"/>
      <c r="X71" s="4"/>
      <c r="Y71" s="24"/>
      <c r="Z71" s="12"/>
    </row>
    <row r="72" customFormat="false" ht="13.8" hidden="false" customHeight="false" outlineLevel="0" collapsed="false">
      <c r="J72" s="32"/>
      <c r="X72" s="4"/>
      <c r="Y72" s="24"/>
      <c r="Z72" s="12"/>
      <c r="AA72" s="33" t="s">
        <v>9</v>
      </c>
      <c r="AB72" s="33"/>
    </row>
    <row r="73" customFormat="false" ht="13.8" hidden="false" customHeight="false" outlineLevel="0" collapsed="false">
      <c r="H73" s="27" t="s">
        <v>85</v>
      </c>
      <c r="I73" s="27"/>
      <c r="K73" s="27" t="s">
        <v>86</v>
      </c>
      <c r="L73" s="27"/>
      <c r="X73" s="4"/>
      <c r="Y73" s="24"/>
      <c r="Z73" s="12"/>
      <c r="AA73" s="20" t="n">
        <v>11482</v>
      </c>
      <c r="AB73" s="20" t="n">
        <v>3511</v>
      </c>
    </row>
    <row r="74" customFormat="false" ht="13.8" hidden="false" customHeight="false" outlineLevel="0" collapsed="false">
      <c r="H74" s="28" t="s">
        <v>75</v>
      </c>
      <c r="I74" s="29" t="s">
        <v>76</v>
      </c>
      <c r="K74" s="28" t="s">
        <v>75</v>
      </c>
      <c r="L74" s="29" t="s">
        <v>76</v>
      </c>
      <c r="X74" s="4"/>
      <c r="Y74" s="24"/>
      <c r="Z74" s="12"/>
      <c r="AA74" s="20" t="n">
        <v>12390</v>
      </c>
      <c r="AB74" s="20" t="n">
        <v>12391</v>
      </c>
    </row>
    <row r="75" customFormat="false" ht="13.8" hidden="false" customHeight="false" outlineLevel="0" collapsed="false">
      <c r="H75" s="28"/>
      <c r="I75" s="29"/>
      <c r="K75" s="28"/>
      <c r="L75" s="29"/>
      <c r="X75" s="6"/>
      <c r="Y75" s="14"/>
      <c r="Z75" s="34"/>
    </row>
    <row r="76" customFormat="false" ht="13.8" hidden="false" customHeight="false" outlineLevel="0" collapsed="false">
      <c r="H76" s="28" t="s">
        <v>77</v>
      </c>
      <c r="I76" s="29" t="n">
        <v>0.0809729</v>
      </c>
      <c r="K76" s="28" t="s">
        <v>77</v>
      </c>
      <c r="L76" s="29" t="n">
        <v>0.0720041</v>
      </c>
      <c r="X76" s="20" t="n">
        <v>10215</v>
      </c>
      <c r="Y76" s="20" t="n">
        <v>2283</v>
      </c>
    </row>
    <row r="77" customFormat="false" ht="13.8" hidden="false" customHeight="false" outlineLevel="0" collapsed="false">
      <c r="H77" s="28" t="s">
        <v>78</v>
      </c>
      <c r="I77" s="29" t="n">
        <v>0.102588</v>
      </c>
      <c r="K77" s="28" t="s">
        <v>78</v>
      </c>
      <c r="L77" s="29" t="n">
        <v>0.0924296</v>
      </c>
      <c r="X77" s="20" t="n">
        <v>16524</v>
      </c>
      <c r="Y77" s="20" t="n">
        <v>15410</v>
      </c>
    </row>
    <row r="78" customFormat="false" ht="13.8" hidden="false" customHeight="false" outlineLevel="0" collapsed="false">
      <c r="H78" s="28" t="s">
        <v>79</v>
      </c>
      <c r="I78" s="29" t="n">
        <v>0.122365</v>
      </c>
      <c r="K78" s="28" t="s">
        <v>79</v>
      </c>
      <c r="L78" s="29" t="n">
        <v>0.111088</v>
      </c>
      <c r="X78" s="19" t="s">
        <v>13</v>
      </c>
    </row>
    <row r="79" customFormat="false" ht="13.8" hidden="false" customHeight="false" outlineLevel="0" collapsed="false">
      <c r="H79" s="28" t="s">
        <v>80</v>
      </c>
      <c r="I79" s="29" t="n">
        <v>0.125238</v>
      </c>
      <c r="K79" s="28" t="s">
        <v>80</v>
      </c>
      <c r="L79" s="29" t="n">
        <v>0.113334</v>
      </c>
    </row>
    <row r="80" customFormat="false" ht="13.8" hidden="false" customHeight="false" outlineLevel="0" collapsed="false">
      <c r="H80" s="30" t="s">
        <v>81</v>
      </c>
      <c r="I80" s="31" t="n">
        <v>0.199047</v>
      </c>
      <c r="K80" s="30" t="s">
        <v>81</v>
      </c>
      <c r="L80" s="31" t="n">
        <v>0.224734</v>
      </c>
      <c r="W80" s="20" t="s">
        <v>87</v>
      </c>
      <c r="X80" s="0" t="s">
        <v>88</v>
      </c>
    </row>
  </sheetData>
  <mergeCells count="9">
    <mergeCell ref="X21:Y21"/>
    <mergeCell ref="G58:J58"/>
    <mergeCell ref="V58:W58"/>
    <mergeCell ref="H62:I62"/>
    <mergeCell ref="K62:L62"/>
    <mergeCell ref="J70:J72"/>
    <mergeCell ref="AA72:AB72"/>
    <mergeCell ref="H73:I73"/>
    <mergeCell ref="K73:L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B2" s="0" t="s">
        <v>89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502.436</v>
      </c>
      <c r="F4" s="0" t="n">
        <v>-277.753</v>
      </c>
      <c r="G4" s="0" t="n">
        <v>270.907</v>
      </c>
      <c r="U4" s="0" t="s">
        <v>10</v>
      </c>
      <c r="W4" s="0" t="s">
        <v>11</v>
      </c>
      <c r="X4" s="0" t="s">
        <v>12</v>
      </c>
    </row>
    <row r="5" customFormat="false" ht="13.8" hidden="false" customHeight="false" outlineLevel="0" collapsed="false">
      <c r="E5" s="0" t="n">
        <v>512.01</v>
      </c>
      <c r="F5" s="0" t="n">
        <v>-282.523</v>
      </c>
      <c r="G5" s="0" t="n">
        <v>294.831</v>
      </c>
      <c r="H5" s="0" t="n">
        <f aca="false">E5</f>
        <v>512.01</v>
      </c>
      <c r="I5" s="0" t="n">
        <f aca="false">F5</f>
        <v>-282.523</v>
      </c>
      <c r="J5" s="0" t="n">
        <f aca="false">AVERAGE(G4,G6)</f>
        <v>270.987</v>
      </c>
      <c r="U5" s="0" t="s">
        <v>9</v>
      </c>
      <c r="V5" s="0" t="s">
        <v>90</v>
      </c>
      <c r="W5" s="0" t="n">
        <f aca="false">4*6.5</f>
        <v>26</v>
      </c>
      <c r="X5" s="0" t="n">
        <f aca="false">W5/Z20</f>
        <v>13.6482939632546</v>
      </c>
    </row>
    <row r="6" customFormat="false" ht="15" hidden="false" customHeight="false" outlineLevel="0" collapsed="false">
      <c r="E6" s="0" t="n">
        <v>523.791</v>
      </c>
      <c r="F6" s="0" t="n">
        <v>-280.981</v>
      </c>
      <c r="G6" s="0" t="n">
        <v>271.067</v>
      </c>
      <c r="U6" s="0" t="s">
        <v>13</v>
      </c>
      <c r="V6" s="0" t="s">
        <v>91</v>
      </c>
      <c r="W6" s="0" t="n">
        <f aca="false">6.5</f>
        <v>6.5</v>
      </c>
      <c r="X6" s="0" t="n">
        <f aca="false">W6/Z21</f>
        <v>4.2540137028326</v>
      </c>
    </row>
    <row r="7" customFormat="false" ht="15" hidden="false" customHeight="false" outlineLevel="0" collapsed="false">
      <c r="C7" s="0" t="s">
        <v>15</v>
      </c>
      <c r="D7" s="0" t="n">
        <v>1</v>
      </c>
      <c r="E7" s="0" t="n">
        <v>486.255</v>
      </c>
      <c r="F7" s="0" t="n">
        <v>-289.178</v>
      </c>
      <c r="G7" s="0" t="n">
        <v>341.955</v>
      </c>
      <c r="U7" s="0" t="s">
        <v>14</v>
      </c>
      <c r="V7" s="0" t="s">
        <v>92</v>
      </c>
      <c r="W7" s="0" t="n">
        <f aca="false">4*6.5</f>
        <v>26</v>
      </c>
      <c r="X7" s="0" t="n">
        <f aca="false">W7/Z20</f>
        <v>13.6482939632546</v>
      </c>
    </row>
    <row r="8" customFormat="false" ht="15" hidden="false" customHeight="false" outlineLevel="0" collapsed="false">
      <c r="E8" s="0" t="n">
        <v>496.422</v>
      </c>
      <c r="F8" s="0" t="n">
        <v>-294.84</v>
      </c>
      <c r="G8" s="0" t="n">
        <v>364.331</v>
      </c>
      <c r="H8" s="0" t="n">
        <f aca="false">E8</f>
        <v>496.422</v>
      </c>
      <c r="I8" s="0" t="n">
        <f aca="false">F8</f>
        <v>-294.84</v>
      </c>
      <c r="J8" s="0" t="n">
        <f aca="false">AVERAGE(G7,G9)</f>
        <v>342.202</v>
      </c>
      <c r="U8" s="0" t="s">
        <v>16</v>
      </c>
      <c r="V8" s="0" t="s">
        <v>93</v>
      </c>
      <c r="W8" s="0" t="n">
        <f aca="false">2*6.5</f>
        <v>13</v>
      </c>
      <c r="X8" s="0" t="n">
        <f aca="false">W8/Z21</f>
        <v>8.5080274056652</v>
      </c>
    </row>
    <row r="9" customFormat="false" ht="15" hidden="false" customHeight="false" outlineLevel="0" collapsed="false">
      <c r="E9" s="0" t="n">
        <v>507.272</v>
      </c>
      <c r="F9" s="0" t="n">
        <v>-290.533</v>
      </c>
      <c r="G9" s="0" t="n">
        <v>342.449</v>
      </c>
    </row>
    <row r="11" customFormat="false" ht="15" hidden="false" customHeight="false" outlineLevel="0" collapsed="false">
      <c r="C11" s="0" t="s">
        <v>13</v>
      </c>
      <c r="D11" s="0" t="n">
        <v>2</v>
      </c>
      <c r="E11" s="0" t="n">
        <v>636.089</v>
      </c>
      <c r="F11" s="0" t="n">
        <v>-1141.868</v>
      </c>
      <c r="G11" s="0" t="n">
        <v>273.345</v>
      </c>
    </row>
    <row r="12" customFormat="false" ht="15" hidden="false" customHeight="false" outlineLevel="0" collapsed="false">
      <c r="E12" s="0" t="n">
        <v>638.252</v>
      </c>
      <c r="F12" s="0" t="n">
        <v>-1153.78</v>
      </c>
      <c r="G12" s="0" t="n">
        <v>296.093</v>
      </c>
      <c r="H12" s="0" t="n">
        <f aca="false">E12</f>
        <v>638.252</v>
      </c>
      <c r="I12" s="0" t="n">
        <f aca="false">F12</f>
        <v>-1153.78</v>
      </c>
      <c r="J12" s="0" t="n">
        <f aca="false">AVERAGE(G11,G13)</f>
        <v>273.637</v>
      </c>
      <c r="L12" s="0" t="s">
        <v>17</v>
      </c>
      <c r="S12" s="0" t="s">
        <v>18</v>
      </c>
    </row>
    <row r="13" customFormat="false" ht="15" hidden="false" customHeight="false" outlineLevel="0" collapsed="false">
      <c r="E13" s="0" t="n">
        <v>630.579</v>
      </c>
      <c r="F13" s="0" t="n">
        <v>-1163.645</v>
      </c>
      <c r="G13" s="0" t="n">
        <v>273.929</v>
      </c>
    </row>
    <row r="15" customFormat="false" ht="15" hidden="false" customHeight="false" outlineLevel="0" collapsed="false">
      <c r="C15" s="0" t="s">
        <v>19</v>
      </c>
      <c r="D15" s="0" t="n">
        <v>2</v>
      </c>
      <c r="E15" s="0" t="n">
        <v>591.92</v>
      </c>
      <c r="F15" s="0" t="n">
        <v>-1121.337</v>
      </c>
      <c r="G15" s="0" t="n">
        <v>368.541</v>
      </c>
    </row>
    <row r="16" customFormat="false" ht="15" hidden="false" customHeight="false" outlineLevel="0" collapsed="false">
      <c r="E16" s="0" t="n">
        <v>594.044</v>
      </c>
      <c r="F16" s="0" t="n">
        <v>-1132.642</v>
      </c>
      <c r="G16" s="0" t="n">
        <v>390.856</v>
      </c>
      <c r="H16" s="0" t="n">
        <f aca="false">E16</f>
        <v>594.044</v>
      </c>
      <c r="I16" s="0" t="n">
        <f aca="false">F16</f>
        <v>-1132.642</v>
      </c>
      <c r="J16" s="0" t="n">
        <f aca="false">AVERAGE(G15,G17)</f>
        <v>368.4975</v>
      </c>
      <c r="U16" s="8" t="s">
        <v>94</v>
      </c>
      <c r="V16" s="8" t="s">
        <v>95</v>
      </c>
      <c r="W16" s="8" t="s">
        <v>96</v>
      </c>
      <c r="X16" s="8" t="s">
        <v>97</v>
      </c>
      <c r="Y16" s="8" t="s">
        <v>98</v>
      </c>
    </row>
    <row r="17" customFormat="false" ht="15" hidden="false" customHeight="false" outlineLevel="0" collapsed="false">
      <c r="E17" s="0" t="n">
        <v>585.646</v>
      </c>
      <c r="F17" s="0" t="n">
        <v>-1142.984</v>
      </c>
      <c r="G17" s="0" t="n">
        <v>368.454</v>
      </c>
      <c r="T17" s="0" t="s">
        <v>99</v>
      </c>
      <c r="U17" s="0" t="n">
        <v>1.2192</v>
      </c>
      <c r="V17" s="0" t="n">
        <f aca="false">U17-0.00635</f>
        <v>1.21285</v>
      </c>
      <c r="W17" s="0" t="n">
        <f aca="false">V17/16</f>
        <v>0.075803125</v>
      </c>
      <c r="X17" s="0" t="n">
        <f aca="false">W17*1000/25.4</f>
        <v>2.984375</v>
      </c>
    </row>
    <row r="18" customFormat="false" ht="15" hidden="false" customHeight="false" outlineLevel="0" collapsed="false">
      <c r="T18" s="0" t="s">
        <v>26</v>
      </c>
      <c r="U18" s="0" t="n">
        <v>0.9779</v>
      </c>
      <c r="V18" s="0" t="n">
        <f aca="false">U18-0.00635</f>
        <v>0.97155</v>
      </c>
      <c r="W18" s="0" t="n">
        <f aca="false">V18/16</f>
        <v>0.060721875</v>
      </c>
      <c r="X18" s="0" t="n">
        <f aca="false">W18*1000/25.4</f>
        <v>2.390625</v>
      </c>
    </row>
    <row r="19" customFormat="false" ht="15" hidden="false" customHeight="false" outlineLevel="0" collapsed="false">
      <c r="C19" s="0" t="s">
        <v>14</v>
      </c>
      <c r="D19" s="0" t="n">
        <v>3</v>
      </c>
      <c r="E19" s="0" t="n">
        <v>-382.314</v>
      </c>
      <c r="F19" s="0" t="n">
        <v>-1115.432</v>
      </c>
      <c r="G19" s="0" t="n">
        <v>283.703</v>
      </c>
      <c r="T19" s="8" t="s">
        <v>20</v>
      </c>
      <c r="Y19" s="0" t="s">
        <v>100</v>
      </c>
      <c r="Z19" s="0" t="s">
        <v>101</v>
      </c>
    </row>
    <row r="20" customFormat="false" ht="15" hidden="false" customHeight="false" outlineLevel="0" collapsed="false">
      <c r="E20" s="0" t="n">
        <v>-396.692</v>
      </c>
      <c r="F20" s="0" t="n">
        <v>-1112.557</v>
      </c>
      <c r="G20" s="0" t="n">
        <v>312.11</v>
      </c>
      <c r="H20" s="0" t="n">
        <f aca="false">E20</f>
        <v>-396.692</v>
      </c>
      <c r="I20" s="0" t="n">
        <f aca="false">F20</f>
        <v>-1112.557</v>
      </c>
      <c r="J20" s="0" t="n">
        <f aca="false">AVERAGE(G19,G21)</f>
        <v>284.1715</v>
      </c>
      <c r="T20" s="0" t="s">
        <v>25</v>
      </c>
      <c r="U20" s="0" t="n">
        <v>1.2192</v>
      </c>
      <c r="V20" s="0" t="n">
        <v>19</v>
      </c>
      <c r="W20" s="0" t="n">
        <f aca="false">U20/V20</f>
        <v>0.0641684210526316</v>
      </c>
      <c r="Y20" s="0" t="n">
        <f aca="false">U20/64</f>
        <v>0.01905</v>
      </c>
      <c r="Z20" s="0" t="n">
        <f aca="false">Y20*100</f>
        <v>1.905</v>
      </c>
    </row>
    <row r="21" customFormat="false" ht="15" hidden="false" customHeight="false" outlineLevel="0" collapsed="false">
      <c r="E21" s="0" t="n">
        <v>-411.49</v>
      </c>
      <c r="F21" s="0" t="n">
        <v>-1115.442</v>
      </c>
      <c r="G21" s="0" t="n">
        <v>284.64</v>
      </c>
      <c r="T21" s="0" t="s">
        <v>26</v>
      </c>
      <c r="U21" s="0" t="n">
        <v>0.9779</v>
      </c>
      <c r="V21" s="0" t="n">
        <v>16</v>
      </c>
      <c r="W21" s="0" t="n">
        <f aca="false">U21/V21</f>
        <v>0.06111875</v>
      </c>
      <c r="Y21" s="0" t="n">
        <f aca="false">U21/64</f>
        <v>0.0152796875</v>
      </c>
      <c r="Z21" s="0" t="n">
        <f aca="false">Y21*100</f>
        <v>1.52796875</v>
      </c>
    </row>
    <row r="23" customFormat="false" ht="15" hidden="false" customHeight="false" outlineLevel="0" collapsed="false">
      <c r="C23" s="0" t="s">
        <v>27</v>
      </c>
      <c r="D23" s="0" t="n">
        <v>3</v>
      </c>
      <c r="E23" s="0" t="n">
        <v>-360.53</v>
      </c>
      <c r="F23" s="0" t="n">
        <v>-1067.491</v>
      </c>
      <c r="G23" s="0" t="n">
        <v>375.843</v>
      </c>
    </row>
    <row r="24" customFormat="false" ht="15" hidden="false" customHeight="false" outlineLevel="0" collapsed="false">
      <c r="E24" s="0" t="n">
        <v>-389.365</v>
      </c>
      <c r="F24" s="0" t="n">
        <v>-1065.003</v>
      </c>
      <c r="G24" s="0" t="n">
        <v>377.731</v>
      </c>
      <c r="H24" s="0" t="n">
        <f aca="false">E24</f>
        <v>-389.365</v>
      </c>
      <c r="I24" s="0" t="n">
        <f aca="false">F24</f>
        <v>-1065.003</v>
      </c>
      <c r="J24" s="0" t="n">
        <f aca="false">AVERAGE(G23,G25)</f>
        <v>390.5905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-373.574</v>
      </c>
      <c r="F25" s="0" t="n">
        <v>-1062.948</v>
      </c>
      <c r="G25" s="0" t="n">
        <v>405.338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33</v>
      </c>
      <c r="D27" s="0" t="n">
        <v>4</v>
      </c>
      <c r="E27" s="0" t="n">
        <v>-404.605</v>
      </c>
      <c r="F27" s="0" t="n">
        <v>-360.348</v>
      </c>
      <c r="G27" s="0" t="n">
        <v>274.526</v>
      </c>
      <c r="L27" s="0" t="s">
        <v>34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-400.116</v>
      </c>
      <c r="F28" s="0" t="n">
        <v>-345.403</v>
      </c>
      <c r="G28" s="0" t="n">
        <v>309.509</v>
      </c>
      <c r="H28" s="8" t="n">
        <f aca="false">E28</f>
        <v>-400.116</v>
      </c>
      <c r="I28" s="8" t="n">
        <f aca="false">F28</f>
        <v>-345.403</v>
      </c>
      <c r="J28" s="8" t="n">
        <f aca="false">AVERAGE(G27,G29)</f>
        <v>274.6535</v>
      </c>
      <c r="T28" s="0" t="s">
        <v>102</v>
      </c>
    </row>
    <row r="29" customFormat="false" ht="15" hidden="false" customHeight="false" outlineLevel="0" collapsed="false">
      <c r="E29" s="0" t="n">
        <v>-401.86</v>
      </c>
      <c r="F29" s="0" t="n">
        <v>-328.993</v>
      </c>
      <c r="G29" s="0" t="n">
        <v>274.781</v>
      </c>
    </row>
    <row r="30" customFormat="false" ht="15" hidden="false" customHeight="false" outlineLevel="0" collapsed="false">
      <c r="AC30" s="0" t="n">
        <f aca="false">AC25-0.00525</f>
        <v>1.21395</v>
      </c>
    </row>
    <row r="31" customFormat="false" ht="15.75" hidden="false" customHeight="false" outlineLevel="0" collapsed="false"/>
    <row r="32" customFormat="false" ht="15" hidden="false" customHeight="false" outlineLevel="0" collapsed="false">
      <c r="L32" s="0" t="s">
        <v>36</v>
      </c>
      <c r="U32" s="9" t="n">
        <v>4</v>
      </c>
      <c r="V32" s="10" t="s">
        <v>33</v>
      </c>
      <c r="W32" s="10"/>
      <c r="X32" s="11" t="n">
        <v>1</v>
      </c>
      <c r="Y32" s="0" t="s">
        <v>103</v>
      </c>
    </row>
    <row r="33" customFormat="false" ht="15" hidden="false" customHeight="false" outlineLevel="0" collapsed="false">
      <c r="D33" s="0" t="s">
        <v>37</v>
      </c>
      <c r="E33" s="0" t="s">
        <v>38</v>
      </c>
      <c r="F33" s="0" t="s">
        <v>39</v>
      </c>
      <c r="M33" s="0" t="s">
        <v>33</v>
      </c>
      <c r="N33" s="0" t="s">
        <v>9</v>
      </c>
      <c r="Q33" s="7"/>
      <c r="U33" s="4"/>
      <c r="X33" s="12" t="s">
        <v>9</v>
      </c>
    </row>
    <row r="34" customFormat="false" ht="15" hidden="false" customHeight="false" outlineLevel="0" collapsed="false">
      <c r="D34" s="0" t="s">
        <v>9</v>
      </c>
      <c r="M34" s="0" t="s">
        <v>14</v>
      </c>
      <c r="N34" s="0" t="s">
        <v>13</v>
      </c>
      <c r="U34" s="4"/>
      <c r="X34" s="12"/>
    </row>
    <row r="35" customFormat="false" ht="15" hidden="false" customHeight="false" outlineLevel="0" collapsed="false">
      <c r="D35" s="0" t="s">
        <v>13</v>
      </c>
      <c r="G35" s="8" t="s">
        <v>9</v>
      </c>
      <c r="H35" s="0" t="n">
        <f aca="false">H5</f>
        <v>512.01</v>
      </c>
      <c r="I35" s="0" t="n">
        <f aca="false">I5</f>
        <v>-282.523</v>
      </c>
      <c r="J35" s="0" t="n">
        <f aca="false">J5</f>
        <v>270.987</v>
      </c>
      <c r="K35" s="8" t="n">
        <f aca="false">H35-H$41</f>
        <v>912.126</v>
      </c>
      <c r="L35" s="8" t="n">
        <f aca="false">I35-I$41</f>
        <v>62.88</v>
      </c>
      <c r="M35" s="8" t="n">
        <f aca="false">J35-J$41</f>
        <v>-3.66650000000004</v>
      </c>
      <c r="Q35" s="7"/>
      <c r="U35" s="4"/>
      <c r="X35" s="12"/>
    </row>
    <row r="36" customFormat="false" ht="13.8" hidden="false" customHeight="false" outlineLevel="0" collapsed="false">
      <c r="D36" s="0" t="s">
        <v>14</v>
      </c>
      <c r="G36" s="8" t="s">
        <v>15</v>
      </c>
      <c r="H36" s="0" t="n">
        <f aca="false">H8</f>
        <v>496.422</v>
      </c>
      <c r="I36" s="0" t="n">
        <f aca="false">I8</f>
        <v>-294.84</v>
      </c>
      <c r="J36" s="0" t="n">
        <f aca="false">J8</f>
        <v>342.202</v>
      </c>
      <c r="K36" s="8" t="n">
        <f aca="false">H36-H$41</f>
        <v>896.538</v>
      </c>
      <c r="L36" s="8" t="n">
        <f aca="false">I36-I$41</f>
        <v>50.5630000000001</v>
      </c>
      <c r="M36" s="8" t="n">
        <f aca="false">J36-J$41</f>
        <v>67.5485</v>
      </c>
      <c r="U36" s="4" t="s">
        <v>14</v>
      </c>
      <c r="X36" s="12"/>
    </row>
    <row r="37" customFormat="false" ht="15.75" hidden="false" customHeight="false" outlineLevel="0" collapsed="false">
      <c r="D37" s="0" t="s">
        <v>33</v>
      </c>
      <c r="G37" s="8" t="s">
        <v>13</v>
      </c>
      <c r="H37" s="0" t="n">
        <f aca="false">H12</f>
        <v>638.252</v>
      </c>
      <c r="I37" s="0" t="n">
        <f aca="false">I12</f>
        <v>-1153.78</v>
      </c>
      <c r="J37" s="0" t="n">
        <f aca="false">J12</f>
        <v>273.637</v>
      </c>
      <c r="K37" s="8" t="n">
        <f aca="false">H37-H$41</f>
        <v>1038.368</v>
      </c>
      <c r="L37" s="8" t="n">
        <f aca="false">I37-I$41</f>
        <v>-808.377</v>
      </c>
      <c r="M37" s="8" t="n">
        <f aca="false">J37-J$41</f>
        <v>-1.01650000000001</v>
      </c>
      <c r="U37" s="13" t="n">
        <v>3</v>
      </c>
      <c r="V37" s="14"/>
      <c r="W37" s="14" t="s">
        <v>13</v>
      </c>
      <c r="X37" s="15" t="n">
        <v>2</v>
      </c>
      <c r="Y37" s="0" t="s">
        <v>104</v>
      </c>
    </row>
    <row r="38" customFormat="false" ht="15" hidden="false" customHeight="false" outlineLevel="0" collapsed="false">
      <c r="G38" s="8" t="s">
        <v>19</v>
      </c>
      <c r="H38" s="0" t="n">
        <f aca="false">H16</f>
        <v>594.044</v>
      </c>
      <c r="I38" s="0" t="n">
        <f aca="false">I16</f>
        <v>-1132.642</v>
      </c>
      <c r="J38" s="0" t="n">
        <f aca="false">J16</f>
        <v>368.4975</v>
      </c>
      <c r="K38" s="8" t="n">
        <f aca="false">H38-H$41</f>
        <v>994.16</v>
      </c>
      <c r="L38" s="8" t="n">
        <f aca="false">I38-I$41</f>
        <v>-787.239</v>
      </c>
      <c r="M38" s="8" t="n">
        <f aca="false">J38-J$41</f>
        <v>93.844</v>
      </c>
    </row>
    <row r="39" customFormat="false" ht="15" hidden="false" customHeight="false" outlineLevel="0" collapsed="false">
      <c r="G39" s="8" t="s">
        <v>14</v>
      </c>
      <c r="H39" s="0" t="n">
        <f aca="false">H20</f>
        <v>-396.692</v>
      </c>
      <c r="I39" s="0" t="n">
        <f aca="false">I20</f>
        <v>-1112.557</v>
      </c>
      <c r="J39" s="0" t="n">
        <f aca="false">J20</f>
        <v>284.1715</v>
      </c>
      <c r="K39" s="8" t="n">
        <f aca="false">H39-H$41</f>
        <v>3.42399999999998</v>
      </c>
      <c r="L39" s="8" t="n">
        <f aca="false">I39-I$41</f>
        <v>-767.154</v>
      </c>
      <c r="M39" s="8" t="n">
        <f aca="false">J39-J$41</f>
        <v>9.51799999999997</v>
      </c>
      <c r="U39" s="0" t="s">
        <v>105</v>
      </c>
    </row>
    <row r="40" customFormat="false" ht="15" hidden="false" customHeight="false" outlineLevel="0" collapsed="false">
      <c r="G40" s="8" t="s">
        <v>27</v>
      </c>
      <c r="H40" s="0" t="n">
        <f aca="false">H24</f>
        <v>-389.365</v>
      </c>
      <c r="I40" s="0" t="n">
        <f aca="false">I24</f>
        <v>-1065.003</v>
      </c>
      <c r="J40" s="0" t="n">
        <f aca="false">J24</f>
        <v>390.5905</v>
      </c>
      <c r="K40" s="8" t="n">
        <f aca="false">H40-H$41</f>
        <v>10.751</v>
      </c>
      <c r="L40" s="8" t="n">
        <f aca="false">I40-I$41</f>
        <v>-719.6</v>
      </c>
      <c r="M40" s="8" t="n">
        <f aca="false">J40-J$41</f>
        <v>115.937</v>
      </c>
      <c r="AC40" s="0" t="n">
        <f aca="false">AC25-S40</f>
        <v>1.2192</v>
      </c>
    </row>
    <row r="41" customFormat="false" ht="15" hidden="false" customHeight="false" outlineLevel="0" collapsed="false">
      <c r="G41" s="8" t="s">
        <v>33</v>
      </c>
      <c r="H41" s="0" t="n">
        <f aca="false">H28</f>
        <v>-400.116</v>
      </c>
      <c r="I41" s="0" t="n">
        <f aca="false">I28</f>
        <v>-345.403</v>
      </c>
      <c r="J41" s="0" t="n">
        <f aca="false">J28</f>
        <v>274.6535</v>
      </c>
      <c r="K41" s="8" t="n">
        <f aca="false">H41-H$41</f>
        <v>0</v>
      </c>
      <c r="L41" s="8" t="n">
        <f aca="false">I41-I$41</f>
        <v>0</v>
      </c>
      <c r="M41" s="8" t="n">
        <f aca="false">J41-J$41</f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5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1051.7764</v>
      </c>
      <c r="L44" s="0" t="n">
        <f aca="false">I44-I$41</f>
        <v>1168.448</v>
      </c>
      <c r="M44" s="0" t="n">
        <f aca="false">J44-J$41</f>
        <v>21.6145</v>
      </c>
      <c r="W44" s="0" t="n">
        <f aca="false">W43*2</f>
        <v>0.0381</v>
      </c>
      <c r="X44" s="0" t="n">
        <f aca="false">X43+0.003</f>
        <v>0.3486</v>
      </c>
    </row>
    <row r="45" customFormat="false" ht="15" hidden="false" customHeight="false" outlineLevel="0" collapsed="false">
      <c r="K45" s="0" t="s">
        <v>8</v>
      </c>
      <c r="L45" s="0" t="s">
        <v>6</v>
      </c>
      <c r="M45" s="0" t="s">
        <v>7</v>
      </c>
      <c r="W45" s="0" t="n">
        <f aca="false">W43*3</f>
        <v>0.05715</v>
      </c>
    </row>
    <row r="47" customFormat="false" ht="15" hidden="false" customHeight="false" outlineLevel="0" collapsed="false">
      <c r="J47" s="0" t="s">
        <v>107</v>
      </c>
      <c r="K47" s="0" t="s">
        <v>7</v>
      </c>
      <c r="L47" s="0" t="s">
        <v>8</v>
      </c>
      <c r="M47" s="0" t="s">
        <v>6</v>
      </c>
      <c r="T47" s="0" t="n">
        <f aca="false">R39/1000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84"/>
  <sheetViews>
    <sheetView showFormulas="false" showGridLines="true" showRowColHeaders="true" showZeros="true" rightToLeft="false" tabSelected="false" showOutlineSymbols="true" defaultGridColor="true" view="normal" topLeftCell="D46" colorId="64" zoomScale="100" zoomScaleNormal="100" zoomScalePageLayoutView="100" workbookViewId="0">
      <selection pane="topLeft" activeCell="N70" activeCellId="0" sqref="N70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2" customFormat="false" ht="13.8" hidden="false" customHeight="false" outlineLevel="0" collapsed="false">
      <c r="B2" s="0" t="s">
        <v>89</v>
      </c>
      <c r="F2" s="0" t="s">
        <v>1</v>
      </c>
      <c r="I2" s="0" t="s">
        <v>2</v>
      </c>
      <c r="O2" s="0" t="s">
        <v>3</v>
      </c>
    </row>
    <row r="3" customFormat="false" ht="13.8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502.436</v>
      </c>
      <c r="F4" s="0" t="n">
        <v>-277.753</v>
      </c>
      <c r="G4" s="0" t="n">
        <v>270.907</v>
      </c>
      <c r="U4" s="0" t="s">
        <v>10</v>
      </c>
      <c r="W4" s="0" t="s">
        <v>11</v>
      </c>
      <c r="X4" s="0" t="s">
        <v>12</v>
      </c>
      <c r="Y4" s="8" t="s">
        <v>108</v>
      </c>
    </row>
    <row r="5" customFormat="false" ht="13.8" hidden="false" customHeight="false" outlineLevel="0" collapsed="false">
      <c r="E5" s="0" t="n">
        <v>512.01</v>
      </c>
      <c r="F5" s="0" t="n">
        <v>-282.523</v>
      </c>
      <c r="G5" s="0" t="n">
        <v>294.831</v>
      </c>
      <c r="H5" s="0" t="n">
        <f aca="false">E5</f>
        <v>512.01</v>
      </c>
      <c r="I5" s="0" t="n">
        <f aca="false">F5</f>
        <v>-282.523</v>
      </c>
      <c r="J5" s="0" t="n">
        <f aca="false">AVERAGE(G4,G6)</f>
        <v>270.987</v>
      </c>
      <c r="U5" s="0" t="s">
        <v>9</v>
      </c>
      <c r="V5" s="0" t="n">
        <v>5</v>
      </c>
      <c r="W5" s="0" t="n">
        <f aca="false">(V5-1)*6.5</f>
        <v>26</v>
      </c>
      <c r="X5" s="0" t="n">
        <f aca="false">W5/Y20</f>
        <v>28.4432775407505</v>
      </c>
      <c r="Y5" s="0" t="n">
        <v>28</v>
      </c>
    </row>
    <row r="6" customFormat="false" ht="13.8" hidden="false" customHeight="false" outlineLevel="0" collapsed="false">
      <c r="E6" s="0" t="n">
        <v>523.791</v>
      </c>
      <c r="F6" s="0" t="n">
        <v>-280.981</v>
      </c>
      <c r="G6" s="0" t="n">
        <v>271.067</v>
      </c>
      <c r="U6" s="0" t="s">
        <v>13</v>
      </c>
      <c r="V6" s="0" t="n">
        <v>3</v>
      </c>
      <c r="W6" s="0" t="n">
        <f aca="false">(V6-1)*6.5</f>
        <v>13</v>
      </c>
      <c r="X6" s="0" t="n">
        <f aca="false">W6/Y21</f>
        <v>17.067086779572</v>
      </c>
      <c r="Y6" s="0" t="n">
        <v>17</v>
      </c>
    </row>
    <row r="7" customFormat="false" ht="13.8" hidden="false" customHeight="false" outlineLevel="0" collapsed="false">
      <c r="C7" s="0" t="s">
        <v>15</v>
      </c>
      <c r="D7" s="0" t="n">
        <v>1</v>
      </c>
      <c r="E7" s="0" t="n">
        <v>486.255</v>
      </c>
      <c r="F7" s="0" t="n">
        <v>-289.178</v>
      </c>
      <c r="G7" s="0" t="n">
        <v>341.955</v>
      </c>
      <c r="U7" s="0" t="s">
        <v>14</v>
      </c>
      <c r="V7" s="0" t="n">
        <v>3</v>
      </c>
      <c r="W7" s="0" t="n">
        <f aca="false">(V7-1)*6.5</f>
        <v>13</v>
      </c>
      <c r="X7" s="0" t="n">
        <f aca="false">W7/Y20</f>
        <v>14.2216387703752</v>
      </c>
      <c r="Y7" s="0" t="n">
        <v>14</v>
      </c>
    </row>
    <row r="8" customFormat="false" ht="13.8" hidden="false" customHeight="false" outlineLevel="0" collapsed="false">
      <c r="E8" s="0" t="n">
        <v>496.422</v>
      </c>
      <c r="F8" s="0" t="n">
        <v>-294.84</v>
      </c>
      <c r="G8" s="0" t="n">
        <v>364.331</v>
      </c>
      <c r="H8" s="0" t="n">
        <f aca="false">E8</f>
        <v>496.422</v>
      </c>
      <c r="I8" s="0" t="n">
        <f aca="false">F8</f>
        <v>-294.84</v>
      </c>
      <c r="J8" s="0" t="n">
        <f aca="false">AVERAGE(G7,G9)</f>
        <v>342.202</v>
      </c>
      <c r="U8" s="0" t="s">
        <v>16</v>
      </c>
      <c r="V8" s="0" t="n">
        <v>4</v>
      </c>
      <c r="W8" s="0" t="n">
        <f aca="false">(V8-1)*6.5</f>
        <v>19.5</v>
      </c>
      <c r="X8" s="0" t="n">
        <f aca="false">W8/Y21</f>
        <v>25.600630169358</v>
      </c>
      <c r="Y8" s="0" t="n">
        <v>26</v>
      </c>
    </row>
    <row r="9" customFormat="false" ht="13.8" hidden="false" customHeight="false" outlineLevel="0" collapsed="false">
      <c r="E9" s="0" t="n">
        <v>507.272</v>
      </c>
      <c r="F9" s="0" t="n">
        <v>-290.533</v>
      </c>
      <c r="G9" s="0" t="n">
        <v>342.449</v>
      </c>
    </row>
    <row r="11" customFormat="false" ht="13.8" hidden="false" customHeight="false" outlineLevel="0" collapsed="false">
      <c r="C11" s="0" t="s">
        <v>13</v>
      </c>
      <c r="D11" s="0" t="n">
        <v>2</v>
      </c>
      <c r="E11" s="0" t="n">
        <v>636.089</v>
      </c>
      <c r="F11" s="0" t="n">
        <v>-1141.868</v>
      </c>
      <c r="G11" s="0" t="n">
        <v>273.345</v>
      </c>
    </row>
    <row r="12" customFormat="false" ht="13.8" hidden="false" customHeight="false" outlineLevel="0" collapsed="false">
      <c r="E12" s="0" t="n">
        <v>638.252</v>
      </c>
      <c r="F12" s="0" t="n">
        <v>-1153.78</v>
      </c>
      <c r="G12" s="0" t="n">
        <v>296.093</v>
      </c>
      <c r="H12" s="0" t="n">
        <f aca="false">E12</f>
        <v>638.252</v>
      </c>
      <c r="I12" s="0" t="n">
        <f aca="false">F12</f>
        <v>-1153.78</v>
      </c>
      <c r="J12" s="0" t="n">
        <f aca="false">AVERAGE(G11,G13)</f>
        <v>273.637</v>
      </c>
      <c r="L12" s="0" t="s">
        <v>17</v>
      </c>
      <c r="S12" s="0" t="s">
        <v>18</v>
      </c>
    </row>
    <row r="13" customFormat="false" ht="13.8" hidden="false" customHeight="false" outlineLevel="0" collapsed="false">
      <c r="E13" s="0" t="n">
        <v>630.579</v>
      </c>
      <c r="F13" s="0" t="n">
        <v>-1163.645</v>
      </c>
      <c r="G13" s="0" t="n">
        <v>273.929</v>
      </c>
    </row>
    <row r="15" customFormat="false" ht="13.8" hidden="false" customHeight="false" outlineLevel="0" collapsed="false">
      <c r="C15" s="0" t="s">
        <v>19</v>
      </c>
      <c r="D15" s="0" t="n">
        <v>2</v>
      </c>
      <c r="E15" s="0" t="n">
        <v>591.92</v>
      </c>
      <c r="F15" s="0" t="n">
        <v>-1121.337</v>
      </c>
      <c r="G15" s="0" t="n">
        <v>368.541</v>
      </c>
    </row>
    <row r="16" customFormat="false" ht="13.8" hidden="false" customHeight="false" outlineLevel="0" collapsed="false">
      <c r="E16" s="0" t="n">
        <v>594.044</v>
      </c>
      <c r="F16" s="0" t="n">
        <v>-1132.642</v>
      </c>
      <c r="G16" s="0" t="n">
        <v>390.856</v>
      </c>
      <c r="H16" s="0" t="n">
        <f aca="false">E16</f>
        <v>594.044</v>
      </c>
      <c r="I16" s="0" t="n">
        <f aca="false">F16</f>
        <v>-1132.642</v>
      </c>
      <c r="J16" s="0" t="n">
        <f aca="false">AVERAGE(G15,G17)</f>
        <v>368.4975</v>
      </c>
      <c r="U16" s="8"/>
      <c r="V16" s="8"/>
      <c r="W16" s="8"/>
      <c r="X16" s="8"/>
      <c r="Y16" s="8"/>
    </row>
    <row r="17" customFormat="false" ht="13.8" hidden="false" customHeight="false" outlineLevel="0" collapsed="false">
      <c r="E17" s="0" t="n">
        <v>585.646</v>
      </c>
      <c r="F17" s="0" t="n">
        <v>-1142.984</v>
      </c>
      <c r="G17" s="0" t="n">
        <v>368.454</v>
      </c>
    </row>
    <row r="19" customFormat="false" ht="13.8" hidden="false" customHeight="false" outlineLevel="0" collapsed="false">
      <c r="C19" s="0" t="s">
        <v>14</v>
      </c>
      <c r="D19" s="0" t="n">
        <v>3</v>
      </c>
      <c r="E19" s="0" t="n">
        <v>-382.314</v>
      </c>
      <c r="F19" s="0" t="n">
        <v>-1115.432</v>
      </c>
      <c r="G19" s="0" t="n">
        <v>283.703</v>
      </c>
      <c r="T19" s="1" t="s">
        <v>20</v>
      </c>
      <c r="U19" s="2" t="s">
        <v>21</v>
      </c>
      <c r="V19" s="2" t="s">
        <v>22</v>
      </c>
      <c r="W19" s="2" t="s">
        <v>23</v>
      </c>
      <c r="X19" s="3" t="s">
        <v>24</v>
      </c>
      <c r="Y19" s="3"/>
      <c r="Z19" s="1"/>
    </row>
    <row r="20" customFormat="false" ht="14.9" hidden="false" customHeight="false" outlineLevel="0" collapsed="false">
      <c r="E20" s="0" t="n">
        <v>-396.692</v>
      </c>
      <c r="F20" s="0" t="n">
        <v>-1112.557</v>
      </c>
      <c r="G20" s="0" t="n">
        <v>312.11</v>
      </c>
      <c r="H20" s="0" t="n">
        <f aca="false">E20</f>
        <v>-396.692</v>
      </c>
      <c r="I20" s="0" t="n">
        <f aca="false">F20</f>
        <v>-1112.557</v>
      </c>
      <c r="J20" s="0" t="n">
        <f aca="false">AVERAGE(G19,G21)</f>
        <v>284.1715</v>
      </c>
      <c r="T20" s="4" t="s">
        <v>25</v>
      </c>
      <c r="U20" s="0" t="n">
        <v>1.17</v>
      </c>
      <c r="V20" s="0" t="n">
        <v>19</v>
      </c>
      <c r="W20" s="0" t="n">
        <f aca="false">U20/(V20-1)</f>
        <v>0.065</v>
      </c>
      <c r="X20" s="5" t="n">
        <v>0.009141</v>
      </c>
      <c r="Y20" s="0" t="n">
        <f aca="false">X20*100</f>
        <v>0.9141</v>
      </c>
      <c r="Z20" s="4"/>
    </row>
    <row r="21" customFormat="false" ht="14.9" hidden="false" customHeight="false" outlineLevel="0" collapsed="false">
      <c r="E21" s="0" t="n">
        <v>-411.49</v>
      </c>
      <c r="F21" s="0" t="n">
        <v>-1115.442</v>
      </c>
      <c r="G21" s="0" t="n">
        <v>284.64</v>
      </c>
      <c r="T21" s="6" t="s">
        <v>26</v>
      </c>
      <c r="U21" s="0" t="n">
        <v>0.975</v>
      </c>
      <c r="V21" s="0" t="n">
        <v>16</v>
      </c>
      <c r="W21" s="0" t="n">
        <f aca="false">U21/(V21-1)</f>
        <v>0.065</v>
      </c>
      <c r="X21" s="5" t="n">
        <v>0.007617</v>
      </c>
      <c r="Y21" s="0" t="n">
        <f aca="false">X21*100</f>
        <v>0.7617</v>
      </c>
      <c r="Z21" s="6"/>
    </row>
    <row r="23" customFormat="false" ht="13.8" hidden="false" customHeight="false" outlineLevel="0" collapsed="false">
      <c r="C23" s="0" t="s">
        <v>27</v>
      </c>
      <c r="D23" s="0" t="n">
        <v>3</v>
      </c>
      <c r="E23" s="0" t="n">
        <v>-360.53</v>
      </c>
      <c r="F23" s="0" t="n">
        <v>-1067.491</v>
      </c>
      <c r="G23" s="0" t="n">
        <v>375.843</v>
      </c>
    </row>
    <row r="24" customFormat="false" ht="13.8" hidden="false" customHeight="false" outlineLevel="0" collapsed="false">
      <c r="E24" s="0" t="n">
        <v>-389.365</v>
      </c>
      <c r="F24" s="0" t="n">
        <v>-1065.003</v>
      </c>
      <c r="G24" s="0" t="n">
        <v>377.731</v>
      </c>
      <c r="H24" s="0" t="n">
        <f aca="false">E24</f>
        <v>-389.365</v>
      </c>
      <c r="I24" s="0" t="n">
        <f aca="false">F24</f>
        <v>-1065.003</v>
      </c>
      <c r="J24" s="0" t="n">
        <f aca="false">AVERAGE(G23,G25)</f>
        <v>390.5905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3.8" hidden="false" customHeight="false" outlineLevel="0" collapsed="false">
      <c r="E25" s="0" t="n">
        <v>-373.574</v>
      </c>
      <c r="F25" s="0" t="n">
        <v>-1062.948</v>
      </c>
      <c r="G25" s="0" t="n">
        <v>405.338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3.8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3.8" hidden="false" customHeight="false" outlineLevel="0" collapsed="false">
      <c r="C27" s="0" t="s">
        <v>33</v>
      </c>
      <c r="D27" s="0" t="n">
        <v>4</v>
      </c>
      <c r="E27" s="0" t="n">
        <v>-404.605</v>
      </c>
      <c r="F27" s="0" t="n">
        <v>-360.348</v>
      </c>
      <c r="G27" s="0" t="n">
        <v>274.526</v>
      </c>
      <c r="L27" s="0" t="s">
        <v>34</v>
      </c>
    </row>
    <row r="28" customFormat="false" ht="13.8" hidden="false" customHeight="false" outlineLevel="0" collapsed="false">
      <c r="E28" s="0" t="n">
        <v>-400.116</v>
      </c>
      <c r="F28" s="0" t="n">
        <v>-345.403</v>
      </c>
      <c r="G28" s="0" t="n">
        <v>309.509</v>
      </c>
      <c r="H28" s="8" t="n">
        <f aca="false">E28</f>
        <v>-400.116</v>
      </c>
      <c r="I28" s="8" t="n">
        <f aca="false">F28</f>
        <v>-345.403</v>
      </c>
      <c r="J28" s="8" t="n">
        <f aca="false">AVERAGE(G27,G29)</f>
        <v>274.6535</v>
      </c>
    </row>
    <row r="29" customFormat="false" ht="13.8" hidden="false" customHeight="false" outlineLevel="0" collapsed="false">
      <c r="E29" s="0" t="n">
        <v>-401.86</v>
      </c>
      <c r="F29" s="0" t="n">
        <v>-328.993</v>
      </c>
      <c r="G29" s="0" t="n">
        <v>274.781</v>
      </c>
    </row>
    <row r="30" customFormat="false" ht="13.8" hidden="false" customHeight="false" outlineLevel="0" collapsed="false">
      <c r="AC30" s="0" t="n">
        <f aca="false">AC25-0.00525</f>
        <v>1.21395</v>
      </c>
    </row>
    <row r="32" customFormat="false" ht="13.8" hidden="false" customHeight="false" outlineLevel="0" collapsed="false">
      <c r="L32" s="0" t="s">
        <v>36</v>
      </c>
      <c r="U32" s="9"/>
      <c r="V32" s="10"/>
      <c r="W32" s="10"/>
      <c r="X32" s="11"/>
    </row>
    <row r="33" customFormat="false" ht="13.8" hidden="false" customHeight="false" outlineLevel="0" collapsed="false">
      <c r="D33" s="0" t="s">
        <v>37</v>
      </c>
      <c r="E33" s="0" t="s">
        <v>38</v>
      </c>
      <c r="F33" s="0" t="s">
        <v>39</v>
      </c>
      <c r="M33" s="0" t="s">
        <v>33</v>
      </c>
      <c r="N33" s="0" t="s">
        <v>9</v>
      </c>
      <c r="Q33" s="7"/>
      <c r="U33" s="4"/>
      <c r="X33" s="12"/>
    </row>
    <row r="34" customFormat="false" ht="13.8" hidden="false" customHeight="false" outlineLevel="0" collapsed="false">
      <c r="D34" s="0" t="s">
        <v>9</v>
      </c>
      <c r="M34" s="0" t="s">
        <v>14</v>
      </c>
      <c r="N34" s="0" t="s">
        <v>13</v>
      </c>
      <c r="U34" s="4"/>
      <c r="X34" s="12"/>
    </row>
    <row r="35" customFormat="false" ht="13.8" hidden="false" customHeight="false" outlineLevel="0" collapsed="false">
      <c r="D35" s="0" t="s">
        <v>13</v>
      </c>
      <c r="Q35" s="7"/>
      <c r="U35" s="4"/>
      <c r="X35" s="12"/>
    </row>
    <row r="36" customFormat="false" ht="13.8" hidden="false" customHeight="false" outlineLevel="0" collapsed="false">
      <c r="D36" s="0" t="s">
        <v>14</v>
      </c>
      <c r="G36" s="8" t="s">
        <v>9</v>
      </c>
      <c r="H36" s="0" t="n">
        <f aca="false">H5</f>
        <v>512.01</v>
      </c>
      <c r="I36" s="0" t="n">
        <f aca="false">I5</f>
        <v>-282.523</v>
      </c>
      <c r="J36" s="0" t="n">
        <f aca="false">J5</f>
        <v>270.987</v>
      </c>
      <c r="K36" s="8" t="n">
        <f aca="false">H36-H$42</f>
        <v>912.126</v>
      </c>
      <c r="L36" s="8" t="n">
        <f aca="false">I36-I$42</f>
        <v>62.88</v>
      </c>
      <c r="M36" s="8" t="n">
        <f aca="false">J36-J$42</f>
        <v>-3.66650000000004</v>
      </c>
      <c r="U36" s="4"/>
      <c r="X36" s="12"/>
    </row>
    <row r="37" customFormat="false" ht="13.8" hidden="false" customHeight="false" outlineLevel="0" collapsed="false">
      <c r="D37" s="0" t="s">
        <v>33</v>
      </c>
      <c r="G37" s="8" t="s">
        <v>15</v>
      </c>
      <c r="H37" s="0" t="n">
        <f aca="false">H8</f>
        <v>496.422</v>
      </c>
      <c r="I37" s="0" t="n">
        <f aca="false">I8</f>
        <v>-294.84</v>
      </c>
      <c r="J37" s="0" t="n">
        <f aca="false">J8</f>
        <v>342.202</v>
      </c>
      <c r="K37" s="8" t="n">
        <f aca="false">H37-H$42</f>
        <v>896.538</v>
      </c>
      <c r="L37" s="8" t="n">
        <f aca="false">I37-I$42</f>
        <v>50.5630000000001</v>
      </c>
      <c r="M37" s="8" t="n">
        <f aca="false">J37-J$42</f>
        <v>67.5485</v>
      </c>
      <c r="U37" s="13"/>
      <c r="V37" s="14"/>
      <c r="W37" s="14"/>
      <c r="X37" s="15"/>
    </row>
    <row r="38" customFormat="false" ht="13.8" hidden="false" customHeight="false" outlineLevel="0" collapsed="false">
      <c r="G38" s="8" t="s">
        <v>13</v>
      </c>
      <c r="H38" s="0" t="n">
        <f aca="false">H12</f>
        <v>638.252</v>
      </c>
      <c r="I38" s="0" t="n">
        <f aca="false">I12</f>
        <v>-1153.78</v>
      </c>
      <c r="J38" s="0" t="n">
        <f aca="false">J12</f>
        <v>273.637</v>
      </c>
      <c r="K38" s="8" t="n">
        <f aca="false">H38-H$42</f>
        <v>1038.368</v>
      </c>
      <c r="L38" s="8" t="n">
        <f aca="false">I38-I$42</f>
        <v>-808.377</v>
      </c>
      <c r="M38" s="8" t="n">
        <f aca="false">J38-J$42</f>
        <v>-1.01650000000001</v>
      </c>
    </row>
    <row r="39" customFormat="false" ht="13.8" hidden="false" customHeight="false" outlineLevel="0" collapsed="false">
      <c r="G39" s="8" t="s">
        <v>19</v>
      </c>
      <c r="H39" s="0" t="n">
        <f aca="false">H16</f>
        <v>594.044</v>
      </c>
      <c r="I39" s="0" t="n">
        <f aca="false">I16</f>
        <v>-1132.642</v>
      </c>
      <c r="J39" s="0" t="n">
        <f aca="false">J16</f>
        <v>368.4975</v>
      </c>
      <c r="K39" s="8" t="n">
        <f aca="false">H39-H$42</f>
        <v>994.16</v>
      </c>
      <c r="L39" s="8" t="n">
        <f aca="false">I39-I$42</f>
        <v>-787.239</v>
      </c>
      <c r="M39" s="8" t="n">
        <f aca="false">J39-J$42</f>
        <v>93.844</v>
      </c>
    </row>
    <row r="40" customFormat="false" ht="13.8" hidden="false" customHeight="false" outlineLevel="0" collapsed="false">
      <c r="G40" s="8" t="s">
        <v>14</v>
      </c>
      <c r="H40" s="0" t="n">
        <f aca="false">H20</f>
        <v>-396.692</v>
      </c>
      <c r="I40" s="0" t="n">
        <f aca="false">I20</f>
        <v>-1112.557</v>
      </c>
      <c r="J40" s="0" t="n">
        <f aca="false">J20</f>
        <v>284.1715</v>
      </c>
      <c r="K40" s="8" t="n">
        <f aca="false">H40-H$42</f>
        <v>3.42399999999998</v>
      </c>
      <c r="L40" s="8" t="n">
        <f aca="false">I40-I$42</f>
        <v>-767.154</v>
      </c>
      <c r="M40" s="8" t="n">
        <f aca="false">J40-J$42</f>
        <v>9.51799999999997</v>
      </c>
      <c r="AC40" s="0" t="n">
        <f aca="false">AC25-S40</f>
        <v>1.2192</v>
      </c>
    </row>
    <row r="41" customFormat="false" ht="13.8" hidden="false" customHeight="false" outlineLevel="0" collapsed="false">
      <c r="G41" s="8" t="s">
        <v>27</v>
      </c>
      <c r="H41" s="0" t="n">
        <f aca="false">H24</f>
        <v>-389.365</v>
      </c>
      <c r="I41" s="0" t="n">
        <f aca="false">I24</f>
        <v>-1065.003</v>
      </c>
      <c r="J41" s="0" t="n">
        <f aca="false">J24</f>
        <v>390.5905</v>
      </c>
      <c r="K41" s="8" t="n">
        <f aca="false">H41-H$42</f>
        <v>10.751</v>
      </c>
      <c r="L41" s="8" t="n">
        <f aca="false">I41-I$42</f>
        <v>-719.6</v>
      </c>
      <c r="M41" s="8" t="n">
        <f aca="false">J41-J$42</f>
        <v>115.937</v>
      </c>
    </row>
    <row r="42" customFormat="false" ht="13.8" hidden="false" customHeight="false" outlineLevel="0" collapsed="false">
      <c r="G42" s="8" t="s">
        <v>33</v>
      </c>
      <c r="H42" s="0" t="n">
        <f aca="false">H28</f>
        <v>-400.116</v>
      </c>
      <c r="I42" s="0" t="n">
        <f aca="false">I28</f>
        <v>-345.403</v>
      </c>
      <c r="J42" s="0" t="n">
        <f aca="false">J28</f>
        <v>274.6535</v>
      </c>
      <c r="K42" s="8" t="n">
        <f aca="false">H42-H$42</f>
        <v>0</v>
      </c>
      <c r="L42" s="8" t="n">
        <f aca="false">I42-I$42</f>
        <v>0</v>
      </c>
      <c r="M42" s="8" t="n">
        <f aca="false">J42-J$42</f>
        <v>0</v>
      </c>
    </row>
    <row r="43" customFormat="false" ht="13.8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3.8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H44-H$42</f>
        <v>1051.7764</v>
      </c>
      <c r="L44" s="0" t="n">
        <f aca="false">I44-I$42</f>
        <v>1168.448</v>
      </c>
      <c r="M44" s="0" t="n">
        <f aca="false">J44-J$42</f>
        <v>21.6145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W45" s="0" t="n">
        <f aca="false">W43*3</f>
        <v>0.05715</v>
      </c>
    </row>
    <row r="48" customFormat="false" ht="13.8" hidden="false" customHeight="false" outlineLevel="0" collapsed="false">
      <c r="G48" s="16" t="s">
        <v>54</v>
      </c>
      <c r="H48" s="16" t="s">
        <v>55</v>
      </c>
      <c r="I48" s="16" t="s">
        <v>56</v>
      </c>
      <c r="J48" s="16" t="s">
        <v>57</v>
      </c>
      <c r="K48" s="16" t="s">
        <v>58</v>
      </c>
      <c r="L48" s="16" t="s">
        <v>59</v>
      </c>
    </row>
    <row r="49" customFormat="false" ht="13.8" hidden="false" customHeight="false" outlineLevel="0" collapsed="false">
      <c r="G49" s="17" t="n">
        <f aca="false">SQRT((K36-K38)^2+(L36-L38)^2+(M36-M38)^2)/1000</f>
        <v>0.880359486296933</v>
      </c>
      <c r="H49" s="17" t="n">
        <f aca="false">SQRT((K36-K40)^2+(L36-L40)^2+(M36-M40)^2)/1000</f>
        <v>1.23080038877157</v>
      </c>
      <c r="I49" s="17" t="n">
        <f aca="false">SQRT((K36-K42)^2+(L36-L42)^2+(M36-M42)^2)/1000</f>
        <v>0.914298188502115</v>
      </c>
      <c r="J49" s="17" t="n">
        <f aca="false">SQRT((K38-K40)^2+(L38-L40)^2+(M38-M40)^2)/1000</f>
        <v>1.03581822466843</v>
      </c>
      <c r="K49" s="17" t="n">
        <f aca="false">SQRT((K38-K42)^2+(L38-L42)^2+(M38-M42)^2)/1000</f>
        <v>1.31593408300919</v>
      </c>
      <c r="L49" s="17" t="n">
        <f aca="false">SQRT((K40-K42)^2+(L40-L42)^2+(M40-M42)^2)/1000</f>
        <v>0.767220682604425</v>
      </c>
    </row>
    <row r="50" customFormat="false" ht="13.8" hidden="false" customHeight="false" outlineLevel="0" collapsed="false">
      <c r="G50" s="16" t="s">
        <v>60</v>
      </c>
      <c r="H50" s="16" t="s">
        <v>61</v>
      </c>
      <c r="I50" s="16" t="s">
        <v>62</v>
      </c>
      <c r="Y50" s="0" t="s">
        <v>109</v>
      </c>
      <c r="Z50" s="19" t="s">
        <v>33</v>
      </c>
    </row>
    <row r="51" customFormat="false" ht="13.8" hidden="false" customHeight="false" outlineLevel="0" collapsed="false">
      <c r="G51" s="18" t="n">
        <f aca="false">SQRT((K37-K38)^2+(L37-L38)^2+(M37-M38)^2)/1000</f>
        <v>0.873266758628198</v>
      </c>
      <c r="H51" s="18" t="n">
        <f aca="false">SQRT((K37-K40)^2+(L37-L40)^2+(M37-M40)^2)/1000</f>
        <v>1.21230410706854</v>
      </c>
      <c r="I51" s="18" t="n">
        <f aca="false">SQRT((K37-K42)^2+(L37-L42)^2+(M37-M42)^2)/1000</f>
        <v>0.900499751396551</v>
      </c>
      <c r="J51" s="0" t="n">
        <f aca="false">SQRT((K38-K40)^2+(L38-L40)^2+(M38-M40)^2)/1000</f>
        <v>1.03581822466843</v>
      </c>
      <c r="K51" s="0" t="n">
        <f aca="false">SQRT((K38-K42)^2+(L38-L42)^2+(M38-M42)^2)/1000</f>
        <v>1.31593408300919</v>
      </c>
      <c r="L51" s="0" t="n">
        <f aca="false">SQRT((K40-K42)^2+(L40-L42)^2+(M40-M42)^2)/1000</f>
        <v>0.767220682604425</v>
      </c>
      <c r="Z51" s="20" t="n">
        <v>10400</v>
      </c>
      <c r="AA51" s="20" t="n">
        <v>12226</v>
      </c>
    </row>
    <row r="52" customFormat="false" ht="13.8" hidden="false" customHeight="false" outlineLevel="0" collapsed="false">
      <c r="G52" s="16" t="s">
        <v>63</v>
      </c>
      <c r="H52" s="8"/>
      <c r="I52" s="8"/>
      <c r="J52" s="16" t="s">
        <v>64</v>
      </c>
      <c r="K52" s="16" t="s">
        <v>65</v>
      </c>
      <c r="Z52" s="20" t="n">
        <v>2424</v>
      </c>
      <c r="AA52" s="20" t="n">
        <v>12227</v>
      </c>
    </row>
    <row r="53" customFormat="false" ht="13.8" hidden="false" customHeight="false" outlineLevel="0" collapsed="false">
      <c r="G53" s="18" t="n">
        <f aca="false">SQRT((K37-K39)^2+(L37-L39)^2+(M37-M39)^2)/1000</f>
        <v>0.843880145167695</v>
      </c>
      <c r="H53" s="0" t="n">
        <f aca="false">SQRT((K37-K40)^2+(L37-L40)^2+(M37-M40)^2)/1000</f>
        <v>1.21230410706854</v>
      </c>
      <c r="I53" s="0" t="n">
        <f aca="false">SQRT((K37-K42)^2+(L37-L42)^2+(M37-M42)^2)/1000</f>
        <v>0.900499751396551</v>
      </c>
      <c r="J53" s="18" t="n">
        <f aca="false">SQRT((K39-K40)^2+(L39-L40)^2+(M39-M40)^2)/1000</f>
        <v>0.994521042108713</v>
      </c>
      <c r="K53" s="18" t="n">
        <f aca="false">SQRT((K39-K42)^2+(L39-L42)^2+(M39-M42)^2)/1000</f>
        <v>1.27157620497436</v>
      </c>
      <c r="L53" s="0" t="n">
        <f aca="false">SQRT((K40-K42)^2+(L40-L42)^2+(M40-M42)^2)/1000</f>
        <v>0.767220682604425</v>
      </c>
      <c r="X53" s="22"/>
      <c r="Y53" s="10"/>
      <c r="Z53" s="23"/>
    </row>
    <row r="54" customFormat="false" ht="13.8" hidden="false" customHeight="false" outlineLevel="0" collapsed="false">
      <c r="H54" s="16" t="s">
        <v>67</v>
      </c>
      <c r="I54" s="8"/>
      <c r="J54" s="16" t="s">
        <v>68</v>
      </c>
      <c r="K54" s="8"/>
      <c r="L54" s="16" t="s">
        <v>69</v>
      </c>
      <c r="X54" s="4"/>
      <c r="Y54" s="24"/>
      <c r="Z54" s="12"/>
    </row>
    <row r="55" customFormat="false" ht="14.9" hidden="false" customHeight="false" outlineLevel="0" collapsed="false">
      <c r="G55" s="0" t="n">
        <f aca="false">SQRT((K37-K39)^2+(L37-L39)^2+(M37-M39)^2)/1000</f>
        <v>0.843880145167695</v>
      </c>
      <c r="H55" s="18" t="n">
        <f aca="false">SQRT((K37-K41)^2+(L37-L41)^2+(M37-M41)^2)/1000</f>
        <v>1.17478130001726</v>
      </c>
      <c r="I55" s="0" t="n">
        <f aca="false">SQRT((K37-K42)^2+(L37-L42)^2+(M37-M42)^2)/1000</f>
        <v>0.900499751396551</v>
      </c>
      <c r="J55" s="18" t="n">
        <f aca="false">SQRT((K39-K41)^2+(L39-L41)^2+(M39-M41)^2)/1000</f>
        <v>0.98597991675845</v>
      </c>
      <c r="K55" s="0" t="n">
        <f aca="false">SQRT((K39-K42)^2+(L39-L42)^2+(M39-M42)^2)/1000</f>
        <v>1.27157620497436</v>
      </c>
      <c r="L55" s="21" t="n">
        <f aca="false">SQRT((K41-K42)^2+(L41-L42)^2+(M41-M42)^2)/1000</f>
        <v>0.728958937094539</v>
      </c>
      <c r="T55" s="20" t="s">
        <v>110</v>
      </c>
      <c r="U55" s="0" t="s">
        <v>111</v>
      </c>
      <c r="X55" s="4"/>
      <c r="Y55" s="24"/>
      <c r="Z55" s="12"/>
    </row>
    <row r="56" customFormat="false" ht="13.8" hidden="false" customHeight="false" outlineLevel="0" collapsed="false">
      <c r="V56" s="26" t="s">
        <v>14</v>
      </c>
      <c r="W56" s="26"/>
      <c r="X56" s="4"/>
      <c r="Y56" s="24"/>
      <c r="Z56" s="12"/>
    </row>
    <row r="57" customFormat="false" ht="13.8" hidden="false" customHeight="false" outlineLevel="0" collapsed="false">
      <c r="V57" s="20" t="n">
        <v>10947</v>
      </c>
      <c r="W57" s="20" t="n">
        <v>2904</v>
      </c>
      <c r="X57" s="4"/>
      <c r="Y57" s="24"/>
      <c r="Z57" s="12"/>
    </row>
    <row r="58" customFormat="false" ht="13.8" hidden="false" customHeight="false" outlineLevel="0" collapsed="false">
      <c r="G58" s="25" t="s">
        <v>72</v>
      </c>
      <c r="H58" s="25"/>
      <c r="I58" s="25"/>
      <c r="J58" s="25"/>
      <c r="V58" s="20" t="n">
        <v>11914</v>
      </c>
      <c r="W58" s="20" t="n">
        <v>11915</v>
      </c>
      <c r="X58" s="4"/>
      <c r="Y58" s="24"/>
      <c r="Z58" s="12"/>
    </row>
    <row r="59" customFormat="false" ht="13.8" hidden="false" customHeight="false" outlineLevel="0" collapsed="false">
      <c r="X59" s="4"/>
      <c r="Y59" s="24"/>
      <c r="Z59" s="12"/>
    </row>
    <row r="60" customFormat="false" ht="13.8" hidden="false" customHeight="false" outlineLevel="0" collapsed="false">
      <c r="X60" s="4"/>
      <c r="Y60" s="24"/>
      <c r="Z60" s="12"/>
    </row>
    <row r="61" customFormat="false" ht="13.8" hidden="false" customHeight="false" outlineLevel="0" collapsed="false">
      <c r="X61" s="4"/>
      <c r="Y61" s="24"/>
      <c r="Z61" s="12"/>
    </row>
    <row r="62" customFormat="false" ht="13.8" hidden="false" customHeight="false" outlineLevel="0" collapsed="false">
      <c r="X62" s="4"/>
      <c r="Y62" s="24"/>
      <c r="Z62" s="12"/>
    </row>
    <row r="63" customFormat="false" ht="13.8" hidden="false" customHeight="false" outlineLevel="0" collapsed="false">
      <c r="X63" s="4"/>
      <c r="Y63" s="24"/>
      <c r="Z63" s="12"/>
    </row>
    <row r="64" customFormat="false" ht="13.8" hidden="false" customHeight="false" outlineLevel="0" collapsed="false">
      <c r="X64" s="4"/>
      <c r="Y64" s="24"/>
      <c r="Z64" s="12"/>
    </row>
    <row r="65" customFormat="false" ht="13.8" hidden="false" customHeight="false" outlineLevel="0" collapsed="false">
      <c r="X65" s="4"/>
      <c r="Y65" s="24"/>
      <c r="Z65" s="12"/>
    </row>
    <row r="66" customFormat="false" ht="13.8" hidden="false" customHeight="false" outlineLevel="0" collapsed="false">
      <c r="H66" s="27" t="s">
        <v>73</v>
      </c>
      <c r="I66" s="27"/>
      <c r="K66" s="27" t="s">
        <v>74</v>
      </c>
      <c r="L66" s="27"/>
      <c r="X66" s="4"/>
      <c r="Y66" s="24"/>
      <c r="Z66" s="12"/>
    </row>
    <row r="67" customFormat="false" ht="13.8" hidden="false" customHeight="false" outlineLevel="0" collapsed="false">
      <c r="H67" s="28" t="s">
        <v>75</v>
      </c>
      <c r="I67" s="29" t="s">
        <v>76</v>
      </c>
      <c r="K67" s="28" t="s">
        <v>75</v>
      </c>
      <c r="L67" s="29" t="s">
        <v>76</v>
      </c>
      <c r="X67" s="4"/>
      <c r="Y67" s="24"/>
      <c r="Z67" s="12"/>
    </row>
    <row r="68" customFormat="false" ht="13.8" hidden="false" customHeight="false" outlineLevel="0" collapsed="false">
      <c r="H68" s="28"/>
      <c r="I68" s="29"/>
      <c r="K68" s="28"/>
      <c r="L68" s="29"/>
      <c r="X68" s="4"/>
      <c r="Y68" s="24"/>
      <c r="Z68" s="12"/>
      <c r="AA68" s="20" t="s">
        <v>112</v>
      </c>
      <c r="AB68" s="0" t="s">
        <v>113</v>
      </c>
    </row>
    <row r="69" customFormat="false" ht="13.8" hidden="false" customHeight="false" outlineLevel="0" collapsed="false">
      <c r="H69" s="28" t="s">
        <v>77</v>
      </c>
      <c r="I69" s="29" t="n">
        <v>0.127745</v>
      </c>
      <c r="K69" s="28" t="s">
        <v>77</v>
      </c>
      <c r="L69" s="29" t="n">
        <v>0.12432</v>
      </c>
      <c r="X69" s="4"/>
      <c r="Y69" s="24"/>
      <c r="Z69" s="12"/>
    </row>
    <row r="70" customFormat="false" ht="13.8" hidden="false" customHeight="false" outlineLevel="0" collapsed="false">
      <c r="H70" s="28" t="s">
        <v>78</v>
      </c>
      <c r="I70" s="29" t="n">
        <v>0.103094</v>
      </c>
      <c r="K70" s="28" t="s">
        <v>78</v>
      </c>
      <c r="L70" s="29" t="n">
        <v>0.0994911</v>
      </c>
      <c r="X70" s="4"/>
      <c r="Y70" s="24"/>
      <c r="Z70" s="12"/>
      <c r="AA70" s="33" t="s">
        <v>9</v>
      </c>
      <c r="AB70" s="33"/>
    </row>
    <row r="71" customFormat="false" ht="13.8" hidden="false" customHeight="false" outlineLevel="0" collapsed="false">
      <c r="H71" s="28" t="s">
        <v>79</v>
      </c>
      <c r="I71" s="29" t="n">
        <v>0.12265</v>
      </c>
      <c r="K71" s="28" t="s">
        <v>79</v>
      </c>
      <c r="L71" s="29" t="n">
        <v>0.119359</v>
      </c>
      <c r="X71" s="4"/>
      <c r="Y71" s="24"/>
      <c r="Z71" s="12"/>
      <c r="AA71" s="20" t="n">
        <v>1507</v>
      </c>
      <c r="AB71" s="20" t="n">
        <v>11878</v>
      </c>
    </row>
    <row r="72" customFormat="false" ht="13.8" hidden="false" customHeight="false" outlineLevel="0" collapsed="false">
      <c r="H72" s="28" t="s">
        <v>80</v>
      </c>
      <c r="I72" s="29" t="n">
        <v>0.128142</v>
      </c>
      <c r="K72" s="28" t="s">
        <v>80</v>
      </c>
      <c r="L72" s="29" t="n">
        <v>0.127084</v>
      </c>
      <c r="X72" s="4"/>
      <c r="Y72" s="24"/>
      <c r="Z72" s="12"/>
      <c r="AA72" s="20" t="n">
        <v>12397</v>
      </c>
      <c r="AB72" s="20" t="n">
        <v>12398</v>
      </c>
    </row>
    <row r="73" customFormat="false" ht="13.8" hidden="false" customHeight="false" outlineLevel="0" collapsed="false">
      <c r="H73" s="30" t="s">
        <v>81</v>
      </c>
      <c r="I73" s="31" t="n">
        <v>0.117327</v>
      </c>
      <c r="K73" s="30" t="s">
        <v>81</v>
      </c>
      <c r="L73" s="31" t="n">
        <v>0.0964681</v>
      </c>
      <c r="X73" s="6"/>
      <c r="Y73" s="14"/>
      <c r="Z73" s="34"/>
    </row>
    <row r="74" customFormat="false" ht="13.8" hidden="false" customHeight="false" outlineLevel="0" collapsed="false">
      <c r="J74" s="32" t="s">
        <v>114</v>
      </c>
      <c r="X74" s="20" t="n">
        <v>11163</v>
      </c>
      <c r="Y74" s="20" t="n">
        <v>3147</v>
      </c>
    </row>
    <row r="75" customFormat="false" ht="13.8" hidden="false" customHeight="false" outlineLevel="0" collapsed="false">
      <c r="J75" s="32"/>
      <c r="X75" s="20" t="n">
        <v>16598</v>
      </c>
      <c r="Y75" s="20" t="n">
        <v>15412</v>
      </c>
    </row>
    <row r="76" customFormat="false" ht="13.8" hidden="false" customHeight="false" outlineLevel="0" collapsed="false">
      <c r="J76" s="32"/>
      <c r="X76" s="19" t="s">
        <v>13</v>
      </c>
    </row>
    <row r="77" customFormat="false" ht="13.8" hidden="false" customHeight="false" outlineLevel="0" collapsed="false">
      <c r="H77" s="27" t="s">
        <v>85</v>
      </c>
      <c r="I77" s="27"/>
      <c r="K77" s="27" t="s">
        <v>86</v>
      </c>
      <c r="L77" s="27"/>
    </row>
    <row r="78" customFormat="false" ht="13.8" hidden="false" customHeight="false" outlineLevel="0" collapsed="false">
      <c r="H78" s="28" t="s">
        <v>75</v>
      </c>
      <c r="I78" s="29" t="s">
        <v>76</v>
      </c>
      <c r="K78" s="28" t="s">
        <v>75</v>
      </c>
      <c r="L78" s="29" t="s">
        <v>76</v>
      </c>
      <c r="W78" s="20" t="s">
        <v>115</v>
      </c>
      <c r="X78" s="0" t="s">
        <v>116</v>
      </c>
    </row>
    <row r="79" customFormat="false" ht="13.8" hidden="false" customHeight="false" outlineLevel="0" collapsed="false">
      <c r="H79" s="28"/>
      <c r="I79" s="29"/>
      <c r="K79" s="28"/>
      <c r="L79" s="29"/>
    </row>
    <row r="80" customFormat="false" ht="13.8" hidden="false" customHeight="false" outlineLevel="0" collapsed="false">
      <c r="H80" s="28" t="s">
        <v>77</v>
      </c>
      <c r="I80" s="29" t="n">
        <v>0.0977801</v>
      </c>
      <c r="K80" s="28" t="s">
        <v>77</v>
      </c>
      <c r="L80" s="29" t="n">
        <v>0.0925519</v>
      </c>
    </row>
    <row r="81" customFormat="false" ht="13.8" hidden="false" customHeight="false" outlineLevel="0" collapsed="false">
      <c r="H81" s="28" t="s">
        <v>78</v>
      </c>
      <c r="I81" s="29" t="n">
        <v>0.0633231</v>
      </c>
      <c r="K81" s="28" t="s">
        <v>78</v>
      </c>
      <c r="L81" s="29" t="n">
        <v>0.05575</v>
      </c>
    </row>
    <row r="82" customFormat="false" ht="13.8" hidden="false" customHeight="false" outlineLevel="0" collapsed="false">
      <c r="H82" s="28" t="s">
        <v>79</v>
      </c>
      <c r="I82" s="29" t="n">
        <v>0.0831361</v>
      </c>
      <c r="K82" s="28" t="s">
        <v>79</v>
      </c>
      <c r="L82" s="29" t="n">
        <v>0.0784934</v>
      </c>
    </row>
    <row r="83" customFormat="false" ht="13.8" hidden="false" customHeight="false" outlineLevel="0" collapsed="false">
      <c r="H83" s="28" t="s">
        <v>80</v>
      </c>
      <c r="I83" s="29" t="n">
        <v>0.0901891</v>
      </c>
      <c r="K83" s="28" t="s">
        <v>80</v>
      </c>
      <c r="L83" s="29" t="n">
        <v>0.0795797</v>
      </c>
    </row>
    <row r="84" customFormat="false" ht="13.8" hidden="false" customHeight="false" outlineLevel="0" collapsed="false">
      <c r="H84" s="30" t="s">
        <v>81</v>
      </c>
      <c r="I84" s="31" t="n">
        <v>0.0923274</v>
      </c>
      <c r="K84" s="30" t="s">
        <v>81</v>
      </c>
      <c r="L84" s="31" t="n">
        <v>0.126097</v>
      </c>
    </row>
  </sheetData>
  <mergeCells count="9">
    <mergeCell ref="X19:Y19"/>
    <mergeCell ref="V56:W56"/>
    <mergeCell ref="G58:J58"/>
    <mergeCell ref="H66:I66"/>
    <mergeCell ref="K66:L66"/>
    <mergeCell ref="AA70:AB70"/>
    <mergeCell ref="J74:J76"/>
    <mergeCell ref="H77:I77"/>
    <mergeCell ref="K77:L7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50"/>
  <sheetViews>
    <sheetView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G45" activeCellId="0" sqref="G4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false" hidden="false" outlineLevel="0" max="22" min="22" style="0" width="11.43"/>
    <col collapsed="false" customWidth="true" hidden="false" outlineLevel="0" max="23" min="23" style="0" width="14.57"/>
    <col collapsed="false" customWidth="true" hidden="false" outlineLevel="0" max="24" min="24" style="0" width="8.53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B2" s="0" t="s">
        <v>89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538.945</v>
      </c>
      <c r="F4" s="0" t="n">
        <v>-301.401</v>
      </c>
      <c r="G4" s="0" t="n">
        <v>269.314</v>
      </c>
      <c r="U4" s="0" t="s">
        <v>10</v>
      </c>
      <c r="W4" s="0" t="s">
        <v>11</v>
      </c>
      <c r="X4" s="0" t="s">
        <v>12</v>
      </c>
    </row>
    <row r="5" customFormat="false" ht="15" hidden="false" customHeight="false" outlineLevel="0" collapsed="false">
      <c r="E5" s="0" t="n">
        <v>550.233</v>
      </c>
      <c r="F5" s="0" t="n">
        <v>-296.64</v>
      </c>
      <c r="G5" s="0" t="n">
        <v>296.31</v>
      </c>
      <c r="H5" s="0" t="n">
        <f aca="false">E5</f>
        <v>550.233</v>
      </c>
      <c r="I5" s="0" t="n">
        <f aca="false">F5</f>
        <v>-296.64</v>
      </c>
      <c r="J5" s="0" t="n">
        <f aca="false">AVERAGE(G4,G5)</f>
        <v>282.812</v>
      </c>
      <c r="U5" s="0" t="s">
        <v>9</v>
      </c>
      <c r="V5" s="0" t="s">
        <v>117</v>
      </c>
      <c r="W5" s="0" t="n">
        <f aca="false">3*6.5</f>
        <v>19.5</v>
      </c>
      <c r="X5" s="0" t="n">
        <f aca="false">W5/Z20</f>
        <v>10.2362204724409</v>
      </c>
    </row>
    <row r="6" customFormat="false" ht="15" hidden="false" customHeight="false" outlineLevel="0" collapsed="false">
      <c r="E6" s="0" t="n">
        <v>561.16</v>
      </c>
      <c r="F6" s="0" t="n">
        <v>-299.325</v>
      </c>
      <c r="G6" s="0" t="n">
        <v>269.706</v>
      </c>
      <c r="U6" s="0" t="s">
        <v>13</v>
      </c>
      <c r="V6" s="0" t="s">
        <v>118</v>
      </c>
      <c r="W6" s="0" t="n">
        <f aca="false">1*6.5</f>
        <v>6.5</v>
      </c>
      <c r="X6" s="0" t="n">
        <f aca="false">W6/Z21</f>
        <v>4.2540137028326</v>
      </c>
    </row>
    <row r="7" customFormat="false" ht="15" hidden="false" customHeight="false" outlineLevel="0" collapsed="false">
      <c r="C7" s="0" t="s">
        <v>15</v>
      </c>
      <c r="D7" s="0" t="n">
        <v>1</v>
      </c>
      <c r="E7" s="0" t="n">
        <v>499.404</v>
      </c>
      <c r="F7" s="0" t="n">
        <v>-384.833</v>
      </c>
      <c r="G7" s="0" t="n">
        <v>352.74</v>
      </c>
      <c r="U7" s="0" t="s">
        <v>14</v>
      </c>
      <c r="V7" s="0" t="s">
        <v>119</v>
      </c>
      <c r="W7" s="0" t="n">
        <f aca="false">4*6.5</f>
        <v>26</v>
      </c>
      <c r="X7" s="0" t="n">
        <f aca="false">W7/Z20</f>
        <v>13.6482939632546</v>
      </c>
    </row>
    <row r="8" customFormat="false" ht="15" hidden="false" customHeight="false" outlineLevel="0" collapsed="false">
      <c r="E8" s="0" t="n">
        <v>507.827</v>
      </c>
      <c r="F8" s="0" t="n">
        <v>-383.107</v>
      </c>
      <c r="G8" s="0" t="n">
        <v>374.444</v>
      </c>
      <c r="H8" s="0" t="n">
        <f aca="false">E8</f>
        <v>507.827</v>
      </c>
      <c r="I8" s="0" t="n">
        <f aca="false">F8</f>
        <v>-383.107</v>
      </c>
      <c r="J8" s="0" t="n">
        <f aca="false">AVERAGE(G7,G9)</f>
        <v>352.8305</v>
      </c>
      <c r="U8" s="0" t="s">
        <v>16</v>
      </c>
      <c r="V8" s="0" t="s">
        <v>120</v>
      </c>
      <c r="W8" s="0" t="n">
        <f aca="false">2*6.5</f>
        <v>13</v>
      </c>
      <c r="X8" s="0" t="n">
        <f aca="false">W8/Z21</f>
        <v>8.5080274056652</v>
      </c>
    </row>
    <row r="9" customFormat="false" ht="15" hidden="false" customHeight="false" outlineLevel="0" collapsed="false">
      <c r="E9" s="0" t="n">
        <v>521.555</v>
      </c>
      <c r="F9" s="0" t="n">
        <v>-382.04</v>
      </c>
      <c r="G9" s="0" t="n">
        <v>352.921</v>
      </c>
    </row>
    <row r="11" customFormat="false" ht="15" hidden="false" customHeight="false" outlineLevel="0" collapsed="false">
      <c r="C11" s="0" t="s">
        <v>13</v>
      </c>
      <c r="D11" s="0" t="n">
        <v>2</v>
      </c>
      <c r="E11" s="0" t="n">
        <v>649.972</v>
      </c>
      <c r="F11" s="0" t="n">
        <v>-1199.245</v>
      </c>
      <c r="G11" s="0" t="n">
        <v>305.319</v>
      </c>
    </row>
    <row r="12" customFormat="false" ht="15" hidden="false" customHeight="false" outlineLevel="0" collapsed="false">
      <c r="E12" s="0" t="n">
        <v>649.979</v>
      </c>
      <c r="F12" s="0" t="n">
        <v>-1211.863</v>
      </c>
      <c r="G12" s="0" t="n">
        <v>326.63</v>
      </c>
      <c r="H12" s="0" t="n">
        <f aca="false">E12</f>
        <v>649.979</v>
      </c>
      <c r="I12" s="0" t="n">
        <f aca="false">F12</f>
        <v>-1211.863</v>
      </c>
      <c r="J12" s="0" t="n">
        <f aca="false">AVERAGE(G11,G13)</f>
        <v>303.829</v>
      </c>
      <c r="L12" s="0" t="s">
        <v>17</v>
      </c>
      <c r="S12" s="0" t="s">
        <v>18</v>
      </c>
    </row>
    <row r="13" customFormat="false" ht="15" hidden="false" customHeight="false" outlineLevel="0" collapsed="false">
      <c r="E13" s="0" t="n">
        <v>632.475</v>
      </c>
      <c r="F13" s="0" t="n">
        <v>-1218.951</v>
      </c>
      <c r="G13" s="0" t="n">
        <v>302.339</v>
      </c>
    </row>
    <row r="15" customFormat="false" ht="15" hidden="false" customHeight="false" outlineLevel="0" collapsed="false">
      <c r="C15" s="0" t="s">
        <v>19</v>
      </c>
      <c r="D15" s="0" t="n">
        <v>2</v>
      </c>
      <c r="E15" s="0" t="n">
        <v>585.361</v>
      </c>
      <c r="F15" s="0" t="n">
        <v>-1155.744</v>
      </c>
      <c r="G15" s="0" t="n">
        <v>364.948</v>
      </c>
    </row>
    <row r="16" customFormat="false" ht="15" hidden="false" customHeight="false" outlineLevel="0" collapsed="false">
      <c r="E16" s="0" t="n">
        <v>589.082</v>
      </c>
      <c r="F16" s="0" t="n">
        <v>-1166.831</v>
      </c>
      <c r="G16" s="0" t="n">
        <v>386.215</v>
      </c>
      <c r="H16" s="0" t="n">
        <f aca="false">E16</f>
        <v>589.082</v>
      </c>
      <c r="I16" s="0" t="n">
        <f aca="false">F16</f>
        <v>-1166.831</v>
      </c>
      <c r="J16" s="0" t="n">
        <f aca="false">AVERAGE(G15,G17)</f>
        <v>364.7365</v>
      </c>
      <c r="U16" s="0" t="s">
        <v>94</v>
      </c>
      <c r="V16" s="0" t="s">
        <v>95</v>
      </c>
      <c r="W16" s="0" t="s">
        <v>121</v>
      </c>
      <c r="X16" s="0" t="s">
        <v>97</v>
      </c>
      <c r="Y16" s="8" t="s">
        <v>98</v>
      </c>
    </row>
    <row r="17" customFormat="false" ht="15" hidden="false" customHeight="false" outlineLevel="0" collapsed="false">
      <c r="E17" s="0" t="n">
        <v>572.655</v>
      </c>
      <c r="F17" s="0" t="n">
        <v>-1178.32</v>
      </c>
      <c r="G17" s="0" t="n">
        <v>364.525</v>
      </c>
      <c r="T17" s="0" t="s">
        <v>99</v>
      </c>
      <c r="U17" s="0" t="n">
        <v>1.2192</v>
      </c>
      <c r="V17" s="0" t="n">
        <f aca="false">U17-0.00635</f>
        <v>1.21285</v>
      </c>
      <c r="W17" s="0" t="n">
        <f aca="false">V17/16</f>
        <v>0.075803125</v>
      </c>
      <c r="X17" s="0" t="n">
        <f aca="false">W17*1000/25.4</f>
        <v>2.984375</v>
      </c>
    </row>
    <row r="18" customFormat="false" ht="15" hidden="false" customHeight="false" outlineLevel="0" collapsed="false">
      <c r="T18" s="0" t="s">
        <v>26</v>
      </c>
      <c r="U18" s="0" t="n">
        <v>0.9779</v>
      </c>
      <c r="V18" s="0" t="n">
        <f aca="false">U18-0.00635</f>
        <v>0.97155</v>
      </c>
      <c r="W18" s="0" t="n">
        <f aca="false">V18/16</f>
        <v>0.060721875</v>
      </c>
      <c r="X18" s="0" t="n">
        <f aca="false">W18*1000/25.4</f>
        <v>2.390625</v>
      </c>
    </row>
    <row r="19" customFormat="false" ht="15" hidden="false" customHeight="false" outlineLevel="0" collapsed="false">
      <c r="C19" s="0" t="s">
        <v>14</v>
      </c>
      <c r="D19" s="0" t="n">
        <v>3</v>
      </c>
      <c r="E19" s="0" t="n">
        <v>-249.448</v>
      </c>
      <c r="F19" s="0" t="n">
        <v>-1196.863</v>
      </c>
      <c r="G19" s="0" t="n">
        <v>282.651</v>
      </c>
      <c r="T19" s="8" t="s">
        <v>20</v>
      </c>
      <c r="Y19" s="0" t="s">
        <v>100</v>
      </c>
      <c r="Z19" s="0" t="s">
        <v>101</v>
      </c>
    </row>
    <row r="20" customFormat="false" ht="15" hidden="false" customHeight="false" outlineLevel="0" collapsed="false">
      <c r="E20" s="0" t="n">
        <v>-263.502</v>
      </c>
      <c r="F20" s="0" t="n">
        <v>-1197.029</v>
      </c>
      <c r="G20" s="0" t="n">
        <v>313.254</v>
      </c>
      <c r="H20" s="0" t="n">
        <f aca="false">E20</f>
        <v>-263.502</v>
      </c>
      <c r="I20" s="0" t="n">
        <f aca="false">F20</f>
        <v>-1197.029</v>
      </c>
      <c r="J20" s="0" t="n">
        <f aca="false">AVERAGE(G19,G21)</f>
        <v>282.4605</v>
      </c>
      <c r="T20" s="0" t="s">
        <v>25</v>
      </c>
      <c r="U20" s="0" t="n">
        <v>1.2192</v>
      </c>
      <c r="V20" s="0" t="n">
        <v>19</v>
      </c>
      <c r="W20" s="0" t="n">
        <f aca="false">U20/V20</f>
        <v>0.0641684210526316</v>
      </c>
      <c r="Y20" s="0" t="n">
        <f aca="false">U20/64</f>
        <v>0.01905</v>
      </c>
      <c r="Z20" s="0" t="n">
        <f aca="false">Y20*100</f>
        <v>1.905</v>
      </c>
    </row>
    <row r="21" customFormat="false" ht="15" hidden="false" customHeight="false" outlineLevel="0" collapsed="false">
      <c r="E21" s="0" t="n">
        <v>-277.657</v>
      </c>
      <c r="F21" s="0" t="n">
        <v>-1190.676</v>
      </c>
      <c r="G21" s="0" t="n">
        <v>282.27</v>
      </c>
      <c r="T21" s="0" t="s">
        <v>26</v>
      </c>
      <c r="U21" s="0" t="n">
        <v>0.9779</v>
      </c>
      <c r="V21" s="0" t="n">
        <v>16</v>
      </c>
      <c r="W21" s="0" t="n">
        <f aca="false">U21/V21</f>
        <v>0.06111875</v>
      </c>
      <c r="Y21" s="0" t="n">
        <f aca="false">U21/64</f>
        <v>0.0152796875</v>
      </c>
      <c r="Z21" s="0" t="n">
        <f aca="false">Y21*100</f>
        <v>1.52796875</v>
      </c>
    </row>
    <row r="23" customFormat="false" ht="15" hidden="false" customHeight="false" outlineLevel="0" collapsed="false">
      <c r="C23" s="0" t="s">
        <v>27</v>
      </c>
      <c r="D23" s="0" t="n">
        <v>3</v>
      </c>
      <c r="E23" s="0" t="n">
        <v>-229.931</v>
      </c>
      <c r="F23" s="0" t="n">
        <v>-1114.505</v>
      </c>
      <c r="G23" s="0" t="n">
        <v>409.609</v>
      </c>
    </row>
    <row r="24" customFormat="false" ht="15" hidden="false" customHeight="false" outlineLevel="0" collapsed="false">
      <c r="E24" s="0" t="n">
        <v>-243.407</v>
      </c>
      <c r="F24" s="0" t="n">
        <v>-1120.554</v>
      </c>
      <c r="G24" s="0" t="n">
        <v>440.105</v>
      </c>
      <c r="H24" s="0" t="n">
        <f aca="false">E24</f>
        <v>-243.407</v>
      </c>
      <c r="I24" s="0" t="n">
        <f aca="false">F24</f>
        <v>-1120.554</v>
      </c>
      <c r="J24" s="0" t="n">
        <f aca="false">AVERAGE(G23,G25)</f>
        <v>409.57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-257.276</v>
      </c>
      <c r="F25" s="0" t="n">
        <v>-1117.063</v>
      </c>
      <c r="G25" s="0" t="n">
        <v>409.531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33</v>
      </c>
      <c r="D27" s="0" t="n">
        <v>4</v>
      </c>
      <c r="E27" s="0" t="n">
        <v>-421.84</v>
      </c>
      <c r="F27" s="0" t="n">
        <v>-345.883</v>
      </c>
      <c r="G27" s="0" t="n">
        <v>274.332</v>
      </c>
      <c r="L27" s="0" t="s">
        <v>34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-416.802</v>
      </c>
      <c r="F28" s="0" t="n">
        <v>-330.82</v>
      </c>
      <c r="G28" s="0" t="n">
        <v>307.654</v>
      </c>
      <c r="H28" s="8" t="n">
        <f aca="false">E28</f>
        <v>-416.802</v>
      </c>
      <c r="I28" s="8" t="n">
        <f aca="false">F28</f>
        <v>-330.82</v>
      </c>
      <c r="J28" s="8" t="n">
        <f aca="false">AVERAGE(G27,G29)</f>
        <v>273.826</v>
      </c>
      <c r="T28" s="0" t="s">
        <v>102</v>
      </c>
    </row>
    <row r="29" customFormat="false" ht="15" hidden="false" customHeight="false" outlineLevel="0" collapsed="false">
      <c r="E29" s="0" t="n">
        <v>-422.608</v>
      </c>
      <c r="F29" s="0" t="n">
        <v>-312.811</v>
      </c>
      <c r="G29" s="0" t="n">
        <v>273.32</v>
      </c>
      <c r="T29" s="0" t="n">
        <v>4148</v>
      </c>
      <c r="U29" s="0" t="n">
        <v>3668</v>
      </c>
    </row>
    <row r="30" customFormat="false" ht="15" hidden="false" customHeight="false" outlineLevel="0" collapsed="false">
      <c r="T30" s="0" t="n">
        <v>2375</v>
      </c>
      <c r="U30" s="0" t="n">
        <v>4153</v>
      </c>
      <c r="AC30" s="0" t="n">
        <f aca="false">AC25-0.00525</f>
        <v>1.21395</v>
      </c>
    </row>
    <row r="31" customFormat="false" ht="15.75" hidden="false" customHeight="false" outlineLevel="0" collapsed="false">
      <c r="P31" s="0" t="s">
        <v>35</v>
      </c>
    </row>
    <row r="32" customFormat="false" ht="15" hidden="false" customHeight="false" outlineLevel="0" collapsed="false">
      <c r="L32" s="0" t="s">
        <v>36</v>
      </c>
      <c r="U32" s="9" t="n">
        <v>4</v>
      </c>
      <c r="V32" s="10" t="s">
        <v>33</v>
      </c>
      <c r="W32" s="10"/>
      <c r="X32" s="11" t="n">
        <v>1</v>
      </c>
      <c r="Y32" s="0" t="s">
        <v>103</v>
      </c>
      <c r="Z32" s="0" t="n">
        <v>12470</v>
      </c>
      <c r="AA32" s="0" t="n">
        <v>8279</v>
      </c>
    </row>
    <row r="33" customFormat="false" ht="15" hidden="false" customHeight="false" outlineLevel="0" collapsed="false">
      <c r="D33" s="0" t="s">
        <v>37</v>
      </c>
      <c r="E33" s="0" t="s">
        <v>38</v>
      </c>
      <c r="F33" s="0" t="s">
        <v>39</v>
      </c>
      <c r="M33" s="0" t="s">
        <v>33</v>
      </c>
      <c r="N33" s="0" t="s">
        <v>9</v>
      </c>
      <c r="P33" s="0" t="s">
        <v>9</v>
      </c>
      <c r="Q33" s="7" t="s">
        <v>40</v>
      </c>
      <c r="R33" s="0" t="s">
        <v>41</v>
      </c>
      <c r="U33" s="4"/>
      <c r="X33" s="12" t="s">
        <v>9</v>
      </c>
      <c r="Z33" s="0" t="n">
        <v>5235</v>
      </c>
      <c r="AA33" s="0" t="n">
        <v>12471</v>
      </c>
    </row>
    <row r="34" customFormat="false" ht="15" hidden="false" customHeight="false" outlineLevel="0" collapsed="false">
      <c r="D34" s="0" t="s">
        <v>9</v>
      </c>
      <c r="M34" s="0" t="s">
        <v>14</v>
      </c>
      <c r="N34" s="0" t="s">
        <v>13</v>
      </c>
      <c r="P34" s="0" t="s">
        <v>13</v>
      </c>
      <c r="Q34" s="0" t="s">
        <v>42</v>
      </c>
      <c r="R34" s="0" t="s">
        <v>43</v>
      </c>
      <c r="U34" s="4"/>
      <c r="X34" s="12"/>
    </row>
    <row r="35" customFormat="false" ht="15" hidden="false" customHeight="false" outlineLevel="0" collapsed="false">
      <c r="D35" s="0" t="s">
        <v>13</v>
      </c>
      <c r="G35" s="8" t="s">
        <v>9</v>
      </c>
      <c r="H35" s="0" t="n">
        <f aca="false">H5</f>
        <v>550.233</v>
      </c>
      <c r="I35" s="0" t="n">
        <f aca="false">I5</f>
        <v>-296.64</v>
      </c>
      <c r="J35" s="0" t="n">
        <f aca="false">J5</f>
        <v>282.812</v>
      </c>
      <c r="K35" s="8" t="n">
        <f aca="false">H35-H$41</f>
        <v>967.035</v>
      </c>
      <c r="L35" s="8" t="n">
        <f aca="false">I35-I$41</f>
        <v>34.18</v>
      </c>
      <c r="M35" s="8" t="n">
        <f aca="false">J35-J$41</f>
        <v>8.98599999999999</v>
      </c>
      <c r="P35" s="0" t="s">
        <v>14</v>
      </c>
      <c r="Q35" s="7" t="s">
        <v>44</v>
      </c>
      <c r="R35" s="0" t="s">
        <v>41</v>
      </c>
      <c r="U35" s="4"/>
      <c r="X35" s="12"/>
    </row>
    <row r="36" customFormat="false" ht="13.8" hidden="false" customHeight="false" outlineLevel="0" collapsed="false">
      <c r="D36" s="0" t="s">
        <v>14</v>
      </c>
      <c r="G36" s="8" t="s">
        <v>15</v>
      </c>
      <c r="H36" s="0" t="n">
        <f aca="false">H8</f>
        <v>507.827</v>
      </c>
      <c r="I36" s="0" t="n">
        <f aca="false">I8</f>
        <v>-383.107</v>
      </c>
      <c r="J36" s="0" t="n">
        <f aca="false">J8</f>
        <v>352.8305</v>
      </c>
      <c r="K36" s="8" t="n">
        <f aca="false">H36-H$41</f>
        <v>924.629</v>
      </c>
      <c r="L36" s="8" t="n">
        <f aca="false">I36-I$41</f>
        <v>-52.287</v>
      </c>
      <c r="M36" s="8" t="n">
        <f aca="false">J36-J$41</f>
        <v>79.0045</v>
      </c>
      <c r="P36" s="0" t="s">
        <v>33</v>
      </c>
      <c r="Q36" s="0" t="s">
        <v>45</v>
      </c>
      <c r="R36" s="0" t="s">
        <v>46</v>
      </c>
      <c r="U36" s="4" t="s">
        <v>14</v>
      </c>
      <c r="X36" s="12"/>
    </row>
    <row r="37" customFormat="false" ht="15.75" hidden="false" customHeight="false" outlineLevel="0" collapsed="false">
      <c r="D37" s="0" t="s">
        <v>33</v>
      </c>
      <c r="G37" s="8" t="s">
        <v>13</v>
      </c>
      <c r="H37" s="0" t="n">
        <f aca="false">H12</f>
        <v>649.979</v>
      </c>
      <c r="I37" s="0" t="n">
        <f aca="false">I12</f>
        <v>-1211.863</v>
      </c>
      <c r="J37" s="0" t="n">
        <f aca="false">J12</f>
        <v>303.829</v>
      </c>
      <c r="K37" s="8" t="n">
        <f aca="false">H37-H$41</f>
        <v>1066.781</v>
      </c>
      <c r="L37" s="8" t="n">
        <f aca="false">I37-I$41</f>
        <v>-881.043</v>
      </c>
      <c r="M37" s="8" t="n">
        <f aca="false">J37-J$41</f>
        <v>30.003</v>
      </c>
      <c r="U37" s="13" t="n">
        <v>3</v>
      </c>
      <c r="V37" s="14"/>
      <c r="W37" s="14" t="s">
        <v>13</v>
      </c>
      <c r="X37" s="15" t="n">
        <v>2</v>
      </c>
      <c r="Y37" s="0" t="s">
        <v>104</v>
      </c>
      <c r="Z37" s="0" t="n">
        <v>4178</v>
      </c>
      <c r="AA37" s="0" t="n">
        <v>2503</v>
      </c>
    </row>
    <row r="38" customFormat="false" ht="15" hidden="false" customHeight="false" outlineLevel="0" collapsed="false">
      <c r="G38" s="8" t="s">
        <v>19</v>
      </c>
      <c r="H38" s="0" t="n">
        <f aca="false">H16</f>
        <v>589.082</v>
      </c>
      <c r="I38" s="0" t="n">
        <f aca="false">I16</f>
        <v>-1166.831</v>
      </c>
      <c r="J38" s="0" t="n">
        <f aca="false">J16</f>
        <v>364.7365</v>
      </c>
      <c r="K38" s="8" t="n">
        <f aca="false">H38-H$41</f>
        <v>1005.884</v>
      </c>
      <c r="L38" s="8" t="n">
        <f aca="false">I38-I$41</f>
        <v>-836.011</v>
      </c>
      <c r="M38" s="8" t="n">
        <f aca="false">J38-J$41</f>
        <v>90.9105</v>
      </c>
      <c r="Q38" s="0" t="s">
        <v>47</v>
      </c>
      <c r="R38" s="0" t="s">
        <v>48</v>
      </c>
      <c r="S38" s="0" t="s">
        <v>49</v>
      </c>
      <c r="Z38" s="0" t="n">
        <v>3312</v>
      </c>
      <c r="AA38" s="0" t="n">
        <v>4179</v>
      </c>
    </row>
    <row r="39" customFormat="false" ht="15" hidden="false" customHeight="false" outlineLevel="0" collapsed="false">
      <c r="G39" s="8" t="s">
        <v>14</v>
      </c>
      <c r="H39" s="0" t="n">
        <f aca="false">H20</f>
        <v>-263.502</v>
      </c>
      <c r="I39" s="0" t="n">
        <f aca="false">I20</f>
        <v>-1197.029</v>
      </c>
      <c r="J39" s="0" t="n">
        <f aca="false">J20</f>
        <v>282.4605</v>
      </c>
      <c r="K39" s="8" t="n">
        <f aca="false">H39-H$41</f>
        <v>153.3</v>
      </c>
      <c r="L39" s="8" t="n">
        <f aca="false">I39-I$41</f>
        <v>-866.209</v>
      </c>
      <c r="M39" s="8" t="n">
        <f aca="false">J39-J$41</f>
        <v>8.6345</v>
      </c>
      <c r="P39" s="0" t="s">
        <v>9</v>
      </c>
      <c r="Q39" s="0" t="n">
        <v>0.725785</v>
      </c>
      <c r="R39" s="0" t="n">
        <v>0</v>
      </c>
      <c r="S39" s="0" t="n">
        <v>0.082555</v>
      </c>
      <c r="U39" s="0" t="s">
        <v>105</v>
      </c>
    </row>
    <row r="40" customFormat="false" ht="15" hidden="false" customHeight="false" outlineLevel="0" collapsed="false">
      <c r="G40" s="8" t="s">
        <v>27</v>
      </c>
      <c r="H40" s="0" t="n">
        <f aca="false">H24</f>
        <v>-243.407</v>
      </c>
      <c r="I40" s="0" t="n">
        <f aca="false">I24</f>
        <v>-1120.554</v>
      </c>
      <c r="J40" s="0" t="n">
        <f aca="false">J24</f>
        <v>409.57</v>
      </c>
      <c r="K40" s="8" t="n">
        <f aca="false">H40-H$41</f>
        <v>173.395</v>
      </c>
      <c r="L40" s="8" t="n">
        <f aca="false">I40-I$41</f>
        <v>-789.734</v>
      </c>
      <c r="M40" s="8" t="n">
        <f aca="false">J40-J$41</f>
        <v>135.744</v>
      </c>
      <c r="P40" s="0" t="s">
        <v>13</v>
      </c>
      <c r="Q40" s="0" t="n">
        <v>0.603548</v>
      </c>
      <c r="R40" s="0" t="n">
        <v>0</v>
      </c>
      <c r="S40" s="0" t="n">
        <f aca="false">1.2065+0.00525</f>
        <v>1.21175</v>
      </c>
      <c r="U40" s="0" t="n">
        <v>12301</v>
      </c>
      <c r="V40" s="0" t="n">
        <v>7373</v>
      </c>
      <c r="AC40" s="0" t="n">
        <f aca="false">AC25-S40</f>
        <v>0.00744999999999973</v>
      </c>
    </row>
    <row r="41" customFormat="false" ht="15" hidden="false" customHeight="false" outlineLevel="0" collapsed="false">
      <c r="G41" s="8" t="s">
        <v>33</v>
      </c>
      <c r="H41" s="0" t="n">
        <f aca="false">H28</f>
        <v>-416.802</v>
      </c>
      <c r="I41" s="0" t="n">
        <f aca="false">I28</f>
        <v>-330.82</v>
      </c>
      <c r="J41" s="0" t="n">
        <f aca="false">J28</f>
        <v>273.826</v>
      </c>
      <c r="K41" s="8" t="n">
        <f aca="false">H41-H$41</f>
        <v>0</v>
      </c>
      <c r="L41" s="8" t="n">
        <f aca="false">I41-I$41</f>
        <v>0</v>
      </c>
      <c r="M41" s="8" t="n">
        <f aca="false">J41-J$41</f>
        <v>0</v>
      </c>
      <c r="P41" s="0" t="s">
        <v>14</v>
      </c>
      <c r="Q41" s="0" t="n">
        <v>-0.236835</v>
      </c>
      <c r="R41" s="0" t="n">
        <v>0</v>
      </c>
      <c r="S41" s="0" t="n">
        <v>0.977905</v>
      </c>
      <c r="U41" s="0" t="n">
        <v>4934</v>
      </c>
      <c r="V41" s="0" t="n">
        <v>12302</v>
      </c>
    </row>
    <row r="42" customFormat="false" ht="15" hidden="false" customHeight="false" outlineLevel="0" collapsed="false">
      <c r="P42" s="0" t="s">
        <v>33</v>
      </c>
      <c r="Q42" s="0" t="n">
        <v>0</v>
      </c>
      <c r="R42" s="0" t="n">
        <v>0</v>
      </c>
      <c r="S42" s="0" t="n"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5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1068.4624</v>
      </c>
      <c r="L44" s="0" t="n">
        <f aca="false">I44-I$41</f>
        <v>1153.865</v>
      </c>
      <c r="M44" s="0" t="n">
        <f aca="false">J44-J$41</f>
        <v>22.4419999999999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5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53</v>
      </c>
      <c r="Q45" s="0" t="n">
        <v>-0.244475</v>
      </c>
      <c r="R45" s="0" t="n">
        <v>0</v>
      </c>
      <c r="S45" s="0" t="n">
        <f aca="false">Y25/2</f>
        <v>0.003175</v>
      </c>
      <c r="W45" s="0" t="n">
        <f aca="false">W43*3</f>
        <v>0.05715</v>
      </c>
    </row>
    <row r="47" customFormat="false" ht="15" hidden="false" customHeight="false" outlineLevel="0" collapsed="false">
      <c r="J47" s="0" t="s">
        <v>107</v>
      </c>
      <c r="K47" s="0" t="s">
        <v>7</v>
      </c>
      <c r="L47" s="0" t="s">
        <v>8</v>
      </c>
      <c r="M47" s="0" t="s">
        <v>6</v>
      </c>
      <c r="P47" s="0" t="s">
        <v>9</v>
      </c>
      <c r="Q47" s="0" t="n">
        <f aca="false">U18+Q45</f>
        <v>0.733425</v>
      </c>
      <c r="T47" s="0" t="n">
        <f aca="false">R39/1000</f>
        <v>0</v>
      </c>
    </row>
    <row r="48" customFormat="false" ht="15" hidden="false" customHeight="false" outlineLevel="0" collapsed="false">
      <c r="P48" s="0" t="s">
        <v>13</v>
      </c>
    </row>
    <row r="49" customFormat="false" ht="15" hidden="false" customHeight="false" outlineLevel="0" collapsed="false">
      <c r="P49" s="0" t="s">
        <v>14</v>
      </c>
    </row>
    <row r="50" customFormat="false" ht="15" hidden="false" customHeight="false" outlineLevel="0" collapsed="false">
      <c r="P50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F84"/>
  <sheetViews>
    <sheetView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R80" activeCellId="0" sqref="R80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7" min="4" style="0" width="8.53"/>
    <col collapsed="false" customWidth="true" hidden="false" outlineLevel="0" max="18" min="18" style="0" width="9.59"/>
    <col collapsed="false" customWidth="true" hidden="false" outlineLevel="0" max="19" min="19" style="0" width="8.53"/>
    <col collapsed="false" customWidth="true" hidden="false" outlineLevel="0" max="20" min="20" style="0" width="12.23"/>
    <col collapsed="false" customWidth="true" hidden="false" outlineLevel="0" max="21" min="21" style="0" width="8.53"/>
    <col collapsed="false" customWidth="true" hidden="false" outlineLevel="0" max="22" min="22" style="0" width="12.57"/>
    <col collapsed="false" customWidth="true" hidden="false" outlineLevel="0" max="23" min="23" style="0" width="10.91"/>
    <col collapsed="false" customWidth="true" hidden="false" outlineLevel="0" max="24" min="24" style="0" width="9.81"/>
    <col collapsed="false" customWidth="true" hidden="false" outlineLevel="0" max="25" min="25" style="0" width="10.57"/>
    <col collapsed="false" customWidth="true" hidden="false" outlineLevel="0" max="26" min="26" style="0" width="11.13"/>
    <col collapsed="false" customWidth="true" hidden="false" outlineLevel="0" max="29" min="27" style="0" width="8.53"/>
    <col collapsed="false" customWidth="true" hidden="false" outlineLevel="0" max="30" min="30" style="0" width="9.81"/>
    <col collapsed="false" customWidth="true" hidden="false" outlineLevel="0" max="31" min="31" style="0" width="8.53"/>
    <col collapsed="false" customWidth="true" hidden="false" outlineLevel="0" max="32" min="32" style="0" width="9.37"/>
    <col collapsed="false" customWidth="true" hidden="false" outlineLevel="0" max="1025" min="33" style="0" width="8.53"/>
  </cols>
  <sheetData>
    <row r="2" customFormat="false" ht="13.8" hidden="false" customHeight="false" outlineLevel="0" collapsed="false">
      <c r="B2" s="0" t="s">
        <v>89</v>
      </c>
      <c r="F2" s="0" t="s">
        <v>1</v>
      </c>
      <c r="I2" s="0" t="s">
        <v>2</v>
      </c>
      <c r="O2" s="0" t="s">
        <v>3</v>
      </c>
    </row>
    <row r="3" customFormat="false" ht="13.8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AB3" s="8" t="s">
        <v>122</v>
      </c>
      <c r="AC3" s="8"/>
      <c r="AD3" s="8"/>
    </row>
    <row r="4" customFormat="false" ht="13.8" hidden="false" customHeight="false" outlineLevel="0" collapsed="false">
      <c r="C4" s="0" t="s">
        <v>9</v>
      </c>
      <c r="D4" s="0" t="n">
        <v>1</v>
      </c>
      <c r="E4" s="0" t="n">
        <v>538.945</v>
      </c>
      <c r="F4" s="0" t="n">
        <v>-301.401</v>
      </c>
      <c r="G4" s="0" t="n">
        <v>269.314</v>
      </c>
      <c r="U4" s="0" t="s">
        <v>10</v>
      </c>
      <c r="W4" s="0" t="s">
        <v>11</v>
      </c>
      <c r="X4" s="0" t="s">
        <v>12</v>
      </c>
      <c r="AB4" s="8"/>
      <c r="AC4" s="8" t="s">
        <v>29</v>
      </c>
      <c r="AD4" s="8" t="s">
        <v>123</v>
      </c>
    </row>
    <row r="5" customFormat="false" ht="13.8" hidden="false" customHeight="false" outlineLevel="0" collapsed="false">
      <c r="E5" s="0" t="n">
        <v>550.233</v>
      </c>
      <c r="F5" s="0" t="n">
        <v>-296.64</v>
      </c>
      <c r="G5" s="0" t="n">
        <v>296.31</v>
      </c>
      <c r="H5" s="0" t="n">
        <f aca="false">E5</f>
        <v>550.233</v>
      </c>
      <c r="I5" s="0" t="n">
        <f aca="false">F5</f>
        <v>-296.64</v>
      </c>
      <c r="J5" s="0" t="n">
        <f aca="false">AVERAGE(G4,G5)</f>
        <v>282.812</v>
      </c>
      <c r="U5" s="0" t="s">
        <v>9</v>
      </c>
      <c r="V5" s="0" t="s">
        <v>117</v>
      </c>
      <c r="W5" s="0" t="n">
        <f aca="false">3*6.5</f>
        <v>19.5</v>
      </c>
      <c r="X5" s="0" t="n">
        <f aca="false">W5/Z20</f>
        <v>21.3324581555628</v>
      </c>
      <c r="AB5" s="8" t="s">
        <v>124</v>
      </c>
      <c r="AC5" s="8" t="n">
        <v>1</v>
      </c>
      <c r="AD5" s="8" t="n">
        <f aca="false">AC5*2.54</f>
        <v>2.54</v>
      </c>
    </row>
    <row r="6" customFormat="false" ht="13.8" hidden="false" customHeight="false" outlineLevel="0" collapsed="false">
      <c r="E6" s="0" t="n">
        <v>561.16</v>
      </c>
      <c r="F6" s="0" t="n">
        <v>-299.325</v>
      </c>
      <c r="G6" s="0" t="n">
        <v>269.706</v>
      </c>
      <c r="U6" s="0" t="s">
        <v>13</v>
      </c>
      <c r="V6" s="0" t="s">
        <v>118</v>
      </c>
      <c r="W6" s="0" t="n">
        <f aca="false">1*6.5</f>
        <v>6.5</v>
      </c>
      <c r="X6" s="0" t="n">
        <f aca="false">W6/Z21</f>
        <v>8.53354338978601</v>
      </c>
      <c r="AB6" s="8" t="s">
        <v>125</v>
      </c>
      <c r="AC6" s="8" t="n">
        <v>0.75</v>
      </c>
      <c r="AD6" s="8" t="n">
        <f aca="false">AC6*2.54</f>
        <v>1.905</v>
      </c>
    </row>
    <row r="7" customFormat="false" ht="13.8" hidden="false" customHeight="false" outlineLevel="0" collapsed="false">
      <c r="C7" s="0" t="s">
        <v>15</v>
      </c>
      <c r="D7" s="0" t="n">
        <v>1</v>
      </c>
      <c r="E7" s="0" t="n">
        <v>499.404</v>
      </c>
      <c r="F7" s="0" t="n">
        <v>-384.833</v>
      </c>
      <c r="G7" s="0" t="n">
        <v>352.74</v>
      </c>
      <c r="U7" s="0" t="s">
        <v>14</v>
      </c>
      <c r="V7" s="0" t="s">
        <v>119</v>
      </c>
      <c r="W7" s="0" t="n">
        <f aca="false">4*6.5</f>
        <v>26</v>
      </c>
      <c r="X7" s="0" t="n">
        <f aca="false">W7/Z20</f>
        <v>28.4432775407505</v>
      </c>
      <c r="AB7" s="8"/>
      <c r="AC7" s="8"/>
      <c r="AD7" s="8"/>
    </row>
    <row r="8" customFormat="false" ht="13.8" hidden="false" customHeight="false" outlineLevel="0" collapsed="false">
      <c r="E8" s="0" t="n">
        <v>507.827</v>
      </c>
      <c r="F8" s="0" t="n">
        <v>-383.107</v>
      </c>
      <c r="G8" s="0" t="n">
        <v>374.444</v>
      </c>
      <c r="H8" s="0" t="n">
        <f aca="false">E8</f>
        <v>507.827</v>
      </c>
      <c r="I8" s="0" t="n">
        <f aca="false">F8</f>
        <v>-383.107</v>
      </c>
      <c r="J8" s="0" t="n">
        <f aca="false">AVERAGE(G7,G9)</f>
        <v>352.8305</v>
      </c>
      <c r="U8" s="0" t="s">
        <v>16</v>
      </c>
      <c r="V8" s="0" t="s">
        <v>120</v>
      </c>
      <c r="W8" s="0" t="n">
        <f aca="false">2*6.5</f>
        <v>13</v>
      </c>
      <c r="X8" s="0" t="n">
        <f aca="false">W8/Z21</f>
        <v>17.067086779572</v>
      </c>
    </row>
    <row r="9" customFormat="false" ht="13.8" hidden="false" customHeight="false" outlineLevel="0" collapsed="false">
      <c r="E9" s="0" t="n">
        <v>521.555</v>
      </c>
      <c r="F9" s="0" t="n">
        <v>-382.04</v>
      </c>
      <c r="G9" s="0" t="n">
        <v>352.921</v>
      </c>
      <c r="AB9" s="8" t="s">
        <v>126</v>
      </c>
      <c r="AC9" s="8"/>
      <c r="AD9" s="8"/>
    </row>
    <row r="10" customFormat="false" ht="13.8" hidden="false" customHeight="false" outlineLevel="0" collapsed="false">
      <c r="AB10" s="8"/>
      <c r="AC10" s="8" t="s">
        <v>29</v>
      </c>
      <c r="AD10" s="8" t="s">
        <v>123</v>
      </c>
    </row>
    <row r="11" customFormat="false" ht="13.8" hidden="false" customHeight="false" outlineLevel="0" collapsed="false">
      <c r="C11" s="0" t="s">
        <v>13</v>
      </c>
      <c r="D11" s="0" t="n">
        <v>2</v>
      </c>
      <c r="E11" s="0" t="n">
        <v>649.972</v>
      </c>
      <c r="F11" s="0" t="n">
        <v>-1199.245</v>
      </c>
      <c r="G11" s="0" t="n">
        <v>305.319</v>
      </c>
      <c r="AB11" s="8" t="s">
        <v>124</v>
      </c>
      <c r="AC11" s="8" t="n">
        <v>1</v>
      </c>
      <c r="AD11" s="8" t="n">
        <f aca="false">AC11*2.54</f>
        <v>2.54</v>
      </c>
    </row>
    <row r="12" customFormat="false" ht="13.8" hidden="false" customHeight="false" outlineLevel="0" collapsed="false">
      <c r="E12" s="0" t="n">
        <v>649.979</v>
      </c>
      <c r="F12" s="0" t="n">
        <v>-1211.863</v>
      </c>
      <c r="G12" s="0" t="n">
        <v>326.63</v>
      </c>
      <c r="H12" s="0" t="n">
        <f aca="false">E12</f>
        <v>649.979</v>
      </c>
      <c r="I12" s="0" t="n">
        <f aca="false">F12</f>
        <v>-1211.863</v>
      </c>
      <c r="J12" s="0" t="n">
        <f aca="false">AVERAGE(G11,G13)</f>
        <v>303.829</v>
      </c>
      <c r="L12" s="0" t="s">
        <v>17</v>
      </c>
      <c r="S12" s="0" t="s">
        <v>18</v>
      </c>
      <c r="AB12" s="8" t="s">
        <v>125</v>
      </c>
      <c r="AC12" s="8" t="n">
        <v>0.75</v>
      </c>
      <c r="AD12" s="8" t="n">
        <f aca="false">AC12*2.54</f>
        <v>1.905</v>
      </c>
    </row>
    <row r="13" customFormat="false" ht="13.8" hidden="false" customHeight="false" outlineLevel="0" collapsed="false">
      <c r="E13" s="0" t="n">
        <v>632.475</v>
      </c>
      <c r="F13" s="0" t="n">
        <v>-1218.951</v>
      </c>
      <c r="G13" s="0" t="n">
        <v>302.339</v>
      </c>
    </row>
    <row r="15" customFormat="false" ht="13.8" hidden="false" customHeight="false" outlineLevel="0" collapsed="false">
      <c r="C15" s="0" t="s">
        <v>19</v>
      </c>
      <c r="D15" s="0" t="n">
        <v>2</v>
      </c>
      <c r="E15" s="0" t="n">
        <v>585.361</v>
      </c>
      <c r="F15" s="0" t="n">
        <v>-1155.744</v>
      </c>
      <c r="G15" s="0" t="n">
        <v>364.948</v>
      </c>
    </row>
    <row r="16" customFormat="false" ht="13.8" hidden="false" customHeight="false" outlineLevel="0" collapsed="false">
      <c r="E16" s="0" t="n">
        <v>589.082</v>
      </c>
      <c r="F16" s="0" t="n">
        <v>-1166.831</v>
      </c>
      <c r="G16" s="0" t="n">
        <v>386.215</v>
      </c>
      <c r="H16" s="0" t="n">
        <f aca="false">E16</f>
        <v>589.082</v>
      </c>
      <c r="I16" s="0" t="n">
        <f aca="false">F16</f>
        <v>-1166.831</v>
      </c>
      <c r="J16" s="0" t="n">
        <f aca="false">AVERAGE(G15,G17)</f>
        <v>364.7365</v>
      </c>
      <c r="U16" s="0" t="s">
        <v>94</v>
      </c>
      <c r="V16" s="0" t="s">
        <v>95</v>
      </c>
      <c r="W16" s="0" t="s">
        <v>121</v>
      </c>
      <c r="X16" s="0" t="s">
        <v>97</v>
      </c>
      <c r="Y16" s="8" t="s">
        <v>98</v>
      </c>
    </row>
    <row r="17" customFormat="false" ht="13.8" hidden="false" customHeight="false" outlineLevel="0" collapsed="false">
      <c r="E17" s="0" t="n">
        <v>572.655</v>
      </c>
      <c r="F17" s="0" t="n">
        <v>-1178.32</v>
      </c>
      <c r="G17" s="0" t="n">
        <v>364.525</v>
      </c>
      <c r="T17" s="0" t="s">
        <v>99</v>
      </c>
      <c r="U17" s="0" t="n">
        <v>1.17</v>
      </c>
      <c r="V17" s="0" t="n">
        <f aca="false">U17-0.00635</f>
        <v>1.16365</v>
      </c>
      <c r="W17" s="0" t="n">
        <f aca="false">V17/16</f>
        <v>0.072728125</v>
      </c>
      <c r="X17" s="0" t="n">
        <f aca="false">W17*1000/25.4</f>
        <v>2.86331200787402</v>
      </c>
    </row>
    <row r="18" customFormat="false" ht="13.8" hidden="false" customHeight="false" outlineLevel="0" collapsed="false">
      <c r="T18" s="0" t="s">
        <v>26</v>
      </c>
      <c r="U18" s="0" t="n">
        <v>0.975</v>
      </c>
      <c r="V18" s="0" t="n">
        <f aca="false">U18-0.00635</f>
        <v>0.96865</v>
      </c>
      <c r="W18" s="0" t="n">
        <f aca="false">V18/16</f>
        <v>0.060540625</v>
      </c>
      <c r="X18" s="0" t="n">
        <f aca="false">W18*1000/25.4</f>
        <v>2.38348917322835</v>
      </c>
    </row>
    <row r="19" customFormat="false" ht="13.8" hidden="false" customHeight="false" outlineLevel="0" collapsed="false">
      <c r="C19" s="0" t="s">
        <v>14</v>
      </c>
      <c r="D19" s="0" t="n">
        <v>3</v>
      </c>
      <c r="E19" s="0" t="n">
        <v>-249.448</v>
      </c>
      <c r="F19" s="0" t="n">
        <v>-1196.863</v>
      </c>
      <c r="G19" s="0" t="n">
        <v>282.651</v>
      </c>
      <c r="T19" s="8" t="s">
        <v>20</v>
      </c>
      <c r="Y19" s="0" t="s">
        <v>100</v>
      </c>
      <c r="Z19" s="0" t="s">
        <v>101</v>
      </c>
    </row>
    <row r="20" customFormat="false" ht="14.9" hidden="false" customHeight="false" outlineLevel="0" collapsed="false">
      <c r="E20" s="0" t="n">
        <v>-263.502</v>
      </c>
      <c r="F20" s="0" t="n">
        <v>-1197.029</v>
      </c>
      <c r="G20" s="0" t="n">
        <v>313.254</v>
      </c>
      <c r="H20" s="0" t="n">
        <f aca="false">E20</f>
        <v>-263.502</v>
      </c>
      <c r="I20" s="0" t="n">
        <f aca="false">F20</f>
        <v>-1197.029</v>
      </c>
      <c r="J20" s="0" t="n">
        <f aca="false">AVERAGE(G19,G21)</f>
        <v>282.4605</v>
      </c>
      <c r="T20" s="0" t="s">
        <v>25</v>
      </c>
      <c r="U20" s="0" t="n">
        <v>1.17</v>
      </c>
      <c r="V20" s="0" t="n">
        <v>19</v>
      </c>
      <c r="W20" s="0" t="n">
        <f aca="false">U20/V20</f>
        <v>0.061578947368421</v>
      </c>
      <c r="Y20" s="5" t="n">
        <v>0.009141</v>
      </c>
      <c r="Z20" s="0" t="n">
        <f aca="false">Y20*100</f>
        <v>0.9141</v>
      </c>
    </row>
    <row r="21" customFormat="false" ht="14.9" hidden="false" customHeight="false" outlineLevel="0" collapsed="false">
      <c r="E21" s="0" t="n">
        <v>-277.657</v>
      </c>
      <c r="F21" s="0" t="n">
        <v>-1190.676</v>
      </c>
      <c r="G21" s="0" t="n">
        <v>282.27</v>
      </c>
      <c r="T21" s="0" t="s">
        <v>26</v>
      </c>
      <c r="U21" s="0" t="n">
        <v>0.975</v>
      </c>
      <c r="V21" s="0" t="n">
        <v>16</v>
      </c>
      <c r="W21" s="0" t="n">
        <f aca="false">U21/V21</f>
        <v>0.0609375</v>
      </c>
      <c r="Y21" s="5" t="n">
        <v>0.007617</v>
      </c>
      <c r="Z21" s="0" t="n">
        <f aca="false">Y21*100</f>
        <v>0.7617</v>
      </c>
      <c r="AE21" s="0" t="n">
        <f aca="false">Y21*4*100</f>
        <v>3.0468</v>
      </c>
    </row>
    <row r="23" customFormat="false" ht="13.8" hidden="false" customHeight="false" outlineLevel="0" collapsed="false">
      <c r="C23" s="0" t="s">
        <v>27</v>
      </c>
      <c r="D23" s="0" t="n">
        <v>3</v>
      </c>
      <c r="E23" s="0" t="n">
        <v>-229.931</v>
      </c>
      <c r="F23" s="0" t="n">
        <v>-1114.505</v>
      </c>
      <c r="G23" s="0" t="n">
        <v>409.609</v>
      </c>
    </row>
    <row r="24" customFormat="false" ht="13.8" hidden="false" customHeight="false" outlineLevel="0" collapsed="false">
      <c r="E24" s="0" t="n">
        <v>-243.407</v>
      </c>
      <c r="F24" s="0" t="n">
        <v>-1120.554</v>
      </c>
      <c r="G24" s="0" t="n">
        <v>440.105</v>
      </c>
      <c r="H24" s="0" t="n">
        <f aca="false">E24</f>
        <v>-243.407</v>
      </c>
      <c r="I24" s="0" t="n">
        <f aca="false">F24</f>
        <v>-1120.554</v>
      </c>
      <c r="J24" s="0" t="n">
        <f aca="false">AVERAGE(G23,G25)</f>
        <v>409.57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3.8" hidden="false" customHeight="false" outlineLevel="0" collapsed="false">
      <c r="E25" s="0" t="n">
        <v>-257.276</v>
      </c>
      <c r="F25" s="0" t="n">
        <v>-1117.063</v>
      </c>
      <c r="G25" s="0" t="n">
        <v>409.531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3.8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3.8" hidden="false" customHeight="false" outlineLevel="0" collapsed="false">
      <c r="C27" s="0" t="s">
        <v>33</v>
      </c>
      <c r="D27" s="0" t="n">
        <v>4</v>
      </c>
      <c r="E27" s="0" t="n">
        <v>-421.84</v>
      </c>
      <c r="F27" s="0" t="n">
        <v>-345.883</v>
      </c>
      <c r="G27" s="0" t="n">
        <v>274.332</v>
      </c>
      <c r="L27" s="0" t="s">
        <v>34</v>
      </c>
      <c r="X27" s="0" t="n">
        <v>1</v>
      </c>
      <c r="Y27" s="0" t="n">
        <f aca="false">X27*25.4/1000</f>
        <v>0.0254</v>
      </c>
    </row>
    <row r="28" customFormat="false" ht="13.8" hidden="false" customHeight="false" outlineLevel="0" collapsed="false">
      <c r="E28" s="0" t="n">
        <v>-416.802</v>
      </c>
      <c r="F28" s="0" t="n">
        <v>-330.82</v>
      </c>
      <c r="G28" s="0" t="n">
        <v>307.654</v>
      </c>
      <c r="H28" s="8" t="n">
        <f aca="false">E28</f>
        <v>-416.802</v>
      </c>
      <c r="I28" s="8" t="n">
        <f aca="false">F28</f>
        <v>-330.82</v>
      </c>
      <c r="J28" s="8" t="n">
        <f aca="false">AVERAGE(G27,G29)</f>
        <v>273.826</v>
      </c>
      <c r="T28" s="0" t="s">
        <v>102</v>
      </c>
    </row>
    <row r="29" customFormat="false" ht="13.8" hidden="false" customHeight="false" outlineLevel="0" collapsed="false">
      <c r="E29" s="0" t="n">
        <v>-422.608</v>
      </c>
      <c r="F29" s="0" t="n">
        <v>-312.811</v>
      </c>
      <c r="G29" s="0" t="n">
        <v>273.32</v>
      </c>
      <c r="T29" s="0" t="n">
        <v>4148</v>
      </c>
      <c r="U29" s="0" t="n">
        <v>3668</v>
      </c>
    </row>
    <row r="30" customFormat="false" ht="13.8" hidden="false" customHeight="false" outlineLevel="0" collapsed="false">
      <c r="T30" s="0" t="n">
        <v>2375</v>
      </c>
      <c r="U30" s="0" t="n">
        <v>4153</v>
      </c>
      <c r="AC30" s="0" t="n">
        <f aca="false">AC25-0.00525</f>
        <v>1.21395</v>
      </c>
    </row>
    <row r="32" customFormat="false" ht="13.8" hidden="false" customHeight="false" outlineLevel="0" collapsed="false">
      <c r="U32" s="9" t="n">
        <v>4</v>
      </c>
      <c r="V32" s="10" t="s">
        <v>33</v>
      </c>
      <c r="W32" s="10"/>
      <c r="X32" s="11" t="n">
        <v>1</v>
      </c>
      <c r="Y32" s="0" t="s">
        <v>103</v>
      </c>
      <c r="Z32" s="0" t="n">
        <v>12470</v>
      </c>
      <c r="AA32" s="0" t="n">
        <v>8279</v>
      </c>
    </row>
    <row r="33" customFormat="false" ht="13.8" hidden="false" customHeight="false" outlineLevel="0" collapsed="false">
      <c r="D33" s="0" t="s">
        <v>37</v>
      </c>
      <c r="E33" s="0" t="s">
        <v>38</v>
      </c>
      <c r="F33" s="0" t="s">
        <v>39</v>
      </c>
      <c r="U33" s="4"/>
      <c r="X33" s="12" t="s">
        <v>9</v>
      </c>
      <c r="Z33" s="0" t="n">
        <v>5235</v>
      </c>
      <c r="AA33" s="0" t="n">
        <v>12471</v>
      </c>
    </row>
    <row r="34" customFormat="false" ht="13.8" hidden="false" customHeight="false" outlineLevel="0" collapsed="false">
      <c r="D34" s="0" t="s">
        <v>9</v>
      </c>
      <c r="U34" s="4"/>
      <c r="X34" s="12"/>
    </row>
    <row r="35" customFormat="false" ht="13.8" hidden="false" customHeight="false" outlineLevel="0" collapsed="false">
      <c r="D35" s="0" t="s">
        <v>13</v>
      </c>
      <c r="G35" s="8" t="s">
        <v>9</v>
      </c>
      <c r="H35" s="0" t="n">
        <f aca="false">H5</f>
        <v>550.233</v>
      </c>
      <c r="I35" s="0" t="n">
        <f aca="false">I5</f>
        <v>-296.64</v>
      </c>
      <c r="J35" s="0" t="n">
        <f aca="false">J5</f>
        <v>282.812</v>
      </c>
      <c r="K35" s="8" t="n">
        <f aca="false">H35-H$41</f>
        <v>967.035</v>
      </c>
      <c r="L35" s="8" t="n">
        <f aca="false">I35-I$41</f>
        <v>34.18</v>
      </c>
      <c r="M35" s="8" t="n">
        <f aca="false">J35-J$41</f>
        <v>8.98599999999999</v>
      </c>
      <c r="U35" s="4"/>
      <c r="X35" s="12"/>
    </row>
    <row r="36" customFormat="false" ht="13.8" hidden="false" customHeight="false" outlineLevel="0" collapsed="false">
      <c r="D36" s="0" t="s">
        <v>14</v>
      </c>
      <c r="G36" s="8" t="s">
        <v>15</v>
      </c>
      <c r="H36" s="0" t="n">
        <f aca="false">H8</f>
        <v>507.827</v>
      </c>
      <c r="I36" s="0" t="n">
        <f aca="false">I8</f>
        <v>-383.107</v>
      </c>
      <c r="J36" s="0" t="n">
        <f aca="false">J8</f>
        <v>352.8305</v>
      </c>
      <c r="K36" s="8" t="n">
        <f aca="false">H36-H$41</f>
        <v>924.629</v>
      </c>
      <c r="L36" s="8" t="n">
        <f aca="false">I36-I$41</f>
        <v>-52.287</v>
      </c>
      <c r="M36" s="8" t="n">
        <f aca="false">J36-J$41</f>
        <v>79.0045</v>
      </c>
      <c r="U36" s="4" t="s">
        <v>14</v>
      </c>
      <c r="X36" s="12"/>
    </row>
    <row r="37" customFormat="false" ht="13.8" hidden="false" customHeight="false" outlineLevel="0" collapsed="false">
      <c r="D37" s="0" t="s">
        <v>33</v>
      </c>
      <c r="G37" s="8" t="s">
        <v>13</v>
      </c>
      <c r="H37" s="0" t="n">
        <f aca="false">H12</f>
        <v>649.979</v>
      </c>
      <c r="I37" s="0" t="n">
        <f aca="false">I12</f>
        <v>-1211.863</v>
      </c>
      <c r="J37" s="0" t="n">
        <f aca="false">J12</f>
        <v>303.829</v>
      </c>
      <c r="K37" s="8" t="n">
        <f aca="false">H37-H$41</f>
        <v>1066.781</v>
      </c>
      <c r="L37" s="8" t="n">
        <f aca="false">I37-I$41</f>
        <v>-881.043</v>
      </c>
      <c r="M37" s="8" t="n">
        <f aca="false">J37-J$41</f>
        <v>30.003</v>
      </c>
      <c r="U37" s="13" t="n">
        <v>3</v>
      </c>
      <c r="V37" s="14"/>
      <c r="W37" s="14" t="s">
        <v>13</v>
      </c>
      <c r="X37" s="15" t="n">
        <v>2</v>
      </c>
      <c r="Y37" s="0" t="s">
        <v>104</v>
      </c>
      <c r="Z37" s="0" t="n">
        <v>4178</v>
      </c>
      <c r="AA37" s="0" t="n">
        <v>2503</v>
      </c>
    </row>
    <row r="38" customFormat="false" ht="13.8" hidden="false" customHeight="false" outlineLevel="0" collapsed="false">
      <c r="G38" s="8" t="s">
        <v>19</v>
      </c>
      <c r="H38" s="0" t="n">
        <f aca="false">H16</f>
        <v>589.082</v>
      </c>
      <c r="I38" s="0" t="n">
        <f aca="false">I16</f>
        <v>-1166.831</v>
      </c>
      <c r="J38" s="0" t="n">
        <f aca="false">J16</f>
        <v>364.7365</v>
      </c>
      <c r="K38" s="8" t="n">
        <f aca="false">H38-H$41</f>
        <v>1005.884</v>
      </c>
      <c r="L38" s="8" t="n">
        <f aca="false">I38-I$41</f>
        <v>-836.011</v>
      </c>
      <c r="M38" s="8" t="n">
        <f aca="false">J38-J$41</f>
        <v>90.9105</v>
      </c>
      <c r="Z38" s="0" t="n">
        <v>3312</v>
      </c>
      <c r="AA38" s="0" t="n">
        <v>4179</v>
      </c>
    </row>
    <row r="39" customFormat="false" ht="13.8" hidden="false" customHeight="false" outlineLevel="0" collapsed="false">
      <c r="G39" s="8" t="s">
        <v>14</v>
      </c>
      <c r="H39" s="0" t="n">
        <f aca="false">H20</f>
        <v>-263.502</v>
      </c>
      <c r="I39" s="0" t="n">
        <f aca="false">I20</f>
        <v>-1197.029</v>
      </c>
      <c r="J39" s="0" t="n">
        <f aca="false">J20</f>
        <v>282.4605</v>
      </c>
      <c r="K39" s="8" t="n">
        <f aca="false">H39-H$41</f>
        <v>153.3</v>
      </c>
      <c r="L39" s="8" t="n">
        <f aca="false">I39-I$41</f>
        <v>-866.209</v>
      </c>
      <c r="M39" s="8" t="n">
        <f aca="false">J39-J$41</f>
        <v>8.6345</v>
      </c>
      <c r="U39" s="0" t="s">
        <v>105</v>
      </c>
    </row>
    <row r="40" customFormat="false" ht="13.8" hidden="false" customHeight="false" outlineLevel="0" collapsed="false">
      <c r="G40" s="8" t="s">
        <v>27</v>
      </c>
      <c r="H40" s="0" t="n">
        <f aca="false">H24</f>
        <v>-243.407</v>
      </c>
      <c r="I40" s="0" t="n">
        <f aca="false">I24</f>
        <v>-1120.554</v>
      </c>
      <c r="J40" s="0" t="n">
        <f aca="false">J24</f>
        <v>409.57</v>
      </c>
      <c r="K40" s="8" t="n">
        <f aca="false">H40-H$41</f>
        <v>173.395</v>
      </c>
      <c r="L40" s="8" t="n">
        <f aca="false">I40-I$41</f>
        <v>-789.734</v>
      </c>
      <c r="M40" s="8" t="n">
        <f aca="false">J40-J$41</f>
        <v>135.744</v>
      </c>
      <c r="U40" s="0" t="n">
        <v>12301</v>
      </c>
      <c r="V40" s="0" t="n">
        <v>7373</v>
      </c>
      <c r="AC40" s="0" t="n">
        <f aca="false">AC25-S74</f>
        <v>1.2192</v>
      </c>
    </row>
    <row r="41" customFormat="false" ht="13.8" hidden="false" customHeight="false" outlineLevel="0" collapsed="false">
      <c r="G41" s="8" t="s">
        <v>33</v>
      </c>
      <c r="H41" s="0" t="n">
        <f aca="false">H28</f>
        <v>-416.802</v>
      </c>
      <c r="I41" s="0" t="n">
        <f aca="false">I28</f>
        <v>-330.82</v>
      </c>
      <c r="J41" s="0" t="n">
        <f aca="false">J28</f>
        <v>273.826</v>
      </c>
      <c r="K41" s="8" t="n">
        <f aca="false">H41-H$41</f>
        <v>0</v>
      </c>
      <c r="L41" s="8" t="n">
        <f aca="false">I41-I$41</f>
        <v>0</v>
      </c>
      <c r="M41" s="8" t="n">
        <f aca="false">J41-J$41</f>
        <v>0</v>
      </c>
      <c r="U41" s="0" t="n">
        <v>4934</v>
      </c>
      <c r="V41" s="0" t="n">
        <v>12302</v>
      </c>
    </row>
    <row r="43" customFormat="false" ht="13.8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3.8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1068.4624</v>
      </c>
      <c r="L44" s="0" t="n">
        <f aca="false">I44-I$41</f>
        <v>1153.865</v>
      </c>
      <c r="M44" s="0" t="n">
        <f aca="false">J44-J$41</f>
        <v>22.4419999999999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W45" s="0" t="n">
        <f aca="false">W43*3</f>
        <v>0.05715</v>
      </c>
    </row>
    <row r="47" customFormat="false" ht="13.8" hidden="false" customHeight="false" outlineLevel="0" collapsed="false">
      <c r="T47" s="0" t="n">
        <f aca="false">R73/1000</f>
        <v>0</v>
      </c>
      <c r="Y47" s="0" t="s">
        <v>127</v>
      </c>
      <c r="Z47" s="19" t="s">
        <v>33</v>
      </c>
      <c r="AA47" s="35" t="s">
        <v>128</v>
      </c>
      <c r="AB47" s="35"/>
      <c r="AC47" s="35"/>
      <c r="AD47" s="0" t="s">
        <v>6</v>
      </c>
      <c r="AE47" s="0" t="s">
        <v>7</v>
      </c>
      <c r="AF47" s="0" t="s">
        <v>8</v>
      </c>
    </row>
    <row r="48" customFormat="false" ht="13.8" hidden="false" customHeight="false" outlineLevel="0" collapsed="false">
      <c r="Z48" s="20" t="n">
        <v>3308</v>
      </c>
      <c r="AA48" s="20" t="n">
        <v>11301</v>
      </c>
      <c r="AB48" s="0" t="s">
        <v>129</v>
      </c>
      <c r="AD48" s="0" t="n">
        <v>0</v>
      </c>
      <c r="AE48" s="0" t="n">
        <v>0</v>
      </c>
      <c r="AF48" s="0" t="n">
        <v>0</v>
      </c>
    </row>
    <row r="49" customFormat="false" ht="13.8" hidden="false" customHeight="false" outlineLevel="0" collapsed="false">
      <c r="G49" s="36" t="s">
        <v>54</v>
      </c>
      <c r="H49" s="36" t="s">
        <v>55</v>
      </c>
      <c r="I49" s="36" t="s">
        <v>56</v>
      </c>
      <c r="J49" s="36" t="s">
        <v>57</v>
      </c>
      <c r="K49" s="36" t="s">
        <v>58</v>
      </c>
      <c r="L49" s="36" t="s">
        <v>59</v>
      </c>
      <c r="Z49" s="20" t="s">
        <v>130</v>
      </c>
      <c r="AA49" s="20" t="n">
        <v>16605</v>
      </c>
    </row>
    <row r="50" customFormat="false" ht="13.8" hidden="false" customHeight="false" outlineLevel="0" collapsed="false">
      <c r="G50" s="17" t="n">
        <f aca="false">SQRT((K35-K37)^2+(L35-L37)^2+(M35-M37)^2)</f>
        <v>920.882250091726</v>
      </c>
      <c r="H50" s="17" t="n">
        <f aca="false">SQRT((K35-K39)^2+(L35-L39)^2+(M35-M39)^2)</f>
        <v>1213.61654780176</v>
      </c>
      <c r="I50" s="17" t="n">
        <f aca="false">SQRT((K35-K41)^2+(L35-L41)^2+(M35-M41)^2)</f>
        <v>967.680583571356</v>
      </c>
      <c r="J50" s="17" t="n">
        <f aca="false">SQRT((K37-K39)^2+(L37-L39)^2+(M37-M39)^2)</f>
        <v>913.851299560957</v>
      </c>
      <c r="K50" s="17" t="n">
        <f aca="false">SQRT((K37-K41)^2+(L37-L41)^2+(M37-M41)^2)</f>
        <v>1383.89257163228</v>
      </c>
      <c r="L50" s="17" t="n">
        <f aca="false">SQRT((K39-K41)^2+(L39-L41)^2+(M39-M41)^2)</f>
        <v>879.712155350402</v>
      </c>
      <c r="X50" s="22"/>
      <c r="Y50" s="10"/>
      <c r="Z50" s="23"/>
      <c r="AC50" s="0" t="s">
        <v>131</v>
      </c>
      <c r="AD50" s="0" t="s">
        <v>12</v>
      </c>
    </row>
    <row r="51" customFormat="false" ht="13.8" hidden="false" customHeight="false" outlineLevel="0" collapsed="false">
      <c r="F51" s="8"/>
      <c r="G51" s="16" t="s">
        <v>60</v>
      </c>
      <c r="H51" s="16" t="s">
        <v>61</v>
      </c>
      <c r="I51" s="16" t="s">
        <v>62</v>
      </c>
      <c r="U51" s="20" t="n">
        <v>11925</v>
      </c>
      <c r="V51" s="20"/>
      <c r="W51" s="20" t="n">
        <v>900</v>
      </c>
      <c r="X51" s="4"/>
      <c r="Y51" s="24"/>
      <c r="Z51" s="12"/>
      <c r="AC51" s="0" t="s">
        <v>124</v>
      </c>
      <c r="AD51" s="0" t="n">
        <f aca="false">AD11/Z20</f>
        <v>2.7786894212887</v>
      </c>
      <c r="AE51" s="0" t="s">
        <v>99</v>
      </c>
      <c r="AF51" s="0" t="n">
        <v>3</v>
      </c>
    </row>
    <row r="52" customFormat="false" ht="14.9" hidden="false" customHeight="false" outlineLevel="0" collapsed="false">
      <c r="G52" s="18" t="n">
        <f aca="false">SQRT((K36-K37)^2+(L36-L37)^2+(M36-M37)^2)</f>
        <v>842.285489393145</v>
      </c>
      <c r="H52" s="18" t="n">
        <f aca="false">SQRT((K36-K39)^2+(L36-L39)^2+(M36-M39)^2)</f>
        <v>1123.55212839681</v>
      </c>
      <c r="I52" s="18" t="n">
        <f aca="false">SQRT((K36-K41)^2+(L36-L41)^2+(M36-M41)^2)</f>
        <v>929.469972097136</v>
      </c>
      <c r="J52" s="0" t="n">
        <f aca="false">SQRT((K37-K39)^2+(L37-L39)^2+(M37-M39)^2)</f>
        <v>913.851299560957</v>
      </c>
      <c r="K52" s="0" t="n">
        <f aca="false">SQRT((K37-K41)^2+(L37-L41)^2+(M37-M41)^2)</f>
        <v>1383.89257163228</v>
      </c>
      <c r="L52" s="0" t="n">
        <f aca="false">SQRT((K39-K41)^2+(L39-L41)^2+(M39-M41)^2)</f>
        <v>879.712155350402</v>
      </c>
      <c r="R52" s="37" t="n">
        <v>-0.837883</v>
      </c>
      <c r="S52" s="17" t="n">
        <v>0</v>
      </c>
      <c r="T52" s="37" t="n">
        <v>0.246797</v>
      </c>
      <c r="U52" s="17"/>
      <c r="V52" s="17" t="n">
        <v>7946</v>
      </c>
      <c r="X52" s="4"/>
      <c r="Y52" s="24"/>
      <c r="Z52" s="12"/>
      <c r="AC52" s="0" t="s">
        <v>125</v>
      </c>
      <c r="AD52" s="0" t="n">
        <f aca="false">AD12/Z21</f>
        <v>2.5009846396219</v>
      </c>
      <c r="AE52" s="0" t="s">
        <v>26</v>
      </c>
      <c r="AF52" s="0" t="n">
        <v>2</v>
      </c>
    </row>
    <row r="53" customFormat="false" ht="13.8" hidden="false" customHeight="false" outlineLevel="0" collapsed="false">
      <c r="G53" s="16" t="s">
        <v>63</v>
      </c>
      <c r="H53" s="8"/>
      <c r="I53" s="8"/>
      <c r="J53" s="16" t="s">
        <v>64</v>
      </c>
      <c r="K53" s="16" t="s">
        <v>65</v>
      </c>
      <c r="R53" s="17"/>
      <c r="S53" s="17"/>
      <c r="T53" s="17"/>
      <c r="U53" s="26" t="s">
        <v>132</v>
      </c>
      <c r="V53" s="26"/>
      <c r="W53" s="26"/>
      <c r="X53" s="4"/>
      <c r="Y53" s="24"/>
      <c r="Z53" s="12"/>
    </row>
    <row r="54" customFormat="false" ht="15" hidden="false" customHeight="false" outlineLevel="0" collapsed="false">
      <c r="G54" s="18" t="n">
        <f aca="false">SQRT((K36-K38)^2+(L36-L38)^2+(M36-M38)^2)</f>
        <v>788.014870441542</v>
      </c>
      <c r="H54" s="0" t="n">
        <f aca="false">SQRT((K36-K39)^2+(L36-L39)^2+(M36-M39)^2)</f>
        <v>1123.55212839681</v>
      </c>
      <c r="I54" s="0" t="n">
        <f aca="false">SQRT((K36-K41)^2+(L36-L41)^2+(M36-M41)^2)</f>
        <v>929.469972097136</v>
      </c>
      <c r="J54" s="18" t="n">
        <f aca="false">SQRT((K38-K39)^2+(L38-L39)^2+(M38-M39)^2)</f>
        <v>857.076855617978</v>
      </c>
      <c r="K54" s="18" t="n">
        <f aca="false">SQRT((K38-K41)^2+(L38-L41)^2+(M38-M41)^2)</f>
        <v>1311.09943657499</v>
      </c>
      <c r="L54" s="0" t="n">
        <f aca="false">SQRT((K39-K41)^2+(L39-L41)^2+(M39-M41)^2)</f>
        <v>879.712155350402</v>
      </c>
      <c r="R54" s="21" t="n">
        <v>-0.8455</v>
      </c>
      <c r="S54" s="18" t="n">
        <v>0</v>
      </c>
      <c r="T54" s="21" t="n">
        <v>0.255897</v>
      </c>
      <c r="U54" s="38" t="s">
        <v>133</v>
      </c>
      <c r="X54" s="4"/>
      <c r="Y54" s="24"/>
      <c r="Z54" s="12"/>
    </row>
    <row r="55" customFormat="false" ht="13.8" hidden="false" customHeight="false" outlineLevel="0" collapsed="false">
      <c r="H55" s="16" t="s">
        <v>67</v>
      </c>
      <c r="I55" s="8"/>
      <c r="J55" s="16" t="s">
        <v>68</v>
      </c>
      <c r="K55" s="8"/>
      <c r="L55" s="16" t="s">
        <v>69</v>
      </c>
      <c r="U55" s="18" t="n">
        <v>11926</v>
      </c>
      <c r="V55" s="17" t="n">
        <v>3553</v>
      </c>
      <c r="W55" s="20" t="n">
        <v>11523</v>
      </c>
      <c r="X55" s="4"/>
      <c r="Y55" s="24"/>
      <c r="Z55" s="12"/>
    </row>
    <row r="56" customFormat="false" ht="13.8" hidden="false" customHeight="false" outlineLevel="0" collapsed="false">
      <c r="G56" s="0" t="n">
        <f aca="false">SQRT((K36-K38)^2+(L36-L38)^2+(M36-M38)^2)</f>
        <v>788.014870441542</v>
      </c>
      <c r="H56" s="18" t="n">
        <f aca="false">SQRT((K36-K40)^2+(L36-L40)^2+(M36-M40)^2)</f>
        <v>1054.22956296304</v>
      </c>
      <c r="I56" s="0" t="n">
        <f aca="false">SQRT((K36-K41)^2+(L36-L41)^2+(M36-M41)^2)</f>
        <v>929.469972097136</v>
      </c>
      <c r="J56" s="18" t="n">
        <f aca="false">SQRT((K38-K40)^2+(L38-L40)^2+(M38-M40)^2)</f>
        <v>834.978765342119</v>
      </c>
      <c r="K56" s="0" t="n">
        <f aca="false">SQRT((K38-K41)^2+(L38-L41)^2+(M38-M41)^2)</f>
        <v>1311.09943657499</v>
      </c>
      <c r="L56" s="18" t="n">
        <f aca="false">SQRT((K40-K41)^2+(L40-L41)^2+(M40-M41)^2)</f>
        <v>819.860994508825</v>
      </c>
      <c r="X56" s="4"/>
      <c r="Y56" s="24"/>
      <c r="Z56" s="12"/>
    </row>
    <row r="57" customFormat="false" ht="13.8" hidden="false" customHeight="false" outlineLevel="0" collapsed="false">
      <c r="X57" s="4"/>
      <c r="Y57" s="24"/>
      <c r="Z57" s="12"/>
    </row>
    <row r="58" customFormat="false" ht="13.8" hidden="false" customHeight="false" outlineLevel="0" collapsed="false">
      <c r="X58" s="4"/>
      <c r="Y58" s="24"/>
      <c r="Z58" s="12"/>
    </row>
    <row r="59" customFormat="false" ht="13.8" hidden="false" customHeight="false" outlineLevel="0" collapsed="false">
      <c r="G59" s="25" t="s">
        <v>72</v>
      </c>
      <c r="H59" s="25"/>
      <c r="I59" s="25"/>
      <c r="J59" s="25"/>
      <c r="T59" s="0" t="s">
        <v>131</v>
      </c>
      <c r="U59" s="0" t="s">
        <v>12</v>
      </c>
      <c r="X59" s="4"/>
      <c r="Y59" s="24"/>
      <c r="Z59" s="12"/>
    </row>
    <row r="60" customFormat="false" ht="13.8" hidden="false" customHeight="false" outlineLevel="0" collapsed="false">
      <c r="T60" s="0" t="s">
        <v>124</v>
      </c>
      <c r="U60" s="0" t="n">
        <f aca="false">AD5/Z21</f>
        <v>3.33464618616253</v>
      </c>
      <c r="V60" s="0" t="s">
        <v>26</v>
      </c>
      <c r="W60" s="0" t="n">
        <v>3</v>
      </c>
      <c r="X60" s="4"/>
      <c r="Y60" s="24"/>
      <c r="Z60" s="12"/>
    </row>
    <row r="61" customFormat="false" ht="13.8" hidden="false" customHeight="false" outlineLevel="0" collapsed="false">
      <c r="T61" s="0" t="s">
        <v>125</v>
      </c>
      <c r="U61" s="0" t="n">
        <f aca="false">AD6/Z20</f>
        <v>2.08401706596652</v>
      </c>
      <c r="V61" s="0" t="s">
        <v>99</v>
      </c>
      <c r="W61" s="0" t="n">
        <v>2</v>
      </c>
      <c r="X61" s="4"/>
      <c r="Y61" s="24"/>
      <c r="Z61" s="12"/>
    </row>
    <row r="62" customFormat="false" ht="13.8" hidden="false" customHeight="false" outlineLevel="0" collapsed="false">
      <c r="X62" s="4"/>
      <c r="Y62" s="24"/>
      <c r="Z62" s="12"/>
    </row>
    <row r="63" customFormat="false" ht="13.8" hidden="false" customHeight="false" outlineLevel="0" collapsed="false">
      <c r="X63" s="4"/>
      <c r="Y63" s="24"/>
      <c r="Z63" s="12"/>
    </row>
    <row r="64" customFormat="false" ht="13.8" hidden="false" customHeight="false" outlineLevel="0" collapsed="false">
      <c r="X64" s="4"/>
      <c r="Y64" s="24"/>
      <c r="Z64" s="12"/>
      <c r="AD64" s="0" t="s">
        <v>6</v>
      </c>
      <c r="AE64" s="0" t="s">
        <v>7</v>
      </c>
      <c r="AF64" s="0" t="s">
        <v>8</v>
      </c>
    </row>
    <row r="65" customFormat="false" ht="13.8" hidden="false" customHeight="false" outlineLevel="0" collapsed="false">
      <c r="X65" s="4"/>
      <c r="Y65" s="24"/>
      <c r="Z65" s="12"/>
      <c r="AA65" s="17" t="n">
        <v>6891</v>
      </c>
      <c r="AB65" s="20" t="n">
        <v>2657</v>
      </c>
      <c r="AC65" s="20" t="n">
        <v>15541</v>
      </c>
    </row>
    <row r="66" customFormat="false" ht="15" hidden="false" customHeight="false" outlineLevel="0" collapsed="false">
      <c r="H66" s="27" t="s">
        <v>73</v>
      </c>
      <c r="I66" s="27"/>
      <c r="K66" s="27" t="s">
        <v>74</v>
      </c>
      <c r="L66" s="27"/>
      <c r="X66" s="4"/>
      <c r="Y66" s="24"/>
      <c r="Z66" s="12"/>
      <c r="AA66" s="17"/>
      <c r="AC66" s="20" t="s">
        <v>134</v>
      </c>
      <c r="AD66" s="39" t="n">
        <v>0.1295</v>
      </c>
      <c r="AE66" s="20" t="n">
        <v>0</v>
      </c>
      <c r="AF66" s="39" t="n">
        <v>0.978007</v>
      </c>
    </row>
    <row r="67" customFormat="false" ht="13.8" hidden="false" customHeight="false" outlineLevel="0" collapsed="false">
      <c r="H67" s="28" t="s">
        <v>75</v>
      </c>
      <c r="I67" s="29" t="s">
        <v>76</v>
      </c>
      <c r="K67" s="28" t="s">
        <v>75</v>
      </c>
      <c r="L67" s="29" t="s">
        <v>76</v>
      </c>
      <c r="Q67" s="7"/>
      <c r="X67" s="4"/>
      <c r="Y67" s="24"/>
      <c r="Z67" s="12"/>
      <c r="AA67" s="40" t="s">
        <v>135</v>
      </c>
      <c r="AB67" s="40"/>
      <c r="AC67" s="33"/>
      <c r="AD67" s="17"/>
      <c r="AE67" s="17"/>
      <c r="AF67" s="17"/>
    </row>
    <row r="68" customFormat="false" ht="15" hidden="false" customHeight="false" outlineLevel="0" collapsed="false">
      <c r="H68" s="28"/>
      <c r="I68" s="29"/>
      <c r="K68" s="28"/>
      <c r="L68" s="29"/>
      <c r="X68" s="4"/>
      <c r="Y68" s="24"/>
      <c r="Z68" s="12"/>
      <c r="AA68" s="17"/>
      <c r="AB68" s="17" t="n">
        <v>10708</v>
      </c>
      <c r="AC68" s="17" t="n">
        <v>12394</v>
      </c>
      <c r="AD68" s="37" t="n">
        <v>0.121883</v>
      </c>
      <c r="AE68" s="17" t="n">
        <v>0</v>
      </c>
      <c r="AF68" s="37" t="n">
        <v>0.968907</v>
      </c>
    </row>
    <row r="69" customFormat="false" ht="13.8" hidden="false" customHeight="false" outlineLevel="0" collapsed="false">
      <c r="H69" s="28" t="s">
        <v>77</v>
      </c>
      <c r="I69" s="29" t="n">
        <v>0.12863</v>
      </c>
      <c r="K69" s="28" t="s">
        <v>77</v>
      </c>
      <c r="L69" s="29" t="n">
        <v>0.124875</v>
      </c>
      <c r="Q69" s="7"/>
      <c r="X69" s="4"/>
      <c r="Y69" s="24"/>
      <c r="Z69" s="12"/>
      <c r="AA69" s="17" t="n">
        <v>6889</v>
      </c>
      <c r="AB69" s="20" t="n">
        <v>9154</v>
      </c>
      <c r="AC69" s="20" t="n">
        <v>16346</v>
      </c>
    </row>
    <row r="70" customFormat="false" ht="13.8" hidden="false" customHeight="false" outlineLevel="0" collapsed="false">
      <c r="H70" s="28" t="s">
        <v>78</v>
      </c>
      <c r="I70" s="29" t="n">
        <v>0.105094</v>
      </c>
      <c r="K70" s="28" t="s">
        <v>78</v>
      </c>
      <c r="L70" s="29" t="n">
        <v>0.10137</v>
      </c>
      <c r="X70" s="6"/>
      <c r="Y70" s="14"/>
      <c r="Z70" s="34"/>
    </row>
    <row r="71" customFormat="false" ht="13.8" hidden="false" customHeight="false" outlineLevel="0" collapsed="false">
      <c r="H71" s="28" t="s">
        <v>79</v>
      </c>
      <c r="I71" s="29" t="n">
        <v>0.13455</v>
      </c>
      <c r="K71" s="28" t="s">
        <v>79</v>
      </c>
      <c r="L71" s="29" t="n">
        <v>0.133829</v>
      </c>
    </row>
    <row r="72" customFormat="false" ht="13.8" hidden="false" customHeight="false" outlineLevel="0" collapsed="false">
      <c r="H72" s="28" t="s">
        <v>80</v>
      </c>
      <c r="I72" s="29" t="n">
        <v>0.133699</v>
      </c>
      <c r="K72" s="28" t="s">
        <v>80</v>
      </c>
      <c r="L72" s="29" t="n">
        <v>0.133418</v>
      </c>
      <c r="AC72" s="0" t="s">
        <v>131</v>
      </c>
      <c r="AD72" s="0" t="s">
        <v>12</v>
      </c>
    </row>
    <row r="73" customFormat="false" ht="14.9" hidden="false" customHeight="false" outlineLevel="0" collapsed="false">
      <c r="H73" s="30" t="s">
        <v>81</v>
      </c>
      <c r="I73" s="31" t="n">
        <v>0.123464</v>
      </c>
      <c r="K73" s="30" t="s">
        <v>81</v>
      </c>
      <c r="L73" s="31" t="n">
        <v>0.118698</v>
      </c>
      <c r="W73" s="17" t="n">
        <v>8408</v>
      </c>
      <c r="X73" s="20" t="n">
        <v>10215</v>
      </c>
      <c r="Y73" s="0" t="s">
        <v>136</v>
      </c>
      <c r="Z73" s="17" t="n">
        <v>2284</v>
      </c>
      <c r="AA73" s="20" t="n">
        <v>2283</v>
      </c>
      <c r="AC73" s="0" t="s">
        <v>124</v>
      </c>
      <c r="AD73" s="0" t="n">
        <f aca="false">AD5/Z21</f>
        <v>3.33464618616253</v>
      </c>
      <c r="AE73" s="0" t="s">
        <v>26</v>
      </c>
      <c r="AF73" s="0" t="n">
        <v>3</v>
      </c>
    </row>
    <row r="74" customFormat="false" ht="13.8" hidden="false" customHeight="false" outlineLevel="0" collapsed="false">
      <c r="J74" s="32" t="s">
        <v>137</v>
      </c>
      <c r="W74" s="20"/>
      <c r="Y74" s="0" t="n">
        <v>10213</v>
      </c>
      <c r="Z74" s="0" t="n">
        <v>10212</v>
      </c>
      <c r="AA74" s="20"/>
      <c r="AC74" s="0" t="s">
        <v>125</v>
      </c>
      <c r="AD74" s="0" t="n">
        <f aca="false">AD6/Z20</f>
        <v>2.08401706596652</v>
      </c>
      <c r="AE74" s="0" t="s">
        <v>99</v>
      </c>
      <c r="AF74" s="0" t="n">
        <v>2</v>
      </c>
    </row>
    <row r="75" customFormat="false" ht="13.8" hidden="false" customHeight="false" outlineLevel="0" collapsed="false">
      <c r="J75" s="32"/>
      <c r="W75" s="17" t="n">
        <v>12131</v>
      </c>
      <c r="X75" s="20" t="n">
        <v>16524</v>
      </c>
      <c r="Z75" s="17" t="s">
        <v>138</v>
      </c>
      <c r="AA75" s="20" t="n">
        <v>15410</v>
      </c>
    </row>
    <row r="76" customFormat="false" ht="13.8" hidden="false" customHeight="false" outlineLevel="0" collapsed="false">
      <c r="J76" s="32"/>
      <c r="W76" s="17"/>
      <c r="X76" s="0" t="s">
        <v>6</v>
      </c>
      <c r="Y76" s="0" t="s">
        <v>7</v>
      </c>
      <c r="Z76" s="0" t="s">
        <v>8</v>
      </c>
    </row>
    <row r="77" customFormat="false" ht="15" hidden="false" customHeight="false" outlineLevel="0" collapsed="false">
      <c r="H77" s="27" t="s">
        <v>85</v>
      </c>
      <c r="I77" s="27"/>
      <c r="K77" s="27" t="s">
        <v>86</v>
      </c>
      <c r="L77" s="27"/>
      <c r="X77" s="37" t="n">
        <v>-0.784562</v>
      </c>
      <c r="Y77" s="17" t="n">
        <v>0</v>
      </c>
      <c r="Z77" s="37" t="n">
        <v>1.151719</v>
      </c>
    </row>
    <row r="78" customFormat="false" ht="13.8" hidden="false" customHeight="false" outlineLevel="0" collapsed="false">
      <c r="H78" s="28" t="s">
        <v>75</v>
      </c>
      <c r="I78" s="29" t="s">
        <v>76</v>
      </c>
      <c r="K78" s="28" t="s">
        <v>75</v>
      </c>
      <c r="L78" s="29" t="s">
        <v>76</v>
      </c>
      <c r="X78" s="17" t="n">
        <f aca="false">(X77+X79)/2</f>
        <v>-0.7807535</v>
      </c>
      <c r="Y78" s="17" t="n">
        <f aca="false">(Y77+Y79)/2</f>
        <v>0</v>
      </c>
      <c r="Z78" s="17" t="n">
        <f aca="false">(Z77+Z79)/2</f>
        <v>1.1608395</v>
      </c>
    </row>
    <row r="79" customFormat="false" ht="15" hidden="false" customHeight="false" outlineLevel="0" collapsed="false">
      <c r="H79" s="28"/>
      <c r="I79" s="29"/>
      <c r="K79" s="28"/>
      <c r="L79" s="29"/>
      <c r="X79" s="41" t="n">
        <v>-0.776945</v>
      </c>
      <c r="Y79" s="42" t="n">
        <v>0</v>
      </c>
      <c r="Z79" s="41" t="n">
        <v>1.16996</v>
      </c>
    </row>
    <row r="80" customFormat="false" ht="13.8" hidden="false" customHeight="false" outlineLevel="0" collapsed="false">
      <c r="H80" s="28" t="s">
        <v>77</v>
      </c>
      <c r="I80" s="29" t="n">
        <v>0.0948299</v>
      </c>
      <c r="K80" s="28" t="s">
        <v>77</v>
      </c>
      <c r="L80" s="29" t="n">
        <v>0.0886146</v>
      </c>
    </row>
    <row r="81" customFormat="false" ht="13.8" hidden="false" customHeight="false" outlineLevel="0" collapsed="false">
      <c r="H81" s="28" t="s">
        <v>78</v>
      </c>
      <c r="I81" s="29" t="n">
        <v>0.07069</v>
      </c>
      <c r="K81" s="28" t="s">
        <v>78</v>
      </c>
      <c r="L81" s="29" t="n">
        <v>0.0630082</v>
      </c>
      <c r="X81" s="0" t="s">
        <v>131</v>
      </c>
      <c r="Y81" s="0" t="s">
        <v>12</v>
      </c>
    </row>
    <row r="82" customFormat="false" ht="13.8" hidden="false" customHeight="false" outlineLevel="0" collapsed="false">
      <c r="H82" s="28" t="s">
        <v>79</v>
      </c>
      <c r="I82" s="29" t="n">
        <v>0.103086</v>
      </c>
      <c r="K82" s="28" t="s">
        <v>79</v>
      </c>
      <c r="L82" s="29" t="n">
        <v>0.0950712</v>
      </c>
      <c r="X82" s="0" t="s">
        <v>124</v>
      </c>
      <c r="Y82" s="0" t="n">
        <f aca="false">AD5/Z20</f>
        <v>2.7786894212887</v>
      </c>
      <c r="Z82" s="0" t="s">
        <v>99</v>
      </c>
      <c r="AA82" s="0" t="n">
        <v>3</v>
      </c>
    </row>
    <row r="83" customFormat="false" ht="13.8" hidden="false" customHeight="false" outlineLevel="0" collapsed="false">
      <c r="H83" s="28" t="s">
        <v>80</v>
      </c>
      <c r="I83" s="29" t="n">
        <v>0.108399</v>
      </c>
      <c r="K83" s="28" t="s">
        <v>80</v>
      </c>
      <c r="L83" s="29" t="n">
        <v>0.100449</v>
      </c>
      <c r="X83" s="0" t="s">
        <v>125</v>
      </c>
      <c r="Y83" s="0" t="n">
        <f aca="false">AD6/Z21</f>
        <v>2.5009846396219</v>
      </c>
      <c r="Z83" s="0" t="s">
        <v>26</v>
      </c>
      <c r="AA83" s="0" t="n">
        <v>2</v>
      </c>
    </row>
    <row r="84" customFormat="false" ht="13.8" hidden="false" customHeight="false" outlineLevel="0" collapsed="false">
      <c r="H84" s="30" t="s">
        <v>81</v>
      </c>
      <c r="I84" s="31" t="n">
        <v>0.11866</v>
      </c>
      <c r="K84" s="30" t="s">
        <v>81</v>
      </c>
      <c r="L84" s="31" t="n">
        <v>0.150563</v>
      </c>
    </row>
  </sheetData>
  <mergeCells count="11">
    <mergeCell ref="AB3:AD3"/>
    <mergeCell ref="AB9:AD9"/>
    <mergeCell ref="AA47:AC47"/>
    <mergeCell ref="U53:V53"/>
    <mergeCell ref="G59:J59"/>
    <mergeCell ref="H66:I66"/>
    <mergeCell ref="K66:L66"/>
    <mergeCell ref="AA67:AB67"/>
    <mergeCell ref="J74:J76"/>
    <mergeCell ref="H77:I77"/>
    <mergeCell ref="K77:L7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73"/>
  <sheetViews>
    <sheetView showFormulas="false" showGridLines="true" showRowColHeaders="true" showZeros="true" rightToLeft="false" tabSelected="false" showOutlineSymbols="true" defaultGridColor="true" view="normal" topLeftCell="L64" colorId="64" zoomScale="100" zoomScaleNormal="100" zoomScalePageLayoutView="100" workbookViewId="0">
      <selection pane="topLeft" activeCell="R83" activeCellId="0" sqref="R83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9" min="4" style="0" width="8.53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true" hidden="false" outlineLevel="0" max="22" min="22" style="0" width="14.57"/>
    <col collapsed="false" customWidth="true" hidden="false" outlineLevel="0" max="23" min="23" style="0" width="20.57"/>
    <col collapsed="false" customWidth="true" hidden="false" outlineLevel="0" max="24" min="24" style="0" width="18.57"/>
    <col collapsed="false" customWidth="true" hidden="false" outlineLevel="0" max="25" min="25" style="0" width="10.57"/>
    <col collapsed="false" customWidth="true" hidden="false" outlineLevel="0" max="1025" min="26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B2" s="0" t="s">
        <v>139</v>
      </c>
      <c r="F2" s="0" t="s">
        <v>1</v>
      </c>
      <c r="I2" s="0" t="s">
        <v>2</v>
      </c>
      <c r="O2" s="0" t="s">
        <v>3</v>
      </c>
    </row>
    <row r="3" customFormat="false" ht="15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5" hidden="false" customHeight="false" outlineLevel="0" collapsed="false">
      <c r="C4" s="0" t="s">
        <v>9</v>
      </c>
      <c r="D4" s="0" t="n">
        <v>1</v>
      </c>
      <c r="E4" s="0" t="n">
        <v>656.908</v>
      </c>
      <c r="F4" s="0" t="n">
        <v>-253.822</v>
      </c>
      <c r="G4" s="0" t="n">
        <v>270.625</v>
      </c>
      <c r="U4" s="0" t="s">
        <v>10</v>
      </c>
      <c r="W4" s="0" t="s">
        <v>11</v>
      </c>
      <c r="X4" s="0" t="s">
        <v>140</v>
      </c>
    </row>
    <row r="5" customFormat="false" ht="13.8" hidden="false" customHeight="false" outlineLevel="0" collapsed="false">
      <c r="E5" s="0" t="n">
        <v>646.093</v>
      </c>
      <c r="F5" s="0" t="n">
        <v>-253.343</v>
      </c>
      <c r="G5" s="0" t="n">
        <v>289.505</v>
      </c>
      <c r="H5" s="0" t="n">
        <v>646.093</v>
      </c>
      <c r="I5" s="0" t="n">
        <v>-253.343</v>
      </c>
      <c r="J5" s="0" t="n">
        <f aca="false">AVERAGE(G4,G6)</f>
        <v>270.347</v>
      </c>
      <c r="U5" s="0" t="s">
        <v>9</v>
      </c>
      <c r="V5" s="0" t="s">
        <v>141</v>
      </c>
      <c r="W5" s="0" t="n">
        <f aca="false">(3-1)*6.5</f>
        <v>13</v>
      </c>
      <c r="X5" s="0" t="n">
        <f aca="false">W5/Y17</f>
        <v>6.8241469816273</v>
      </c>
      <c r="Y5" s="0" t="n">
        <f aca="false">ROUND(X5,0)</f>
        <v>7</v>
      </c>
      <c r="Z5" s="0" t="n">
        <f aca="false">4.47/Y17</f>
        <v>2.34645669291339</v>
      </c>
    </row>
    <row r="6" customFormat="false" ht="15" hidden="false" customHeight="false" outlineLevel="0" collapsed="false">
      <c r="E6" s="0" t="n">
        <v>635.086</v>
      </c>
      <c r="F6" s="0" t="n">
        <v>-251.694</v>
      </c>
      <c r="G6" s="0" t="n">
        <v>270.069</v>
      </c>
      <c r="U6" s="0" t="s">
        <v>13</v>
      </c>
      <c r="V6" s="0" t="s">
        <v>118</v>
      </c>
      <c r="W6" s="0" t="n">
        <f aca="false">(2-1)*6.5</f>
        <v>6.5</v>
      </c>
      <c r="X6" s="0" t="n">
        <f aca="false">W6/Y18</f>
        <v>4.2540137028326</v>
      </c>
      <c r="Y6" s="0" t="n">
        <f aca="false">ROUND(X6,0)</f>
        <v>4</v>
      </c>
    </row>
    <row r="7" customFormat="false" ht="15" hidden="false" customHeight="false" outlineLevel="0" collapsed="false">
      <c r="C7" s="0" t="s">
        <v>15</v>
      </c>
      <c r="D7" s="0" t="n">
        <v>1</v>
      </c>
      <c r="E7" s="0" t="n">
        <v>610.19</v>
      </c>
      <c r="F7" s="0" t="n">
        <v>-338.77</v>
      </c>
      <c r="G7" s="0" t="n">
        <v>359.366</v>
      </c>
      <c r="U7" s="0" t="s">
        <v>14</v>
      </c>
      <c r="V7" s="0" t="s">
        <v>142</v>
      </c>
      <c r="W7" s="0" t="n">
        <f aca="false">(6-1)*6.5</f>
        <v>32.5</v>
      </c>
      <c r="X7" s="0" t="n">
        <f aca="false">W7/Y17</f>
        <v>17.0603674540682</v>
      </c>
      <c r="Y7" s="0" t="n">
        <f aca="false">ROUND(X7,0)</f>
        <v>17</v>
      </c>
    </row>
    <row r="8" customFormat="false" ht="15" hidden="false" customHeight="false" outlineLevel="0" collapsed="false">
      <c r="E8" s="0" t="n">
        <v>649.396</v>
      </c>
      <c r="F8" s="0" t="n">
        <v>-342.342</v>
      </c>
      <c r="G8" s="0" t="n">
        <v>371.402</v>
      </c>
      <c r="H8" s="0" t="n">
        <f aca="false">E8</f>
        <v>649.396</v>
      </c>
      <c r="I8" s="0" t="n">
        <f aca="false">F8</f>
        <v>-342.342</v>
      </c>
      <c r="J8" s="0" t="n">
        <f aca="false">AVERAGE(G7,G9)</f>
        <v>359.626</v>
      </c>
      <c r="U8" s="0" t="s">
        <v>16</v>
      </c>
      <c r="V8" s="0" t="s">
        <v>93</v>
      </c>
      <c r="W8" s="0" t="n">
        <f aca="false">(4-1)*6.5</f>
        <v>19.5</v>
      </c>
      <c r="X8" s="0" t="n">
        <f aca="false">W8/Y18</f>
        <v>12.7620411084978</v>
      </c>
      <c r="Y8" s="0" t="n">
        <f aca="false">ROUND(X8,0)</f>
        <v>13</v>
      </c>
    </row>
    <row r="9" customFormat="false" ht="15" hidden="false" customHeight="false" outlineLevel="0" collapsed="false">
      <c r="E9" s="0" t="n">
        <v>631.595</v>
      </c>
      <c r="F9" s="0" t="n">
        <v>-340.275</v>
      </c>
      <c r="G9" s="0" t="n">
        <v>359.886</v>
      </c>
    </row>
    <row r="10" customFormat="false" ht="13.8" hidden="false" customHeight="false" outlineLevel="0" collapsed="false"/>
    <row r="11" customFormat="false" ht="15" hidden="false" customHeight="false" outlineLevel="0" collapsed="false">
      <c r="C11" s="0" t="s">
        <v>13</v>
      </c>
      <c r="D11" s="0" t="n">
        <v>2</v>
      </c>
      <c r="E11" s="0" t="n">
        <v>732.437</v>
      </c>
      <c r="F11" s="0" t="n">
        <v>-1146.586</v>
      </c>
      <c r="G11" s="0" t="n">
        <v>304.958</v>
      </c>
    </row>
    <row r="12" customFormat="false" ht="15" hidden="false" customHeight="false" outlineLevel="0" collapsed="false">
      <c r="E12" s="0" t="n">
        <v>727.382</v>
      </c>
      <c r="F12" s="0" t="n">
        <v>-1155.845</v>
      </c>
      <c r="G12" s="0" t="n">
        <v>321.912</v>
      </c>
      <c r="H12" s="0" t="n">
        <f aca="false">E12</f>
        <v>727.382</v>
      </c>
      <c r="I12" s="0" t="n">
        <f aca="false">F12</f>
        <v>-1155.845</v>
      </c>
      <c r="J12" s="0" t="n">
        <f aca="false">AVERAGE(G11,G13)</f>
        <v>305.1125</v>
      </c>
      <c r="L12" s="0" t="s">
        <v>17</v>
      </c>
      <c r="S12" s="0" t="s">
        <v>18</v>
      </c>
    </row>
    <row r="13" customFormat="false" ht="15" hidden="false" customHeight="false" outlineLevel="0" collapsed="false">
      <c r="E13" s="0" t="n">
        <v>726.47</v>
      </c>
      <c r="F13" s="0" t="n">
        <v>-1167.847</v>
      </c>
      <c r="G13" s="0" t="n">
        <v>305.267</v>
      </c>
    </row>
    <row r="15" customFormat="false" ht="15.75" hidden="false" customHeight="false" outlineLevel="0" collapsed="false">
      <c r="C15" s="0" t="s">
        <v>19</v>
      </c>
      <c r="D15" s="0" t="n">
        <v>2</v>
      </c>
      <c r="E15" s="0" t="n">
        <v>665.933</v>
      </c>
      <c r="F15" s="0" t="n">
        <v>-1115.831</v>
      </c>
      <c r="G15" s="0" t="n">
        <v>371.296</v>
      </c>
    </row>
    <row r="16" customFormat="false" ht="15" hidden="false" customHeight="false" outlineLevel="0" collapsed="false">
      <c r="E16" s="0" t="n">
        <v>667.966</v>
      </c>
      <c r="F16" s="0" t="n">
        <v>-1125.667</v>
      </c>
      <c r="G16" s="0" t="n">
        <v>391.574</v>
      </c>
      <c r="H16" s="0" t="n">
        <f aca="false">E16</f>
        <v>667.966</v>
      </c>
      <c r="I16" s="0" t="n">
        <f aca="false">F16</f>
        <v>-1125.667</v>
      </c>
      <c r="J16" s="0" t="n">
        <f aca="false">AVERAGE(G15,G17)</f>
        <v>371.455</v>
      </c>
      <c r="T16" s="1" t="s">
        <v>20</v>
      </c>
      <c r="U16" s="2" t="s">
        <v>21</v>
      </c>
      <c r="V16" s="2" t="s">
        <v>22</v>
      </c>
      <c r="W16" s="2" t="s">
        <v>23</v>
      </c>
      <c r="X16" s="3" t="s">
        <v>143</v>
      </c>
      <c r="Y16" s="3"/>
    </row>
    <row r="17" customFormat="false" ht="15" hidden="false" customHeight="false" outlineLevel="0" collapsed="false">
      <c r="E17" s="0" t="n">
        <v>662.62</v>
      </c>
      <c r="F17" s="0" t="n">
        <v>-1136.134</v>
      </c>
      <c r="G17" s="0" t="n">
        <v>371.614</v>
      </c>
      <c r="T17" s="4" t="s">
        <v>25</v>
      </c>
      <c r="U17" s="24" t="n">
        <v>1.2192</v>
      </c>
      <c r="V17" s="24" t="n">
        <v>19</v>
      </c>
      <c r="W17" s="24" t="n">
        <f aca="false">U17/V17</f>
        <v>0.0641684210526316</v>
      </c>
      <c r="X17" s="24" t="n">
        <f aca="false">U17/64</f>
        <v>0.01905</v>
      </c>
      <c r="Y17" s="12" t="n">
        <f aca="false">X17*100</f>
        <v>1.905</v>
      </c>
    </row>
    <row r="18" customFormat="false" ht="15.75" hidden="false" customHeight="false" outlineLevel="0" collapsed="false">
      <c r="T18" s="6" t="s">
        <v>26</v>
      </c>
      <c r="U18" s="14" t="n">
        <v>0.9779</v>
      </c>
      <c r="V18" s="14" t="n">
        <v>16</v>
      </c>
      <c r="W18" s="14" t="n">
        <f aca="false">U18/V18</f>
        <v>0.06111875</v>
      </c>
      <c r="X18" s="14" t="n">
        <f aca="false">U18/64</f>
        <v>0.0152796875</v>
      </c>
      <c r="Y18" s="34" t="n">
        <f aca="false">X18*100</f>
        <v>1.52796875</v>
      </c>
    </row>
    <row r="19" customFormat="false" ht="15" hidden="false" customHeight="false" outlineLevel="0" collapsed="false">
      <c r="C19" s="0" t="s">
        <v>14</v>
      </c>
      <c r="D19" s="0" t="n">
        <v>3</v>
      </c>
      <c r="E19" s="0" t="n">
        <v>-104.242</v>
      </c>
      <c r="F19" s="0" t="n">
        <v>-1202.645</v>
      </c>
      <c r="G19" s="0" t="n">
        <v>285.093</v>
      </c>
    </row>
    <row r="20" customFormat="false" ht="15" hidden="false" customHeight="false" outlineLevel="0" collapsed="false">
      <c r="E20" s="0" t="n">
        <v>-117.495</v>
      </c>
      <c r="F20" s="0" t="n">
        <v>-1203.464</v>
      </c>
      <c r="G20" s="0" t="n">
        <v>296.655</v>
      </c>
      <c r="H20" s="0" t="n">
        <f aca="false">E20</f>
        <v>-117.495</v>
      </c>
      <c r="I20" s="0" t="n">
        <f aca="false">F20</f>
        <v>-1203.464</v>
      </c>
      <c r="J20" s="0" t="n">
        <f aca="false">AVERAGE(G19,G21)</f>
        <v>286.758</v>
      </c>
      <c r="U20" s="0" t="s">
        <v>94</v>
      </c>
      <c r="V20" s="0" t="s">
        <v>95</v>
      </c>
      <c r="W20" s="0" t="s">
        <v>121</v>
      </c>
      <c r="X20" s="0" t="s">
        <v>97</v>
      </c>
    </row>
    <row r="21" customFormat="false" ht="15" hidden="false" customHeight="false" outlineLevel="0" collapsed="false">
      <c r="E21" s="0" t="n">
        <v>-131.977</v>
      </c>
      <c r="F21" s="0" t="n">
        <v>-1200.422</v>
      </c>
      <c r="G21" s="0" t="n">
        <v>288.423</v>
      </c>
      <c r="T21" s="0" t="s">
        <v>99</v>
      </c>
      <c r="U21" s="0" t="n">
        <v>1.2192</v>
      </c>
      <c r="V21" s="0" t="n">
        <f aca="false">U21-0.00635</f>
        <v>1.21285</v>
      </c>
      <c r="W21" s="0" t="n">
        <f aca="false">V21/16</f>
        <v>0.075803125</v>
      </c>
      <c r="X21" s="0" t="n">
        <f aca="false">W21*1000/25.4</f>
        <v>2.984375</v>
      </c>
    </row>
    <row r="22" customFormat="false" ht="15" hidden="false" customHeight="false" outlineLevel="0" collapsed="false">
      <c r="T22" s="0" t="s">
        <v>26</v>
      </c>
      <c r="U22" s="0" t="n">
        <v>0.9779</v>
      </c>
      <c r="V22" s="0" t="n">
        <f aca="false">U22-0.00635</f>
        <v>0.97155</v>
      </c>
      <c r="W22" s="0" t="n">
        <f aca="false">V22/16</f>
        <v>0.060721875</v>
      </c>
      <c r="X22" s="0" t="n">
        <f aca="false">W22*1000/25.4</f>
        <v>2.390625</v>
      </c>
    </row>
    <row r="23" customFormat="false" ht="15" hidden="false" customHeight="false" outlineLevel="0" collapsed="false">
      <c r="C23" s="0" t="s">
        <v>27</v>
      </c>
      <c r="D23" s="0" t="n">
        <v>3</v>
      </c>
      <c r="E23" s="0" t="n">
        <v>-128.659</v>
      </c>
      <c r="F23" s="0" t="n">
        <v>-1071.621</v>
      </c>
      <c r="G23" s="0" t="n">
        <v>369.503</v>
      </c>
    </row>
    <row r="24" customFormat="false" ht="15" hidden="false" customHeight="false" outlineLevel="0" collapsed="false">
      <c r="E24" s="0" t="n">
        <v>-142.009</v>
      </c>
      <c r="F24" s="0" t="n">
        <v>-1068.654</v>
      </c>
      <c r="G24" s="0" t="n">
        <v>370.348</v>
      </c>
      <c r="H24" s="0" t="n">
        <f aca="false">E24</f>
        <v>-142.009</v>
      </c>
      <c r="I24" s="0" t="n">
        <f aca="false">F24</f>
        <v>-1068.654</v>
      </c>
      <c r="J24" s="0" t="n">
        <f aca="false">AVERAGE(G23,G25)</f>
        <v>366.065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5" hidden="false" customHeight="false" outlineLevel="0" collapsed="false">
      <c r="E25" s="0" t="n">
        <v>-154.422</v>
      </c>
      <c r="F25" s="0" t="n">
        <v>-1066.81</v>
      </c>
      <c r="G25" s="0" t="n">
        <v>362.627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5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5" hidden="false" customHeight="false" outlineLevel="0" collapsed="false">
      <c r="C27" s="0" t="s">
        <v>33</v>
      </c>
      <c r="D27" s="0" t="n">
        <v>4</v>
      </c>
      <c r="E27" s="0" t="n">
        <v>-408.031</v>
      </c>
      <c r="F27" s="0" t="n">
        <v>-406.917</v>
      </c>
      <c r="G27" s="0" t="n">
        <v>273.998</v>
      </c>
      <c r="L27" s="0" t="s">
        <v>34</v>
      </c>
      <c r="X27" s="0" t="n">
        <v>1</v>
      </c>
      <c r="Y27" s="0" t="n">
        <f aca="false">X27*25.4/1000</f>
        <v>0.0254</v>
      </c>
    </row>
    <row r="28" customFormat="false" ht="15" hidden="false" customHeight="false" outlineLevel="0" collapsed="false">
      <c r="E28" s="0" t="n">
        <v>-404.927</v>
      </c>
      <c r="F28" s="0" t="n">
        <v>-389.766</v>
      </c>
      <c r="G28" s="0" t="n">
        <v>297.308</v>
      </c>
      <c r="H28" s="8" t="n">
        <f aca="false">E28</f>
        <v>-404.927</v>
      </c>
      <c r="I28" s="8" t="n">
        <f aca="false">F28</f>
        <v>-389.766</v>
      </c>
      <c r="J28" s="8" t="n">
        <f aca="false">AVERAGE(G27,G29)</f>
        <v>273.62355</v>
      </c>
    </row>
    <row r="29" customFormat="false" ht="15" hidden="false" customHeight="false" outlineLevel="0" collapsed="false">
      <c r="E29" s="0" t="n">
        <v>-403.996</v>
      </c>
      <c r="F29" s="0" t="n">
        <v>-376.367</v>
      </c>
      <c r="G29" s="0" t="n">
        <v>273.2491</v>
      </c>
    </row>
    <row r="30" customFormat="false" ht="15" hidden="false" customHeight="false" outlineLevel="0" collapsed="false">
      <c r="AC30" s="0" t="n">
        <f aca="false">AC25-0.00525</f>
        <v>1.21395</v>
      </c>
    </row>
    <row r="31" customFormat="false" ht="15" hidden="false" customHeight="false" outlineLevel="0" collapsed="false">
      <c r="P31" s="0" t="s">
        <v>35</v>
      </c>
    </row>
    <row r="32" customFormat="false" ht="15" hidden="false" customHeight="false" outlineLevel="0" collapsed="false">
      <c r="L32" s="0" t="s">
        <v>36</v>
      </c>
      <c r="U32" s="43"/>
      <c r="V32" s="24"/>
      <c r="W32" s="24" t="n">
        <v>12</v>
      </c>
      <c r="X32" s="43" t="n">
        <v>13</v>
      </c>
      <c r="Y32" s="0" t="s">
        <v>144</v>
      </c>
    </row>
    <row r="33" customFormat="false" ht="13.8" hidden="false" customHeight="false" outlineLevel="0" collapsed="false">
      <c r="D33" s="0" t="s">
        <v>37</v>
      </c>
      <c r="E33" s="0" t="s">
        <v>38</v>
      </c>
      <c r="F33" s="0" t="s">
        <v>39</v>
      </c>
      <c r="M33" s="0" t="s">
        <v>33</v>
      </c>
      <c r="N33" s="0" t="s">
        <v>9</v>
      </c>
      <c r="P33" s="0" t="s">
        <v>9</v>
      </c>
      <c r="Q33" s="7" t="s">
        <v>145</v>
      </c>
      <c r="R33" s="0" t="s">
        <v>41</v>
      </c>
      <c r="U33" s="24"/>
      <c r="V33" s="24"/>
      <c r="W33" s="24" t="n">
        <v>0.794544</v>
      </c>
      <c r="X33" s="24" t="n">
        <v>0.779264</v>
      </c>
      <c r="Y33" s="0" t="n">
        <f aca="false">(W33+X33)/2</f>
        <v>0.786904</v>
      </c>
      <c r="Z33" s="0" t="n">
        <f aca="false">Y25/2</f>
        <v>0.003175</v>
      </c>
    </row>
    <row r="34" customFormat="false" ht="15" hidden="false" customHeight="false" outlineLevel="0" collapsed="false">
      <c r="D34" s="0" t="s">
        <v>9</v>
      </c>
      <c r="M34" s="0" t="s">
        <v>14</v>
      </c>
      <c r="N34" s="0" t="s">
        <v>13</v>
      </c>
      <c r="P34" s="0" t="s">
        <v>13</v>
      </c>
      <c r="Q34" s="0" t="s">
        <v>40</v>
      </c>
      <c r="R34" s="0" t="s">
        <v>43</v>
      </c>
      <c r="U34" s="24"/>
      <c r="V34" s="24"/>
      <c r="W34" s="24"/>
      <c r="X34" s="24"/>
    </row>
    <row r="35" customFormat="false" ht="15" hidden="false" customHeight="false" outlineLevel="0" collapsed="false">
      <c r="D35" s="0" t="s">
        <v>13</v>
      </c>
      <c r="G35" s="8" t="s">
        <v>9</v>
      </c>
      <c r="H35" s="0" t="n">
        <f aca="false">H5</f>
        <v>646.093</v>
      </c>
      <c r="I35" s="0" t="n">
        <f aca="false">I5</f>
        <v>-253.343</v>
      </c>
      <c r="J35" s="0" t="n">
        <f aca="false">J5</f>
        <v>270.347</v>
      </c>
      <c r="K35" s="8" t="n">
        <f aca="false">H35-H$41</f>
        <v>1051.02</v>
      </c>
      <c r="L35" s="8" t="n">
        <f aca="false">I35-I$41</f>
        <v>136.423</v>
      </c>
      <c r="M35" s="8" t="n">
        <f aca="false">J35-J$41</f>
        <v>-3.27655000000004</v>
      </c>
      <c r="P35" s="0" t="s">
        <v>14</v>
      </c>
      <c r="Q35" s="7" t="s">
        <v>146</v>
      </c>
      <c r="R35" s="0" t="s">
        <v>41</v>
      </c>
      <c r="U35" s="24"/>
      <c r="V35" s="24"/>
      <c r="W35" s="24" t="n">
        <v>16</v>
      </c>
      <c r="X35" s="24" t="n">
        <v>18</v>
      </c>
    </row>
    <row r="36" customFormat="false" ht="15" hidden="false" customHeight="false" outlineLevel="0" collapsed="false">
      <c r="D36" s="0" t="s">
        <v>14</v>
      </c>
      <c r="G36" s="8" t="s">
        <v>15</v>
      </c>
      <c r="H36" s="0" t="n">
        <f aca="false">H8</f>
        <v>649.396</v>
      </c>
      <c r="I36" s="0" t="n">
        <f aca="false">I8</f>
        <v>-342.342</v>
      </c>
      <c r="J36" s="0" t="n">
        <f aca="false">J8</f>
        <v>359.626</v>
      </c>
      <c r="K36" s="8" t="n">
        <f aca="false">H36-H$41</f>
        <v>1054.323</v>
      </c>
      <c r="L36" s="8" t="n">
        <f aca="false">I36-I$41</f>
        <v>47.424</v>
      </c>
      <c r="M36" s="8" t="n">
        <f aca="false">J36-J$41</f>
        <v>86.00245</v>
      </c>
      <c r="P36" s="0" t="s">
        <v>33</v>
      </c>
      <c r="Q36" s="0" t="s">
        <v>147</v>
      </c>
      <c r="R36" s="0" t="s">
        <v>46</v>
      </c>
      <c r="U36" s="24"/>
      <c r="V36" s="24"/>
      <c r="W36" s="5" t="n">
        <v>-0.7869</v>
      </c>
      <c r="X36" s="5" t="n">
        <v>-0.77162</v>
      </c>
      <c r="Y36" s="0" t="n">
        <f aca="false">(W36+X36)/2</f>
        <v>-0.77926</v>
      </c>
      <c r="Z36" s="5" t="n">
        <v>0.32067</v>
      </c>
    </row>
    <row r="37" customFormat="false" ht="15" hidden="false" customHeight="false" outlineLevel="0" collapsed="false">
      <c r="D37" s="0" t="s">
        <v>33</v>
      </c>
      <c r="G37" s="8" t="s">
        <v>13</v>
      </c>
      <c r="H37" s="0" t="n">
        <f aca="false">H12</f>
        <v>727.382</v>
      </c>
      <c r="I37" s="0" t="n">
        <f aca="false">I12</f>
        <v>-1155.845</v>
      </c>
      <c r="J37" s="0" t="n">
        <f aca="false">J12</f>
        <v>305.1125</v>
      </c>
      <c r="K37" s="8" t="n">
        <f aca="false">H37-H$41</f>
        <v>1132.309</v>
      </c>
      <c r="L37" s="8" t="n">
        <f aca="false">I37-I$41</f>
        <v>-766.079</v>
      </c>
      <c r="M37" s="8" t="n">
        <f aca="false">J37-J$41</f>
        <v>31.48895</v>
      </c>
      <c r="U37" s="43"/>
      <c r="V37" s="24"/>
      <c r="W37" s="24"/>
      <c r="X37" s="43"/>
    </row>
    <row r="38" customFormat="false" ht="15" hidden="false" customHeight="false" outlineLevel="0" collapsed="false">
      <c r="G38" s="8" t="s">
        <v>19</v>
      </c>
      <c r="H38" s="0" t="n">
        <f aca="false">H16</f>
        <v>667.966</v>
      </c>
      <c r="I38" s="0" t="n">
        <f aca="false">I16</f>
        <v>-1125.667</v>
      </c>
      <c r="J38" s="0" t="n">
        <f aca="false">J16</f>
        <v>371.455</v>
      </c>
      <c r="K38" s="8" t="n">
        <f aca="false">H38-H$41</f>
        <v>1072.893</v>
      </c>
      <c r="L38" s="8" t="n">
        <f aca="false">I38-I$41</f>
        <v>-735.901</v>
      </c>
      <c r="M38" s="8" t="n">
        <f aca="false">J38-J$41</f>
        <v>97.83145</v>
      </c>
      <c r="Q38" s="0" t="s">
        <v>47</v>
      </c>
      <c r="R38" s="0" t="s">
        <v>48</v>
      </c>
      <c r="S38" s="0" t="s">
        <v>49</v>
      </c>
    </row>
    <row r="39" customFormat="false" ht="15" hidden="false" customHeight="false" outlineLevel="0" collapsed="false">
      <c r="G39" s="8" t="s">
        <v>14</v>
      </c>
      <c r="H39" s="0" t="n">
        <f aca="false">H20</f>
        <v>-117.495</v>
      </c>
      <c r="I39" s="0" t="n">
        <f aca="false">I20</f>
        <v>-1203.464</v>
      </c>
      <c r="J39" s="0" t="n">
        <f aca="false">J20</f>
        <v>286.758</v>
      </c>
      <c r="K39" s="8" t="n">
        <f aca="false">H39-H$41</f>
        <v>287.432</v>
      </c>
      <c r="L39" s="8" t="n">
        <f aca="false">I39-I$41</f>
        <v>-813.698</v>
      </c>
      <c r="M39" s="8" t="n">
        <f aca="false">J39-J$41</f>
        <v>13.13445</v>
      </c>
      <c r="P39" s="0" t="s">
        <v>9</v>
      </c>
      <c r="Q39" s="0" t="n">
        <v>0.18336</v>
      </c>
      <c r="R39" s="0" t="n">
        <v>0</v>
      </c>
      <c r="S39" s="0" t="n">
        <v>1.092195</v>
      </c>
    </row>
    <row r="40" customFormat="false" ht="15" hidden="false" customHeight="false" outlineLevel="0" collapsed="false">
      <c r="G40" s="8" t="s">
        <v>27</v>
      </c>
      <c r="H40" s="0" t="n">
        <f aca="false">H24</f>
        <v>-142.009</v>
      </c>
      <c r="I40" s="0" t="n">
        <f aca="false">I24</f>
        <v>-1068.654</v>
      </c>
      <c r="J40" s="0" t="n">
        <f aca="false">J24</f>
        <v>366.065</v>
      </c>
      <c r="K40" s="8" t="n">
        <f aca="false">H40-H$41</f>
        <v>262.918</v>
      </c>
      <c r="L40" s="8" t="n">
        <f aca="false">I40-I$41</f>
        <v>-678.888</v>
      </c>
      <c r="M40" s="8" t="n">
        <f aca="false">J40-J$41</f>
        <v>92.44145</v>
      </c>
      <c r="P40" s="0" t="s">
        <v>13</v>
      </c>
      <c r="Q40" s="0" t="n">
        <v>-0.718141</v>
      </c>
      <c r="R40" s="0" t="n">
        <v>0</v>
      </c>
      <c r="S40" s="0" t="n">
        <v>1.206495</v>
      </c>
      <c r="AC40" s="0" t="n">
        <f aca="false">AC25-S40</f>
        <v>0.012705</v>
      </c>
    </row>
    <row r="41" customFormat="false" ht="15" hidden="false" customHeight="false" outlineLevel="0" collapsed="false">
      <c r="G41" s="8" t="s">
        <v>33</v>
      </c>
      <c r="H41" s="0" t="n">
        <f aca="false">H28</f>
        <v>-404.927</v>
      </c>
      <c r="I41" s="0" t="n">
        <f aca="false">I28</f>
        <v>-389.766</v>
      </c>
      <c r="J41" s="0" t="n">
        <f aca="false">J28</f>
        <v>273.62355</v>
      </c>
      <c r="K41" s="8" t="n">
        <f aca="false">H41-H$41</f>
        <v>0</v>
      </c>
      <c r="L41" s="8" t="n">
        <f aca="false">I41-I$41</f>
        <v>0</v>
      </c>
      <c r="M41" s="8" t="n">
        <f aca="false">J41-J$41</f>
        <v>0</v>
      </c>
      <c r="P41" s="0" t="s">
        <v>14</v>
      </c>
      <c r="Q41" s="0" t="n">
        <v>-0.77926</v>
      </c>
      <c r="R41" s="0" t="n">
        <v>0</v>
      </c>
      <c r="S41" s="0" t="n">
        <v>0.32067</v>
      </c>
    </row>
    <row r="42" customFormat="false" ht="15" hidden="false" customHeight="false" outlineLevel="0" collapsed="false">
      <c r="P42" s="0" t="s">
        <v>33</v>
      </c>
      <c r="Q42" s="0" t="n">
        <v>0</v>
      </c>
      <c r="R42" s="0" t="n">
        <v>0</v>
      </c>
      <c r="S42" s="0" t="n">
        <v>0</v>
      </c>
    </row>
    <row r="43" customFormat="false" ht="15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5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1056.5874</v>
      </c>
      <c r="L44" s="0" t="n">
        <f aca="false">I44-I$41</f>
        <v>1212.811</v>
      </c>
      <c r="M44" s="0" t="n">
        <f aca="false">J44-J$41</f>
        <v>22.6444499999999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53</v>
      </c>
      <c r="Q45" s="0" t="n">
        <v>-0.763984</v>
      </c>
      <c r="R45" s="0" t="n">
        <v>0</v>
      </c>
      <c r="S45" s="35" t="n">
        <f aca="false">Y25/2</f>
        <v>0.003175</v>
      </c>
      <c r="W45" s="0" t="n">
        <f aca="false">W43*3</f>
        <v>0.05715</v>
      </c>
    </row>
    <row r="47" customFormat="false" ht="13.8" hidden="false" customHeight="false" outlineLevel="0" collapsed="false">
      <c r="P47" s="0" t="s">
        <v>9</v>
      </c>
      <c r="Q47" s="0" t="n">
        <f aca="false">U22+Q45</f>
        <v>0.213916</v>
      </c>
      <c r="X47" s="19" t="s">
        <v>33</v>
      </c>
    </row>
    <row r="48" customFormat="false" ht="15" hidden="false" customHeight="false" outlineLevel="0" collapsed="false">
      <c r="P48" s="0" t="s">
        <v>13</v>
      </c>
      <c r="X48" s="0" t="s">
        <v>148</v>
      </c>
    </row>
    <row r="49" customFormat="false" ht="15.75" hidden="false" customHeight="false" outlineLevel="0" collapsed="false">
      <c r="P49" s="0" t="s">
        <v>14</v>
      </c>
      <c r="X49" s="0" t="s">
        <v>149</v>
      </c>
    </row>
    <row r="50" customFormat="false" ht="15" hidden="false" customHeight="false" outlineLevel="0" collapsed="false">
      <c r="P50" s="0" t="s">
        <v>33</v>
      </c>
      <c r="V50" s="22"/>
      <c r="W50" s="10"/>
      <c r="X50" s="23"/>
    </row>
    <row r="51" customFormat="false" ht="15" hidden="false" customHeight="false" outlineLevel="0" collapsed="false">
      <c r="V51" s="4"/>
      <c r="W51" s="24"/>
      <c r="X51" s="12"/>
    </row>
    <row r="52" customFormat="false" ht="15" hidden="false" customHeight="false" outlineLevel="0" collapsed="false">
      <c r="V52" s="4"/>
      <c r="W52" s="24"/>
      <c r="X52" s="12"/>
    </row>
    <row r="53" customFormat="false" ht="15" hidden="false" customHeight="false" outlineLevel="0" collapsed="false">
      <c r="T53" s="26" t="s">
        <v>14</v>
      </c>
      <c r="U53" s="26"/>
      <c r="V53" s="4"/>
      <c r="W53" s="24"/>
      <c r="X53" s="12"/>
    </row>
    <row r="54" customFormat="false" ht="15" hidden="false" customHeight="false" outlineLevel="0" collapsed="false">
      <c r="T54" s="0" t="n">
        <v>4081</v>
      </c>
      <c r="U54" s="0" t="n">
        <v>2168</v>
      </c>
      <c r="V54" s="4"/>
      <c r="W54" s="24"/>
      <c r="X54" s="12"/>
    </row>
    <row r="55" customFormat="false" ht="15" hidden="false" customHeight="false" outlineLevel="0" collapsed="false">
      <c r="T55" s="0" t="n">
        <v>1017</v>
      </c>
      <c r="U55" s="0" t="n">
        <v>2166</v>
      </c>
      <c r="V55" s="4"/>
      <c r="W55" s="24"/>
      <c r="X55" s="12"/>
    </row>
    <row r="56" customFormat="false" ht="15" hidden="false" customHeight="false" outlineLevel="0" collapsed="false">
      <c r="V56" s="4"/>
      <c r="W56" s="24"/>
      <c r="X56" s="12"/>
    </row>
    <row r="57" customFormat="false" ht="15" hidden="false" customHeight="false" outlineLevel="0" collapsed="false">
      <c r="V57" s="4"/>
      <c r="W57" s="24"/>
      <c r="X57" s="12"/>
    </row>
    <row r="58" customFormat="false" ht="15" hidden="false" customHeight="false" outlineLevel="0" collapsed="false">
      <c r="V58" s="4"/>
      <c r="W58" s="24"/>
      <c r="X58" s="12"/>
    </row>
    <row r="59" customFormat="false" ht="15" hidden="false" customHeight="false" outlineLevel="0" collapsed="false">
      <c r="V59" s="4"/>
      <c r="W59" s="24"/>
      <c r="X59" s="12"/>
    </row>
    <row r="60" customFormat="false" ht="15" hidden="false" customHeight="false" outlineLevel="0" collapsed="false">
      <c r="V60" s="4"/>
      <c r="W60" s="24"/>
      <c r="X60" s="12"/>
    </row>
    <row r="61" customFormat="false" ht="15" hidden="false" customHeight="false" outlineLevel="0" collapsed="false">
      <c r="V61" s="4"/>
      <c r="W61" s="24"/>
      <c r="X61" s="12"/>
    </row>
    <row r="62" customFormat="false" ht="15" hidden="false" customHeight="false" outlineLevel="0" collapsed="false">
      <c r="V62" s="4"/>
      <c r="W62" s="24"/>
      <c r="X62" s="12"/>
    </row>
    <row r="63" customFormat="false" ht="15" hidden="false" customHeight="false" outlineLevel="0" collapsed="false">
      <c r="V63" s="4"/>
      <c r="W63" s="24"/>
      <c r="X63" s="12"/>
    </row>
    <row r="64" customFormat="false" ht="15" hidden="false" customHeight="false" outlineLevel="0" collapsed="false">
      <c r="V64" s="4"/>
      <c r="W64" s="24"/>
      <c r="X64" s="12"/>
    </row>
    <row r="65" customFormat="false" ht="15" hidden="false" customHeight="false" outlineLevel="0" collapsed="false">
      <c r="V65" s="4"/>
      <c r="W65" s="24"/>
      <c r="X65" s="12"/>
    </row>
    <row r="66" customFormat="false" ht="15" hidden="false" customHeight="false" outlineLevel="0" collapsed="false">
      <c r="V66" s="4"/>
      <c r="W66" s="24"/>
      <c r="X66" s="12"/>
    </row>
    <row r="67" customFormat="false" ht="15" hidden="false" customHeight="false" outlineLevel="0" collapsed="false">
      <c r="V67" s="4"/>
      <c r="W67" s="24"/>
      <c r="X67" s="12"/>
      <c r="Y67" s="33" t="s">
        <v>9</v>
      </c>
      <c r="Z67" s="33"/>
    </row>
    <row r="68" customFormat="false" ht="15" hidden="false" customHeight="false" outlineLevel="0" collapsed="false">
      <c r="V68" s="4"/>
      <c r="W68" s="24"/>
      <c r="X68" s="12"/>
      <c r="Y68" s="0" t="n">
        <v>3776</v>
      </c>
      <c r="Z68" s="0" t="n">
        <v>80</v>
      </c>
    </row>
    <row r="69" customFormat="false" ht="15" hidden="false" customHeight="false" outlineLevel="0" collapsed="false">
      <c r="V69" s="4"/>
      <c r="W69" s="24"/>
      <c r="X69" s="12"/>
      <c r="Y69" s="0" t="n">
        <v>3775</v>
      </c>
      <c r="Z69" s="0" t="n">
        <v>4217</v>
      </c>
    </row>
    <row r="70" customFormat="false" ht="15.75" hidden="false" customHeight="false" outlineLevel="0" collapsed="false">
      <c r="V70" s="6"/>
      <c r="W70" s="14"/>
      <c r="X70" s="34"/>
    </row>
    <row r="71" customFormat="false" ht="15" hidden="false" customHeight="false" outlineLevel="0" collapsed="false">
      <c r="V71" s="0" t="s">
        <v>150</v>
      </c>
    </row>
    <row r="72" customFormat="false" ht="15" hidden="false" customHeight="false" outlineLevel="0" collapsed="false">
      <c r="V72" s="0" t="s">
        <v>151</v>
      </c>
    </row>
    <row r="73" customFormat="false" ht="15" hidden="false" customHeight="false" outlineLevel="0" collapsed="false">
      <c r="V73" s="19" t="s">
        <v>13</v>
      </c>
    </row>
  </sheetData>
  <mergeCells count="3">
    <mergeCell ref="X16:Y16"/>
    <mergeCell ref="T53:U53"/>
    <mergeCell ref="Y67:Z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85"/>
  <sheetViews>
    <sheetView showFormulas="false" showGridLines="true" showRowColHeaders="true" showZeros="true" rightToLeft="false" tabSelected="false" showOutlineSymbols="true" defaultGridColor="true" view="normal" topLeftCell="C52" colorId="64" zoomScale="100" zoomScaleNormal="100" zoomScalePageLayoutView="100" workbookViewId="0">
      <selection pane="topLeft" activeCell="H78" activeCellId="0" sqref="H78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85"/>
    <col collapsed="false" customWidth="true" hidden="false" outlineLevel="0" max="17" min="4" style="0" width="8.53"/>
    <col collapsed="false" customWidth="true" hidden="false" outlineLevel="0" max="18" min="18" style="0" width="9.28"/>
    <col collapsed="false" customWidth="true" hidden="false" outlineLevel="0" max="19" min="19" style="0" width="9.08"/>
    <col collapsed="false" customWidth="true" hidden="false" outlineLevel="0" max="20" min="20" style="0" width="11.57"/>
    <col collapsed="false" customWidth="true" hidden="false" outlineLevel="0" max="21" min="21" style="0" width="8.53"/>
    <col collapsed="false" customWidth="true" hidden="false" outlineLevel="0" max="22" min="22" style="0" width="13.3"/>
    <col collapsed="false" customWidth="true" hidden="false" outlineLevel="0" max="23" min="23" style="0" width="10.83"/>
    <col collapsed="false" customWidth="true" hidden="false" outlineLevel="0" max="24" min="24" style="0" width="9.59"/>
    <col collapsed="false" customWidth="true" hidden="false" outlineLevel="0" max="25" min="25" style="0" width="8.55"/>
    <col collapsed="false" customWidth="true" hidden="false" outlineLevel="0" max="1025" min="26" style="0" width="8.53"/>
  </cols>
  <sheetData>
    <row r="2" customFormat="false" ht="13.8" hidden="false" customHeight="false" outlineLevel="0" collapsed="false">
      <c r="B2" s="0" t="s">
        <v>139</v>
      </c>
      <c r="F2" s="0" t="s">
        <v>1</v>
      </c>
      <c r="I2" s="0" t="s">
        <v>2</v>
      </c>
      <c r="O2" s="0" t="s">
        <v>3</v>
      </c>
    </row>
    <row r="3" customFormat="false" ht="13.8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</row>
    <row r="4" customFormat="false" ht="13.8" hidden="false" customHeight="false" outlineLevel="0" collapsed="false">
      <c r="C4" s="0" t="s">
        <v>9</v>
      </c>
      <c r="D4" s="0" t="n">
        <v>1</v>
      </c>
      <c r="E4" s="0" t="n">
        <v>656.908</v>
      </c>
      <c r="F4" s="0" t="n">
        <v>-253.822</v>
      </c>
      <c r="G4" s="0" t="n">
        <v>270.625</v>
      </c>
      <c r="U4" s="0" t="s">
        <v>10</v>
      </c>
      <c r="W4" s="0" t="s">
        <v>11</v>
      </c>
      <c r="X4" s="0" t="s">
        <v>140</v>
      </c>
    </row>
    <row r="5" customFormat="false" ht="13.8" hidden="false" customHeight="false" outlineLevel="0" collapsed="false">
      <c r="E5" s="0" t="n">
        <v>646.093</v>
      </c>
      <c r="F5" s="0" t="n">
        <v>-253.343</v>
      </c>
      <c r="G5" s="0" t="n">
        <v>289.505</v>
      </c>
      <c r="H5" s="0" t="n">
        <v>646.093</v>
      </c>
      <c r="I5" s="0" t="n">
        <v>-253.343</v>
      </c>
      <c r="J5" s="0" t="n">
        <f aca="false">AVERAGE(G4,G6)</f>
        <v>270.347</v>
      </c>
      <c r="U5" s="0" t="s">
        <v>9</v>
      </c>
      <c r="V5" s="0" t="s">
        <v>141</v>
      </c>
      <c r="W5" s="0" t="n">
        <f aca="false">(3-1)*6.5</f>
        <v>13</v>
      </c>
      <c r="X5" s="0" t="n">
        <f aca="false">W5/Y17</f>
        <v>14.2216387703752</v>
      </c>
    </row>
    <row r="6" customFormat="false" ht="13.8" hidden="false" customHeight="false" outlineLevel="0" collapsed="false">
      <c r="E6" s="0" t="n">
        <v>635.086</v>
      </c>
      <c r="F6" s="0" t="n">
        <v>-251.694</v>
      </c>
      <c r="G6" s="0" t="n">
        <v>270.069</v>
      </c>
      <c r="U6" s="0" t="s">
        <v>13</v>
      </c>
      <c r="V6" s="0" t="s">
        <v>118</v>
      </c>
      <c r="W6" s="0" t="n">
        <f aca="false">(2-1)*6.5</f>
        <v>6.5</v>
      </c>
      <c r="X6" s="0" t="n">
        <f aca="false">W6/Y18</f>
        <v>8.53354338978601</v>
      </c>
    </row>
    <row r="7" customFormat="false" ht="13.8" hidden="false" customHeight="false" outlineLevel="0" collapsed="false">
      <c r="C7" s="0" t="s">
        <v>15</v>
      </c>
      <c r="D7" s="0" t="n">
        <v>1</v>
      </c>
      <c r="E7" s="0" t="n">
        <v>610.19</v>
      </c>
      <c r="F7" s="0" t="n">
        <v>-338.77</v>
      </c>
      <c r="G7" s="0" t="n">
        <v>359.366</v>
      </c>
      <c r="U7" s="0" t="s">
        <v>14</v>
      </c>
      <c r="V7" s="0" t="s">
        <v>142</v>
      </c>
      <c r="W7" s="0" t="n">
        <f aca="false">(6-1)*6.5</f>
        <v>32.5</v>
      </c>
      <c r="X7" s="0" t="n">
        <f aca="false">W7/Y17</f>
        <v>35.5540969259381</v>
      </c>
    </row>
    <row r="8" customFormat="false" ht="13.8" hidden="false" customHeight="false" outlineLevel="0" collapsed="false">
      <c r="E8" s="0" t="n">
        <v>649.396</v>
      </c>
      <c r="F8" s="0" t="n">
        <v>-342.342</v>
      </c>
      <c r="G8" s="0" t="n">
        <v>371.402</v>
      </c>
      <c r="H8" s="0" t="n">
        <f aca="false">E8</f>
        <v>649.396</v>
      </c>
      <c r="I8" s="0" t="n">
        <f aca="false">F8</f>
        <v>-342.342</v>
      </c>
      <c r="J8" s="0" t="n">
        <f aca="false">AVERAGE(G7,G9)</f>
        <v>359.626</v>
      </c>
      <c r="U8" s="0" t="s">
        <v>16</v>
      </c>
      <c r="V8" s="0" t="s">
        <v>93</v>
      </c>
      <c r="W8" s="0" t="n">
        <f aca="false">(4-1)*6.5</f>
        <v>19.5</v>
      </c>
      <c r="X8" s="0" t="n">
        <f aca="false">W8/Y18</f>
        <v>25.600630169358</v>
      </c>
    </row>
    <row r="9" customFormat="false" ht="13.8" hidden="false" customHeight="false" outlineLevel="0" collapsed="false">
      <c r="E9" s="0" t="n">
        <v>631.595</v>
      </c>
      <c r="F9" s="0" t="n">
        <v>-340.275</v>
      </c>
      <c r="G9" s="0" t="n">
        <v>359.886</v>
      </c>
    </row>
    <row r="11" customFormat="false" ht="13.8" hidden="false" customHeight="false" outlineLevel="0" collapsed="false">
      <c r="C11" s="0" t="s">
        <v>13</v>
      </c>
      <c r="D11" s="0" t="n">
        <v>2</v>
      </c>
      <c r="E11" s="0" t="n">
        <v>732.437</v>
      </c>
      <c r="F11" s="0" t="n">
        <v>-1146.586</v>
      </c>
      <c r="G11" s="0" t="n">
        <v>304.958</v>
      </c>
    </row>
    <row r="12" customFormat="false" ht="13.8" hidden="false" customHeight="false" outlineLevel="0" collapsed="false">
      <c r="E12" s="0" t="n">
        <v>727.382</v>
      </c>
      <c r="F12" s="0" t="n">
        <v>-1155.845</v>
      </c>
      <c r="G12" s="0" t="n">
        <v>321.912</v>
      </c>
      <c r="H12" s="0" t="n">
        <f aca="false">E12</f>
        <v>727.382</v>
      </c>
      <c r="I12" s="0" t="n">
        <f aca="false">F12</f>
        <v>-1155.845</v>
      </c>
      <c r="J12" s="0" t="n">
        <f aca="false">AVERAGE(G11,G13)</f>
        <v>305.1125</v>
      </c>
      <c r="L12" s="0" t="s">
        <v>17</v>
      </c>
      <c r="S12" s="0" t="s">
        <v>18</v>
      </c>
    </row>
    <row r="13" customFormat="false" ht="13.8" hidden="false" customHeight="false" outlineLevel="0" collapsed="false">
      <c r="E13" s="0" t="n">
        <v>726.47</v>
      </c>
      <c r="F13" s="0" t="n">
        <v>-1167.847</v>
      </c>
      <c r="G13" s="0" t="n">
        <v>305.267</v>
      </c>
    </row>
    <row r="15" customFormat="false" ht="13.8" hidden="false" customHeight="false" outlineLevel="0" collapsed="false">
      <c r="C15" s="0" t="s">
        <v>19</v>
      </c>
      <c r="D15" s="0" t="n">
        <v>2</v>
      </c>
      <c r="E15" s="0" t="n">
        <v>665.933</v>
      </c>
      <c r="F15" s="0" t="n">
        <v>-1115.831</v>
      </c>
      <c r="G15" s="0" t="n">
        <v>371.296</v>
      </c>
    </row>
    <row r="16" customFormat="false" ht="13.8" hidden="false" customHeight="false" outlineLevel="0" collapsed="false">
      <c r="E16" s="0" t="n">
        <v>667.966</v>
      </c>
      <c r="F16" s="0" t="n">
        <v>-1125.667</v>
      </c>
      <c r="G16" s="0" t="n">
        <v>391.574</v>
      </c>
      <c r="H16" s="0" t="n">
        <f aca="false">E16</f>
        <v>667.966</v>
      </c>
      <c r="I16" s="0" t="n">
        <f aca="false">F16</f>
        <v>-1125.667</v>
      </c>
      <c r="J16" s="0" t="n">
        <f aca="false">AVERAGE(G15,G17)</f>
        <v>371.455</v>
      </c>
      <c r="T16" s="1" t="s">
        <v>20</v>
      </c>
      <c r="U16" s="2" t="s">
        <v>21</v>
      </c>
      <c r="V16" s="2" t="s">
        <v>22</v>
      </c>
      <c r="W16" s="2" t="s">
        <v>23</v>
      </c>
      <c r="X16" s="3" t="s">
        <v>24</v>
      </c>
      <c r="Y16" s="3"/>
    </row>
    <row r="17" customFormat="false" ht="15" hidden="false" customHeight="false" outlineLevel="0" collapsed="false">
      <c r="E17" s="0" t="n">
        <v>662.62</v>
      </c>
      <c r="F17" s="0" t="n">
        <v>-1136.134</v>
      </c>
      <c r="G17" s="0" t="n">
        <v>371.614</v>
      </c>
      <c r="T17" s="4" t="s">
        <v>25</v>
      </c>
      <c r="U17" s="0" t="n">
        <v>1.17</v>
      </c>
      <c r="V17" s="0" t="n">
        <v>19</v>
      </c>
      <c r="W17" s="0" t="n">
        <f aca="false">U17/(V17-1)</f>
        <v>0.065</v>
      </c>
      <c r="X17" s="5" t="n">
        <v>0.009141</v>
      </c>
      <c r="Y17" s="0" t="n">
        <f aca="false">X17*100</f>
        <v>0.9141</v>
      </c>
    </row>
    <row r="18" customFormat="false" ht="15" hidden="false" customHeight="false" outlineLevel="0" collapsed="false">
      <c r="T18" s="6" t="s">
        <v>26</v>
      </c>
      <c r="U18" s="0" t="n">
        <v>0.975</v>
      </c>
      <c r="V18" s="0" t="n">
        <v>16</v>
      </c>
      <c r="W18" s="0" t="n">
        <f aca="false">U18/(V18-1)</f>
        <v>0.065</v>
      </c>
      <c r="X18" s="5" t="n">
        <v>0.007617</v>
      </c>
      <c r="Y18" s="0" t="n">
        <f aca="false">X18*100</f>
        <v>0.7617</v>
      </c>
    </row>
    <row r="19" customFormat="false" ht="13.8" hidden="false" customHeight="false" outlineLevel="0" collapsed="false">
      <c r="C19" s="0" t="s">
        <v>14</v>
      </c>
      <c r="D19" s="0" t="n">
        <v>3</v>
      </c>
      <c r="E19" s="0" t="n">
        <v>-104.242</v>
      </c>
      <c r="F19" s="0" t="n">
        <v>-1202.645</v>
      </c>
      <c r="G19" s="0" t="n">
        <v>285.093</v>
      </c>
    </row>
    <row r="20" customFormat="false" ht="13.8" hidden="false" customHeight="false" outlineLevel="0" collapsed="false">
      <c r="E20" s="0" t="n">
        <v>-117.495</v>
      </c>
      <c r="F20" s="0" t="n">
        <v>-1203.464</v>
      </c>
      <c r="G20" s="0" t="n">
        <v>296.655</v>
      </c>
      <c r="H20" s="0" t="n">
        <f aca="false">E20</f>
        <v>-117.495</v>
      </c>
      <c r="I20" s="0" t="n">
        <f aca="false">F20</f>
        <v>-1203.464</v>
      </c>
      <c r="J20" s="0" t="n">
        <f aca="false">AVERAGE(G19,G21)</f>
        <v>286.758</v>
      </c>
      <c r="U20" s="0" t="s">
        <v>94</v>
      </c>
      <c r="V20" s="0" t="s">
        <v>95</v>
      </c>
      <c r="W20" s="0" t="s">
        <v>121</v>
      </c>
      <c r="X20" s="0" t="s">
        <v>97</v>
      </c>
    </row>
    <row r="21" customFormat="false" ht="13.8" hidden="false" customHeight="false" outlineLevel="0" collapsed="false">
      <c r="E21" s="0" t="n">
        <v>-131.977</v>
      </c>
      <c r="F21" s="0" t="n">
        <v>-1200.422</v>
      </c>
      <c r="G21" s="0" t="n">
        <v>288.423</v>
      </c>
      <c r="T21" s="0" t="s">
        <v>99</v>
      </c>
      <c r="U21" s="0" t="n">
        <v>1.2192</v>
      </c>
      <c r="V21" s="0" t="n">
        <f aca="false">U21-0.00635</f>
        <v>1.21285</v>
      </c>
      <c r="W21" s="0" t="n">
        <f aca="false">V21/16</f>
        <v>0.075803125</v>
      </c>
      <c r="X21" s="0" t="n">
        <f aca="false">W21*1000/25.4</f>
        <v>2.984375</v>
      </c>
    </row>
    <row r="22" customFormat="false" ht="13.8" hidden="false" customHeight="false" outlineLevel="0" collapsed="false">
      <c r="T22" s="0" t="s">
        <v>26</v>
      </c>
      <c r="U22" s="0" t="n">
        <v>0.9779</v>
      </c>
      <c r="V22" s="0" t="n">
        <f aca="false">U22-0.00635</f>
        <v>0.97155</v>
      </c>
      <c r="W22" s="0" t="n">
        <f aca="false">V22/16</f>
        <v>0.060721875</v>
      </c>
      <c r="X22" s="0" t="n">
        <f aca="false">W22*1000/25.4</f>
        <v>2.390625</v>
      </c>
    </row>
    <row r="23" customFormat="false" ht="13.8" hidden="false" customHeight="false" outlineLevel="0" collapsed="false">
      <c r="C23" s="0" t="s">
        <v>27</v>
      </c>
      <c r="D23" s="0" t="n">
        <v>3</v>
      </c>
      <c r="E23" s="0" t="n">
        <v>-128.659</v>
      </c>
      <c r="F23" s="0" t="n">
        <v>-1071.621</v>
      </c>
      <c r="G23" s="0" t="n">
        <v>369.503</v>
      </c>
    </row>
    <row r="24" customFormat="false" ht="13.8" hidden="false" customHeight="false" outlineLevel="0" collapsed="false">
      <c r="E24" s="0" t="n">
        <v>-142.009</v>
      </c>
      <c r="F24" s="0" t="n">
        <v>-1068.654</v>
      </c>
      <c r="G24" s="0" t="n">
        <v>370.348</v>
      </c>
      <c r="H24" s="0" t="n">
        <f aca="false">E24</f>
        <v>-142.009</v>
      </c>
      <c r="I24" s="0" t="n">
        <f aca="false">F24</f>
        <v>-1068.654</v>
      </c>
      <c r="J24" s="0" t="n">
        <f aca="false">AVERAGE(G23,G25)</f>
        <v>366.065</v>
      </c>
      <c r="T24" s="0" t="s">
        <v>28</v>
      </c>
      <c r="X24" s="7" t="s">
        <v>29</v>
      </c>
      <c r="Y24" s="0" t="s">
        <v>30</v>
      </c>
      <c r="AB24" s="0" t="n">
        <v>38.5</v>
      </c>
      <c r="AC24" s="0" t="n">
        <v>48</v>
      </c>
    </row>
    <row r="25" customFormat="false" ht="13.8" hidden="false" customHeight="false" outlineLevel="0" collapsed="false">
      <c r="E25" s="0" t="n">
        <v>-154.422</v>
      </c>
      <c r="F25" s="0" t="n">
        <v>-1066.81</v>
      </c>
      <c r="G25" s="0" t="n">
        <v>362.627</v>
      </c>
      <c r="O25" s="0" t="s">
        <v>31</v>
      </c>
      <c r="T25" s="0" t="s">
        <v>6</v>
      </c>
      <c r="U25" s="0" t="n">
        <v>0.01528</v>
      </c>
      <c r="V25" s="0" t="n">
        <f aca="false">U25*1000/25.4</f>
        <v>0.601574803149606</v>
      </c>
      <c r="X25" s="0" t="n">
        <v>0.25</v>
      </c>
      <c r="Y25" s="0" t="n">
        <f aca="false">X25*25.4/1000</f>
        <v>0.00635</v>
      </c>
      <c r="AB25" s="0" t="n">
        <f aca="false">AB24*25.4/1000</f>
        <v>0.9779</v>
      </c>
      <c r="AC25" s="0" t="n">
        <f aca="false">AC24*25.4/1000</f>
        <v>1.2192</v>
      </c>
    </row>
    <row r="26" customFormat="false" ht="13.8" hidden="false" customHeight="false" outlineLevel="0" collapsed="false">
      <c r="L26" s="0" t="s">
        <v>32</v>
      </c>
      <c r="T26" s="0" t="s">
        <v>7</v>
      </c>
      <c r="U26" s="0" t="n">
        <v>0.01905</v>
      </c>
      <c r="V26" s="0" t="n">
        <f aca="false">U26*1000/25.4</f>
        <v>0.75</v>
      </c>
      <c r="X26" s="0" t="n">
        <v>0.5</v>
      </c>
      <c r="Y26" s="0" t="n">
        <f aca="false">X26*25.4/1000</f>
        <v>0.0127</v>
      </c>
      <c r="AB26" s="0" t="n">
        <f aca="false">AB25/64</f>
        <v>0.0152796875</v>
      </c>
      <c r="AC26" s="0" t="n">
        <f aca="false">AC25/64</f>
        <v>0.01905</v>
      </c>
    </row>
    <row r="27" customFormat="false" ht="13.8" hidden="false" customHeight="false" outlineLevel="0" collapsed="false">
      <c r="C27" s="0" t="s">
        <v>33</v>
      </c>
      <c r="D27" s="0" t="n">
        <v>4</v>
      </c>
      <c r="E27" s="0" t="n">
        <v>-408.031</v>
      </c>
      <c r="F27" s="0" t="n">
        <v>-406.917</v>
      </c>
      <c r="G27" s="0" t="n">
        <v>273.998</v>
      </c>
      <c r="L27" s="0" t="s">
        <v>34</v>
      </c>
      <c r="X27" s="0" t="n">
        <v>1</v>
      </c>
      <c r="Y27" s="0" t="n">
        <f aca="false">X27*25.4/1000</f>
        <v>0.0254</v>
      </c>
    </row>
    <row r="28" customFormat="false" ht="13.8" hidden="false" customHeight="false" outlineLevel="0" collapsed="false">
      <c r="E28" s="0" t="n">
        <v>-404.927</v>
      </c>
      <c r="F28" s="0" t="n">
        <v>-389.766</v>
      </c>
      <c r="G28" s="0" t="n">
        <v>297.308</v>
      </c>
      <c r="H28" s="8" t="n">
        <f aca="false">E28</f>
        <v>-404.927</v>
      </c>
      <c r="I28" s="8" t="n">
        <f aca="false">F28</f>
        <v>-389.766</v>
      </c>
      <c r="J28" s="8" t="n">
        <f aca="false">AVERAGE(G27,G29)</f>
        <v>273.62355</v>
      </c>
    </row>
    <row r="29" customFormat="false" ht="13.8" hidden="false" customHeight="false" outlineLevel="0" collapsed="false">
      <c r="E29" s="0" t="n">
        <v>-403.996</v>
      </c>
      <c r="F29" s="0" t="n">
        <v>-376.367</v>
      </c>
      <c r="G29" s="0" t="n">
        <v>273.2491</v>
      </c>
    </row>
    <row r="30" customFormat="false" ht="13.8" hidden="false" customHeight="false" outlineLevel="0" collapsed="false">
      <c r="AC30" s="0" t="n">
        <f aca="false">AC25-0.00525</f>
        <v>1.21395</v>
      </c>
    </row>
    <row r="31" customFormat="false" ht="13.8" hidden="false" customHeight="false" outlineLevel="0" collapsed="false">
      <c r="P31" s="0" t="s">
        <v>35</v>
      </c>
    </row>
    <row r="32" customFormat="false" ht="13.8" hidden="false" customHeight="false" outlineLevel="0" collapsed="false">
      <c r="L32" s="0" t="s">
        <v>36</v>
      </c>
      <c r="U32" s="43"/>
      <c r="V32" s="24"/>
      <c r="W32" s="24" t="n">
        <v>12</v>
      </c>
      <c r="X32" s="43" t="n">
        <v>13</v>
      </c>
      <c r="Y32" s="0" t="s">
        <v>144</v>
      </c>
    </row>
    <row r="33" customFormat="false" ht="13.8" hidden="false" customHeight="false" outlineLevel="0" collapsed="false">
      <c r="D33" s="0" t="s">
        <v>37</v>
      </c>
      <c r="E33" s="0" t="s">
        <v>38</v>
      </c>
      <c r="F33" s="0" t="s">
        <v>39</v>
      </c>
      <c r="M33" s="0" t="s">
        <v>33</v>
      </c>
      <c r="N33" s="0" t="s">
        <v>9</v>
      </c>
      <c r="P33" s="0" t="s">
        <v>9</v>
      </c>
      <c r="Q33" s="7" t="s">
        <v>145</v>
      </c>
      <c r="R33" s="0" t="s">
        <v>41</v>
      </c>
      <c r="U33" s="24"/>
      <c r="V33" s="24"/>
      <c r="W33" s="24" t="n">
        <v>0.794544</v>
      </c>
      <c r="X33" s="24" t="n">
        <v>0.779264</v>
      </c>
      <c r="Y33" s="44" t="n">
        <f aca="false">(W33+X33)/2</f>
        <v>0.786904</v>
      </c>
      <c r="Z33" s="44" t="n">
        <f aca="false">AB33/2</f>
        <v>0.0047625</v>
      </c>
      <c r="AB33" s="0" t="n">
        <v>0.009525</v>
      </c>
    </row>
    <row r="34" customFormat="false" ht="13.8" hidden="false" customHeight="false" outlineLevel="0" collapsed="false">
      <c r="D34" s="0" t="s">
        <v>9</v>
      </c>
      <c r="M34" s="0" t="s">
        <v>14</v>
      </c>
      <c r="N34" s="0" t="s">
        <v>13</v>
      </c>
      <c r="P34" s="0" t="s">
        <v>13</v>
      </c>
      <c r="Q34" s="0" t="s">
        <v>40</v>
      </c>
      <c r="R34" s="0" t="s">
        <v>43</v>
      </c>
      <c r="U34" s="24"/>
      <c r="V34" s="24"/>
      <c r="W34" s="24"/>
      <c r="X34" s="24"/>
    </row>
    <row r="35" customFormat="false" ht="13.8" hidden="false" customHeight="false" outlineLevel="0" collapsed="false">
      <c r="D35" s="0" t="s">
        <v>13</v>
      </c>
      <c r="G35" s="8" t="s">
        <v>9</v>
      </c>
      <c r="H35" s="0" t="n">
        <f aca="false">H5</f>
        <v>646.093</v>
      </c>
      <c r="I35" s="0" t="n">
        <f aca="false">I5</f>
        <v>-253.343</v>
      </c>
      <c r="J35" s="0" t="n">
        <f aca="false">J5</f>
        <v>270.347</v>
      </c>
      <c r="K35" s="8" t="n">
        <f aca="false">H35-H$41</f>
        <v>1051.02</v>
      </c>
      <c r="L35" s="8" t="n">
        <f aca="false">I35-I$41</f>
        <v>136.423</v>
      </c>
      <c r="M35" s="8" t="n">
        <f aca="false">J35-J$41</f>
        <v>-3.27655000000004</v>
      </c>
      <c r="P35" s="0" t="s">
        <v>14</v>
      </c>
      <c r="Q35" s="7" t="s">
        <v>146</v>
      </c>
      <c r="R35" s="0" t="s">
        <v>41</v>
      </c>
      <c r="U35" s="24"/>
      <c r="V35" s="24"/>
      <c r="W35" s="24" t="n">
        <v>16</v>
      </c>
      <c r="X35" s="24" t="n">
        <v>18</v>
      </c>
    </row>
    <row r="36" customFormat="false" ht="15" hidden="false" customHeight="false" outlineLevel="0" collapsed="false">
      <c r="D36" s="0" t="s">
        <v>14</v>
      </c>
      <c r="G36" s="8" t="s">
        <v>15</v>
      </c>
      <c r="H36" s="0" t="n">
        <f aca="false">H8</f>
        <v>649.396</v>
      </c>
      <c r="I36" s="0" t="n">
        <f aca="false">I8</f>
        <v>-342.342</v>
      </c>
      <c r="J36" s="0" t="n">
        <f aca="false">J8</f>
        <v>359.626</v>
      </c>
      <c r="K36" s="8" t="n">
        <f aca="false">H36-H$41</f>
        <v>1054.323</v>
      </c>
      <c r="L36" s="8" t="n">
        <f aca="false">I36-I$41</f>
        <v>47.424</v>
      </c>
      <c r="M36" s="8" t="n">
        <f aca="false">J36-J$41</f>
        <v>86.00245</v>
      </c>
      <c r="P36" s="0" t="s">
        <v>33</v>
      </c>
      <c r="Q36" s="0" t="s">
        <v>147</v>
      </c>
      <c r="R36" s="0" t="s">
        <v>46</v>
      </c>
      <c r="U36" s="24"/>
      <c r="V36" s="24"/>
      <c r="W36" s="5" t="n">
        <v>-0.7869</v>
      </c>
      <c r="X36" s="5" t="n">
        <v>-0.77162</v>
      </c>
      <c r="Y36" s="0" t="n">
        <f aca="false">(W36+X36)/2</f>
        <v>-0.77926</v>
      </c>
      <c r="Z36" s="5" t="n">
        <v>0.31909</v>
      </c>
    </row>
    <row r="37" customFormat="false" ht="13.8" hidden="false" customHeight="false" outlineLevel="0" collapsed="false">
      <c r="D37" s="0" t="s">
        <v>33</v>
      </c>
      <c r="G37" s="8" t="s">
        <v>13</v>
      </c>
      <c r="H37" s="0" t="n">
        <f aca="false">H12</f>
        <v>727.382</v>
      </c>
      <c r="I37" s="0" t="n">
        <f aca="false">I12</f>
        <v>-1155.845</v>
      </c>
      <c r="J37" s="0" t="n">
        <f aca="false">J12</f>
        <v>305.1125</v>
      </c>
      <c r="K37" s="8" t="n">
        <f aca="false">H37-H$41</f>
        <v>1132.309</v>
      </c>
      <c r="L37" s="8" t="n">
        <f aca="false">I37-I$41</f>
        <v>-766.079</v>
      </c>
      <c r="M37" s="8" t="n">
        <f aca="false">J37-J$41</f>
        <v>31.48895</v>
      </c>
      <c r="U37" s="43"/>
      <c r="V37" s="24"/>
      <c r="W37" s="24"/>
      <c r="X37" s="43"/>
    </row>
    <row r="38" customFormat="false" ht="13.8" hidden="false" customHeight="false" outlineLevel="0" collapsed="false">
      <c r="G38" s="8" t="s">
        <v>19</v>
      </c>
      <c r="H38" s="0" t="n">
        <f aca="false">H16</f>
        <v>667.966</v>
      </c>
      <c r="I38" s="0" t="n">
        <f aca="false">I16</f>
        <v>-1125.667</v>
      </c>
      <c r="J38" s="0" t="n">
        <f aca="false">J16</f>
        <v>371.455</v>
      </c>
      <c r="K38" s="8" t="n">
        <f aca="false">H38-H$41</f>
        <v>1072.893</v>
      </c>
      <c r="L38" s="8" t="n">
        <f aca="false">I38-I$41</f>
        <v>-735.901</v>
      </c>
      <c r="M38" s="8" t="n">
        <f aca="false">J38-J$41</f>
        <v>97.83145</v>
      </c>
      <c r="Q38" s="0" t="s">
        <v>47</v>
      </c>
      <c r="R38" s="0" t="s">
        <v>48</v>
      </c>
      <c r="S38" s="0" t="s">
        <v>49</v>
      </c>
    </row>
    <row r="39" customFormat="false" ht="13.8" hidden="false" customHeight="false" outlineLevel="0" collapsed="false">
      <c r="G39" s="8" t="s">
        <v>14</v>
      </c>
      <c r="H39" s="0" t="n">
        <f aca="false">H20</f>
        <v>-117.495</v>
      </c>
      <c r="I39" s="0" t="n">
        <f aca="false">I20</f>
        <v>-1203.464</v>
      </c>
      <c r="J39" s="0" t="n">
        <f aca="false">J20</f>
        <v>286.758</v>
      </c>
      <c r="K39" s="8" t="n">
        <f aca="false">H39-H$41</f>
        <v>287.432</v>
      </c>
      <c r="L39" s="8" t="n">
        <f aca="false">I39-I$41</f>
        <v>-813.698</v>
      </c>
      <c r="M39" s="8" t="n">
        <f aca="false">J39-J$41</f>
        <v>13.13445</v>
      </c>
      <c r="P39" s="0" t="s">
        <v>9</v>
      </c>
      <c r="Q39" s="0" t="n">
        <v>0.18336</v>
      </c>
      <c r="R39" s="0" t="n">
        <v>0</v>
      </c>
      <c r="S39" s="0" t="n">
        <v>1.092195</v>
      </c>
    </row>
    <row r="40" customFormat="false" ht="13.8" hidden="false" customHeight="false" outlineLevel="0" collapsed="false">
      <c r="G40" s="8" t="s">
        <v>27</v>
      </c>
      <c r="H40" s="0" t="n">
        <f aca="false">H24</f>
        <v>-142.009</v>
      </c>
      <c r="I40" s="0" t="n">
        <f aca="false">I24</f>
        <v>-1068.654</v>
      </c>
      <c r="J40" s="0" t="n">
        <f aca="false">J24</f>
        <v>366.065</v>
      </c>
      <c r="K40" s="8" t="n">
        <f aca="false">H40-H$41</f>
        <v>262.918</v>
      </c>
      <c r="L40" s="8" t="n">
        <f aca="false">I40-I$41</f>
        <v>-678.888</v>
      </c>
      <c r="M40" s="8" t="n">
        <f aca="false">J40-J$41</f>
        <v>92.44145</v>
      </c>
      <c r="P40" s="0" t="s">
        <v>13</v>
      </c>
      <c r="Q40" s="0" t="n">
        <v>-0.718141</v>
      </c>
      <c r="R40" s="0" t="n">
        <v>0</v>
      </c>
      <c r="S40" s="0" t="n">
        <v>1.206495</v>
      </c>
      <c r="AC40" s="0" t="n">
        <f aca="false">AC25-S40</f>
        <v>0.012705</v>
      </c>
    </row>
    <row r="41" customFormat="false" ht="13.8" hidden="false" customHeight="false" outlineLevel="0" collapsed="false">
      <c r="G41" s="8" t="s">
        <v>33</v>
      </c>
      <c r="H41" s="0" t="n">
        <f aca="false">H28</f>
        <v>-404.927</v>
      </c>
      <c r="I41" s="0" t="n">
        <f aca="false">I28</f>
        <v>-389.766</v>
      </c>
      <c r="J41" s="0" t="n">
        <f aca="false">J28</f>
        <v>273.62355</v>
      </c>
      <c r="K41" s="8" t="n">
        <f aca="false">H41-H$41</f>
        <v>0</v>
      </c>
      <c r="L41" s="8" t="n">
        <f aca="false">I41-I$41</f>
        <v>0</v>
      </c>
      <c r="M41" s="8" t="n">
        <f aca="false">J41-J$41</f>
        <v>0</v>
      </c>
      <c r="P41" s="0" t="s">
        <v>14</v>
      </c>
      <c r="Q41" s="0" t="n">
        <v>-0.77926</v>
      </c>
      <c r="R41" s="0" t="n">
        <v>0</v>
      </c>
      <c r="S41" s="0" t="n">
        <v>0.32067</v>
      </c>
    </row>
    <row r="42" customFormat="false" ht="13.8" hidden="false" customHeight="false" outlineLevel="0" collapsed="false">
      <c r="P42" s="0" t="s">
        <v>33</v>
      </c>
      <c r="Q42" s="0" t="n">
        <v>0</v>
      </c>
      <c r="R42" s="0" t="n">
        <v>0</v>
      </c>
      <c r="S42" s="0" t="n">
        <v>0</v>
      </c>
    </row>
    <row r="43" customFormat="false" ht="13.8" hidden="false" customHeight="false" outlineLevel="0" collapsed="false">
      <c r="W43" s="0" t="n">
        <v>0.01905</v>
      </c>
      <c r="X43" s="0" t="n">
        <v>0.3456</v>
      </c>
      <c r="Y43" s="0" t="s">
        <v>50</v>
      </c>
      <c r="Z43" s="0" t="s">
        <v>51</v>
      </c>
      <c r="AA43" s="0" t="s">
        <v>52</v>
      </c>
    </row>
    <row r="44" customFormat="false" ht="13.8" hidden="false" customHeight="false" outlineLevel="0" collapsed="false">
      <c r="G44" s="8" t="s">
        <v>106</v>
      </c>
      <c r="H44" s="0" t="n">
        <v>651.6604</v>
      </c>
      <c r="I44" s="0" t="n">
        <v>823.045</v>
      </c>
      <c r="J44" s="0" t="n">
        <v>296.268</v>
      </c>
      <c r="K44" s="0" t="n">
        <f aca="false">H44-H$41</f>
        <v>1056.5874</v>
      </c>
      <c r="L44" s="0" t="n">
        <f aca="false">I44-I$41</f>
        <v>1212.811</v>
      </c>
      <c r="M44" s="0" t="n">
        <f aca="false">J44-J$41</f>
        <v>22.6444499999999</v>
      </c>
      <c r="Q44" s="0" t="s">
        <v>6</v>
      </c>
      <c r="R44" s="0" t="s">
        <v>7</v>
      </c>
      <c r="S44" s="0" t="s">
        <v>8</v>
      </c>
      <c r="W44" s="0" t="n">
        <f aca="false">W43*2</f>
        <v>0.0381</v>
      </c>
      <c r="X44" s="0" t="n">
        <f aca="false">X43+0.003</f>
        <v>0.3486</v>
      </c>
    </row>
    <row r="45" customFormat="false" ht="13.8" hidden="false" customHeight="false" outlineLevel="0" collapsed="false">
      <c r="K45" s="0" t="s">
        <v>8</v>
      </c>
      <c r="L45" s="0" t="s">
        <v>6</v>
      </c>
      <c r="M45" s="0" t="s">
        <v>7</v>
      </c>
      <c r="O45" s="0" t="s">
        <v>53</v>
      </c>
      <c r="P45" s="0" t="e">
        <f aca="false">O45/R58</f>
        <v>#VALUE!</v>
      </c>
      <c r="Q45" s="0" t="n">
        <v>-0.763984</v>
      </c>
      <c r="R45" s="0" t="n">
        <v>0</v>
      </c>
      <c r="S45" s="35" t="n">
        <f aca="false">Y25/2</f>
        <v>0.003175</v>
      </c>
      <c r="W45" s="0" t="n">
        <f aca="false">W43*3</f>
        <v>0.05715</v>
      </c>
    </row>
    <row r="47" customFormat="false" ht="13.8" hidden="false" customHeight="false" outlineLevel="0" collapsed="false">
      <c r="P47" s="0" t="s">
        <v>9</v>
      </c>
      <c r="Q47" s="0" t="n">
        <f aca="false">U22+Q45</f>
        <v>0.213916</v>
      </c>
      <c r="W47" s="0" t="s">
        <v>109</v>
      </c>
      <c r="X47" s="19" t="s">
        <v>33</v>
      </c>
    </row>
    <row r="48" customFormat="false" ht="13.8" hidden="false" customHeight="false" outlineLevel="0" collapsed="false">
      <c r="P48" s="0" t="s">
        <v>13</v>
      </c>
      <c r="X48" s="20" t="n">
        <v>10400</v>
      </c>
      <c r="Y48" s="20" t="n">
        <v>12226</v>
      </c>
    </row>
    <row r="49" customFormat="false" ht="13.8" hidden="false" customHeight="false" outlineLevel="0" collapsed="false">
      <c r="G49" s="16" t="s">
        <v>54</v>
      </c>
      <c r="H49" s="16" t="s">
        <v>55</v>
      </c>
      <c r="I49" s="16" t="s">
        <v>56</v>
      </c>
      <c r="J49" s="16" t="s">
        <v>57</v>
      </c>
      <c r="K49" s="16" t="s">
        <v>58</v>
      </c>
      <c r="L49" s="16" t="s">
        <v>59</v>
      </c>
      <c r="P49" s="0" t="s">
        <v>14</v>
      </c>
      <c r="X49" s="20" t="n">
        <v>2424</v>
      </c>
      <c r="Y49" s="20" t="n">
        <v>12227</v>
      </c>
    </row>
    <row r="50" customFormat="false" ht="13.8" hidden="false" customHeight="false" outlineLevel="0" collapsed="false">
      <c r="G50" s="17" t="n">
        <f aca="false">SQRT((K35-K37)^2+(L35-L37)^2+(M35-M37)^2)/1000</f>
        <v>0.906822144367488</v>
      </c>
      <c r="H50" s="17" t="n">
        <f aca="false">SQRT((K35-K39)^2+(L35-L39)^2+(M35-M39)^2)/1000</f>
        <v>1.21904301372265</v>
      </c>
      <c r="I50" s="17" t="n">
        <f aca="false">SQRT((K35-K41)^2+(L35-L41)^2+(M35-M41)^2)/1000</f>
        <v>1.05984197459286</v>
      </c>
      <c r="J50" s="17" t="n">
        <f aca="false">SQRT((K37-K39)^2+(L37-L39)^2+(M37-M39)^2)/1000</f>
        <v>0.846416919703434</v>
      </c>
      <c r="K50" s="17" t="n">
        <f aca="false">SQRT((K37-K41)^2+(L37-L41)^2+(M37-M41)^2)/1000</f>
        <v>1.36747660297868</v>
      </c>
      <c r="L50" s="17" t="n">
        <f aca="false">SQRT((K39-K41)^2+(L39-L41)^2+(M39-M41)^2)/1000</f>
        <v>0.863072478766877</v>
      </c>
      <c r="P50" s="0" t="s">
        <v>33</v>
      </c>
      <c r="V50" s="22"/>
      <c r="W50" s="10"/>
      <c r="X50" s="23"/>
    </row>
    <row r="51" customFormat="false" ht="13.8" hidden="false" customHeight="false" outlineLevel="0" collapsed="false">
      <c r="G51" s="16" t="s">
        <v>60</v>
      </c>
      <c r="H51" s="16" t="s">
        <v>61</v>
      </c>
      <c r="I51" s="16" t="s">
        <v>62</v>
      </c>
      <c r="V51" s="4"/>
      <c r="W51" s="24"/>
      <c r="X51" s="12"/>
    </row>
    <row r="52" customFormat="false" ht="13.8" hidden="false" customHeight="false" outlineLevel="0" collapsed="false">
      <c r="G52" s="18" t="n">
        <f aca="false">SQRT((K36-K37)^2+(L36-L37)^2+(M36-M37)^2)/1000</f>
        <v>0.819048636460161</v>
      </c>
      <c r="H52" s="18" t="n">
        <f aca="false">SQRT((K36-K39)^2+(L36-L39)^2+(M36-M39)^2)/1000</f>
        <v>1.15540583787213</v>
      </c>
      <c r="I52" s="18" t="n">
        <f aca="false">SQRT((K36-K41)^2+(L36-L41)^2+(M36-M41)^2)/1000</f>
        <v>1.05888736205085</v>
      </c>
      <c r="J52" s="0" t="n">
        <f aca="false">SQRT((K37-K39)^2+(L37-L39)^2+(M37-M39)^2)/1000</f>
        <v>0.846416919703434</v>
      </c>
      <c r="K52" s="0" t="n">
        <f aca="false">SQRT((K37-K41)^2+(L37-L41)^2+(M37-M41)^2)/1000</f>
        <v>1.36747660297868</v>
      </c>
      <c r="L52" s="0" t="n">
        <f aca="false">SQRT((K39-K41)^2+(L39-L41)^2+(M39-M41)^2)/1000</f>
        <v>0.863072478766877</v>
      </c>
      <c r="R52" s="20" t="s">
        <v>152</v>
      </c>
      <c r="S52" s="0" t="s">
        <v>153</v>
      </c>
      <c r="V52" s="4"/>
      <c r="W52" s="24"/>
      <c r="X52" s="12"/>
    </row>
    <row r="53" customFormat="false" ht="13.8" hidden="false" customHeight="false" outlineLevel="0" collapsed="false">
      <c r="G53" s="16" t="s">
        <v>63</v>
      </c>
      <c r="H53" s="8"/>
      <c r="I53" s="8"/>
      <c r="J53" s="16" t="s">
        <v>64</v>
      </c>
      <c r="K53" s="16" t="s">
        <v>65</v>
      </c>
      <c r="T53" s="26" t="s">
        <v>14</v>
      </c>
      <c r="U53" s="26"/>
      <c r="V53" s="4"/>
      <c r="W53" s="24"/>
      <c r="X53" s="12"/>
    </row>
    <row r="54" customFormat="false" ht="13.8" hidden="false" customHeight="false" outlineLevel="0" collapsed="false">
      <c r="G54" s="18" t="n">
        <f aca="false">SQRT((K36-K38)^2+(L36-L38)^2+(M36-M38)^2)/1000</f>
        <v>0.783634369949404</v>
      </c>
      <c r="H54" s="0" t="n">
        <f aca="false">SQRT((K36-K39)^2+(L36-L39)^2+(M36-M39)^2)/1000</f>
        <v>1.15540583787213</v>
      </c>
      <c r="I54" s="0" t="n">
        <f aca="false">SQRT((K36-K41)^2+(L36-L41)^2+(M36-M41)^2)/1000</f>
        <v>1.05888736205085</v>
      </c>
      <c r="J54" s="18" t="n">
        <f aca="false">SQRT((K38-K39)^2+(L38-L39)^2+(M38-M39)^2)/1000</f>
        <v>0.793835585961602</v>
      </c>
      <c r="K54" s="18" t="n">
        <f aca="false">SQRT((K38-K41)^2+(L38-L41)^2+(M38-M41)^2)/1000</f>
        <v>1.30469178883716</v>
      </c>
      <c r="L54" s="0" t="n">
        <f aca="false">SQRT((K39-K41)^2+(L39-L41)^2+(M39-M41)^2)/1000</f>
        <v>0.863072478766877</v>
      </c>
      <c r="T54" s="20" t="n">
        <v>916</v>
      </c>
      <c r="U54" s="20" t="n">
        <v>7976</v>
      </c>
      <c r="V54" s="4"/>
      <c r="W54" s="24"/>
      <c r="X54" s="12"/>
    </row>
    <row r="55" customFormat="false" ht="13.8" hidden="false" customHeight="false" outlineLevel="0" collapsed="false">
      <c r="H55" s="16" t="s">
        <v>67</v>
      </c>
      <c r="I55" s="8"/>
      <c r="J55" s="16" t="s">
        <v>68</v>
      </c>
      <c r="K55" s="8"/>
      <c r="L55" s="16" t="s">
        <v>69</v>
      </c>
      <c r="T55" s="20" t="n">
        <v>15312</v>
      </c>
      <c r="U55" s="20" t="n">
        <v>16232</v>
      </c>
      <c r="V55" s="4"/>
      <c r="W55" s="24"/>
      <c r="X55" s="12"/>
    </row>
    <row r="56" customFormat="false" ht="14.9" hidden="false" customHeight="false" outlineLevel="0" collapsed="false">
      <c r="G56" s="0" t="n">
        <f aca="false">SQRT((K36-K38)^2+(L36-L38)^2+(M36-M38)^2)/1000</f>
        <v>0.783634369949404</v>
      </c>
      <c r="H56" s="18" t="n">
        <f aca="false">SQRT((K36-K40)^2+(L36-L40)^2+(M36-M40)^2)/1000</f>
        <v>1.07419386336452</v>
      </c>
      <c r="I56" s="0" t="n">
        <f aca="false">SQRT((K36-K41)^2+(L36-L41)^2+(M36-M41)^2)/1000</f>
        <v>1.05888736205085</v>
      </c>
      <c r="J56" s="18" t="n">
        <f aca="false">SQRT((K38-K40)^2+(L38-L40)^2+(M38-M40)^2)/1000</f>
        <v>0.811996942662963</v>
      </c>
      <c r="K56" s="0" t="n">
        <f aca="false">SQRT((K38-K41)^2+(L38-L41)^2+(M38-M41)^2)/1000</f>
        <v>1.30469178883716</v>
      </c>
      <c r="L56" s="21" t="n">
        <f aca="false">SQRT((K40-K41)^2+(L40-L41)^2+(M40-M41)^2)/1000</f>
        <v>0.733866617953223</v>
      </c>
      <c r="V56" s="4"/>
      <c r="W56" s="24"/>
      <c r="X56" s="12"/>
    </row>
    <row r="57" customFormat="false" ht="13.8" hidden="false" customHeight="false" outlineLevel="0" collapsed="false">
      <c r="V57" s="4"/>
      <c r="W57" s="24"/>
      <c r="X57" s="12"/>
    </row>
    <row r="58" customFormat="false" ht="13.8" hidden="false" customHeight="false" outlineLevel="0" collapsed="false">
      <c r="V58" s="4"/>
      <c r="W58" s="24"/>
      <c r="X58" s="12"/>
    </row>
    <row r="59" customFormat="false" ht="13.8" hidden="false" customHeight="false" outlineLevel="0" collapsed="false">
      <c r="G59" s="25" t="s">
        <v>72</v>
      </c>
      <c r="H59" s="25"/>
      <c r="I59" s="25"/>
      <c r="J59" s="25"/>
      <c r="V59" s="4"/>
      <c r="W59" s="24"/>
      <c r="X59" s="12"/>
    </row>
    <row r="60" customFormat="false" ht="13.8" hidden="false" customHeight="false" outlineLevel="0" collapsed="false">
      <c r="V60" s="4"/>
      <c r="W60" s="24"/>
      <c r="X60" s="12"/>
    </row>
    <row r="61" customFormat="false" ht="13.8" hidden="false" customHeight="false" outlineLevel="0" collapsed="false">
      <c r="V61" s="4"/>
      <c r="W61" s="24"/>
      <c r="X61" s="12"/>
    </row>
    <row r="62" customFormat="false" ht="13.8" hidden="false" customHeight="false" outlineLevel="0" collapsed="false">
      <c r="V62" s="4"/>
      <c r="W62" s="24"/>
      <c r="X62" s="12"/>
    </row>
    <row r="63" customFormat="false" ht="13.8" hidden="false" customHeight="false" outlineLevel="0" collapsed="false">
      <c r="V63" s="4"/>
      <c r="W63" s="24"/>
      <c r="X63" s="12"/>
    </row>
    <row r="64" customFormat="false" ht="13.8" hidden="false" customHeight="false" outlineLevel="0" collapsed="false">
      <c r="V64" s="4"/>
      <c r="W64" s="24"/>
      <c r="X64" s="12"/>
    </row>
    <row r="65" customFormat="false" ht="13.8" hidden="false" customHeight="false" outlineLevel="0" collapsed="false">
      <c r="V65" s="4"/>
      <c r="W65" s="24"/>
      <c r="X65" s="12"/>
      <c r="Y65" s="20" t="s">
        <v>83</v>
      </c>
      <c r="Z65" s="0" t="s">
        <v>154</v>
      </c>
    </row>
    <row r="66" customFormat="false" ht="13.8" hidden="false" customHeight="false" outlineLevel="0" collapsed="false">
      <c r="V66" s="4"/>
      <c r="W66" s="24"/>
      <c r="X66" s="12"/>
    </row>
    <row r="67" customFormat="false" ht="13.8" hidden="false" customHeight="false" outlineLevel="0" collapsed="false">
      <c r="H67" s="27" t="s">
        <v>73</v>
      </c>
      <c r="I67" s="27"/>
      <c r="K67" s="27" t="s">
        <v>74</v>
      </c>
      <c r="L67" s="27"/>
      <c r="V67" s="4"/>
      <c r="W67" s="24"/>
      <c r="X67" s="12"/>
      <c r="Y67" s="33" t="s">
        <v>9</v>
      </c>
      <c r="Z67" s="33"/>
    </row>
    <row r="68" customFormat="false" ht="13.8" hidden="false" customHeight="false" outlineLevel="0" collapsed="false">
      <c r="H68" s="28" t="s">
        <v>75</v>
      </c>
      <c r="I68" s="29" t="s">
        <v>76</v>
      </c>
      <c r="K68" s="28" t="s">
        <v>75</v>
      </c>
      <c r="L68" s="29" t="s">
        <v>76</v>
      </c>
      <c r="V68" s="4"/>
      <c r="W68" s="24"/>
      <c r="X68" s="12"/>
      <c r="Y68" s="20" t="n">
        <v>11482</v>
      </c>
      <c r="Z68" s="20" t="n">
        <v>3511</v>
      </c>
    </row>
    <row r="69" customFormat="false" ht="13.8" hidden="false" customHeight="false" outlineLevel="0" collapsed="false">
      <c r="H69" s="28"/>
      <c r="I69" s="29"/>
      <c r="K69" s="28"/>
      <c r="L69" s="29"/>
      <c r="V69" s="4"/>
      <c r="W69" s="24"/>
      <c r="X69" s="12"/>
      <c r="Y69" s="20" t="n">
        <v>12390</v>
      </c>
      <c r="Z69" s="20" t="n">
        <v>12391</v>
      </c>
    </row>
    <row r="70" customFormat="false" ht="13.8" hidden="false" customHeight="false" outlineLevel="0" collapsed="false">
      <c r="H70" s="28" t="s">
        <v>77</v>
      </c>
      <c r="I70" s="29" t="n">
        <v>0.113445</v>
      </c>
      <c r="K70" s="28" t="s">
        <v>77</v>
      </c>
      <c r="L70" s="29" t="n">
        <v>0.109975</v>
      </c>
      <c r="V70" s="6"/>
      <c r="W70" s="14"/>
      <c r="X70" s="34"/>
    </row>
    <row r="71" customFormat="false" ht="13.8" hidden="false" customHeight="false" outlineLevel="0" collapsed="false">
      <c r="H71" s="28" t="s">
        <v>78</v>
      </c>
      <c r="I71" s="29" t="n">
        <v>0.142303</v>
      </c>
      <c r="K71" s="28" t="s">
        <v>78</v>
      </c>
      <c r="L71" s="29" t="n">
        <v>0.139895</v>
      </c>
      <c r="V71" s="20" t="n">
        <v>10215</v>
      </c>
      <c r="W71" s="20" t="n">
        <v>2283</v>
      </c>
    </row>
    <row r="72" customFormat="false" ht="13.8" hidden="false" customHeight="false" outlineLevel="0" collapsed="false">
      <c r="H72" s="28" t="s">
        <v>79</v>
      </c>
      <c r="I72" s="29" t="n">
        <v>0.144876</v>
      </c>
      <c r="K72" s="28" t="s">
        <v>79</v>
      </c>
      <c r="L72" s="29" t="n">
        <v>0.143056</v>
      </c>
      <c r="V72" s="20" t="n">
        <v>16524</v>
      </c>
      <c r="W72" s="20" t="n">
        <v>15410</v>
      </c>
    </row>
    <row r="73" customFormat="false" ht="13.8" hidden="false" customHeight="false" outlineLevel="0" collapsed="false">
      <c r="H73" s="28" t="s">
        <v>80</v>
      </c>
      <c r="I73" s="29" t="n">
        <v>0.243764</v>
      </c>
      <c r="K73" s="28" t="s">
        <v>80</v>
      </c>
      <c r="L73" s="29" t="n">
        <v>0.24545</v>
      </c>
      <c r="V73" s="19" t="s">
        <v>13</v>
      </c>
    </row>
    <row r="74" customFormat="false" ht="13.8" hidden="false" customHeight="false" outlineLevel="0" collapsed="false">
      <c r="H74" s="30" t="s">
        <v>81</v>
      </c>
      <c r="I74" s="31" t="n">
        <v>0.118746</v>
      </c>
      <c r="K74" s="30" t="s">
        <v>81</v>
      </c>
      <c r="L74" s="31" t="n">
        <v>0.132796</v>
      </c>
    </row>
    <row r="75" customFormat="false" ht="13.8" hidden="false" customHeight="false" outlineLevel="0" collapsed="false">
      <c r="J75" s="32" t="s">
        <v>155</v>
      </c>
      <c r="U75" s="20" t="s">
        <v>87</v>
      </c>
      <c r="V75" s="0" t="s">
        <v>156</v>
      </c>
    </row>
    <row r="76" customFormat="false" ht="13.8" hidden="false" customHeight="false" outlineLevel="0" collapsed="false">
      <c r="J76" s="32"/>
    </row>
    <row r="77" customFormat="false" ht="13.8" hidden="false" customHeight="false" outlineLevel="0" collapsed="false">
      <c r="J77" s="32"/>
    </row>
    <row r="78" customFormat="false" ht="13.8" hidden="false" customHeight="false" outlineLevel="0" collapsed="false">
      <c r="H78" s="27" t="s">
        <v>85</v>
      </c>
      <c r="I78" s="27"/>
      <c r="K78" s="27" t="s">
        <v>86</v>
      </c>
      <c r="L78" s="27"/>
    </row>
    <row r="79" customFormat="false" ht="13.8" hidden="false" customHeight="false" outlineLevel="0" collapsed="false">
      <c r="H79" s="28" t="s">
        <v>75</v>
      </c>
      <c r="I79" s="29" t="s">
        <v>76</v>
      </c>
      <c r="K79" s="28" t="s">
        <v>75</v>
      </c>
      <c r="L79" s="29" t="s">
        <v>76</v>
      </c>
    </row>
    <row r="80" customFormat="false" ht="13.8" hidden="false" customHeight="false" outlineLevel="0" collapsed="false">
      <c r="H80" s="28"/>
      <c r="I80" s="29"/>
      <c r="K80" s="28"/>
      <c r="L80" s="29"/>
    </row>
    <row r="81" customFormat="false" ht="13.8" hidden="false" customHeight="false" outlineLevel="0" collapsed="false">
      <c r="H81" s="28" t="s">
        <v>77</v>
      </c>
      <c r="I81" s="29" t="n">
        <v>0.0882802</v>
      </c>
      <c r="K81" s="28" t="s">
        <v>77</v>
      </c>
      <c r="L81" s="29" t="n">
        <v>0.0816808</v>
      </c>
    </row>
    <row r="82" customFormat="false" ht="13.8" hidden="false" customHeight="false" outlineLevel="0" collapsed="false">
      <c r="H82" s="28" t="s">
        <v>78</v>
      </c>
      <c r="I82" s="29" t="n">
        <v>0.107535</v>
      </c>
      <c r="K82" s="28" t="s">
        <v>78</v>
      </c>
      <c r="L82" s="29" t="n">
        <v>0.0963988</v>
      </c>
    </row>
    <row r="83" customFormat="false" ht="13.8" hidden="false" customHeight="false" outlineLevel="0" collapsed="false">
      <c r="H83" s="28" t="s">
        <v>79</v>
      </c>
      <c r="I83" s="29" t="n">
        <v>0.103086</v>
      </c>
      <c r="K83" s="28" t="s">
        <v>79</v>
      </c>
      <c r="L83" s="29" t="n">
        <v>0.092053</v>
      </c>
    </row>
    <row r="84" customFormat="false" ht="13.8" hidden="false" customHeight="false" outlineLevel="0" collapsed="false">
      <c r="H84" s="28" t="s">
        <v>80</v>
      </c>
      <c r="I84" s="29" t="n">
        <v>0.254118</v>
      </c>
      <c r="K84" s="28" t="s">
        <v>80</v>
      </c>
      <c r="L84" s="29" t="n">
        <v>0.255276</v>
      </c>
    </row>
    <row r="85" customFormat="false" ht="13.8" hidden="false" customHeight="false" outlineLevel="0" collapsed="false">
      <c r="H85" s="30" t="s">
        <v>81</v>
      </c>
      <c r="I85" s="31" t="n">
        <v>0.243915</v>
      </c>
      <c r="K85" s="30" t="s">
        <v>81</v>
      </c>
      <c r="L85" s="31" t="n">
        <v>0.271964</v>
      </c>
    </row>
  </sheetData>
  <mergeCells count="9">
    <mergeCell ref="X16:Y16"/>
    <mergeCell ref="T53:U53"/>
    <mergeCell ref="G59:J59"/>
    <mergeCell ref="H67:I67"/>
    <mergeCell ref="K67:L67"/>
    <mergeCell ref="Y67:Z67"/>
    <mergeCell ref="J75:J77"/>
    <mergeCell ref="H78:I78"/>
    <mergeCell ref="K78:L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G1" s="45" t="s">
        <v>157</v>
      </c>
      <c r="H1" s="45"/>
      <c r="I1" s="45"/>
    </row>
    <row r="2" customFormat="false" ht="13.8" hidden="false" customHeight="false" outlineLevel="0" collapsed="false">
      <c r="G2" s="45"/>
      <c r="H2" s="45"/>
      <c r="I2" s="45"/>
    </row>
    <row r="4" customFormat="false" ht="13.8" hidden="false" customHeight="false" outlineLevel="0" collapsed="false">
      <c r="A4" s="35" t="s">
        <v>158</v>
      </c>
      <c r="B4" s="35" t="s">
        <v>75</v>
      </c>
      <c r="C4" s="46" t="n">
        <v>0.2</v>
      </c>
      <c r="D4" s="47" t="n">
        <v>0.21</v>
      </c>
      <c r="E4" s="47" t="n">
        <v>0.22</v>
      </c>
      <c r="F4" s="47" t="n">
        <v>0.23</v>
      </c>
      <c r="G4" s="47" t="n">
        <v>0.24</v>
      </c>
      <c r="H4" s="47" t="n">
        <v>0.25</v>
      </c>
      <c r="I4" s="47" t="n">
        <v>0.26</v>
      </c>
      <c r="J4" s="47" t="n">
        <v>0.27</v>
      </c>
      <c r="K4" s="47" t="n">
        <v>0.28</v>
      </c>
      <c r="L4" s="47" t="n">
        <v>0.29</v>
      </c>
      <c r="M4" s="48" t="n">
        <v>0.3</v>
      </c>
    </row>
    <row r="5" customFormat="false" ht="13.8" hidden="false" customHeight="false" outlineLevel="0" collapsed="false">
      <c r="A5" s="35"/>
      <c r="B5" s="35"/>
      <c r="C5" s="46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customFormat="false" ht="13.8" hidden="false" customHeight="false" outlineLevel="0" collapsed="false">
      <c r="B6" s="49" t="s">
        <v>77</v>
      </c>
      <c r="C6" s="50" t="n">
        <v>0.110128</v>
      </c>
      <c r="D6" s="51" t="n">
        <v>0.106696</v>
      </c>
      <c r="E6" s="51"/>
      <c r="F6" s="51"/>
      <c r="G6" s="51"/>
      <c r="H6" s="51"/>
      <c r="I6" s="51"/>
      <c r="J6" s="51"/>
      <c r="K6" s="51"/>
      <c r="L6" s="51"/>
      <c r="M6" s="52"/>
    </row>
    <row r="7" customFormat="false" ht="13.8" hidden="false" customHeight="false" outlineLevel="0" collapsed="false">
      <c r="B7" s="49"/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customFormat="false" ht="13.8" hidden="false" customHeight="false" outlineLevel="0" collapsed="false">
      <c r="B8" s="53"/>
    </row>
    <row r="9" customFormat="false" ht="13.8" hidden="false" customHeight="false" outlineLevel="0" collapsed="false">
      <c r="B9" s="49" t="s">
        <v>78</v>
      </c>
      <c r="C9" s="50" t="n">
        <v>0.134019</v>
      </c>
      <c r="D9" s="51" t="n">
        <v>0.130574</v>
      </c>
      <c r="E9" s="51"/>
      <c r="F9" s="51"/>
      <c r="G9" s="51"/>
      <c r="H9" s="51"/>
      <c r="I9" s="51"/>
      <c r="J9" s="51"/>
      <c r="K9" s="51"/>
      <c r="L9" s="51"/>
      <c r="M9" s="52"/>
    </row>
    <row r="10" customFormat="false" ht="13.8" hidden="false" customHeight="false" outlineLevel="0" collapsed="false">
      <c r="B10" s="49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customFormat="false" ht="13.8" hidden="false" customHeight="false" outlineLevel="0" collapsed="false">
      <c r="B11" s="53"/>
    </row>
    <row r="12" customFormat="false" ht="13.8" hidden="false" customHeight="false" outlineLevel="0" collapsed="false">
      <c r="A12" s="0" t="s">
        <v>82</v>
      </c>
      <c r="B12" s="49" t="s">
        <v>79</v>
      </c>
      <c r="C12" s="50" t="n">
        <v>0.153655</v>
      </c>
      <c r="D12" s="51" t="n">
        <v>0.150727</v>
      </c>
      <c r="E12" s="51"/>
      <c r="F12" s="51"/>
      <c r="G12" s="51"/>
      <c r="H12" s="51"/>
      <c r="I12" s="51"/>
      <c r="J12" s="51"/>
      <c r="K12" s="51"/>
      <c r="L12" s="51"/>
      <c r="M12" s="52"/>
    </row>
    <row r="13" customFormat="false" ht="13.8" hidden="false" customHeight="false" outlineLevel="0" collapsed="false">
      <c r="B13" s="49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customFormat="false" ht="13.8" hidden="false" customHeight="false" outlineLevel="0" collapsed="false">
      <c r="B14" s="53"/>
    </row>
    <row r="15" customFormat="false" ht="13.8" hidden="false" customHeight="false" outlineLevel="0" collapsed="false">
      <c r="B15" s="49" t="s">
        <v>80</v>
      </c>
      <c r="C15" s="50" t="n">
        <v>0.157103</v>
      </c>
      <c r="D15" s="51" t="n">
        <v>0.154543</v>
      </c>
      <c r="E15" s="51"/>
      <c r="F15" s="51"/>
      <c r="G15" s="51"/>
      <c r="H15" s="51"/>
      <c r="I15" s="51"/>
      <c r="J15" s="51"/>
      <c r="K15" s="51"/>
      <c r="L15" s="51"/>
      <c r="M15" s="52"/>
    </row>
    <row r="16" customFormat="false" ht="13.8" hidden="false" customHeight="false" outlineLevel="0" collapsed="false">
      <c r="B16" s="49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2"/>
    </row>
    <row r="17" customFormat="false" ht="13.8" hidden="false" customHeight="false" outlineLevel="0" collapsed="false">
      <c r="B17" s="53"/>
    </row>
    <row r="18" customFormat="false" ht="13.8" hidden="false" customHeight="false" outlineLevel="0" collapsed="false">
      <c r="B18" s="49" t="s">
        <v>81</v>
      </c>
      <c r="C18" s="50" t="n">
        <v>0.139461</v>
      </c>
      <c r="D18" s="51" t="n">
        <v>0.142303</v>
      </c>
      <c r="E18" s="51"/>
      <c r="F18" s="51"/>
      <c r="G18" s="51"/>
      <c r="H18" s="51"/>
      <c r="I18" s="51"/>
      <c r="J18" s="51"/>
      <c r="K18" s="51"/>
      <c r="L18" s="51"/>
      <c r="M18" s="52"/>
    </row>
    <row r="19" customFormat="false" ht="13.8" hidden="false" customHeight="false" outlineLevel="0" collapsed="false">
      <c r="B19" s="49"/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2"/>
    </row>
  </sheetData>
  <mergeCells count="76">
    <mergeCell ref="G1:I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A6:A11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A13:A19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2020-10-19T23:43:27Z</dcterms:created>
  <dc:creator>Zach McNulty</dc:creator>
  <dc:description/>
  <dc:language>en-US</dc:language>
  <cp:lastModifiedBy/>
  <dcterms:modified xsi:type="dcterms:W3CDTF">2020-11-13T20:21:01Z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0x010100F74E03A9792A6C42A1E8656A91ECEB56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