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tya\Desktop\PDE\Pumps\"/>
    </mc:Choice>
  </mc:AlternateContent>
  <xr:revisionPtr revIDLastSave="0" documentId="13_ncr:1_{95A3FFCC-7057-435E-8486-AB0C7EDA2B4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ine Sizing" sheetId="1" r:id="rId1"/>
    <sheet name="Pump Hydraulics" sheetId="4" r:id="rId2"/>
    <sheet name="Notes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1" i="4" l="1"/>
  <c r="E47" i="4"/>
  <c r="E50" i="4"/>
  <c r="E49" i="4"/>
  <c r="F44" i="1"/>
  <c r="F41" i="1"/>
  <c r="F45" i="1" s="1"/>
  <c r="F38" i="1"/>
  <c r="F39" i="1"/>
  <c r="F35" i="1"/>
  <c r="F33" i="1"/>
  <c r="J22" i="1"/>
  <c r="G45" i="4"/>
  <c r="G56" i="4"/>
  <c r="G55" i="4"/>
  <c r="E48" i="4"/>
  <c r="D50" i="4"/>
  <c r="D49" i="4"/>
  <c r="D48" i="4"/>
  <c r="D47" i="4"/>
  <c r="D39" i="4"/>
  <c r="D37" i="4"/>
  <c r="D36" i="4"/>
  <c r="D35" i="4"/>
  <c r="D34" i="4"/>
  <c r="D33" i="4"/>
  <c r="E33" i="4"/>
  <c r="E35" i="4"/>
  <c r="E34" i="4"/>
  <c r="E39" i="4"/>
  <c r="E37" i="4"/>
  <c r="E36" i="4"/>
  <c r="D10" i="1"/>
  <c r="D8" i="1"/>
  <c r="D7" i="1"/>
  <c r="D6" i="1"/>
  <c r="D5" i="1"/>
  <c r="B14" i="1" s="1"/>
  <c r="D38" i="4" l="1"/>
  <c r="B42" i="4" s="1"/>
  <c r="E38" i="4"/>
  <c r="B17" i="1"/>
  <c r="B15" i="1"/>
  <c r="D51" i="4" l="1"/>
  <c r="E51" i="4"/>
  <c r="J21" i="1"/>
  <c r="J20" i="1"/>
  <c r="J19" i="1"/>
  <c r="J18" i="1"/>
  <c r="J17" i="1"/>
  <c r="J11" i="1"/>
  <c r="J9" i="1"/>
  <c r="J6" i="1"/>
  <c r="J7" i="1"/>
  <c r="B16" i="1"/>
  <c r="B21" i="1" s="1"/>
  <c r="D21" i="1" s="1"/>
  <c r="J16" i="1"/>
  <c r="J15" i="1"/>
  <c r="J14" i="1"/>
  <c r="J13" i="1"/>
  <c r="J12" i="1"/>
  <c r="J10" i="1"/>
  <c r="J8" i="1"/>
  <c r="J5" i="1"/>
  <c r="G48" i="4"/>
  <c r="B43" i="4"/>
  <c r="B41" i="4"/>
  <c r="B40" i="4"/>
  <c r="G50" i="4"/>
  <c r="E42" i="4"/>
  <c r="D42" i="4"/>
  <c r="J23" i="1" l="1"/>
  <c r="J24" i="1" s="1"/>
  <c r="B22" i="1"/>
  <c r="B18" i="1"/>
  <c r="B23" i="1"/>
  <c r="E21" i="1"/>
  <c r="D43" i="4"/>
  <c r="E43" i="4"/>
  <c r="E41" i="4"/>
  <c r="D41" i="4"/>
  <c r="D40" i="4"/>
  <c r="E40" i="4"/>
  <c r="C21" i="1"/>
  <c r="D22" i="1" l="1"/>
  <c r="C22" i="1"/>
  <c r="D23" i="1"/>
  <c r="C23" i="1"/>
  <c r="E22" i="1" l="1"/>
  <c r="E23" i="1"/>
  <c r="B54" i="4" l="1"/>
  <c r="G49" i="4"/>
  <c r="G47" i="4" l="1"/>
  <c r="B55" i="4"/>
  <c r="D54" i="4"/>
  <c r="B56" i="4" l="1"/>
  <c r="D56" i="4" s="1"/>
  <c r="D55" i="4"/>
  <c r="G46" i="4"/>
  <c r="G39" i="4"/>
  <c r="G40" i="4" l="1"/>
  <c r="G52" i="4"/>
  <c r="G41" i="4" l="1"/>
  <c r="G54" i="4" s="1"/>
  <c r="G53" i="4"/>
</calcChain>
</file>

<file path=xl/sharedStrings.xml><?xml version="1.0" encoding="utf-8"?>
<sst xmlns="http://schemas.openxmlformats.org/spreadsheetml/2006/main" count="340" uniqueCount="250">
  <si>
    <t>INPUTS (edit only yellow cells)</t>
  </si>
  <si>
    <t>INTERMEDIATE CALCULATIONS</t>
  </si>
  <si>
    <t>RESULTS</t>
  </si>
  <si>
    <t>Pipe internal diameter (D)</t>
  </si>
  <si>
    <t>m</t>
  </si>
  <si>
    <t>Pipe length (L)</t>
  </si>
  <si>
    <t>Flow rate (Q)</t>
  </si>
  <si>
    <t>m^3/h</t>
  </si>
  <si>
    <t>Density (ρ)</t>
  </si>
  <si>
    <t>kg/m^3</t>
  </si>
  <si>
    <t>Dynamic viscosity (μ) — leave 0 if unknown</t>
  </si>
  <si>
    <t>Pa·s</t>
  </si>
  <si>
    <t>Absolute roughness (ε)</t>
  </si>
  <si>
    <t>mm</t>
  </si>
  <si>
    <t>SI value</t>
  </si>
  <si>
    <t>SI unit</t>
  </si>
  <si>
    <t>m^3/s</t>
  </si>
  <si>
    <t>Cross-sectional area, A = π D^2 / 4</t>
  </si>
  <si>
    <t>m^2</t>
  </si>
  <si>
    <t>Velocity, v = Q / A</t>
  </si>
  <si>
    <t>m/s</t>
  </si>
  <si>
    <t>-</t>
  </si>
  <si>
    <t>Relative roughness, ε/D</t>
  </si>
  <si>
    <t>Flow regime hint</t>
  </si>
  <si>
    <t>Method</t>
  </si>
  <si>
    <t>Darcy f (f_D)</t>
  </si>
  <si>
    <t>Fanning f (f_F=f_D/4)</t>
  </si>
  <si>
    <t>ΔP (Pa)</t>
  </si>
  <si>
    <t>Blasius (smooth) — valid for turbulent only</t>
  </si>
  <si>
    <t>Swamee–Jain (explicit Colebrook)</t>
  </si>
  <si>
    <t>Haaland (explicit)</t>
  </si>
  <si>
    <t>Tips</t>
  </si>
  <si>
    <t>Reference Roughness (ε) — typical values</t>
  </si>
  <si>
    <t>Material</t>
  </si>
  <si>
    <t>ε (m)</t>
  </si>
  <si>
    <t>Smooth drawn tubing / PVC</t>
  </si>
  <si>
    <t>New steel (very smooth)</t>
  </si>
  <si>
    <t>Commercial steel (typical)</t>
  </si>
  <si>
    <t>Galvanized iron (rough)</t>
  </si>
  <si>
    <t>Old cast iron (very rough)</t>
  </si>
  <si>
    <t>Reynolds number, Re = ρvD /μ</t>
  </si>
  <si>
    <t>ΔP (bar)</t>
  </si>
  <si>
    <t>Company Name</t>
  </si>
  <si>
    <t>NA</t>
  </si>
  <si>
    <t>Project Location</t>
  </si>
  <si>
    <t>Pump Hydraulic Calculation</t>
  </si>
  <si>
    <t>Pump Tag No.</t>
  </si>
  <si>
    <t>P-101</t>
  </si>
  <si>
    <t>Pump Location</t>
  </si>
  <si>
    <t>Service Fluid</t>
  </si>
  <si>
    <t>Project Name</t>
  </si>
  <si>
    <t>Project No.</t>
  </si>
  <si>
    <t>Sheet</t>
  </si>
  <si>
    <t>of</t>
  </si>
  <si>
    <t>Rev. No.</t>
  </si>
  <si>
    <t>Prepared</t>
  </si>
  <si>
    <t>Checked</t>
  </si>
  <si>
    <t>Approved</t>
  </si>
  <si>
    <t>Comments</t>
  </si>
  <si>
    <t>Date</t>
  </si>
  <si>
    <t>By</t>
  </si>
  <si>
    <t>Pump Description and Sketch</t>
  </si>
  <si>
    <t>General Datas</t>
  </si>
  <si>
    <t>Viscosity</t>
  </si>
  <si>
    <t>Minimum Temperature</t>
  </si>
  <si>
    <t>Normal Temperature</t>
  </si>
  <si>
    <t>Maximum Temperature</t>
  </si>
  <si>
    <t>MOC</t>
  </si>
  <si>
    <t>Suction Side</t>
  </si>
  <si>
    <t>Notes</t>
  </si>
  <si>
    <t>Total Elevation  of Suction side Vessel</t>
  </si>
  <si>
    <t>Formulas</t>
  </si>
  <si>
    <t>Fluid Type</t>
  </si>
  <si>
    <t>Suction Velocity (m/s)</t>
  </si>
  <si>
    <t>Discharge Velocity (m/s)</t>
  </si>
  <si>
    <t>Key Considerations</t>
  </si>
  <si>
    <t>Water / Low-viscosity liquids</t>
  </si>
  <si>
    <t>0.5–1.5</t>
  </si>
  <si>
    <t>2–5</t>
  </si>
  <si>
    <t>Standard design case; low friction and stable flow</t>
  </si>
  <si>
    <t>High-viscosity liquids (oils, syrups)</t>
  </si>
  <si>
    <t>0.3–1.0</t>
  </si>
  <si>
    <t>1–3</t>
  </si>
  <si>
    <t>Higher friction losses; keep velocity low</t>
  </si>
  <si>
    <t>Volatile liquids (hydrocarbons, hot fluids)</t>
  </si>
  <si>
    <t>≤1.0</t>
  </si>
  <si>
    <t>2–4</t>
  </si>
  <si>
    <t>Avoid cavitation; maintain good NPSH</t>
  </si>
  <si>
    <t>Slurries (liquids with solids)</t>
  </si>
  <si>
    <t>1.5–3.0 (min)</t>
  </si>
  <si>
    <t>Prevent settling; avoid excessive erosion</t>
  </si>
  <si>
    <t>Corrosive / hazardous fluids</t>
  </si>
  <si>
    <t>1.5–4</t>
  </si>
  <si>
    <t>Limit erosion/corrosion; ensure safety margins</t>
  </si>
  <si>
    <t>K value (velocity heads)</t>
  </si>
  <si>
    <t>Gate valve (open)</t>
  </si>
  <si>
    <t>Globe valve, bevel seat (open)</t>
  </si>
  <si>
    <t>Plug valve (open)</t>
  </si>
  <si>
    <t>Diaphragm valve (open)</t>
  </si>
  <si>
    <t>Angle valve (open)</t>
  </si>
  <si>
    <t>Check valve (swing)</t>
  </si>
  <si>
    <t>Foot valve</t>
  </si>
  <si>
    <t>Coupling</t>
  </si>
  <si>
    <t>90° elbow (standard)</t>
  </si>
  <si>
    <t>90° elbow (long radius)</t>
  </si>
  <si>
    <t>45° elbow (long radius)</t>
  </si>
  <si>
    <t>45° elbow (standard)</t>
  </si>
  <si>
    <t>90° bend</t>
  </si>
  <si>
    <t>180° bend (closed return)</t>
  </si>
  <si>
    <t>Tee (straight through)</t>
  </si>
  <si>
    <t>Butterfly valve (α = 5°)</t>
  </si>
  <si>
    <t>Check valve (swing type)</t>
  </si>
  <si>
    <t>Suction side data</t>
  </si>
  <si>
    <t>Dischatrge side line length</t>
  </si>
  <si>
    <t>bar A</t>
  </si>
  <si>
    <t>Value</t>
  </si>
  <si>
    <t>Unit</t>
  </si>
  <si>
    <t>Operating pressure of Suction side Vessel (P)</t>
  </si>
  <si>
    <t>Vapor pressure of fluid (Pv)</t>
  </si>
  <si>
    <t>NPSH(A)</t>
  </si>
  <si>
    <t>P +/- Z - HFs1-HFs2 - Pv</t>
  </si>
  <si>
    <t xml:space="preserve"> K*(ρv^2/2)</t>
  </si>
  <si>
    <t>Component pressure loss (HFs2)</t>
  </si>
  <si>
    <t>2. For suction side consider the velocity ration between 0.5-1.5 and for discharge side keep it between 1.5 to 3 and according to that select the diameter of pipe.</t>
  </si>
  <si>
    <t xml:space="preserve">3. When pump is above Suction side vessel (NPSH(A)= P - Z ) and When Pump is below Suction side vessel(NPSH(A)= P + Z) </t>
  </si>
  <si>
    <t>4. Here the values of K given according to general literature for frictional loss due to equipments and instruments but during detailed design we used mostly data of manufacturer.</t>
  </si>
  <si>
    <t>5. For strainers, we consider maximum pressure drop as 0.2 bar but that could be also change according to manufacturer's data.</t>
  </si>
  <si>
    <t>1. Blasius is for smooth, turbulent flow (~Re &gt; 4,000). Swamee–Jain/Haaland account for roughness.</t>
  </si>
  <si>
    <t>Type of fitting or valve (List-1)</t>
  </si>
  <si>
    <t>Total frictional loss in all equ. &amp; instru. (HFs2) (Refere List-1 and Notes)</t>
  </si>
  <si>
    <t>Total frictional loss suction side line (HFs1) (Refere Line sizing Spreadsheet)</t>
  </si>
  <si>
    <t>Suction Head</t>
  </si>
  <si>
    <t>6. When HHLL not available, consider total elevation of vessel</t>
  </si>
  <si>
    <t xml:space="preserve">P +/- Z - HFs1-HFs2 </t>
  </si>
  <si>
    <t>Maximum Suction head</t>
  </si>
  <si>
    <t xml:space="preserve">P +/- HHL - HFs1-HFs2 </t>
  </si>
  <si>
    <t xml:space="preserve"> in meter</t>
  </si>
  <si>
    <t>in bar</t>
  </si>
  <si>
    <t>Suction Head/ Suction Pressure</t>
  </si>
  <si>
    <t xml:space="preserve"> in bar</t>
  </si>
  <si>
    <t>Design pressure of Suction line (Note-7)</t>
  </si>
  <si>
    <t>Maximum Suction Pressure/ Max. Operating Pressure (Note-6)</t>
  </si>
  <si>
    <t>Margin above MOP</t>
  </si>
  <si>
    <t>Water / utility piping</t>
  </si>
  <si>
    <t>10–25%</t>
  </si>
  <si>
    <t>General process systems</t>
  </si>
  <si>
    <t>10–30%</t>
  </si>
  <si>
    <t>High fluctuation / transient systems</t>
  </si>
  <si>
    <t>20–50%</t>
  </si>
  <si>
    <t>Pumps / surge-prone systems</t>
  </si>
  <si>
    <t>often higher (depends on surge analysis)</t>
  </si>
  <si>
    <t>System type (List-2)</t>
  </si>
  <si>
    <t>7. Design pressure margin changes according to different industries(List-2)</t>
  </si>
  <si>
    <t>Absolute roughness (ε) (List-0)</t>
  </si>
  <si>
    <t>%</t>
  </si>
  <si>
    <t xml:space="preserve">Design Pressure margin for suction line </t>
  </si>
  <si>
    <t>Suction side line length</t>
  </si>
  <si>
    <t>Suction side line Size (Refere Line sizing Spreadsheet)</t>
  </si>
  <si>
    <t>Dischatrge side line size (Refere Line sizing Spreadsheet)</t>
  </si>
  <si>
    <t>8. The final MCF Flowrate is Vendoe specific. But gernerally for the basic design we take it 20-25%.</t>
  </si>
  <si>
    <t>MCF Flow Margin</t>
  </si>
  <si>
    <t>Flow Rate</t>
  </si>
  <si>
    <t>Discharge Side</t>
  </si>
  <si>
    <t>Operating pressure of Discharge side Vessel (P)</t>
  </si>
  <si>
    <t>Vessel LL Liquid level to pump centerline (Z)</t>
  </si>
  <si>
    <t>Vessel HHLL Liquid level to pump centerline</t>
  </si>
  <si>
    <t>Discharge Side data</t>
  </si>
  <si>
    <t>in meter</t>
  </si>
  <si>
    <t xml:space="preserve">Line Sizing and Pressure Drop Calculator </t>
  </si>
  <si>
    <t>Elevation Head(Z)</t>
  </si>
  <si>
    <t xml:space="preserve">P+Z+HFs1+HFs2 </t>
  </si>
  <si>
    <t>Discharge Head (Consider discharge side values)</t>
  </si>
  <si>
    <t>Differential Head Calculation</t>
  </si>
  <si>
    <t>Pa.s</t>
  </si>
  <si>
    <t>Shutoff Head margin</t>
  </si>
  <si>
    <t>C</t>
  </si>
  <si>
    <t>Shutoff Head</t>
  </si>
  <si>
    <t>Shut off pressure</t>
  </si>
  <si>
    <t>• Enter diameter, length, flow, density, viscosity, roughness; choose proper units.
• Outputs: Darcy and Fanning friction factors, headloss (m), ΔP (Pa), ΔP per 100 m.</t>
  </si>
  <si>
    <t>Pump Power Calculations</t>
  </si>
  <si>
    <t xml:space="preserve">9. Shut-off Head is vendor specific but we consider it in preliminary design 25%. </t>
  </si>
  <si>
    <t>Max suc. Press+(diff.press*25%)</t>
  </si>
  <si>
    <t xml:space="preserve">10. Downstream equipments are rated based on shutoff pressure. </t>
  </si>
  <si>
    <t>11. Design pressure of downstream equipments should always be higher than shutoff pressure of pump. That's why we add different margins according to shutoff pressure of pump. (List-3)</t>
  </si>
  <si>
    <t>Pressure range (List-3)</t>
  </si>
  <si>
    <t>Margin</t>
  </si>
  <si>
    <t>0-10 bar</t>
  </si>
  <si>
    <t>10-20 bar</t>
  </si>
  <si>
    <t>20-50 bar</t>
  </si>
  <si>
    <t>upto 50 bar</t>
  </si>
  <si>
    <t>Downstream components pressure</t>
  </si>
  <si>
    <t>Design pressure margin for Downstream components (Note-11)</t>
  </si>
  <si>
    <t>Differential Pressure/Head or Total Head</t>
  </si>
  <si>
    <t>Pump Efficiency</t>
  </si>
  <si>
    <t>Motor Efficiency</t>
  </si>
  <si>
    <t>Hydraulic Power</t>
  </si>
  <si>
    <t xml:space="preserve">Break Horse Power </t>
  </si>
  <si>
    <t>Motor Power</t>
  </si>
  <si>
    <t>KW</t>
  </si>
  <si>
    <t>12. Pump efficiency will provided by Pump vendors and Motor efficiency will be provided by Motor vendor.</t>
  </si>
  <si>
    <t>13. For the preliminary calculation we consider worst efficiency here.</t>
  </si>
  <si>
    <t>Pump Calculation Summary</t>
  </si>
  <si>
    <t>Total Differential Head</t>
  </si>
  <si>
    <t>NPSH Available (NPSH-A)</t>
  </si>
  <si>
    <t>NPSH Required (NPSH-R)</t>
  </si>
  <si>
    <t>Brake Power Required</t>
  </si>
  <si>
    <t>Motor Power Required</t>
  </si>
  <si>
    <t>Fluid Density</t>
  </si>
  <si>
    <t>Fluid Vapour Pressure</t>
  </si>
  <si>
    <t>Volumetric Flow Rate</t>
  </si>
  <si>
    <t>Tortal Differential Pressure</t>
  </si>
  <si>
    <t>Suction Pressure</t>
  </si>
  <si>
    <t>Discharge Pressure</t>
  </si>
  <si>
    <t>m^3/hr</t>
  </si>
  <si>
    <t xml:space="preserve">14. NPSH-R is provided by Vendor. </t>
  </si>
  <si>
    <t>15. NPSH-A must be 0.5m or 3% of Rated head and greater than NPSH-R.</t>
  </si>
  <si>
    <t>Pump hydraulics and Sizing (API 610)</t>
  </si>
  <si>
    <t>inch</t>
  </si>
  <si>
    <t>Strainer</t>
  </si>
  <si>
    <t xml:space="preserve"> </t>
  </si>
  <si>
    <t>bar</t>
  </si>
  <si>
    <t>Fluid</t>
  </si>
  <si>
    <t xml:space="preserve">ethylene dichloride </t>
  </si>
  <si>
    <t>No. of valves and fittings</t>
  </si>
  <si>
    <t>Pressure loss in pascal</t>
  </si>
  <si>
    <t>Total Loss</t>
  </si>
  <si>
    <t>pascal</t>
  </si>
  <si>
    <t>100 m</t>
  </si>
  <si>
    <t>length</t>
  </si>
  <si>
    <t>pressure drop</t>
  </si>
  <si>
    <t>total with components</t>
  </si>
  <si>
    <t>Pressure drop line and equip.</t>
  </si>
  <si>
    <t>Plate type HEX</t>
  </si>
  <si>
    <t>line-1</t>
  </si>
  <si>
    <t>line-2</t>
  </si>
  <si>
    <t>100m</t>
  </si>
  <si>
    <t>LINE-3</t>
  </si>
  <si>
    <t>LINE-4</t>
  </si>
  <si>
    <t>50m</t>
  </si>
  <si>
    <t>16. In preliminary sizing, when fixer amount of componrnts are unknown, at that time if our line size is 8 inch or less then we multiply it with 2 which should be consider as total pressure drop.</t>
  </si>
  <si>
    <t>17. When the line size is more than 8 inch at that time we multiply 3 with line pressure drop which will be our total pressure drop with components.</t>
  </si>
  <si>
    <t>line-5</t>
  </si>
  <si>
    <t xml:space="preserve">At destination tank, we have already  1.8 barg pressure and we add elevcation pressure of 7.5 m </t>
  </si>
  <si>
    <t>total line pressure drop</t>
  </si>
  <si>
    <t>Total frictional loss Dsicharge side line (HFs1) (Refere Line sizing Spreadsheet)</t>
  </si>
  <si>
    <t>total component and equp.</t>
  </si>
  <si>
    <t>control valve (line-3)</t>
  </si>
  <si>
    <t>cooler (line-3)</t>
  </si>
  <si>
    <t>HEX (line-3)</t>
  </si>
  <si>
    <t>Toal differntial head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</si>
</sst>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0.000000"/>
    <numFmt numFmtId="165" formatCode="0.0000"/>
    <numFmt numFmtId="168" formatCode="0.00000"/>
  </numFmts>
  <fonts count="11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66666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name val="Arial"/>
      <family val="2"/>
    </font>
    <font>
      <sz val="10"/>
      <color rgb="FF1F4E79"/>
      <name val="Arial"/>
      <family val="2"/>
    </font>
    <font>
      <sz val="10"/>
      <name val="Arial"/>
      <family val="2"/>
    </font>
    <font>
      <b/>
      <sz val="18"/>
      <color rgb="FF1F4E79"/>
      <name val="Arial"/>
      <family val="2"/>
    </font>
    <font>
      <b/>
      <sz val="18"/>
      <name val="Arial"/>
      <family val="2"/>
    </font>
    <font>
      <sz val="11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BDD7EE"/>
        <bgColor rgb="FFD9E1F2"/>
      </patternFill>
    </fill>
    <fill>
      <patternFill patternType="solid">
        <fgColor rgb="FFD9E1F2"/>
        <bgColor rgb="FFE2EFDA"/>
      </patternFill>
    </fill>
    <fill>
      <patternFill patternType="solid">
        <fgColor theme="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39997558519241921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2">
    <xf numFmtId="0" fontId="0" fillId="0" borderId="0"/>
    <xf numFmtId="43" fontId="10" fillId="0" borderId="0" applyFont="0" applyFill="0" applyBorder="0" applyAlignment="0" applyProtection="0"/>
  </cellStyleXfs>
  <cellXfs count="107">
    <xf numFmtId="0" fontId="0" fillId="0" borderId="0" xfId="0"/>
    <xf numFmtId="0" fontId="2" fillId="2" borderId="1" xfId="0" applyFont="1" applyFill="1" applyBorder="1"/>
    <xf numFmtId="0" fontId="2" fillId="3" borderId="1" xfId="0" applyFont="1" applyFill="1" applyBorder="1"/>
    <xf numFmtId="0" fontId="0" fillId="0" borderId="1" xfId="0" applyBorder="1"/>
    <xf numFmtId="0" fontId="0" fillId="4" borderId="1" xfId="0" applyFill="1" applyBorder="1"/>
    <xf numFmtId="0" fontId="0" fillId="5" borderId="1" xfId="0" applyFill="1" applyBorder="1"/>
    <xf numFmtId="0" fontId="3" fillId="0" borderId="0" xfId="0" applyFont="1"/>
    <xf numFmtId="164" fontId="0" fillId="5" borderId="1" xfId="0" applyNumberFormat="1" applyFill="1" applyBorder="1"/>
    <xf numFmtId="2" fontId="0" fillId="5" borderId="1" xfId="0" applyNumberFormat="1" applyFill="1" applyBorder="1"/>
    <xf numFmtId="0" fontId="0" fillId="0" borderId="0" xfId="0" applyAlignment="1">
      <alignment wrapText="1"/>
    </xf>
    <xf numFmtId="0" fontId="3" fillId="0" borderId="1" xfId="0" applyFont="1" applyBorder="1"/>
    <xf numFmtId="0" fontId="2" fillId="2" borderId="2" xfId="0" applyFont="1" applyFill="1" applyBorder="1"/>
    <xf numFmtId="0" fontId="0" fillId="0" borderId="3" xfId="0" applyBorder="1"/>
    <xf numFmtId="0" fontId="0" fillId="4" borderId="3" xfId="0" applyFill="1" applyBorder="1"/>
    <xf numFmtId="0" fontId="0" fillId="5" borderId="3" xfId="0" applyFill="1" applyBorder="1"/>
    <xf numFmtId="0" fontId="5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165" fontId="0" fillId="10" borderId="1" xfId="0" applyNumberFormat="1" applyFill="1" applyBorder="1"/>
    <xf numFmtId="0" fontId="0" fillId="11" borderId="1" xfId="0" applyFill="1" applyBorder="1"/>
    <xf numFmtId="0" fontId="0" fillId="6" borderId="1" xfId="0" applyFill="1" applyBorder="1"/>
    <xf numFmtId="0" fontId="2" fillId="12" borderId="0" xfId="0" applyFont="1" applyFill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0" fillId="13" borderId="1" xfId="0" applyFill="1" applyBorder="1"/>
    <xf numFmtId="0" fontId="0" fillId="11" borderId="1" xfId="0" applyFill="1" applyBorder="1" applyAlignment="1">
      <alignment vertical="center" wrapText="1"/>
    </xf>
    <xf numFmtId="9" fontId="0" fillId="6" borderId="1" xfId="0" applyNumberFormat="1" applyFill="1" applyBorder="1" applyAlignment="1">
      <alignment horizontal="left"/>
    </xf>
    <xf numFmtId="0" fontId="0" fillId="6" borderId="1" xfId="0" applyFill="1" applyBorder="1" applyAlignment="1">
      <alignment horizontal="left" vertical="top"/>
    </xf>
    <xf numFmtId="164" fontId="0" fillId="5" borderId="1" xfId="0" applyNumberFormat="1" applyFill="1" applyBorder="1" applyAlignment="1">
      <alignment horizontal="left" vertical="top"/>
    </xf>
    <xf numFmtId="0" fontId="0" fillId="7" borderId="1" xfId="0" applyFill="1" applyBorder="1"/>
    <xf numFmtId="2" fontId="0" fillId="7" borderId="1" xfId="0" applyNumberFormat="1" applyFill="1" applyBorder="1"/>
    <xf numFmtId="0" fontId="0" fillId="7" borderId="10" xfId="0" applyFill="1" applyBorder="1"/>
    <xf numFmtId="0" fontId="0" fillId="14" borderId="1" xfId="0" applyFill="1" applyBorder="1"/>
    <xf numFmtId="0" fontId="2" fillId="11" borderId="1" xfId="0" applyFont="1" applyFill="1" applyBorder="1" applyAlignment="1">
      <alignment horizontal="center" vertical="center"/>
    </xf>
    <xf numFmtId="0" fontId="2" fillId="15" borderId="1" xfId="0" applyFont="1" applyFill="1" applyBorder="1"/>
    <xf numFmtId="0" fontId="0" fillId="0" borderId="1" xfId="0" applyBorder="1" applyAlignment="1">
      <alignment horizontal="center"/>
    </xf>
    <xf numFmtId="0" fontId="2" fillId="6" borderId="1" xfId="0" applyFont="1" applyFill="1" applyBorder="1" applyAlignment="1">
      <alignment horizontal="center" vertical="center"/>
    </xf>
    <xf numFmtId="0" fontId="2" fillId="6" borderId="10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9" xfId="0" applyBorder="1" applyAlignment="1">
      <alignment horizontal="center"/>
    </xf>
    <xf numFmtId="0" fontId="4" fillId="7" borderId="8" xfId="0" applyFont="1" applyFill="1" applyBorder="1" applyAlignment="1">
      <alignment horizontal="center"/>
    </xf>
    <xf numFmtId="0" fontId="7" fillId="6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/>
    </xf>
    <xf numFmtId="0" fontId="0" fillId="7" borderId="10" xfId="0" applyFill="1" applyBorder="1" applyAlignment="1">
      <alignment horizontal="center"/>
    </xf>
    <xf numFmtId="0" fontId="0" fillId="7" borderId="9" xfId="0" applyFill="1" applyBorder="1" applyAlignment="1">
      <alignment horizontal="center"/>
    </xf>
    <xf numFmtId="49" fontId="6" fillId="8" borderId="1" xfId="0" applyNumberFormat="1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2" fontId="2" fillId="15" borderId="1" xfId="0" applyNumberFormat="1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15" borderId="4" xfId="0" applyFont="1" applyFill="1" applyBorder="1" applyAlignment="1">
      <alignment horizontal="center" vertical="center"/>
    </xf>
    <xf numFmtId="0" fontId="1" fillId="15" borderId="5" xfId="0" applyFont="1" applyFill="1" applyBorder="1" applyAlignment="1">
      <alignment horizontal="center" vertical="center"/>
    </xf>
    <xf numFmtId="0" fontId="1" fillId="15" borderId="12" xfId="0" applyFont="1" applyFill="1" applyBorder="1" applyAlignment="1">
      <alignment horizontal="center" vertical="center"/>
    </xf>
    <xf numFmtId="0" fontId="1" fillId="15" borderId="6" xfId="0" applyFont="1" applyFill="1" applyBorder="1" applyAlignment="1">
      <alignment horizontal="center" vertical="center"/>
    </xf>
    <xf numFmtId="0" fontId="1" fillId="15" borderId="0" xfId="0" applyFont="1" applyFill="1" applyAlignment="1">
      <alignment horizontal="center" vertical="center"/>
    </xf>
    <xf numFmtId="0" fontId="1" fillId="15" borderId="14" xfId="0" applyFont="1" applyFill="1" applyBorder="1" applyAlignment="1">
      <alignment horizontal="center" vertical="center"/>
    </xf>
    <xf numFmtId="0" fontId="1" fillId="15" borderId="7" xfId="0" applyFont="1" applyFill="1" applyBorder="1" applyAlignment="1">
      <alignment horizontal="center" vertical="center"/>
    </xf>
    <xf numFmtId="0" fontId="1" fillId="15" borderId="8" xfId="0" applyFont="1" applyFill="1" applyBorder="1" applyAlignment="1">
      <alignment horizontal="center" vertical="center"/>
    </xf>
    <xf numFmtId="0" fontId="1" fillId="15" borderId="13" xfId="0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center" vertical="center"/>
    </xf>
    <xf numFmtId="0" fontId="1" fillId="0" borderId="1" xfId="0" applyFont="1" applyBorder="1"/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168" fontId="0" fillId="0" borderId="1" xfId="0" applyNumberFormat="1" applyBorder="1"/>
    <xf numFmtId="165" fontId="0" fillId="0" borderId="1" xfId="0" applyNumberFormat="1" applyBorder="1"/>
    <xf numFmtId="165" fontId="0" fillId="13" borderId="1" xfId="0" applyNumberFormat="1" applyFill="1" applyBorder="1"/>
    <xf numFmtId="2" fontId="0" fillId="0" borderId="1" xfId="0" applyNumberFormat="1" applyBorder="1"/>
    <xf numFmtId="165" fontId="0" fillId="5" borderId="1" xfId="0" applyNumberFormat="1" applyFill="1" applyBorder="1"/>
    <xf numFmtId="2" fontId="0" fillId="7" borderId="10" xfId="0" applyNumberFormat="1" applyFill="1" applyBorder="1"/>
    <xf numFmtId="165" fontId="0" fillId="7" borderId="10" xfId="0" applyNumberFormat="1" applyFill="1" applyBorder="1"/>
    <xf numFmtId="168" fontId="0" fillId="7" borderId="1" xfId="0" applyNumberFormat="1" applyFill="1" applyBorder="1"/>
    <xf numFmtId="165" fontId="0" fillId="7" borderId="1" xfId="0" applyNumberFormat="1" applyFill="1" applyBorder="1"/>
    <xf numFmtId="2" fontId="2" fillId="15" borderId="1" xfId="0" applyNumberFormat="1" applyFont="1" applyFill="1" applyBorder="1" applyAlignment="1">
      <alignment horizontal="center" vertical="center"/>
    </xf>
    <xf numFmtId="2" fontId="0" fillId="0" borderId="10" xfId="0" applyNumberFormat="1" applyBorder="1"/>
    <xf numFmtId="0" fontId="7" fillId="0" borderId="1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0" fillId="0" borderId="1" xfId="0" applyBorder="1" applyAlignment="1"/>
    <xf numFmtId="0" fontId="0" fillId="7" borderId="1" xfId="0" applyFill="1" applyBorder="1" applyAlignment="1"/>
    <xf numFmtId="168" fontId="0" fillId="7" borderId="1" xfId="1" applyNumberFormat="1" applyFont="1" applyFill="1" applyBorder="1"/>
    <xf numFmtId="0" fontId="0" fillId="14" borderId="1" xfId="0" applyFill="1" applyBorder="1" applyAlignment="1">
      <alignment horizontal="left" vertical="top"/>
    </xf>
    <xf numFmtId="0" fontId="0" fillId="14" borderId="15" xfId="0" applyFill="1" applyBorder="1"/>
    <xf numFmtId="0" fontId="0" fillId="17" borderId="1" xfId="0" applyFill="1" applyBorder="1"/>
    <xf numFmtId="0" fontId="0" fillId="17" borderId="9" xfId="0" applyFill="1" applyBorder="1"/>
    <xf numFmtId="0" fontId="0" fillId="17" borderId="2" xfId="0" applyFill="1" applyBorder="1"/>
    <xf numFmtId="0" fontId="2" fillId="16" borderId="16" xfId="0" applyFont="1" applyFill="1" applyBorder="1"/>
    <xf numFmtId="0" fontId="2" fillId="16" borderId="17" xfId="0" applyFont="1" applyFill="1" applyBorder="1"/>
    <xf numFmtId="0" fontId="2" fillId="16" borderId="18" xfId="0" applyFont="1" applyFill="1" applyBorder="1"/>
    <xf numFmtId="0" fontId="0" fillId="14" borderId="19" xfId="0" applyFill="1" applyBorder="1"/>
    <xf numFmtId="0" fontId="0" fillId="14" borderId="20" xfId="0" applyFill="1" applyBorder="1"/>
    <xf numFmtId="0" fontId="0" fillId="14" borderId="21" xfId="0" applyFill="1" applyBorder="1"/>
    <xf numFmtId="0" fontId="0" fillId="14" borderId="22" xfId="0" applyFill="1" applyBorder="1"/>
    <xf numFmtId="0" fontId="0" fillId="17" borderId="23" xfId="0" applyFill="1" applyBorder="1"/>
    <xf numFmtId="0" fontId="0" fillId="7" borderId="1" xfId="0" applyFill="1" applyBorder="1" applyAlignment="1">
      <alignment vertical="top" wrapText="1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176561</xdr:colOff>
      <xdr:row>35</xdr:row>
      <xdr:rowOff>102219</xdr:rowOff>
    </xdr:from>
    <xdr:ext cx="3107517" cy="78124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0211145-EA73-3949-820E-EDE02D065912}"/>
            </a:ext>
          </a:extLst>
        </xdr:cNvPr>
        <xdr:cNvSpPr txBox="1"/>
      </xdr:nvSpPr>
      <xdr:spPr>
        <a:xfrm>
          <a:off x="9645805" y="7610707"/>
          <a:ext cx="3107517" cy="781240"/>
        </a:xfrm>
        <a:prstGeom prst="rect">
          <a:avLst/>
        </a:prstGeom>
        <a:solidFill>
          <a:schemeClr val="accent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de-DE" sz="1100"/>
            <a:t>Here, we habe bypass line,</a:t>
          </a:r>
          <a:r>
            <a:rPr lang="de-DE" sz="1100" baseline="0"/>
            <a:t> so we comsider</a:t>
          </a:r>
        </a:p>
        <a:p>
          <a:r>
            <a:rPr lang="de-DE" sz="1100" baseline="0"/>
            <a:t>only that line which have maximum pressure drop.</a:t>
          </a:r>
        </a:p>
        <a:p>
          <a:r>
            <a:rPr lang="de-DE" sz="1100" baseline="0"/>
            <a:t>Line-4 have minimum, so we will not consider that.</a:t>
          </a:r>
        </a:p>
        <a:p>
          <a:endParaRPr lang="de-DE" sz="1100"/>
        </a:p>
      </xdr:txBody>
    </xdr:sp>
    <xdr:clientData/>
  </xdr:oneCellAnchor>
  <xdr:oneCellAnchor>
    <xdr:from>
      <xdr:col>6</xdr:col>
      <xdr:colOff>195147</xdr:colOff>
      <xdr:row>41</xdr:row>
      <xdr:rowOff>74341</xdr:rowOff>
    </xdr:from>
    <xdr:ext cx="3757311" cy="78124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35DEC71-C5DE-62BC-8C51-45AD191B9416}"/>
            </a:ext>
          </a:extLst>
        </xdr:cNvPr>
        <xdr:cNvSpPr txBox="1"/>
      </xdr:nvSpPr>
      <xdr:spPr>
        <a:xfrm>
          <a:off x="9664391" y="8697951"/>
          <a:ext cx="3757311" cy="781240"/>
        </a:xfrm>
        <a:prstGeom prst="rect">
          <a:avLst/>
        </a:prstGeom>
        <a:solidFill>
          <a:schemeClr val="accent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de-DE" sz="1100"/>
            <a:t>Pressure drop</a:t>
          </a:r>
          <a:r>
            <a:rPr lang="de-DE" sz="1100" baseline="0"/>
            <a:t> of bypass line</a:t>
          </a:r>
        </a:p>
        <a:p>
          <a:r>
            <a:rPr lang="de-DE" sz="1100" baseline="0"/>
            <a:t>will be count in end.</a:t>
          </a:r>
        </a:p>
        <a:p>
          <a:r>
            <a:rPr lang="de-DE" sz="1100" baseline="0"/>
            <a:t>CV(line-4) pressure drop= Pressure at the end point of line(3) -</a:t>
          </a:r>
        </a:p>
        <a:p>
          <a:r>
            <a:rPr lang="de-DE" sz="1100" baseline="0"/>
            <a:t>	                  Pressure drop of line(4)</a:t>
          </a:r>
          <a:endParaRPr lang="de-DE" sz="1100"/>
        </a:p>
      </xdr:txBody>
    </xdr:sp>
    <xdr:clientData/>
  </xdr:oneCellAnchor>
  <xdr:twoCellAnchor editAs="oneCell">
    <xdr:from>
      <xdr:col>2</xdr:col>
      <xdr:colOff>46464</xdr:colOff>
      <xdr:row>25</xdr:row>
      <xdr:rowOff>27878</xdr:rowOff>
    </xdr:from>
    <xdr:to>
      <xdr:col>5</xdr:col>
      <xdr:colOff>1412491</xdr:colOff>
      <xdr:row>30</xdr:row>
      <xdr:rowOff>176559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FF5569A-27D6-8616-9778-B2B119E3A5D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4800"/>
        <a:stretch>
          <a:fillRect/>
        </a:stretch>
      </xdr:blipFill>
      <xdr:spPr>
        <a:xfrm rot="16200000">
          <a:off x="5589551" y="2885376"/>
          <a:ext cx="1988633" cy="575217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44387</xdr:colOff>
      <xdr:row>8</xdr:row>
      <xdr:rowOff>0</xdr:rowOff>
    </xdr:from>
    <xdr:to>
      <xdr:col>11</xdr:col>
      <xdr:colOff>199748</xdr:colOff>
      <xdr:row>21</xdr:row>
      <xdr:rowOff>44390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1123FFC-3FE2-FDD1-3B92-EAD35F00D03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97"/>
        <a:stretch>
          <a:fillRect/>
        </a:stretch>
      </xdr:blipFill>
      <xdr:spPr>
        <a:xfrm>
          <a:off x="7546018" y="1671961"/>
          <a:ext cx="3484487" cy="2596720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5</xdr:col>
      <xdr:colOff>34369</xdr:colOff>
      <xdr:row>21</xdr:row>
      <xdr:rowOff>88778</xdr:rowOff>
    </xdr:from>
    <xdr:to>
      <xdr:col>11</xdr:col>
      <xdr:colOff>184952</xdr:colOff>
      <xdr:row>33</xdr:row>
      <xdr:rowOff>170156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77D97D7-1AB7-C467-3073-3EF21EE3AD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36000" y="4313069"/>
          <a:ext cx="3479709" cy="2300796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5"/>
  <sheetViews>
    <sheetView tabSelected="1" zoomScale="82" workbookViewId="0">
      <pane ySplit="4" topLeftCell="A21" activePane="bottomLeft" state="frozen"/>
      <selection pane="bottomLeft" activeCell="G27" sqref="G27"/>
    </sheetView>
  </sheetViews>
  <sheetFormatPr defaultRowHeight="14.4" x14ac:dyDescent="0.3"/>
  <cols>
    <col min="1" max="1" width="34.6640625" customWidth="1"/>
    <col min="2" max="2" width="18.6640625" customWidth="1"/>
    <col min="3" max="3" width="26.109375" bestFit="1" customWidth="1"/>
    <col min="4" max="4" width="15.6640625" bestFit="1" customWidth="1"/>
    <col min="5" max="5" width="22.109375" bestFit="1" customWidth="1"/>
    <col min="6" max="6" width="20.6640625" customWidth="1"/>
    <col min="7" max="7" width="25.6640625" bestFit="1" customWidth="1"/>
    <col min="8" max="8" width="20.109375" bestFit="1" customWidth="1"/>
    <col min="9" max="9" width="21.44140625" bestFit="1" customWidth="1"/>
    <col min="10" max="10" width="19.109375" bestFit="1" customWidth="1"/>
  </cols>
  <sheetData>
    <row r="1" spans="1:10" ht="21" x14ac:dyDescent="0.4">
      <c r="A1" s="73" t="s">
        <v>168</v>
      </c>
      <c r="B1" s="73"/>
      <c r="C1" s="73"/>
      <c r="D1" s="73"/>
      <c r="E1" s="73"/>
      <c r="F1" s="73"/>
      <c r="G1" s="73"/>
    </row>
    <row r="3" spans="1:10" ht="15" thickBot="1" x14ac:dyDescent="0.35">
      <c r="A3" s="1" t="s">
        <v>0</v>
      </c>
    </row>
    <row r="4" spans="1:10" ht="13.8" customHeight="1" x14ac:dyDescent="0.3">
      <c r="A4" t="s">
        <v>221</v>
      </c>
      <c r="B4" t="s">
        <v>222</v>
      </c>
      <c r="D4" s="2" t="s">
        <v>14</v>
      </c>
      <c r="E4" s="2" t="s">
        <v>15</v>
      </c>
      <c r="G4" s="98" t="s">
        <v>128</v>
      </c>
      <c r="H4" s="99" t="s">
        <v>94</v>
      </c>
      <c r="I4" s="99" t="s">
        <v>223</v>
      </c>
      <c r="J4" s="100" t="s">
        <v>224</v>
      </c>
    </row>
    <row r="5" spans="1:10" x14ac:dyDescent="0.3">
      <c r="A5" s="12" t="s">
        <v>3</v>
      </c>
      <c r="B5" s="13">
        <v>8</v>
      </c>
      <c r="C5" s="13" t="s">
        <v>217</v>
      </c>
      <c r="D5" s="14">
        <f>B5*IF(C5="m",1,IF(C5="mm",0.001,IF(C5="inch",0.0254,1)))</f>
        <v>0.20319999999999999</v>
      </c>
      <c r="E5" s="6" t="s">
        <v>4</v>
      </c>
      <c r="G5" s="101" t="s">
        <v>95</v>
      </c>
      <c r="H5" s="93">
        <v>0.17</v>
      </c>
      <c r="I5" s="34">
        <v>0</v>
      </c>
      <c r="J5" s="102">
        <f>(I5*H5*B8*B15*B15)/2</f>
        <v>0</v>
      </c>
    </row>
    <row r="6" spans="1:10" x14ac:dyDescent="0.3">
      <c r="A6" s="3" t="s">
        <v>5</v>
      </c>
      <c r="B6" s="4">
        <v>50</v>
      </c>
      <c r="C6" s="4" t="s">
        <v>4</v>
      </c>
      <c r="D6" s="5">
        <f>B6*IF(C6="m",1,IF(C6="ft",0.3048,1))</f>
        <v>50</v>
      </c>
      <c r="E6" s="10" t="s">
        <v>4</v>
      </c>
      <c r="G6" s="101" t="s">
        <v>96</v>
      </c>
      <c r="H6" s="93">
        <v>6</v>
      </c>
      <c r="I6" s="34">
        <v>0</v>
      </c>
      <c r="J6" s="102">
        <f>(I6*H6*B8*B15*B15)/2</f>
        <v>0</v>
      </c>
    </row>
    <row r="7" spans="1:10" x14ac:dyDescent="0.3">
      <c r="A7" s="3" t="s">
        <v>6</v>
      </c>
      <c r="B7" s="4">
        <v>220</v>
      </c>
      <c r="C7" s="4" t="s">
        <v>7</v>
      </c>
      <c r="D7" s="5">
        <f>B7*IF(C7="m^3/s",1,IF(C7="m^3/h",1/3600,IF(C7="L/s",0.001,IF(C7="L/min",0.001/60,IF(C7="gpm (US)",0.00378541/60,1)))))</f>
        <v>6.1111111111111109E-2</v>
      </c>
      <c r="E7" s="10" t="s">
        <v>16</v>
      </c>
      <c r="G7" s="101" t="s">
        <v>97</v>
      </c>
      <c r="H7" s="93">
        <v>0.4</v>
      </c>
      <c r="I7" s="34">
        <v>0</v>
      </c>
      <c r="J7" s="102">
        <f>(I7*H7*B8*B15*B15)/2</f>
        <v>0</v>
      </c>
    </row>
    <row r="8" spans="1:10" x14ac:dyDescent="0.3">
      <c r="A8" s="3" t="s">
        <v>8</v>
      </c>
      <c r="B8" s="4">
        <v>853</v>
      </c>
      <c r="C8" s="10" t="s">
        <v>9</v>
      </c>
      <c r="D8" s="5">
        <f>B8</f>
        <v>853</v>
      </c>
      <c r="E8" s="10" t="s">
        <v>9</v>
      </c>
      <c r="G8" s="101" t="s">
        <v>98</v>
      </c>
      <c r="H8" s="93">
        <v>2.2999999999999998</v>
      </c>
      <c r="I8" s="34">
        <v>0</v>
      </c>
      <c r="J8" s="102">
        <f>(I8*H8*B8*B15*B15)/2</f>
        <v>0</v>
      </c>
    </row>
    <row r="9" spans="1:10" x14ac:dyDescent="0.3">
      <c r="A9" s="3" t="s">
        <v>10</v>
      </c>
      <c r="B9" s="4">
        <v>6.7400000000000002E-2</v>
      </c>
      <c r="C9" s="10" t="s">
        <v>11</v>
      </c>
      <c r="D9" s="3"/>
      <c r="E9" s="3"/>
      <c r="G9" s="101" t="s">
        <v>99</v>
      </c>
      <c r="H9" s="93">
        <v>2</v>
      </c>
      <c r="I9" s="34">
        <v>0</v>
      </c>
      <c r="J9" s="102">
        <f>(I9*H9*B8*B15*B15)/2</f>
        <v>0</v>
      </c>
    </row>
    <row r="10" spans="1:10" x14ac:dyDescent="0.3">
      <c r="A10" s="3" t="s">
        <v>12</v>
      </c>
      <c r="B10" s="4">
        <v>4.4999999999999998E-2</v>
      </c>
      <c r="C10" s="4" t="s">
        <v>13</v>
      </c>
      <c r="D10" s="5">
        <f>B10*IF(C10="m",1,IF(C10="mm",0.001,IF(C10="μm",0.000001,1)))</f>
        <v>4.4999999999999996E-5</v>
      </c>
      <c r="E10" s="10" t="s">
        <v>4</v>
      </c>
      <c r="G10" s="101" t="s">
        <v>100</v>
      </c>
      <c r="H10" s="93">
        <v>2</v>
      </c>
      <c r="I10" s="34">
        <v>0</v>
      </c>
      <c r="J10" s="102">
        <f>(I10*H10*B8*B15*B15)/2</f>
        <v>0</v>
      </c>
    </row>
    <row r="11" spans="1:10" x14ac:dyDescent="0.3">
      <c r="G11" s="101" t="s">
        <v>101</v>
      </c>
      <c r="H11" s="93">
        <v>15</v>
      </c>
      <c r="I11" s="34">
        <v>0</v>
      </c>
      <c r="J11" s="102">
        <f>(I11*H11*B8*B15*B15)/2</f>
        <v>0</v>
      </c>
    </row>
    <row r="12" spans="1:10" x14ac:dyDescent="0.3">
      <c r="G12" s="101" t="s">
        <v>102</v>
      </c>
      <c r="H12" s="93">
        <v>0.04</v>
      </c>
      <c r="I12" s="34">
        <v>0</v>
      </c>
      <c r="J12" s="102">
        <f>(I12*H12*B8*B15*B15)/2</f>
        <v>0</v>
      </c>
    </row>
    <row r="13" spans="1:10" x14ac:dyDescent="0.3">
      <c r="A13" s="1" t="s">
        <v>1</v>
      </c>
      <c r="B13" s="3"/>
      <c r="C13" s="3"/>
      <c r="G13" s="101" t="s">
        <v>103</v>
      </c>
      <c r="H13" s="93">
        <v>0.75</v>
      </c>
      <c r="I13" s="34">
        <v>0</v>
      </c>
      <c r="J13" s="102">
        <f>(I13*H13*B8*B15*B15)/2</f>
        <v>0</v>
      </c>
    </row>
    <row r="14" spans="1:10" x14ac:dyDescent="0.3">
      <c r="A14" s="3" t="s">
        <v>17</v>
      </c>
      <c r="B14" s="7">
        <f>PI()*D5^2/4</f>
        <v>3.2429278662239852E-2</v>
      </c>
      <c r="C14" s="10" t="s">
        <v>18</v>
      </c>
      <c r="G14" s="101" t="s">
        <v>104</v>
      </c>
      <c r="H14" s="93">
        <v>0.45</v>
      </c>
      <c r="I14" s="34">
        <v>1</v>
      </c>
      <c r="J14" s="102">
        <f>(I14*H14*B8*B15*B15)/2</f>
        <v>681.54938808127531</v>
      </c>
    </row>
    <row r="15" spans="1:10" x14ac:dyDescent="0.3">
      <c r="A15" s="3" t="s">
        <v>19</v>
      </c>
      <c r="B15" s="19">
        <f>D7/B14</f>
        <v>1.8844425047994651</v>
      </c>
      <c r="C15" s="10" t="s">
        <v>20</v>
      </c>
      <c r="G15" s="101" t="s">
        <v>105</v>
      </c>
      <c r="H15" s="93">
        <v>0.2</v>
      </c>
      <c r="I15" s="34">
        <v>0</v>
      </c>
      <c r="J15" s="102">
        <f>(I15*H15*B8*B15*B15)/2</f>
        <v>0</v>
      </c>
    </row>
    <row r="16" spans="1:10" x14ac:dyDescent="0.3">
      <c r="A16" s="3" t="s">
        <v>40</v>
      </c>
      <c r="B16" s="8">
        <f>(B8*B15*D5)/B9</f>
        <v>4846.1374715117117</v>
      </c>
      <c r="C16" s="10" t="s">
        <v>21</v>
      </c>
      <c r="G16" s="101" t="s">
        <v>106</v>
      </c>
      <c r="H16" s="93">
        <v>0.35</v>
      </c>
      <c r="I16" s="34">
        <v>0</v>
      </c>
      <c r="J16" s="102">
        <f>(I16*H16*B8*B15*B15)/2</f>
        <v>0</v>
      </c>
    </row>
    <row r="17" spans="1:11" x14ac:dyDescent="0.3">
      <c r="A17" s="3" t="s">
        <v>22</v>
      </c>
      <c r="B17" s="7">
        <f>D10/D5</f>
        <v>2.2145669291338582E-4</v>
      </c>
      <c r="C17" s="10" t="s">
        <v>21</v>
      </c>
      <c r="G17" s="101" t="s">
        <v>107</v>
      </c>
      <c r="H17" s="93">
        <v>0.75</v>
      </c>
      <c r="I17" s="34">
        <v>0</v>
      </c>
      <c r="J17" s="102">
        <f>(I17*H17*B8*B15*B15)/2</f>
        <v>0</v>
      </c>
    </row>
    <row r="18" spans="1:11" x14ac:dyDescent="0.3">
      <c r="A18" s="3" t="s">
        <v>23</v>
      </c>
      <c r="B18" s="5" t="str">
        <f>IF(B16&lt;2000,"Laminar (use f=64/Re)","Turbulent")</f>
        <v>Turbulent</v>
      </c>
      <c r="C18" s="3"/>
      <c r="G18" s="101" t="s">
        <v>108</v>
      </c>
      <c r="H18" s="93">
        <v>1.5</v>
      </c>
      <c r="I18" s="34">
        <v>0</v>
      </c>
      <c r="J18" s="102">
        <f>(I18*H18*B8*B15*B15)/2</f>
        <v>0</v>
      </c>
    </row>
    <row r="19" spans="1:11" x14ac:dyDescent="0.3">
      <c r="A19" s="11" t="s">
        <v>2</v>
      </c>
      <c r="G19" s="101" t="s">
        <v>109</v>
      </c>
      <c r="H19" s="93">
        <v>0.4</v>
      </c>
      <c r="I19" s="34">
        <v>0</v>
      </c>
      <c r="J19" s="102">
        <f>(I19*H19*B8*B15*B15)/2</f>
        <v>0</v>
      </c>
    </row>
    <row r="20" spans="1:11" x14ac:dyDescent="0.3">
      <c r="A20" s="2" t="s">
        <v>24</v>
      </c>
      <c r="B20" s="2" t="s">
        <v>25</v>
      </c>
      <c r="C20" s="2" t="s">
        <v>26</v>
      </c>
      <c r="D20" s="2" t="s">
        <v>27</v>
      </c>
      <c r="E20" s="2" t="s">
        <v>41</v>
      </c>
      <c r="G20" s="101" t="s">
        <v>110</v>
      </c>
      <c r="H20" s="93">
        <v>0.24</v>
      </c>
      <c r="I20" s="34">
        <v>0</v>
      </c>
      <c r="J20" s="102">
        <f>(I20*H20*B8*B15*B15)/2</f>
        <v>0</v>
      </c>
    </row>
    <row r="21" spans="1:11" x14ac:dyDescent="0.3">
      <c r="A21" s="3" t="s">
        <v>28</v>
      </c>
      <c r="B21" s="81">
        <f>IF(B16&lt;=4000,NA(),0.3164/(B16^0.25))</f>
        <v>3.7921677665450043E-2</v>
      </c>
      <c r="C21" s="81">
        <f>B21/4</f>
        <v>9.4804194163625108E-3</v>
      </c>
      <c r="D21" s="81">
        <f>B21*(D6/D5)*((B8*B15^2)/2)</f>
        <v>14132.489177549673</v>
      </c>
      <c r="E21" s="78">
        <f>D21/100000</f>
        <v>0.14132489177549673</v>
      </c>
      <c r="G21" s="101" t="s">
        <v>111</v>
      </c>
      <c r="H21" s="93">
        <v>2</v>
      </c>
      <c r="I21" s="34">
        <v>0</v>
      </c>
      <c r="J21" s="102">
        <f>(I21*H21*B8*B15*B15)/2</f>
        <v>0</v>
      </c>
    </row>
    <row r="22" spans="1:11" x14ac:dyDescent="0.3">
      <c r="A22" s="26" t="s">
        <v>29</v>
      </c>
      <c r="B22" s="79">
        <f>0.25/(LOG10(D10/(3.7*D5)+5.74/(B16^0.9))^2)</f>
        <v>3.8487456896621926E-2</v>
      </c>
      <c r="C22" s="79">
        <f>B22/4</f>
        <v>9.6218642241554814E-3</v>
      </c>
      <c r="D22" s="79">
        <f>B22*(D6/D5)*(D8*B15^2/2)</f>
        <v>14343.341369585047</v>
      </c>
      <c r="E22" s="79">
        <f>D22/100000</f>
        <v>0.14343341369585047</v>
      </c>
      <c r="G22" s="101" t="s">
        <v>218</v>
      </c>
      <c r="H22" s="34"/>
      <c r="I22" s="34">
        <v>1</v>
      </c>
      <c r="J22" s="102">
        <f>I22*20000</f>
        <v>20000</v>
      </c>
    </row>
    <row r="23" spans="1:11" ht="15" thickBot="1" x14ac:dyDescent="0.35">
      <c r="A23" s="3" t="s">
        <v>30</v>
      </c>
      <c r="B23" s="81">
        <f>1/( -1.8*LOG10( ( (D10/D5)/3.7 )^1.11 + 6.9/B16 ) )^2</f>
        <v>3.8257658625141959E-2</v>
      </c>
      <c r="C23" s="81">
        <f>B23/4</f>
        <v>9.5644146562854897E-3</v>
      </c>
      <c r="D23" s="81">
        <f>B23*(D6/D5)*(D8*B15^2/2)</f>
        <v>14257.701129367795</v>
      </c>
      <c r="E23" s="78">
        <f>D23/100000</f>
        <v>0.14257701129367795</v>
      </c>
      <c r="G23" s="103" t="s">
        <v>225</v>
      </c>
      <c r="H23" s="104"/>
      <c r="I23" s="104"/>
      <c r="J23" s="105">
        <f>SUM(J5:J22)</f>
        <v>20681.549388081276</v>
      </c>
      <c r="K23" s="96" t="s">
        <v>226</v>
      </c>
    </row>
    <row r="24" spans="1:11" x14ac:dyDescent="0.3">
      <c r="J24" s="97">
        <f>J23/100000</f>
        <v>0.20681549388081275</v>
      </c>
      <c r="K24" s="95" t="s">
        <v>220</v>
      </c>
    </row>
    <row r="26" spans="1:11" x14ac:dyDescent="0.3">
      <c r="A26" s="1" t="s">
        <v>31</v>
      </c>
    </row>
    <row r="27" spans="1:11" ht="86.4" x14ac:dyDescent="0.3">
      <c r="A27" s="9" t="s">
        <v>178</v>
      </c>
    </row>
    <row r="32" spans="1:11" x14ac:dyDescent="0.3">
      <c r="C32" s="95" t="s">
        <v>231</v>
      </c>
      <c r="D32" s="95" t="s">
        <v>228</v>
      </c>
      <c r="E32" s="95" t="s">
        <v>229</v>
      </c>
      <c r="F32" s="95" t="s">
        <v>230</v>
      </c>
    </row>
    <row r="33" spans="3:6" x14ac:dyDescent="0.3">
      <c r="C33" s="31" t="s">
        <v>233</v>
      </c>
      <c r="D33" s="31" t="s">
        <v>227</v>
      </c>
      <c r="E33" s="31">
        <v>0.28689999999999999</v>
      </c>
      <c r="F33" s="31">
        <f>E33*2</f>
        <v>0.57379999999999998</v>
      </c>
    </row>
    <row r="34" spans="3:6" x14ac:dyDescent="0.3">
      <c r="C34" s="31" t="s">
        <v>232</v>
      </c>
      <c r="D34" s="31" t="s">
        <v>21</v>
      </c>
      <c r="E34" s="31">
        <v>0.7</v>
      </c>
      <c r="F34" s="31">
        <v>0.7</v>
      </c>
    </row>
    <row r="35" spans="3:6" x14ac:dyDescent="0.3">
      <c r="C35" s="31" t="s">
        <v>234</v>
      </c>
      <c r="D35" s="31" t="s">
        <v>235</v>
      </c>
      <c r="E35" s="31">
        <v>0.28689999999999999</v>
      </c>
      <c r="F35" s="31">
        <f>2*E35</f>
        <v>0.57379999999999998</v>
      </c>
    </row>
    <row r="36" spans="3:6" x14ac:dyDescent="0.3">
      <c r="C36" s="31" t="s">
        <v>247</v>
      </c>
      <c r="D36" s="31"/>
      <c r="E36" s="31"/>
      <c r="F36" s="31">
        <v>0.5</v>
      </c>
    </row>
    <row r="37" spans="3:6" x14ac:dyDescent="0.3">
      <c r="C37" s="31" t="s">
        <v>248</v>
      </c>
      <c r="D37" s="31"/>
      <c r="E37" s="31"/>
      <c r="F37" s="31">
        <v>0.7</v>
      </c>
    </row>
    <row r="38" spans="3:6" x14ac:dyDescent="0.3">
      <c r="C38" s="31" t="s">
        <v>236</v>
      </c>
      <c r="D38" s="31" t="s">
        <v>238</v>
      </c>
      <c r="E38" s="31">
        <v>0.1434</v>
      </c>
      <c r="F38" s="31">
        <f>2*E38</f>
        <v>0.2868</v>
      </c>
    </row>
    <row r="39" spans="3:6" x14ac:dyDescent="0.3">
      <c r="C39" s="31" t="s">
        <v>237</v>
      </c>
      <c r="D39" s="31" t="s">
        <v>238</v>
      </c>
      <c r="E39" s="31">
        <v>0.1434</v>
      </c>
      <c r="F39" s="31">
        <f>2*E39</f>
        <v>0.2868</v>
      </c>
    </row>
    <row r="40" spans="3:6" x14ac:dyDescent="0.3">
      <c r="C40" s="31" t="s">
        <v>246</v>
      </c>
      <c r="D40" s="31" t="s">
        <v>21</v>
      </c>
      <c r="E40" s="31"/>
      <c r="F40" s="31">
        <v>2.4</v>
      </c>
    </row>
    <row r="41" spans="3:6" x14ac:dyDescent="0.3">
      <c r="C41" s="31" t="s">
        <v>241</v>
      </c>
      <c r="D41" s="31" t="s">
        <v>235</v>
      </c>
      <c r="E41" s="31">
        <v>0.28689999999999999</v>
      </c>
      <c r="F41" s="31">
        <f>2*E41</f>
        <v>0.57379999999999998</v>
      </c>
    </row>
    <row r="42" spans="3:6" ht="57.6" x14ac:dyDescent="0.3">
      <c r="C42" s="106" t="s">
        <v>242</v>
      </c>
      <c r="D42" s="31"/>
      <c r="E42" s="31"/>
      <c r="F42" s="31">
        <v>2.4</v>
      </c>
    </row>
    <row r="43" spans="3:6" x14ac:dyDescent="0.3">
      <c r="C43" s="106"/>
      <c r="D43" s="31"/>
      <c r="E43" s="31"/>
      <c r="F43" s="31"/>
    </row>
    <row r="44" spans="3:6" x14ac:dyDescent="0.3">
      <c r="C44" s="106" t="s">
        <v>243</v>
      </c>
      <c r="D44" s="31"/>
      <c r="E44" s="31"/>
      <c r="F44" s="31">
        <f>F33+F35+F38+F41</f>
        <v>2.0082</v>
      </c>
    </row>
    <row r="45" spans="3:6" x14ac:dyDescent="0.3">
      <c r="C45" s="106" t="s">
        <v>245</v>
      </c>
      <c r="D45" s="31"/>
      <c r="E45" s="31"/>
      <c r="F45" s="31">
        <f>F34+F36+F37+F40+F41</f>
        <v>4.8738000000000001</v>
      </c>
    </row>
  </sheetData>
  <mergeCells count="1">
    <mergeCell ref="A1:G1"/>
  </mergeCells>
  <dataValidations disablePrompts="1" count="4">
    <dataValidation type="list" allowBlank="1" showInputMessage="1" showErrorMessage="1" sqref="C5" xr:uid="{00000000-0002-0000-0000-000000000000}">
      <formula1>"m,mm,inch"</formula1>
    </dataValidation>
    <dataValidation type="list" allowBlank="1" showInputMessage="1" showErrorMessage="1" sqref="C6" xr:uid="{00000000-0002-0000-0000-000001000000}">
      <formula1>"m,ft"</formula1>
    </dataValidation>
    <dataValidation type="list" allowBlank="1" showInputMessage="1" showErrorMessage="1" sqref="C7" xr:uid="{00000000-0002-0000-0000-000002000000}">
      <formula1>"m^3/s,m^3/h,L/s,L/min,gpm (US)"</formula1>
    </dataValidation>
    <dataValidation type="list" allowBlank="1" showInputMessage="1" showErrorMessage="1" sqref="C10" xr:uid="{00000000-0002-0000-0000-000003000000}">
      <formula1>"m,mm,μm"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6DCDD-7942-460D-BD1B-5D6EED021948}">
  <dimension ref="A1:M56"/>
  <sheetViews>
    <sheetView topLeftCell="A34" zoomScale="78" zoomScaleNormal="118" workbookViewId="0">
      <selection activeCell="P15" sqref="P15"/>
    </sheetView>
  </sheetViews>
  <sheetFormatPr defaultRowHeight="14.4" x14ac:dyDescent="0.3"/>
  <cols>
    <col min="1" max="1" width="69.33203125" bestFit="1" customWidth="1"/>
    <col min="2" max="2" width="9.5546875" bestFit="1" customWidth="1"/>
    <col min="4" max="4" width="12.77734375" bestFit="1" customWidth="1"/>
    <col min="6" max="6" width="23.77734375" bestFit="1" customWidth="1"/>
    <col min="7" max="7" width="5.109375" bestFit="1" customWidth="1"/>
    <col min="8" max="8" width="3.33203125" bestFit="1" customWidth="1"/>
    <col min="9" max="9" width="5.109375" bestFit="1" customWidth="1"/>
    <col min="10" max="10" width="6.21875" bestFit="1" customWidth="1"/>
    <col min="11" max="11" width="5.109375" bestFit="1" customWidth="1"/>
    <col min="12" max="12" width="3" customWidth="1"/>
    <col min="13" max="13" width="10.44140625" hidden="1" customWidth="1"/>
  </cols>
  <sheetData>
    <row r="1" spans="1:13" ht="18" x14ac:dyDescent="0.35">
      <c r="A1" s="42" t="s">
        <v>216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</row>
    <row r="2" spans="1:13" x14ac:dyDescent="0.3">
      <c r="A2" s="15" t="s">
        <v>42</v>
      </c>
      <c r="B2" s="47" t="s">
        <v>43</v>
      </c>
      <c r="C2" s="47"/>
      <c r="D2" s="47"/>
      <c r="E2" s="47"/>
      <c r="F2" s="48" t="s">
        <v>50</v>
      </c>
      <c r="G2" s="48"/>
      <c r="H2" s="48"/>
      <c r="I2" s="49"/>
      <c r="J2" s="49"/>
      <c r="K2" s="49"/>
      <c r="L2" s="49"/>
      <c r="M2" s="49"/>
    </row>
    <row r="3" spans="1:13" x14ac:dyDescent="0.3">
      <c r="A3" s="16"/>
      <c r="B3" s="16"/>
      <c r="C3" s="16"/>
      <c r="D3" s="16"/>
      <c r="E3" s="16"/>
      <c r="F3" s="48" t="s">
        <v>51</v>
      </c>
      <c r="G3" s="48"/>
      <c r="H3" s="48"/>
      <c r="I3" s="16"/>
      <c r="J3" s="17" t="s">
        <v>52</v>
      </c>
      <c r="K3" s="16"/>
      <c r="L3" s="17" t="s">
        <v>53</v>
      </c>
      <c r="M3" s="16"/>
    </row>
    <row r="4" spans="1:13" x14ac:dyDescent="0.3">
      <c r="A4" s="15" t="s">
        <v>44</v>
      </c>
      <c r="B4" s="47"/>
      <c r="C4" s="47"/>
      <c r="D4" s="47"/>
      <c r="E4" s="47"/>
      <c r="F4" s="48" t="s">
        <v>54</v>
      </c>
      <c r="G4" s="48" t="s">
        <v>55</v>
      </c>
      <c r="H4" s="48"/>
      <c r="I4" s="48" t="s">
        <v>56</v>
      </c>
      <c r="J4" s="48"/>
      <c r="K4" s="48" t="s">
        <v>57</v>
      </c>
      <c r="L4" s="48"/>
      <c r="M4" s="48" t="s">
        <v>58</v>
      </c>
    </row>
    <row r="5" spans="1:13" ht="26.4" x14ac:dyDescent="0.3">
      <c r="A5" s="16"/>
      <c r="B5" s="16"/>
      <c r="C5" s="16"/>
      <c r="D5" s="16"/>
      <c r="E5" s="16"/>
      <c r="F5" s="48"/>
      <c r="G5" s="17" t="s">
        <v>59</v>
      </c>
      <c r="H5" s="17" t="s">
        <v>60</v>
      </c>
      <c r="I5" s="17" t="s">
        <v>59</v>
      </c>
      <c r="J5" s="17" t="s">
        <v>60</v>
      </c>
      <c r="K5" s="17" t="s">
        <v>59</v>
      </c>
      <c r="L5" s="17" t="s">
        <v>60</v>
      </c>
      <c r="M5" s="48"/>
    </row>
    <row r="6" spans="1:13" x14ac:dyDescent="0.3">
      <c r="A6" s="50" t="s">
        <v>45</v>
      </c>
      <c r="B6" s="51"/>
      <c r="C6" s="51"/>
      <c r="D6" s="51"/>
      <c r="E6" s="51"/>
      <c r="F6" s="18">
        <v>1</v>
      </c>
      <c r="G6" s="3"/>
      <c r="H6" s="3"/>
      <c r="I6" s="3"/>
      <c r="J6" s="3"/>
      <c r="K6" s="3"/>
      <c r="L6" s="3"/>
      <c r="M6" s="3"/>
    </row>
    <row r="7" spans="1:13" x14ac:dyDescent="0.3">
      <c r="A7" s="52"/>
      <c r="B7" s="53"/>
      <c r="C7" s="53"/>
      <c r="D7" s="53"/>
      <c r="E7" s="53"/>
      <c r="F7" s="18">
        <v>2</v>
      </c>
      <c r="G7" s="3"/>
      <c r="H7" s="3"/>
      <c r="I7" s="3"/>
      <c r="J7" s="3"/>
      <c r="K7" s="3"/>
      <c r="L7" s="3"/>
      <c r="M7" s="3"/>
    </row>
    <row r="8" spans="1:13" x14ac:dyDescent="0.3">
      <c r="A8" s="54"/>
      <c r="B8" s="55"/>
      <c r="C8" s="55"/>
      <c r="D8" s="55"/>
      <c r="E8" s="55"/>
      <c r="F8" s="56" t="s">
        <v>61</v>
      </c>
      <c r="G8" s="56"/>
      <c r="H8" s="56"/>
      <c r="I8" s="56"/>
      <c r="J8" s="56"/>
      <c r="K8" s="56"/>
      <c r="L8" s="56"/>
      <c r="M8" s="56"/>
    </row>
    <row r="9" spans="1:13" x14ac:dyDescent="0.3">
      <c r="A9" s="15" t="s">
        <v>46</v>
      </c>
      <c r="B9" s="16"/>
      <c r="C9" s="47" t="s">
        <v>47</v>
      </c>
      <c r="D9" s="47"/>
      <c r="E9" s="47"/>
      <c r="F9" s="88"/>
      <c r="G9" s="88"/>
      <c r="H9" s="88"/>
      <c r="I9" s="88"/>
      <c r="J9" s="88"/>
      <c r="K9" s="88"/>
      <c r="L9" s="88"/>
      <c r="M9" s="88"/>
    </row>
    <row r="10" spans="1:13" x14ac:dyDescent="0.3">
      <c r="A10" s="16" t="s">
        <v>48</v>
      </c>
      <c r="B10" s="16"/>
      <c r="C10" s="47"/>
      <c r="D10" s="47"/>
      <c r="E10" s="47"/>
      <c r="F10" s="88"/>
      <c r="G10" s="88"/>
      <c r="H10" s="88"/>
      <c r="I10" s="88"/>
      <c r="J10" s="88"/>
      <c r="K10" s="88"/>
      <c r="L10" s="88"/>
      <c r="M10" s="88"/>
    </row>
    <row r="11" spans="1:13" x14ac:dyDescent="0.3">
      <c r="A11" s="16" t="s">
        <v>49</v>
      </c>
      <c r="B11" s="16"/>
      <c r="C11" s="47"/>
      <c r="D11" s="47"/>
      <c r="E11" s="47"/>
      <c r="F11" s="88"/>
      <c r="G11" s="88"/>
      <c r="H11" s="88"/>
      <c r="I11" s="88"/>
      <c r="J11" s="88"/>
      <c r="K11" s="88"/>
      <c r="L11" s="88"/>
      <c r="M11" s="88"/>
    </row>
    <row r="12" spans="1:13" ht="26.4" customHeight="1" x14ac:dyDescent="0.3">
      <c r="A12" s="43" t="s">
        <v>62</v>
      </c>
      <c r="B12" s="43"/>
      <c r="C12" s="43"/>
      <c r="D12" s="43"/>
      <c r="E12" s="43"/>
      <c r="F12" s="88"/>
      <c r="G12" s="88"/>
      <c r="H12" s="88"/>
      <c r="I12" s="88"/>
      <c r="J12" s="88"/>
      <c r="K12" s="88"/>
      <c r="L12" s="88"/>
      <c r="M12" s="88"/>
    </row>
    <row r="13" spans="1:13" x14ac:dyDescent="0.3">
      <c r="A13" s="90" t="s">
        <v>64</v>
      </c>
      <c r="B13" s="37">
        <v>70</v>
      </c>
      <c r="C13" s="37"/>
      <c r="D13" s="37" t="s">
        <v>175</v>
      </c>
      <c r="E13" s="37"/>
      <c r="F13" s="88"/>
      <c r="G13" s="88"/>
      <c r="H13" s="88"/>
      <c r="I13" s="88"/>
      <c r="J13" s="88"/>
      <c r="K13" s="88"/>
      <c r="L13" s="88"/>
      <c r="M13" s="88"/>
    </row>
    <row r="14" spans="1:13" x14ac:dyDescent="0.3">
      <c r="A14" s="90" t="s">
        <v>65</v>
      </c>
      <c r="B14" s="37">
        <v>75</v>
      </c>
      <c r="C14" s="37"/>
      <c r="D14" s="37" t="s">
        <v>175</v>
      </c>
      <c r="E14" s="37"/>
      <c r="F14" s="88"/>
      <c r="G14" s="88"/>
      <c r="H14" s="88"/>
      <c r="I14" s="88"/>
      <c r="J14" s="88"/>
      <c r="K14" s="88"/>
      <c r="L14" s="88"/>
      <c r="M14" s="88"/>
    </row>
    <row r="15" spans="1:13" x14ac:dyDescent="0.3">
      <c r="A15" s="90" t="s">
        <v>66</v>
      </c>
      <c r="B15" s="37">
        <v>80</v>
      </c>
      <c r="C15" s="37"/>
      <c r="D15" s="37" t="s">
        <v>175</v>
      </c>
      <c r="E15" s="37"/>
      <c r="F15" s="88"/>
      <c r="G15" s="88"/>
      <c r="H15" s="88"/>
      <c r="I15" s="88"/>
      <c r="J15" s="88"/>
      <c r="K15" s="88"/>
      <c r="L15" s="88"/>
      <c r="M15" s="88"/>
    </row>
    <row r="16" spans="1:13" x14ac:dyDescent="0.3">
      <c r="A16" s="90" t="s">
        <v>161</v>
      </c>
      <c r="B16" s="37">
        <v>220</v>
      </c>
      <c r="C16" s="37"/>
      <c r="D16" s="37" t="s">
        <v>213</v>
      </c>
      <c r="E16" s="37"/>
      <c r="F16" s="88"/>
      <c r="G16" s="88"/>
      <c r="H16" s="88"/>
      <c r="I16" s="88"/>
      <c r="J16" s="88"/>
      <c r="K16" s="88"/>
      <c r="L16" s="88"/>
      <c r="M16" s="88"/>
    </row>
    <row r="17" spans="1:13" x14ac:dyDescent="0.3">
      <c r="A17" s="90" t="s">
        <v>219</v>
      </c>
      <c r="B17" s="37">
        <v>853</v>
      </c>
      <c r="C17" s="37"/>
      <c r="D17" s="37" t="s">
        <v>9</v>
      </c>
      <c r="E17" s="37"/>
      <c r="F17" s="88"/>
      <c r="G17" s="88"/>
      <c r="H17" s="88"/>
      <c r="I17" s="88"/>
      <c r="J17" s="88"/>
      <c r="K17" s="88"/>
      <c r="L17" s="88"/>
      <c r="M17" s="88"/>
    </row>
    <row r="18" spans="1:13" x14ac:dyDescent="0.3">
      <c r="A18" s="90" t="s">
        <v>63</v>
      </c>
      <c r="B18" s="37">
        <v>1E-3</v>
      </c>
      <c r="C18" s="37"/>
      <c r="D18" s="37" t="s">
        <v>173</v>
      </c>
      <c r="E18" s="37"/>
      <c r="F18" s="88"/>
      <c r="G18" s="88"/>
      <c r="H18" s="88"/>
      <c r="I18" s="88"/>
      <c r="J18" s="88"/>
      <c r="K18" s="88"/>
      <c r="L18" s="88"/>
      <c r="M18" s="88"/>
    </row>
    <row r="19" spans="1:13" x14ac:dyDescent="0.3">
      <c r="A19" s="91" t="s">
        <v>157</v>
      </c>
      <c r="B19" s="44">
        <v>0.254</v>
      </c>
      <c r="C19" s="44"/>
      <c r="D19" s="44" t="s">
        <v>4</v>
      </c>
      <c r="E19" s="44"/>
      <c r="F19" s="88"/>
      <c r="G19" s="88"/>
      <c r="H19" s="88"/>
      <c r="I19" s="88"/>
      <c r="J19" s="88"/>
      <c r="K19" s="88"/>
      <c r="L19" s="88"/>
      <c r="M19" s="88"/>
    </row>
    <row r="20" spans="1:13" x14ac:dyDescent="0.3">
      <c r="A20" s="91" t="s">
        <v>158</v>
      </c>
      <c r="B20" s="45">
        <v>0.20319999999999999</v>
      </c>
      <c r="C20" s="46"/>
      <c r="D20" s="44" t="s">
        <v>4</v>
      </c>
      <c r="E20" s="44"/>
      <c r="F20" s="88"/>
      <c r="G20" s="88"/>
      <c r="H20" s="88"/>
      <c r="I20" s="88"/>
      <c r="J20" s="88"/>
      <c r="K20" s="88"/>
      <c r="L20" s="88"/>
      <c r="M20" s="88"/>
    </row>
    <row r="21" spans="1:13" x14ac:dyDescent="0.3">
      <c r="A21" s="90" t="s">
        <v>156</v>
      </c>
      <c r="B21" s="37">
        <v>6</v>
      </c>
      <c r="C21" s="37"/>
      <c r="D21" s="37" t="s">
        <v>4</v>
      </c>
      <c r="E21" s="37"/>
      <c r="F21" s="88"/>
      <c r="G21" s="88"/>
      <c r="H21" s="88"/>
      <c r="I21" s="88"/>
      <c r="J21" s="88"/>
      <c r="K21" s="88"/>
      <c r="L21" s="88"/>
      <c r="M21" s="88"/>
    </row>
    <row r="22" spans="1:13" x14ac:dyDescent="0.3">
      <c r="A22" s="90" t="s">
        <v>113</v>
      </c>
      <c r="B22" s="37">
        <v>200</v>
      </c>
      <c r="C22" s="37"/>
      <c r="D22" s="37" t="s">
        <v>4</v>
      </c>
      <c r="E22" s="37"/>
      <c r="F22" s="88"/>
      <c r="G22" s="88"/>
      <c r="H22" s="88"/>
      <c r="I22" s="88"/>
      <c r="J22" s="88"/>
      <c r="K22" s="88"/>
      <c r="L22" s="88"/>
      <c r="M22" s="88"/>
    </row>
    <row r="23" spans="1:13" x14ac:dyDescent="0.3">
      <c r="A23" s="90" t="s">
        <v>118</v>
      </c>
      <c r="B23" s="37">
        <v>0.10299999999999999</v>
      </c>
      <c r="C23" s="37"/>
      <c r="D23" s="37" t="s">
        <v>114</v>
      </c>
      <c r="E23" s="37"/>
      <c r="F23" s="88"/>
      <c r="G23" s="88"/>
      <c r="H23" s="88"/>
      <c r="I23" s="88"/>
      <c r="J23" s="88"/>
      <c r="K23" s="88"/>
      <c r="L23" s="88"/>
      <c r="M23" s="88"/>
    </row>
    <row r="24" spans="1:13" x14ac:dyDescent="0.3">
      <c r="A24" s="90" t="s">
        <v>67</v>
      </c>
      <c r="B24" s="37" t="s">
        <v>37</v>
      </c>
      <c r="C24" s="37"/>
      <c r="D24" s="37"/>
      <c r="E24" s="37"/>
      <c r="F24" s="88"/>
      <c r="G24" s="88"/>
      <c r="H24" s="88"/>
      <c r="I24" s="88"/>
      <c r="J24" s="88"/>
      <c r="K24" s="88"/>
      <c r="L24" s="88"/>
      <c r="M24" s="88"/>
    </row>
    <row r="25" spans="1:13" x14ac:dyDescent="0.3">
      <c r="A25" s="90" t="s">
        <v>153</v>
      </c>
      <c r="B25" s="40">
        <v>4.5000000000000003E-5</v>
      </c>
      <c r="C25" s="41"/>
      <c r="D25" s="40" t="s">
        <v>4</v>
      </c>
      <c r="E25" s="41"/>
      <c r="F25" s="88"/>
      <c r="G25" s="88"/>
      <c r="H25" s="88"/>
      <c r="I25" s="88"/>
      <c r="J25" s="88"/>
      <c r="K25" s="88"/>
      <c r="L25" s="88"/>
      <c r="M25" s="88"/>
    </row>
    <row r="26" spans="1:13" x14ac:dyDescent="0.3">
      <c r="A26" s="90" t="s">
        <v>155</v>
      </c>
      <c r="B26" s="37">
        <v>10</v>
      </c>
      <c r="C26" s="37"/>
      <c r="D26" s="37" t="s">
        <v>154</v>
      </c>
      <c r="E26" s="37"/>
      <c r="F26" s="88"/>
      <c r="G26" s="88"/>
      <c r="H26" s="88"/>
      <c r="I26" s="88"/>
      <c r="J26" s="88"/>
      <c r="K26" s="88"/>
      <c r="L26" s="88"/>
      <c r="M26" s="88"/>
    </row>
    <row r="27" spans="1:13" x14ac:dyDescent="0.3">
      <c r="A27" s="90" t="s">
        <v>160</v>
      </c>
      <c r="B27" s="37">
        <v>20</v>
      </c>
      <c r="C27" s="37"/>
      <c r="D27" s="37" t="s">
        <v>154</v>
      </c>
      <c r="E27" s="37"/>
      <c r="F27" s="88"/>
      <c r="G27" s="88"/>
      <c r="H27" s="88"/>
      <c r="I27" s="88"/>
      <c r="J27" s="88"/>
      <c r="K27" s="88"/>
      <c r="L27" s="88"/>
      <c r="M27" s="88"/>
    </row>
    <row r="28" spans="1:13" x14ac:dyDescent="0.3">
      <c r="A28" s="90" t="s">
        <v>174</v>
      </c>
      <c r="B28" s="37">
        <v>25</v>
      </c>
      <c r="C28" s="37"/>
      <c r="D28" s="37" t="s">
        <v>154</v>
      </c>
      <c r="E28" s="37"/>
      <c r="F28" s="88"/>
      <c r="G28" s="88"/>
      <c r="H28" s="88"/>
      <c r="I28" s="88"/>
      <c r="J28" s="88"/>
      <c r="K28" s="88"/>
      <c r="L28" s="88"/>
      <c r="M28" s="88"/>
    </row>
    <row r="29" spans="1:13" x14ac:dyDescent="0.3">
      <c r="A29" s="90" t="s">
        <v>191</v>
      </c>
      <c r="B29" s="40">
        <v>10</v>
      </c>
      <c r="C29" s="41"/>
      <c r="D29" s="40" t="s">
        <v>154</v>
      </c>
      <c r="E29" s="41"/>
      <c r="F29" s="88"/>
      <c r="G29" s="88"/>
      <c r="H29" s="88"/>
      <c r="I29" s="88"/>
      <c r="J29" s="88"/>
      <c r="K29" s="88"/>
      <c r="L29" s="88"/>
      <c r="M29" s="88"/>
    </row>
    <row r="30" spans="1:13" x14ac:dyDescent="0.3">
      <c r="A30" s="38" t="s">
        <v>68</v>
      </c>
      <c r="B30" s="38"/>
      <c r="C30" s="38"/>
      <c r="D30" s="38"/>
      <c r="E30" s="38"/>
      <c r="F30" s="88"/>
      <c r="G30" s="88"/>
      <c r="H30" s="88"/>
      <c r="I30" s="88"/>
      <c r="J30" s="88"/>
      <c r="K30" s="88"/>
      <c r="L30" s="88"/>
      <c r="M30" s="88"/>
    </row>
    <row r="31" spans="1:13" x14ac:dyDescent="0.3">
      <c r="A31" s="38"/>
      <c r="B31" s="38"/>
      <c r="C31" s="38"/>
      <c r="D31" s="38"/>
      <c r="E31" s="38"/>
      <c r="F31" s="88"/>
      <c r="G31" s="88"/>
      <c r="H31" s="88"/>
      <c r="I31" s="88"/>
      <c r="J31" s="88"/>
      <c r="K31" s="88"/>
      <c r="L31" s="88"/>
      <c r="M31" s="88"/>
    </row>
    <row r="32" spans="1:13" x14ac:dyDescent="0.3">
      <c r="A32" s="23" t="s">
        <v>112</v>
      </c>
      <c r="B32" s="23" t="s">
        <v>115</v>
      </c>
      <c r="C32" s="23" t="s">
        <v>116</v>
      </c>
      <c r="D32" s="23" t="s">
        <v>139</v>
      </c>
      <c r="E32" s="23" t="s">
        <v>136</v>
      </c>
      <c r="F32" s="89"/>
      <c r="G32" s="88"/>
      <c r="H32" s="88"/>
      <c r="I32" s="88"/>
      <c r="J32" s="88"/>
      <c r="K32" s="88"/>
      <c r="L32" s="88"/>
      <c r="M32" s="88"/>
    </row>
    <row r="33" spans="1:13" x14ac:dyDescent="0.3">
      <c r="A33" s="3" t="s">
        <v>117</v>
      </c>
      <c r="B33" s="77">
        <v>2.8</v>
      </c>
      <c r="C33" s="3" t="s">
        <v>114</v>
      </c>
      <c r="D33" s="78">
        <f>IF(C33="m", (B33*B17*9.81)/100000,B33 )</f>
        <v>2.8</v>
      </c>
      <c r="E33" s="78">
        <f>IF(C33="bar A", (B33*100000)/(B17*9.81), B33)</f>
        <v>33.461082967950254</v>
      </c>
      <c r="F33" s="89"/>
      <c r="G33" s="88"/>
      <c r="H33" s="88"/>
      <c r="I33" s="88"/>
      <c r="J33" s="88"/>
      <c r="K33" s="88"/>
      <c r="L33" s="88"/>
      <c r="M33" s="88"/>
    </row>
    <row r="34" spans="1:13" x14ac:dyDescent="0.3">
      <c r="A34" s="3" t="s">
        <v>70</v>
      </c>
      <c r="B34" s="77">
        <v>10.5</v>
      </c>
      <c r="C34" s="3" t="s">
        <v>4</v>
      </c>
      <c r="D34" s="78">
        <f>IF(C34="m", (B34*B17*9.81)/100000,B34 )</f>
        <v>0.87863265000000002</v>
      </c>
      <c r="E34" s="78">
        <f>IF(C34="bar A", (B34*100000)/(B17*9.81), B34)</f>
        <v>10.5</v>
      </c>
      <c r="F34" s="89"/>
      <c r="G34" s="88"/>
      <c r="H34" s="88"/>
      <c r="I34" s="88"/>
      <c r="J34" s="88"/>
      <c r="K34" s="88"/>
      <c r="L34" s="88"/>
      <c r="M34" s="88"/>
    </row>
    <row r="35" spans="1:13" x14ac:dyDescent="0.3">
      <c r="A35" s="3" t="s">
        <v>165</v>
      </c>
      <c r="B35" s="77">
        <v>10.5</v>
      </c>
      <c r="C35" s="3" t="s">
        <v>4</v>
      </c>
      <c r="D35" s="78">
        <f>IF(C35="m", (B35*B17*9.81)/100000,B35 )</f>
        <v>0.87863265000000002</v>
      </c>
      <c r="E35" s="78">
        <f>IF(C35="bar A", (B35*100000)/(B17*9.81), B35)</f>
        <v>10.5</v>
      </c>
      <c r="F35" s="57" t="s">
        <v>179</v>
      </c>
      <c r="G35" s="57"/>
      <c r="H35" s="57"/>
      <c r="I35" s="57"/>
      <c r="J35" s="57"/>
      <c r="K35" s="57"/>
      <c r="L35" s="57"/>
      <c r="M35" s="57"/>
    </row>
    <row r="36" spans="1:13" x14ac:dyDescent="0.3">
      <c r="A36" s="3" t="s">
        <v>164</v>
      </c>
      <c r="B36" s="77">
        <v>8</v>
      </c>
      <c r="C36" s="3" t="s">
        <v>4</v>
      </c>
      <c r="D36" s="78">
        <f>IF(C36="m", (B36*B17*9.81)/100000,B36 )</f>
        <v>0.66943439999999999</v>
      </c>
      <c r="E36" s="78">
        <f>IF(C36="bar A", (B36*100000)/(B17*9.81), B36)</f>
        <v>8</v>
      </c>
      <c r="F36" s="57"/>
      <c r="G36" s="57"/>
      <c r="H36" s="57"/>
      <c r="I36" s="57"/>
      <c r="J36" s="57"/>
      <c r="K36" s="57"/>
      <c r="L36" s="57"/>
      <c r="M36" s="57"/>
    </row>
    <row r="37" spans="1:13" x14ac:dyDescent="0.3">
      <c r="A37" s="31" t="s">
        <v>130</v>
      </c>
      <c r="B37" s="92">
        <v>8.0000000000000002E-3</v>
      </c>
      <c r="C37" s="31" t="s">
        <v>114</v>
      </c>
      <c r="D37" s="85">
        <f>IF(C37="m", (B37*B17*9.81)/100000,B37 )</f>
        <v>8.0000000000000002E-3</v>
      </c>
      <c r="E37" s="85">
        <f>IF(C37="bar A", (B37*100000)/(B17*9.81), B37)</f>
        <v>9.560309419414359E-2</v>
      </c>
      <c r="F37" s="3" t="s">
        <v>193</v>
      </c>
      <c r="G37" s="37">
        <v>60</v>
      </c>
      <c r="H37" s="37"/>
      <c r="I37" s="37"/>
      <c r="J37" s="40" t="s">
        <v>154</v>
      </c>
      <c r="K37" s="58"/>
      <c r="L37" s="41"/>
      <c r="M37" s="61"/>
    </row>
    <row r="38" spans="1:13" x14ac:dyDescent="0.3">
      <c r="A38" s="31" t="s">
        <v>129</v>
      </c>
      <c r="B38" s="84">
        <v>0.20200000000000001</v>
      </c>
      <c r="C38" s="31" t="s">
        <v>114</v>
      </c>
      <c r="D38" s="85">
        <f>IF(C38="m", (B38*B17*9.81)/100000,B38 )</f>
        <v>0.20200000000000001</v>
      </c>
      <c r="E38" s="85">
        <f>IF(C38="bar A", (B38*100000)/(B17*9.81), B38)</f>
        <v>2.4139781284021256</v>
      </c>
      <c r="F38" s="3" t="s">
        <v>194</v>
      </c>
      <c r="G38" s="37">
        <v>90</v>
      </c>
      <c r="H38" s="37"/>
      <c r="I38" s="37"/>
      <c r="J38" s="40" t="s">
        <v>154</v>
      </c>
      <c r="K38" s="58"/>
      <c r="L38" s="41"/>
      <c r="M38" s="62"/>
    </row>
    <row r="39" spans="1:13" x14ac:dyDescent="0.3">
      <c r="A39" s="3" t="s">
        <v>118</v>
      </c>
      <c r="B39" s="77">
        <v>0.10299999999999999</v>
      </c>
      <c r="C39" s="3" t="s">
        <v>114</v>
      </c>
      <c r="D39" s="78">
        <f>IF(C39="m", (B39*B17*9.81)/100000,B39 )</f>
        <v>0.10299999999999999</v>
      </c>
      <c r="E39" s="78">
        <f>IF(C39="bar A", (B39*100000)/(B17*9.81), B39)</f>
        <v>1.2308898377495987</v>
      </c>
      <c r="F39" s="31" t="s">
        <v>195</v>
      </c>
      <c r="G39" s="44">
        <f>(B16*B17*D54)/(3.67*100000)</f>
        <v>41.403823768772902</v>
      </c>
      <c r="H39" s="44"/>
      <c r="I39" s="44"/>
      <c r="J39" s="44" t="s">
        <v>198</v>
      </c>
      <c r="K39" s="44"/>
      <c r="L39" s="44"/>
      <c r="M39" s="62"/>
    </row>
    <row r="40" spans="1:13" x14ac:dyDescent="0.3">
      <c r="A40" s="31" t="s">
        <v>119</v>
      </c>
      <c r="B40" s="84">
        <f>E33+E36-E37-E38-E39</f>
        <v>37.720611907604379</v>
      </c>
      <c r="C40" s="31" t="s">
        <v>4</v>
      </c>
      <c r="D40" s="85">
        <f>IF(C40="m", (B40*B17*9.81)/100000,B40 )</f>
        <v>3.1564343999999993</v>
      </c>
      <c r="E40" s="85">
        <f>IF(C40="bar A", (B40*100000)/(B17*9.81), B40)</f>
        <v>37.720611907604379</v>
      </c>
      <c r="F40" s="31" t="s">
        <v>196</v>
      </c>
      <c r="G40" s="44">
        <f>(G39)/(G37/100)</f>
        <v>69.006372947954844</v>
      </c>
      <c r="H40" s="44"/>
      <c r="I40" s="44"/>
      <c r="J40" s="44" t="s">
        <v>198</v>
      </c>
      <c r="K40" s="44"/>
      <c r="L40" s="44"/>
      <c r="M40" s="62"/>
    </row>
    <row r="41" spans="1:13" x14ac:dyDescent="0.3">
      <c r="A41" s="31" t="s">
        <v>138</v>
      </c>
      <c r="B41" s="84">
        <f>E33+E36-E37-E38</f>
        <v>38.95150174535398</v>
      </c>
      <c r="C41" s="31" t="s">
        <v>4</v>
      </c>
      <c r="D41" s="85">
        <f>IF(C41="m", (B41*B17*9.81)/100000,B41 )</f>
        <v>3.2594343999999995</v>
      </c>
      <c r="E41" s="85">
        <f>IF(C41="bar A", (B41*100000)/(B17*9.81), B41)</f>
        <v>38.95150174535398</v>
      </c>
      <c r="F41" s="31" t="s">
        <v>197</v>
      </c>
      <c r="G41" s="44">
        <f>G40/(G38/100)</f>
        <v>76.67374771994983</v>
      </c>
      <c r="H41" s="44"/>
      <c r="I41" s="44"/>
      <c r="J41" s="44" t="s">
        <v>198</v>
      </c>
      <c r="K41" s="44"/>
      <c r="L41" s="44"/>
      <c r="M41" s="62"/>
    </row>
    <row r="42" spans="1:13" x14ac:dyDescent="0.3">
      <c r="A42" s="31" t="s">
        <v>141</v>
      </c>
      <c r="B42" s="84">
        <f>D33+D35-D37-D38</f>
        <v>3.46863265</v>
      </c>
      <c r="C42" s="31" t="s">
        <v>114</v>
      </c>
      <c r="D42" s="85">
        <f>IF(C42="m", (B42*B17*9.81)/100000,B42 )</f>
        <v>3.46863265</v>
      </c>
      <c r="E42" s="83">
        <f>IF(C42="bar A", (B42*100000)/(B17*9.81), B42)</f>
        <v>41.451501745353987</v>
      </c>
      <c r="F42" s="63" t="s">
        <v>201</v>
      </c>
      <c r="G42" s="64"/>
      <c r="H42" s="64"/>
      <c r="I42" s="64"/>
      <c r="J42" s="64"/>
      <c r="K42" s="64"/>
      <c r="L42" s="65"/>
      <c r="M42" s="62"/>
    </row>
    <row r="43" spans="1:13" x14ac:dyDescent="0.3">
      <c r="A43" s="31" t="s">
        <v>140</v>
      </c>
      <c r="B43" s="84">
        <f>B42*(1+B26/100)</f>
        <v>3.8154959150000001</v>
      </c>
      <c r="C43" s="31" t="s">
        <v>114</v>
      </c>
      <c r="D43" s="85">
        <f>IF(C43="m", (B43*B17*9.81)/100000,B43 )</f>
        <v>3.8154959150000001</v>
      </c>
      <c r="E43" s="83">
        <f>IF(C43="bar A", (B43*100000)/(B17*9.81), B43)</f>
        <v>45.596651919889382</v>
      </c>
      <c r="F43" s="66"/>
      <c r="G43" s="67"/>
      <c r="H43" s="67"/>
      <c r="I43" s="67"/>
      <c r="J43" s="67"/>
      <c r="K43" s="67"/>
      <c r="L43" s="68"/>
      <c r="M43" s="62"/>
    </row>
    <row r="44" spans="1:13" x14ac:dyDescent="0.3">
      <c r="A44" s="38" t="s">
        <v>162</v>
      </c>
      <c r="B44" s="38"/>
      <c r="C44" s="38"/>
      <c r="D44" s="38"/>
      <c r="E44" s="39"/>
      <c r="F44" s="69"/>
      <c r="G44" s="70"/>
      <c r="H44" s="70"/>
      <c r="I44" s="70"/>
      <c r="J44" s="70"/>
      <c r="K44" s="70"/>
      <c r="L44" s="71"/>
      <c r="M44" s="62"/>
    </row>
    <row r="45" spans="1:13" x14ac:dyDescent="0.3">
      <c r="A45" s="38"/>
      <c r="B45" s="38"/>
      <c r="C45" s="38"/>
      <c r="D45" s="38"/>
      <c r="E45" s="39"/>
      <c r="F45" s="36" t="s">
        <v>209</v>
      </c>
      <c r="G45" s="86">
        <f>B16</f>
        <v>220</v>
      </c>
      <c r="H45" s="86"/>
      <c r="I45" s="86"/>
      <c r="J45" s="72" t="s">
        <v>213</v>
      </c>
      <c r="K45" s="72"/>
      <c r="L45" s="72"/>
      <c r="M45" s="62"/>
    </row>
    <row r="46" spans="1:13" x14ac:dyDescent="0.3">
      <c r="A46" s="22" t="s">
        <v>166</v>
      </c>
      <c r="B46" s="22" t="s">
        <v>115</v>
      </c>
      <c r="C46" s="22" t="s">
        <v>116</v>
      </c>
      <c r="D46" s="22" t="s">
        <v>137</v>
      </c>
      <c r="E46" s="22" t="s">
        <v>167</v>
      </c>
      <c r="F46" s="36" t="s">
        <v>202</v>
      </c>
      <c r="G46" s="60">
        <f>D54</f>
        <v>80.971988293401125</v>
      </c>
      <c r="H46" s="60"/>
      <c r="I46" s="60"/>
      <c r="J46" s="59" t="s">
        <v>4</v>
      </c>
      <c r="K46" s="59"/>
      <c r="L46" s="59"/>
      <c r="M46" s="62"/>
    </row>
    <row r="47" spans="1:13" x14ac:dyDescent="0.3">
      <c r="A47" s="3" t="s">
        <v>163</v>
      </c>
      <c r="B47" s="78">
        <v>2.4</v>
      </c>
      <c r="C47" s="3" t="s">
        <v>114</v>
      </c>
      <c r="D47" s="80">
        <f>IF(C47="m", (B47*B17*9.81)/100000,B47 )</f>
        <v>2.4</v>
      </c>
      <c r="E47" s="87">
        <f>IF(C47="bar A", (B47*100000)/(B17*9.81), B47)</f>
        <v>28.680928258243078</v>
      </c>
      <c r="F47" s="36" t="s">
        <v>210</v>
      </c>
      <c r="G47" s="60">
        <f>B54</f>
        <v>6.7756793000000002</v>
      </c>
      <c r="H47" s="60"/>
      <c r="I47" s="60"/>
      <c r="J47" s="59" t="s">
        <v>114</v>
      </c>
      <c r="K47" s="59"/>
      <c r="L47" s="59"/>
      <c r="M47" s="62"/>
    </row>
    <row r="48" spans="1:13" x14ac:dyDescent="0.3">
      <c r="A48" s="3" t="s">
        <v>169</v>
      </c>
      <c r="B48" s="78">
        <v>9</v>
      </c>
      <c r="C48" s="3" t="s">
        <v>4</v>
      </c>
      <c r="D48" s="80">
        <f>IF(C48="m", (B48*B17*9.81)/100000,B48 )</f>
        <v>0.75311370000000011</v>
      </c>
      <c r="E48" s="87">
        <f>IF(C48="bar A", (B48*100000)/(B17*9.81), B48)</f>
        <v>9</v>
      </c>
      <c r="F48" s="36" t="s">
        <v>211</v>
      </c>
      <c r="G48" s="60">
        <f>B42</f>
        <v>3.46863265</v>
      </c>
      <c r="H48" s="60"/>
      <c r="I48" s="60"/>
      <c r="J48" s="59" t="s">
        <v>114</v>
      </c>
      <c r="K48" s="59"/>
      <c r="L48" s="59"/>
      <c r="M48" s="62"/>
    </row>
    <row r="49" spans="1:13" x14ac:dyDescent="0.3">
      <c r="A49" s="31" t="s">
        <v>244</v>
      </c>
      <c r="B49" s="85">
        <v>2.0082</v>
      </c>
      <c r="C49" s="31" t="s">
        <v>114</v>
      </c>
      <c r="D49" s="32">
        <f>IF(C49="m", (B49*B17*9.81)/100000,B49 )</f>
        <v>2.0082</v>
      </c>
      <c r="E49" s="82">
        <f>IF(C49="bar A", (B49*100000)/(B17*9.81), B49)</f>
        <v>23.998766720084895</v>
      </c>
      <c r="F49" s="36" t="s">
        <v>212</v>
      </c>
      <c r="G49" s="60">
        <f>B51</f>
        <v>10.0351137</v>
      </c>
      <c r="H49" s="60"/>
      <c r="I49" s="60"/>
      <c r="J49" s="59" t="s">
        <v>114</v>
      </c>
      <c r="K49" s="59"/>
      <c r="L49" s="59"/>
      <c r="M49" s="62"/>
    </row>
    <row r="50" spans="1:13" x14ac:dyDescent="0.3">
      <c r="A50" s="31" t="s">
        <v>129</v>
      </c>
      <c r="B50" s="85">
        <v>4.8738000000000001</v>
      </c>
      <c r="C50" s="31" t="s">
        <v>114</v>
      </c>
      <c r="D50" s="32">
        <f>IF(C50="m", (B50*B17*9.81)/100000,B50 )</f>
        <v>4.8738000000000001</v>
      </c>
      <c r="E50" s="82">
        <f>IF(C50="bar A", (B50*100000)/(B17*9.81), B50)</f>
        <v>58.243795060427132</v>
      </c>
      <c r="F50" s="36" t="s">
        <v>203</v>
      </c>
      <c r="G50" s="60">
        <f>B40</f>
        <v>37.720611907604379</v>
      </c>
      <c r="H50" s="60"/>
      <c r="I50" s="60"/>
      <c r="J50" s="59" t="s">
        <v>114</v>
      </c>
      <c r="K50" s="59"/>
      <c r="L50" s="59"/>
      <c r="M50" s="62"/>
    </row>
    <row r="51" spans="1:13" x14ac:dyDescent="0.3">
      <c r="A51" s="31" t="s">
        <v>249</v>
      </c>
      <c r="B51" s="32">
        <f>SUM(D47:D50)</f>
        <v>10.0351137</v>
      </c>
      <c r="C51" s="31" t="s">
        <v>114</v>
      </c>
      <c r="D51" s="32">
        <f>IF(C51="m", (B51*B17*9.81)/100000,B51 )</f>
        <v>10.0351137</v>
      </c>
      <c r="E51" s="82">
        <f>IF(C51="bar A", (B51*100000)/(B17*9.81), B51)</f>
        <v>119.92349003875511</v>
      </c>
      <c r="F51" s="36" t="s">
        <v>204</v>
      </c>
      <c r="G51" s="60"/>
      <c r="H51" s="60"/>
      <c r="I51" s="60"/>
      <c r="J51" s="59" t="s">
        <v>114</v>
      </c>
      <c r="K51" s="59"/>
      <c r="L51" s="59"/>
      <c r="M51" s="62"/>
    </row>
    <row r="52" spans="1:13" x14ac:dyDescent="0.3">
      <c r="A52" s="38" t="s">
        <v>172</v>
      </c>
      <c r="B52" s="38"/>
      <c r="C52" s="38"/>
      <c r="D52" s="38"/>
      <c r="E52" s="39"/>
      <c r="F52" s="36" t="s">
        <v>195</v>
      </c>
      <c r="G52" s="60">
        <f>G39</f>
        <v>41.403823768772902</v>
      </c>
      <c r="H52" s="60"/>
      <c r="I52" s="60"/>
      <c r="J52" s="59" t="s">
        <v>198</v>
      </c>
      <c r="K52" s="59"/>
      <c r="L52" s="59"/>
      <c r="M52" s="62"/>
    </row>
    <row r="53" spans="1:13" x14ac:dyDescent="0.3">
      <c r="A53" s="38"/>
      <c r="B53" s="38"/>
      <c r="C53" s="38"/>
      <c r="D53" s="38"/>
      <c r="E53" s="39"/>
      <c r="F53" s="36" t="s">
        <v>205</v>
      </c>
      <c r="G53" s="60">
        <f>G40</f>
        <v>69.006372947954844</v>
      </c>
      <c r="H53" s="60"/>
      <c r="I53" s="60"/>
      <c r="J53" s="59" t="s">
        <v>198</v>
      </c>
      <c r="K53" s="59"/>
      <c r="L53" s="59"/>
      <c r="M53" s="62"/>
    </row>
    <row r="54" spans="1:13" x14ac:dyDescent="0.3">
      <c r="A54" s="31" t="s">
        <v>192</v>
      </c>
      <c r="B54" s="32">
        <f>D51-D41</f>
        <v>6.7756793000000002</v>
      </c>
      <c r="C54" s="31" t="s">
        <v>114</v>
      </c>
      <c r="D54" s="32">
        <f>IF(C54="bar A", (B54*100000)/(B17*9.81), B4)</f>
        <v>80.971988293401125</v>
      </c>
      <c r="E54" s="33" t="s">
        <v>4</v>
      </c>
      <c r="F54" s="36" t="s">
        <v>206</v>
      </c>
      <c r="G54" s="60">
        <f>G41</f>
        <v>76.67374771994983</v>
      </c>
      <c r="H54" s="60"/>
      <c r="I54" s="60"/>
      <c r="J54" s="59" t="s">
        <v>198</v>
      </c>
      <c r="K54" s="59"/>
      <c r="L54" s="59"/>
      <c r="M54" s="62"/>
    </row>
    <row r="55" spans="1:13" x14ac:dyDescent="0.3">
      <c r="A55" s="31" t="s">
        <v>176</v>
      </c>
      <c r="B55" s="32">
        <f>B42+(B54*(1+B28/100))</f>
        <v>11.938231775</v>
      </c>
      <c r="C55" s="31" t="s">
        <v>114</v>
      </c>
      <c r="D55" s="32">
        <f>IF(C55="bar A", (B55*100000)/(B17*9.81), B5)</f>
        <v>142.66648711210539</v>
      </c>
      <c r="E55" s="33" t="s">
        <v>4</v>
      </c>
      <c r="F55" s="36" t="s">
        <v>207</v>
      </c>
      <c r="G55" s="60">
        <f>B17</f>
        <v>853</v>
      </c>
      <c r="H55" s="60"/>
      <c r="I55" s="60"/>
      <c r="J55" s="59" t="s">
        <v>9</v>
      </c>
      <c r="K55" s="59"/>
      <c r="L55" s="59"/>
      <c r="M55" s="62"/>
    </row>
    <row r="56" spans="1:13" x14ac:dyDescent="0.3">
      <c r="A56" s="31" t="s">
        <v>190</v>
      </c>
      <c r="B56" s="32">
        <f>B55*(1+B29/100)</f>
        <v>13.132054952500001</v>
      </c>
      <c r="C56" s="31" t="s">
        <v>114</v>
      </c>
      <c r="D56" s="32">
        <f>IF(C56="bar A", (B56*100000)/(B17*9.81), B6)</f>
        <v>156.93313582331592</v>
      </c>
      <c r="E56" s="33" t="s">
        <v>4</v>
      </c>
      <c r="F56" s="36" t="s">
        <v>208</v>
      </c>
      <c r="G56" s="60">
        <f>B39</f>
        <v>0.10299999999999999</v>
      </c>
      <c r="H56" s="60"/>
      <c r="I56" s="60"/>
      <c r="J56" s="59" t="s">
        <v>114</v>
      </c>
      <c r="K56" s="59"/>
      <c r="L56" s="59"/>
      <c r="M56" s="62"/>
    </row>
  </sheetData>
  <mergeCells count="91">
    <mergeCell ref="M37:M56"/>
    <mergeCell ref="G52:I52"/>
    <mergeCell ref="G51:I51"/>
    <mergeCell ref="F42:L44"/>
    <mergeCell ref="G45:I45"/>
    <mergeCell ref="J45:L45"/>
    <mergeCell ref="G53:I53"/>
    <mergeCell ref="G54:I54"/>
    <mergeCell ref="G55:I55"/>
    <mergeCell ref="G56:I56"/>
    <mergeCell ref="J47:L47"/>
    <mergeCell ref="J48:L48"/>
    <mergeCell ref="J49:L49"/>
    <mergeCell ref="J50:L50"/>
    <mergeCell ref="J51:L51"/>
    <mergeCell ref="J52:L52"/>
    <mergeCell ref="J53:L53"/>
    <mergeCell ref="J54:L54"/>
    <mergeCell ref="J55:L55"/>
    <mergeCell ref="J56:L56"/>
    <mergeCell ref="G48:I48"/>
    <mergeCell ref="G49:I49"/>
    <mergeCell ref="G50:I50"/>
    <mergeCell ref="G46:I46"/>
    <mergeCell ref="J46:L46"/>
    <mergeCell ref="G47:I47"/>
    <mergeCell ref="G40:I40"/>
    <mergeCell ref="G41:I41"/>
    <mergeCell ref="J37:L37"/>
    <mergeCell ref="J38:L38"/>
    <mergeCell ref="J39:L39"/>
    <mergeCell ref="J40:L40"/>
    <mergeCell ref="J41:L41"/>
    <mergeCell ref="A6:E8"/>
    <mergeCell ref="C9:E9"/>
    <mergeCell ref="G37:I37"/>
    <mergeCell ref="G38:I38"/>
    <mergeCell ref="G39:I39"/>
    <mergeCell ref="F8:M8"/>
    <mergeCell ref="F9:M34"/>
    <mergeCell ref="D16:E16"/>
    <mergeCell ref="D17:E17"/>
    <mergeCell ref="F35:M36"/>
    <mergeCell ref="B29:C29"/>
    <mergeCell ref="D29:E29"/>
    <mergeCell ref="D25:E25"/>
    <mergeCell ref="D19:E19"/>
    <mergeCell ref="D20:E20"/>
    <mergeCell ref="D21:E21"/>
    <mergeCell ref="I4:J4"/>
    <mergeCell ref="K4:L4"/>
    <mergeCell ref="M4:M5"/>
    <mergeCell ref="B2:E2"/>
    <mergeCell ref="B4:E4"/>
    <mergeCell ref="A1:M1"/>
    <mergeCell ref="A12:E12"/>
    <mergeCell ref="A30:E31"/>
    <mergeCell ref="B19:C19"/>
    <mergeCell ref="B20:C20"/>
    <mergeCell ref="B21:C21"/>
    <mergeCell ref="B22:C22"/>
    <mergeCell ref="C10:E10"/>
    <mergeCell ref="C11:E11"/>
    <mergeCell ref="F2:H2"/>
    <mergeCell ref="I2:M2"/>
    <mergeCell ref="F3:H3"/>
    <mergeCell ref="F4:F5"/>
    <mergeCell ref="G4:H4"/>
    <mergeCell ref="D14:E14"/>
    <mergeCell ref="D15:E15"/>
    <mergeCell ref="A44:E45"/>
    <mergeCell ref="A52:E53"/>
    <mergeCell ref="B13:C13"/>
    <mergeCell ref="B14:C14"/>
    <mergeCell ref="B15:C15"/>
    <mergeCell ref="B16:C16"/>
    <mergeCell ref="B17:C17"/>
    <mergeCell ref="B18:C18"/>
    <mergeCell ref="D18:E18"/>
    <mergeCell ref="B23:C23"/>
    <mergeCell ref="B25:C25"/>
    <mergeCell ref="B26:C26"/>
    <mergeCell ref="B27:C27"/>
    <mergeCell ref="B24:E24"/>
    <mergeCell ref="D27:E27"/>
    <mergeCell ref="D13:E13"/>
    <mergeCell ref="D22:E22"/>
    <mergeCell ref="D23:E23"/>
    <mergeCell ref="D26:E26"/>
    <mergeCell ref="B28:C28"/>
    <mergeCell ref="D28:E28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4"/>
  <sheetViews>
    <sheetView topLeftCell="B2" workbookViewId="0">
      <selection activeCell="D18" sqref="D18"/>
    </sheetView>
  </sheetViews>
  <sheetFormatPr defaultRowHeight="14.4" x14ac:dyDescent="0.3"/>
  <cols>
    <col min="1" max="1" width="40.6640625" customWidth="1"/>
    <col min="2" max="2" width="29.6640625" bestFit="1" customWidth="1"/>
    <col min="4" max="4" width="156.33203125" bestFit="1" customWidth="1"/>
  </cols>
  <sheetData>
    <row r="1" spans="1:4" x14ac:dyDescent="0.3">
      <c r="A1" s="74" t="s">
        <v>32</v>
      </c>
      <c r="B1" s="75"/>
      <c r="D1" s="35" t="s">
        <v>69</v>
      </c>
    </row>
    <row r="2" spans="1:4" x14ac:dyDescent="0.3">
      <c r="A2" s="2" t="s">
        <v>33</v>
      </c>
      <c r="B2" s="2" t="s">
        <v>34</v>
      </c>
      <c r="D2" s="34" t="s">
        <v>127</v>
      </c>
    </row>
    <row r="3" spans="1:4" x14ac:dyDescent="0.3">
      <c r="A3" s="3" t="s">
        <v>35</v>
      </c>
      <c r="B3" s="30">
        <v>1.5E-6</v>
      </c>
      <c r="D3" s="34" t="s">
        <v>123</v>
      </c>
    </row>
    <row r="4" spans="1:4" x14ac:dyDescent="0.3">
      <c r="A4" s="3" t="s">
        <v>36</v>
      </c>
      <c r="B4" s="30">
        <v>1.5E-5</v>
      </c>
      <c r="D4" s="34" t="s">
        <v>124</v>
      </c>
    </row>
    <row r="5" spans="1:4" x14ac:dyDescent="0.3">
      <c r="A5" s="3" t="s">
        <v>37</v>
      </c>
      <c r="B5" s="30">
        <v>4.5000000000000003E-5</v>
      </c>
      <c r="D5" s="34" t="s">
        <v>125</v>
      </c>
    </row>
    <row r="6" spans="1:4" x14ac:dyDescent="0.3">
      <c r="A6" s="3" t="s">
        <v>38</v>
      </c>
      <c r="B6" s="30">
        <v>1.4999999999999999E-4</v>
      </c>
      <c r="D6" s="34" t="s">
        <v>126</v>
      </c>
    </row>
    <row r="7" spans="1:4" x14ac:dyDescent="0.3">
      <c r="A7" s="3" t="s">
        <v>39</v>
      </c>
      <c r="B7" s="30">
        <v>2.5999999999999998E-4</v>
      </c>
      <c r="D7" s="34" t="s">
        <v>132</v>
      </c>
    </row>
    <row r="8" spans="1:4" x14ac:dyDescent="0.3">
      <c r="D8" s="34" t="s">
        <v>152</v>
      </c>
    </row>
    <row r="9" spans="1:4" x14ac:dyDescent="0.3">
      <c r="D9" s="34" t="s">
        <v>159</v>
      </c>
    </row>
    <row r="10" spans="1:4" x14ac:dyDescent="0.3">
      <c r="A10" s="76" t="s">
        <v>71</v>
      </c>
      <c r="B10" s="76"/>
      <c r="D10" s="34" t="s">
        <v>180</v>
      </c>
    </row>
    <row r="11" spans="1:4" x14ac:dyDescent="0.3">
      <c r="A11" s="3" t="s">
        <v>119</v>
      </c>
      <c r="B11" s="3" t="s">
        <v>120</v>
      </c>
      <c r="D11" s="34" t="s">
        <v>182</v>
      </c>
    </row>
    <row r="12" spans="1:4" x14ac:dyDescent="0.3">
      <c r="A12" s="3" t="s">
        <v>122</v>
      </c>
      <c r="B12" s="3" t="s">
        <v>121</v>
      </c>
      <c r="D12" s="34" t="s">
        <v>183</v>
      </c>
    </row>
    <row r="13" spans="1:4" x14ac:dyDescent="0.3">
      <c r="A13" s="3" t="s">
        <v>131</v>
      </c>
      <c r="B13" s="3" t="s">
        <v>133</v>
      </c>
      <c r="D13" s="34" t="s">
        <v>199</v>
      </c>
    </row>
    <row r="14" spans="1:4" x14ac:dyDescent="0.3">
      <c r="A14" s="3" t="s">
        <v>134</v>
      </c>
      <c r="B14" s="3" t="s">
        <v>135</v>
      </c>
      <c r="D14" s="34" t="s">
        <v>200</v>
      </c>
    </row>
    <row r="15" spans="1:4" x14ac:dyDescent="0.3">
      <c r="A15" s="3" t="s">
        <v>171</v>
      </c>
      <c r="B15" s="3" t="s">
        <v>170</v>
      </c>
      <c r="D15" s="34" t="s">
        <v>214</v>
      </c>
    </row>
    <row r="16" spans="1:4" x14ac:dyDescent="0.3">
      <c r="A16" s="3" t="s">
        <v>177</v>
      </c>
      <c r="B16" s="3" t="s">
        <v>181</v>
      </c>
      <c r="D16" s="34" t="s">
        <v>215</v>
      </c>
    </row>
    <row r="17" spans="1:4" x14ac:dyDescent="0.3">
      <c r="D17" s="94" t="s">
        <v>239</v>
      </c>
    </row>
    <row r="18" spans="1:4" x14ac:dyDescent="0.3">
      <c r="D18" s="94" t="s">
        <v>240</v>
      </c>
    </row>
    <row r="19" spans="1:4" x14ac:dyDescent="0.3">
      <c r="A19" s="20" t="s">
        <v>72</v>
      </c>
      <c r="B19" s="20" t="s">
        <v>73</v>
      </c>
      <c r="C19" s="20" t="s">
        <v>74</v>
      </c>
      <c r="D19" s="20" t="s">
        <v>75</v>
      </c>
    </row>
    <row r="20" spans="1:4" x14ac:dyDescent="0.3">
      <c r="A20" s="21" t="s">
        <v>76</v>
      </c>
      <c r="B20" s="21" t="s">
        <v>77</v>
      </c>
      <c r="C20" s="21" t="s">
        <v>78</v>
      </c>
      <c r="D20" s="21" t="s">
        <v>79</v>
      </c>
    </row>
    <row r="21" spans="1:4" x14ac:dyDescent="0.3">
      <c r="A21" s="21" t="s">
        <v>80</v>
      </c>
      <c r="B21" s="21" t="s">
        <v>81</v>
      </c>
      <c r="C21" s="21" t="s">
        <v>82</v>
      </c>
      <c r="D21" s="21" t="s">
        <v>83</v>
      </c>
    </row>
    <row r="22" spans="1:4" x14ac:dyDescent="0.3">
      <c r="A22" s="21" t="s">
        <v>84</v>
      </c>
      <c r="B22" s="21" t="s">
        <v>85</v>
      </c>
      <c r="C22" s="21" t="s">
        <v>86</v>
      </c>
      <c r="D22" s="21" t="s">
        <v>87</v>
      </c>
    </row>
    <row r="23" spans="1:4" x14ac:dyDescent="0.3">
      <c r="A23" s="21" t="s">
        <v>88</v>
      </c>
      <c r="B23" s="21" t="s">
        <v>89</v>
      </c>
      <c r="C23" s="21" t="s">
        <v>78</v>
      </c>
      <c r="D23" s="21" t="s">
        <v>90</v>
      </c>
    </row>
    <row r="24" spans="1:4" x14ac:dyDescent="0.3">
      <c r="A24" s="21" t="s">
        <v>91</v>
      </c>
      <c r="B24" s="21" t="s">
        <v>77</v>
      </c>
      <c r="C24" s="21" t="s">
        <v>92</v>
      </c>
      <c r="D24" s="21" t="s">
        <v>93</v>
      </c>
    </row>
    <row r="25" spans="1:4" x14ac:dyDescent="0.3">
      <c r="A25" s="20" t="s">
        <v>128</v>
      </c>
      <c r="B25" s="20" t="s">
        <v>94</v>
      </c>
    </row>
    <row r="26" spans="1:4" x14ac:dyDescent="0.3">
      <c r="A26" s="21" t="s">
        <v>95</v>
      </c>
      <c r="B26" s="29">
        <v>0.17</v>
      </c>
    </row>
    <row r="27" spans="1:4" x14ac:dyDescent="0.3">
      <c r="A27" s="21" t="s">
        <v>96</v>
      </c>
      <c r="B27" s="29">
        <v>6</v>
      </c>
    </row>
    <row r="28" spans="1:4" x14ac:dyDescent="0.3">
      <c r="A28" s="21" t="s">
        <v>97</v>
      </c>
      <c r="B28" s="29">
        <v>0.4</v>
      </c>
    </row>
    <row r="29" spans="1:4" x14ac:dyDescent="0.3">
      <c r="A29" s="21" t="s">
        <v>98</v>
      </c>
      <c r="B29" s="29">
        <v>2.2999999999999998</v>
      </c>
    </row>
    <row r="30" spans="1:4" x14ac:dyDescent="0.3">
      <c r="A30" s="21" t="s">
        <v>99</v>
      </c>
      <c r="B30" s="29">
        <v>2</v>
      </c>
    </row>
    <row r="31" spans="1:4" x14ac:dyDescent="0.3">
      <c r="A31" s="21" t="s">
        <v>100</v>
      </c>
      <c r="B31" s="29">
        <v>2</v>
      </c>
    </row>
    <row r="32" spans="1:4" x14ac:dyDescent="0.3">
      <c r="A32" s="21" t="s">
        <v>101</v>
      </c>
      <c r="B32" s="29">
        <v>15</v>
      </c>
    </row>
    <row r="33" spans="1:2" x14ac:dyDescent="0.3">
      <c r="A33" s="21" t="s">
        <v>102</v>
      </c>
      <c r="B33" s="29">
        <v>0.04</v>
      </c>
    </row>
    <row r="34" spans="1:2" x14ac:dyDescent="0.3">
      <c r="A34" s="21" t="s">
        <v>103</v>
      </c>
      <c r="B34" s="29">
        <v>0.75</v>
      </c>
    </row>
    <row r="35" spans="1:2" x14ac:dyDescent="0.3">
      <c r="A35" s="21" t="s">
        <v>104</v>
      </c>
      <c r="B35" s="29">
        <v>0.45</v>
      </c>
    </row>
    <row r="36" spans="1:2" x14ac:dyDescent="0.3">
      <c r="A36" s="21" t="s">
        <v>105</v>
      </c>
      <c r="B36" s="29">
        <v>0.2</v>
      </c>
    </row>
    <row r="37" spans="1:2" x14ac:dyDescent="0.3">
      <c r="A37" s="21" t="s">
        <v>106</v>
      </c>
      <c r="B37" s="29">
        <v>0.35</v>
      </c>
    </row>
    <row r="38" spans="1:2" x14ac:dyDescent="0.3">
      <c r="A38" s="21" t="s">
        <v>107</v>
      </c>
      <c r="B38" s="29">
        <v>0.75</v>
      </c>
    </row>
    <row r="39" spans="1:2" x14ac:dyDescent="0.3">
      <c r="A39" s="21" t="s">
        <v>108</v>
      </c>
      <c r="B39" s="29">
        <v>1.5</v>
      </c>
    </row>
    <row r="40" spans="1:2" x14ac:dyDescent="0.3">
      <c r="A40" s="21" t="s">
        <v>109</v>
      </c>
      <c r="B40" s="29">
        <v>0.4</v>
      </c>
    </row>
    <row r="41" spans="1:2" x14ac:dyDescent="0.3">
      <c r="A41" s="21" t="s">
        <v>110</v>
      </c>
      <c r="B41" s="29">
        <v>0.24</v>
      </c>
    </row>
    <row r="42" spans="1:2" x14ac:dyDescent="0.3">
      <c r="A42" s="21" t="s">
        <v>111</v>
      </c>
      <c r="B42" s="29">
        <v>2</v>
      </c>
    </row>
    <row r="44" spans="1:2" x14ac:dyDescent="0.3">
      <c r="A44" s="25" t="s">
        <v>151</v>
      </c>
      <c r="B44" s="25" t="s">
        <v>142</v>
      </c>
    </row>
    <row r="45" spans="1:2" x14ac:dyDescent="0.3">
      <c r="A45" s="24" t="s">
        <v>143</v>
      </c>
      <c r="B45" s="24" t="s">
        <v>144</v>
      </c>
    </row>
    <row r="46" spans="1:2" x14ac:dyDescent="0.3">
      <c r="A46" s="24" t="s">
        <v>145</v>
      </c>
      <c r="B46" s="24" t="s">
        <v>146</v>
      </c>
    </row>
    <row r="47" spans="1:2" x14ac:dyDescent="0.3">
      <c r="A47" s="24" t="s">
        <v>147</v>
      </c>
      <c r="B47" s="24" t="s">
        <v>148</v>
      </c>
    </row>
    <row r="48" spans="1:2" ht="28.8" x14ac:dyDescent="0.3">
      <c r="A48" s="24" t="s">
        <v>149</v>
      </c>
      <c r="B48" s="24" t="s">
        <v>150</v>
      </c>
    </row>
    <row r="50" spans="1:2" x14ac:dyDescent="0.3">
      <c r="A50" s="27" t="s">
        <v>184</v>
      </c>
      <c r="B50" s="27" t="s">
        <v>185</v>
      </c>
    </row>
    <row r="51" spans="1:2" x14ac:dyDescent="0.3">
      <c r="A51" s="24" t="s">
        <v>186</v>
      </c>
      <c r="B51" s="28">
        <v>0.1</v>
      </c>
    </row>
    <row r="52" spans="1:2" x14ac:dyDescent="0.3">
      <c r="A52" s="24" t="s">
        <v>187</v>
      </c>
      <c r="B52" s="28">
        <v>0.2</v>
      </c>
    </row>
    <row r="53" spans="1:2" x14ac:dyDescent="0.3">
      <c r="A53" s="24" t="s">
        <v>188</v>
      </c>
      <c r="B53" s="28">
        <v>0.3</v>
      </c>
    </row>
    <row r="54" spans="1:2" x14ac:dyDescent="0.3">
      <c r="A54" s="24" t="s">
        <v>189</v>
      </c>
      <c r="B54" s="28">
        <v>0.5</v>
      </c>
    </row>
  </sheetData>
  <mergeCells count="2">
    <mergeCell ref="A1:B1"/>
    <mergeCell ref="A10:B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Line Sizing</vt:lpstr>
      <vt:lpstr>Pump Hydraulics</vt:lpstr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Satyam Shihora</cp:lastModifiedBy>
  <dcterms:created xsi:type="dcterms:W3CDTF">2025-09-16T15:56:54Z</dcterms:created>
  <dcterms:modified xsi:type="dcterms:W3CDTF">2026-05-07T11:38:38Z</dcterms:modified>
</cp:coreProperties>
</file>