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 MENTOR DATA SCIENCE - Copy\13th August 2023\"/>
    </mc:Choice>
  </mc:AlternateContent>
  <xr:revisionPtr revIDLastSave="0" documentId="13_ncr:1_{EE975819-07CD-45B8-A651-B8DF9B575C86}" xr6:coauthVersionLast="36" xr6:coauthVersionMax="47" xr10:uidLastSave="{00000000-0000-0000-0000-000000000000}"/>
  <bookViews>
    <workbookView xWindow="0" yWindow="0" windowWidth="23040" windowHeight="9060" tabRatio="647" activeTab="1" xr2:uid="{B9B45259-4D10-4DDE-ACCE-5C9708E1BB13}"/>
  </bookViews>
  <sheets>
    <sheet name="Raw Data" sheetId="1" r:id="rId1"/>
    <sheet name="Exercise-1" sheetId="2" r:id="rId2"/>
    <sheet name="Exercise - 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8" i="3"/>
  <c r="H7" i="3"/>
  <c r="H6" i="3"/>
  <c r="H5" i="3"/>
  <c r="H4" i="3"/>
  <c r="H3" i="3"/>
  <c r="G9" i="3"/>
  <c r="G8" i="3"/>
  <c r="G7" i="3"/>
  <c r="G6" i="3"/>
  <c r="G5" i="3"/>
  <c r="G4" i="3"/>
  <c r="G3" i="3"/>
  <c r="F9" i="3"/>
  <c r="F8" i="3"/>
  <c r="F7" i="3"/>
  <c r="F6" i="3"/>
  <c r="F5" i="3"/>
  <c r="F4" i="3"/>
  <c r="F3" i="3"/>
  <c r="E9" i="3"/>
  <c r="E8" i="3"/>
  <c r="E7" i="3"/>
  <c r="E6" i="3"/>
  <c r="E5" i="3"/>
  <c r="E4" i="3"/>
  <c r="E3" i="3"/>
  <c r="D9" i="3"/>
  <c r="D8" i="3"/>
  <c r="D7" i="3"/>
  <c r="D6" i="3"/>
  <c r="D5" i="3"/>
  <c r="D4" i="3"/>
  <c r="D3" i="3"/>
  <c r="C9" i="3"/>
  <c r="C8" i="3"/>
  <c r="C7" i="3"/>
  <c r="C6" i="3"/>
  <c r="C5" i="3"/>
  <c r="C4" i="3"/>
  <c r="C3" i="3"/>
  <c r="B9" i="3"/>
  <c r="B8" i="3"/>
  <c r="B7" i="3"/>
  <c r="B6" i="3"/>
  <c r="B5" i="3"/>
  <c r="B4" i="3"/>
  <c r="B3" i="3"/>
  <c r="F9" i="2"/>
  <c r="F8" i="2"/>
  <c r="F7" i="2"/>
  <c r="F6" i="2"/>
  <c r="F5" i="2"/>
  <c r="F4" i="2"/>
  <c r="F3" i="2"/>
  <c r="E9" i="2"/>
  <c r="E8" i="2"/>
  <c r="E7" i="2"/>
  <c r="E6" i="2"/>
  <c r="E5" i="2"/>
  <c r="E4" i="2"/>
  <c r="E3" i="2"/>
  <c r="D9" i="2"/>
  <c r="D8" i="2"/>
  <c r="D7" i="2"/>
  <c r="D6" i="2"/>
  <c r="D5" i="2"/>
  <c r="D4" i="2"/>
  <c r="D3" i="2"/>
  <c r="C9" i="2"/>
  <c r="C8" i="2"/>
  <c r="C7" i="2"/>
  <c r="C6" i="2"/>
  <c r="C5" i="2"/>
  <c r="C4" i="2"/>
  <c r="C3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<sst xmlns="http://schemas.openxmlformats.org/spreadsheetml/2006/main" count="8878" uniqueCount="1354">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</sst>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opLeftCell="A1466" workbookViewId="0">
      <selection activeCell="K1397" sqref="K1397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tabSelected="1" workbookViewId="0">
      <selection activeCell="F10" sqref="F10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Data'!H2:H1475,"=LONDON")</f>
        <v>1042</v>
      </c>
      <c r="C3" s="4">
        <f>COUNTIFS('Raw Data'!H2:H1475,"=LONDON",'Raw Data'!F2:F1475,"&gt;=1/1/2018",'Raw Data'!F2:F1475,"&lt;=12/31/2018")</f>
        <v>290</v>
      </c>
      <c r="D3" s="4">
        <f>COUNTIFS('Raw Data'!H2:H1475,"=LONDON",'Raw Data'!F2:F1475,"&gt;=1/1/2019",'Raw Data'!F2:F1475,"&lt;=12/31/2019")</f>
        <v>341</v>
      </c>
      <c r="E3" s="4">
        <f>COUNTIFS('Raw Data'!H2:H1475,"=LONDON",'Raw Data'!F2:F1475,"&gt;=1/1/2020",'Raw Data'!F2:F1475,"&lt;=12/31/2020")</f>
        <v>310</v>
      </c>
      <c r="F3" s="4">
        <f>COUNTIFS('Raw Data'!H2:H1475,"=LONDON",'Raw Data'!F2:F1475,"&gt;=1/1/2021",'Raw Data'!F2:F1475,"&lt;=12/31/2021")</f>
        <v>101</v>
      </c>
    </row>
    <row r="4" spans="1:6" x14ac:dyDescent="0.3">
      <c r="A4" s="2" t="s">
        <v>1344</v>
      </c>
      <c r="B4" s="4">
        <f>COUNTIF('Raw Data'!H2:H1475,"=BIRMINGHAM")</f>
        <v>124</v>
      </c>
      <c r="C4" s="4">
        <f>COUNTIFS('Raw Data'!H2:H1475,"=BIRMINGHAM",'Raw Data'!F2:F1475,"&gt;=1/1/2018",'Raw Data'!F2:F1475,"&lt;=12/31/2018")</f>
        <v>43</v>
      </c>
      <c r="D4" s="4">
        <f>COUNTIFS('Raw Data'!H2:H1475,"=BIRMINGHAM",'Raw Data'!F2:F1475,"&gt;=1/1/2019",'Raw Data'!F2:F1475,"&lt;=12/31/2019")</f>
        <v>42</v>
      </c>
      <c r="E4" s="4">
        <f>COUNTIFS('Raw Data'!H2:H1475,"=BIRMINGHAM",'Raw Data'!F2:F1475,"&gt;=1/1/2020",'Raw Data'!F2:F1475,"&lt;=12/31/2020")</f>
        <v>25</v>
      </c>
      <c r="F4" s="4">
        <f>COUNTIFS('Raw Data'!H2:H1475,"=BIRMINGHAM",'Raw Data'!F2:F1475,"&gt;=1/1/2021",'Raw Data'!F2:F1475,"&lt;=12/31/2021")</f>
        <v>14</v>
      </c>
    </row>
    <row r="5" spans="1:6" x14ac:dyDescent="0.3">
      <c r="A5" s="2" t="s">
        <v>1345</v>
      </c>
      <c r="B5" s="4">
        <f>COUNTIF('Raw Data'!H2:H1475,"=GLASGOW")</f>
        <v>77</v>
      </c>
      <c r="C5" s="4">
        <f>COUNTIFS('Raw Data'!H2:H1475,"=GLASGOW",'Raw Data'!F2:F1475,"&gt;=1/1/2018",'Raw Data'!F2:F1475,"&lt;=12/31/2018")</f>
        <v>22</v>
      </c>
      <c r="D5" s="4">
        <f>COUNTIFS('Raw Data'!H2:H1475,"=GLASGOW",'Raw Data'!F2:F1475,"&gt;=1/1/2019",'Raw Data'!F2:F1475,"&lt;=12/31/2019")</f>
        <v>23</v>
      </c>
      <c r="E5" s="4">
        <f>COUNTIFS('Raw Data'!H2:H1475,"=GLASGOW",'Raw Data'!F2:F1475,"&gt;=1/1/2020",'Raw Data'!F2:F1475,"&lt;=12/31/2020")</f>
        <v>24</v>
      </c>
      <c r="F5" s="4">
        <f>COUNTIFS('Raw Data'!H2:H1475,"=GLASGOW",'Raw Data'!F2:F1475,"&gt;=1/1/2021",'Raw Data'!F2:F1475,"&lt;=12/31/2021")</f>
        <v>8</v>
      </c>
    </row>
    <row r="6" spans="1:6" x14ac:dyDescent="0.3">
      <c r="A6" s="2" t="s">
        <v>1346</v>
      </c>
      <c r="B6" s="4">
        <f>COUNTIF('Raw Data'!H2:H1475,"=LIVERPOOL")</f>
        <v>47</v>
      </c>
      <c r="C6" s="4">
        <f>COUNTIFS('Raw Data'!H2:H1475,"=LIVERPOOL",'Raw Data'!F2:F1475,"&gt;=1/1/2018",'Raw Data'!F2:F1475,"&lt;=12/31/2018")</f>
        <v>13</v>
      </c>
      <c r="D6" s="4">
        <f>COUNTIFS('Raw Data'!H2:H1475,"=LIVERPOOL",'Raw Data'!F2:F1475,"&gt;=1/1/2019",'Raw Data'!F2:F1475,"&lt;=12/31/2019")</f>
        <v>14</v>
      </c>
      <c r="E6" s="4">
        <f>COUNTIFS('Raw Data'!H2:H1475,"=LIVERPOOL",'Raw Data'!F2:F1475,"&gt;=1/1/2020",'Raw Data'!F2:F1475,"&lt;=12/31/2020")</f>
        <v>12</v>
      </c>
      <c r="F6" s="4">
        <f>COUNTIFS('Raw Data'!H2:H1475,"=LIVERPOOL",'Raw Data'!F2:F1475,"&gt;=1/1/2021",'Raw Data'!F2:F1475,"&lt;=12/31/2021")</f>
        <v>8</v>
      </c>
    </row>
    <row r="7" spans="1:6" x14ac:dyDescent="0.3">
      <c r="A7" s="2" t="s">
        <v>1347</v>
      </c>
      <c r="B7" s="4">
        <f>COUNTIF('Raw Data'!H2:H1475,"=BRISTOL")</f>
        <v>69</v>
      </c>
      <c r="C7" s="4">
        <f>COUNTIFS('Raw Data'!H2:H1475,"=BRISTOL",'Raw Data'!F2:F1475,"&gt;=1/1/2018",'Raw Data'!F2:F1475,"&lt;=12/31/2018")</f>
        <v>19</v>
      </c>
      <c r="D7" s="4">
        <f>COUNTIFS('Raw Data'!H2:H1475,"=BRISTOL",'Raw Data'!F2:F1475,"&gt;=1/1/2019",'Raw Data'!F2:F1475,"&lt;=12/31/2019")</f>
        <v>21</v>
      </c>
      <c r="E7" s="4">
        <f>COUNTIFS('Raw Data'!H2:H1475,"=BRISTOL",'Raw Data'!F2:F1475,"&gt;=1/1/2020",'Raw Data'!F2:F1475,"&lt;=12/31/2020")</f>
        <v>21</v>
      </c>
      <c r="F7" s="4">
        <f>COUNTIFS('Raw Data'!H2:H1475,"=BRISTOL",'Raw Data'!F2:F1475,"&gt;=1/1/2021",'Raw Data'!F2:F1475,"&lt;=12/31/2021")</f>
        <v>8</v>
      </c>
    </row>
    <row r="8" spans="1:6" x14ac:dyDescent="0.3">
      <c r="A8" s="2" t="s">
        <v>1348</v>
      </c>
      <c r="B8" s="4">
        <f>COUNTIF('Raw Data'!H2:H1475,"=MANCHESTER")</f>
        <v>59</v>
      </c>
      <c r="C8" s="4">
        <f>COUNTIFS('Raw Data'!H2:H1475,"=MANCHESTER",'Raw Data'!F2:F1475,"&gt;=1/1/2018",'Raw Data'!F2:F1475,"&lt;=12/31/2018")</f>
        <v>23</v>
      </c>
      <c r="D8" s="4">
        <f>COUNTIFS('Raw Data'!H2:H1475,"=MANCHESTER",'Raw Data'!F2:F1475,"&gt;=1/1/2019",'Raw Data'!F2:F1475,"&lt;=12/31/2019")</f>
        <v>12</v>
      </c>
      <c r="E8" s="4">
        <f>COUNTIFS('Raw Data'!H2:H1475,"=MANCHESTER",'Raw Data'!F2:F1475,"&gt;=1/1/2020",'Raw Data'!F2:F1475,"&lt;=12/31/2020")</f>
        <v>15</v>
      </c>
      <c r="F8" s="4">
        <f>COUNTIFS('Raw Data'!H2:H1475,"=MANCHESTER",'Raw Data'!F2:F1475,"&gt;=1/1/2021",'Raw Data'!F2:F1475,"&lt;=12/31/2021")</f>
        <v>9</v>
      </c>
    </row>
    <row r="9" spans="1:6" x14ac:dyDescent="0.3">
      <c r="A9" s="2" t="s">
        <v>1349</v>
      </c>
      <c r="B9" s="4">
        <f>COUNTIF('Raw Data'!H2:H1475,"=SHEFFIELD")</f>
        <v>56</v>
      </c>
      <c r="C9" s="4">
        <f>COUNTIFS('Raw Data'!H2:H1475,"=SHEFFIELD",'Raw Data'!F2:F1475,"&gt;=1/1/2018",'Raw Data'!F2:F1475,"&lt;=12/31/2018")</f>
        <v>14</v>
      </c>
      <c r="D9" s="4">
        <f>COUNTIFS('Raw Data'!H2:H1475,"=SHEFFIELD",'Raw Data'!F2:F1475,"&gt;=1/1/2019",'Raw Data'!F2:F1475,"&lt;=12/31/2019")</f>
        <v>20</v>
      </c>
      <c r="E9" s="4">
        <f>COUNTIFS('Raw Data'!H2:H1475,"=SHEFFIELD",'Raw Data'!F2:F1475,"&gt;=1/1/2020",'Raw Data'!F2:F1475,"&lt;=12/31/2020")</f>
        <v>19</v>
      </c>
      <c r="F9" s="4">
        <f>COUNTIFS('Raw Data'!H2:H1475,"=SHEFFIELD",'Raw Data'!F2:F1475,"&gt;=1/1/2021",'Raw Data'!F2:F1475,"&lt;=12/31/2021")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H10" sqref="H10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SUMIFS('Raw Data'!G2:G1475,'Raw Data'!H2:H1475,"=LONDON")</f>
        <v>5340320</v>
      </c>
      <c r="C3" s="10">
        <f>SUMIFS('Raw Data'!G2:G1475,'Raw Data'!E2:E1475,"=Industry",'Raw Data'!H2:H1475,"=LONDON")</f>
        <v>973150</v>
      </c>
      <c r="D3" s="10">
        <f>SUMIFS('Raw Data'!G2:G1475,'Raw Data'!E2:E1475,"=Services",'Raw Data'!H2:H1475,"=LONDON")</f>
        <v>831330</v>
      </c>
      <c r="E3" s="10">
        <f>SUMIFS('Raw Data'!G2:G1475,'Raw Data'!E2:E1475,"=Art - Culture",'Raw Data'!H2:H1475,"=LONDON")</f>
        <v>875750</v>
      </c>
      <c r="F3" s="10">
        <f>SUMIFS('Raw Data'!G2:G1475,'Raw Data'!E2:E1475,"=Liberal professions",'Raw Data'!H2:H1475,"=LONDON")</f>
        <v>796020</v>
      </c>
      <c r="G3" s="10">
        <f>SUMIFS('Raw Data'!G2:G1475,'Raw Data'!E2:E1475,"=Trading",'Raw Data'!H2:H1475,"=LONDON")</f>
        <v>906680</v>
      </c>
      <c r="H3" s="10">
        <f>SUMIFS('Raw Data'!G2:G1475,'Raw Data'!E2:E1475,"=Public management",'Raw Data'!H2:H1475,"=LONDON")</f>
        <v>957390</v>
      </c>
      <c r="I3" s="3"/>
    </row>
    <row r="4" spans="1:9" x14ac:dyDescent="0.3">
      <c r="A4" s="2" t="s">
        <v>1344</v>
      </c>
      <c r="B4" s="9">
        <f>SUMIFS('Raw Data'!G3:G1476,'Raw Data'!H3:H1476,"=BIRMINGHAM")</f>
        <v>580990</v>
      </c>
      <c r="C4" s="10">
        <f>SUMIFS('Raw Data'!G3:G1476,'Raw Data'!E3:E1476,"=Industry",'Raw Data'!H3:H1476,"=BIRMINGHAM")</f>
        <v>75570</v>
      </c>
      <c r="D4" s="10">
        <f>SUMIFS('Raw Data'!G3:G1476,'Raw Data'!E3:E1476,"=Services",'Raw Data'!H3:H1476,"=BIRMINGHAM")</f>
        <v>110540</v>
      </c>
      <c r="E4" s="10">
        <f>SUMIFS('Raw Data'!G3:G1476,'Raw Data'!E3:E1476,"=Art - Culture",'Raw Data'!H3:H1476,"=BIRMINGHAM")</f>
        <v>85910</v>
      </c>
      <c r="F4" s="10">
        <f>SUMIFS('Raw Data'!G3:G1476,'Raw Data'!E3:E1476,"=Liberal professions",'Raw Data'!H3:H1476,"=BIRMINGHAM")</f>
        <v>93620</v>
      </c>
      <c r="G4" s="10">
        <f>SUMIFS('Raw Data'!G3:G1476,'Raw Data'!E3:E1476,"=Trading",'Raw Data'!H3:H1476,"=BIRMINGHAM")</f>
        <v>116820</v>
      </c>
      <c r="H4" s="10">
        <f>SUMIFS('Raw Data'!G3:G1476,'Raw Data'!E3:E1476,"=Public management",'Raw Data'!H3:H1476,"=BIRMINGHAM")</f>
        <v>98530</v>
      </c>
      <c r="I4" s="3"/>
    </row>
    <row r="5" spans="1:9" x14ac:dyDescent="0.3">
      <c r="A5" s="2" t="s">
        <v>1345</v>
      </c>
      <c r="B5" s="9">
        <f>SUMIFS('Raw Data'!G4:G1477,'Raw Data'!H4:H1477,"=GLASGOW")</f>
        <v>387260</v>
      </c>
      <c r="C5" s="10">
        <f>SUMIFS('Raw Data'!G4:G1477,'Raw Data'!E4:E1477,"=Industry",'Raw Data'!H4:H1477,"=GLASGOW")</f>
        <v>36170</v>
      </c>
      <c r="D5" s="10">
        <f>SUMIFS('Raw Data'!G4:G1477,'Raw Data'!E4:E1477,"=Services",'Raw Data'!H4:H1477,"=GLASGOW")</f>
        <v>79500</v>
      </c>
      <c r="E5" s="10">
        <f>SUMIFS('Raw Data'!G4:G1477,'Raw Data'!E4:E1477,"=Art - Culture",'Raw Data'!H4:H1477,"=GLASGOW")</f>
        <v>60000</v>
      </c>
      <c r="F5" s="10">
        <f>SUMIFS('Raw Data'!G4:G1477,'Raw Data'!E4:E1477,"=Liberal professions",'Raw Data'!H4:H1477,"=GLASGOW")</f>
        <v>80760</v>
      </c>
      <c r="G5" s="10">
        <f>SUMIFS('Raw Data'!G4:G1477,'Raw Data'!E4:E1477,"=Trading",'Raw Data'!H4:H1477,"=GLASGOW")</f>
        <v>60540</v>
      </c>
      <c r="H5" s="10">
        <f>SUMIFS('Raw Data'!G4:G1477,'Raw Data'!E4:E1477,"=Public management",'Raw Data'!H4:H1477,"=GLASGOW")</f>
        <v>70290</v>
      </c>
      <c r="I5" s="3"/>
    </row>
    <row r="6" spans="1:9" x14ac:dyDescent="0.3">
      <c r="A6" s="2" t="s">
        <v>1346</v>
      </c>
      <c r="B6" s="9">
        <f>SUMIFS('Raw Data'!G5:G1478,'Raw Data'!H5:H1478,"=LIVERPOOL")</f>
        <v>183870</v>
      </c>
      <c r="C6" s="10">
        <f>SUMIFS('Raw Data'!G5:G1478,'Raw Data'!E5:E1478,"=Industry",'Raw Data'!H5:H1478,"=LIVERPOOL")</f>
        <v>34660</v>
      </c>
      <c r="D6" s="10">
        <f>SUMIFS('Raw Data'!G5:G1478,'Raw Data'!E5:E1478,"=Services",'Raw Data'!H5:H1478,"=LIVERPOOL")</f>
        <v>17730</v>
      </c>
      <c r="E6" s="10">
        <f>SUMIFS('Raw Data'!G5:G1478,'Raw Data'!E5:E1478,"=Art - Culture",'Raw Data'!H5:H1478,"=LIVERPOOL")</f>
        <v>28760</v>
      </c>
      <c r="F6" s="10">
        <f>SUMIFS('Raw Data'!G5:G1478,'Raw Data'!E5:E1478,"=Liberal professions",'Raw Data'!H5:H1478,"=LIVERPOOL")</f>
        <v>33400</v>
      </c>
      <c r="G6" s="10">
        <f>SUMIFS('Raw Data'!G5:G1478,'Raw Data'!E5:E1478,"=Trading",'Raw Data'!H5:H1478,"=LIVERPOOL")</f>
        <v>34100</v>
      </c>
      <c r="H6" s="10">
        <f>SUMIFS('Raw Data'!G5:G1478,'Raw Data'!E5:E1478,"=Public management",'Raw Data'!H5:H1478,"=LIVERPOOL")</f>
        <v>35220</v>
      </c>
      <c r="I6" s="3"/>
    </row>
    <row r="7" spans="1:9" x14ac:dyDescent="0.3">
      <c r="A7" s="2" t="s">
        <v>1347</v>
      </c>
      <c r="B7" s="9">
        <f>SUMIFS('Raw Data'!G6:G1479,'Raw Data'!H6:H1479,"=BRISTOL")</f>
        <v>342920</v>
      </c>
      <c r="C7" s="10">
        <f>SUMIFS('Raw Data'!G6:G1479,'Raw Data'!E6:E1479,"=Industry",'Raw Data'!H6:H1479,"=BRISTOL")</f>
        <v>69320</v>
      </c>
      <c r="D7" s="10">
        <f>SUMIFS('Raw Data'!G6:G1479,'Raw Data'!E6:E1479,"=Services",'Raw Data'!H6:H1479,"=BRISTOL")</f>
        <v>46730</v>
      </c>
      <c r="E7" s="10">
        <f>SUMIFS('Raw Data'!G6:G1479,'Raw Data'!E6:E1479,"=Art - Culture",'Raw Data'!H6:H1479,"=BRISTOL")</f>
        <v>86330</v>
      </c>
      <c r="F7" s="10">
        <f>SUMIFS('Raw Data'!G6:G1479,'Raw Data'!E6:E1479,"=Liberal professions",'Raw Data'!H6:H1479,"=BRISTOL")</f>
        <v>44750</v>
      </c>
      <c r="G7" s="10">
        <f>SUMIFS('Raw Data'!G6:G1479,'Raw Data'!E6:E1479,"=Trading",'Raw Data'!H6:H1479,"=BRISTOL")</f>
        <v>40830</v>
      </c>
      <c r="H7" s="10">
        <f>SUMIFS('Raw Data'!G6:G1479,'Raw Data'!E6:E1479,"=Public management",'Raw Data'!H6:H1479,"=BRISTOL")</f>
        <v>54960</v>
      </c>
      <c r="I7" s="3"/>
    </row>
    <row r="8" spans="1:9" x14ac:dyDescent="0.3">
      <c r="A8" s="2" t="s">
        <v>1348</v>
      </c>
      <c r="B8" s="9">
        <f>SUMIFS('Raw Data'!G7:G1480,'Raw Data'!H7:H1480,"=MANCHESTER")</f>
        <v>319260</v>
      </c>
      <c r="C8" s="10">
        <f>SUMIFS('Raw Data'!G7:G1480,'Raw Data'!E7:E1480,"=Industry",'Raw Data'!H7:H1480,"=MANCHESTER")</f>
        <v>90020</v>
      </c>
      <c r="D8" s="10">
        <f>SUMIFS('Raw Data'!G7:G1480,'Raw Data'!E7:E1480,"=Services",'Raw Data'!H7:H1480,"=MANCHESTER")</f>
        <v>32150</v>
      </c>
      <c r="E8" s="10">
        <f>SUMIFS('Raw Data'!G7:G1480,'Raw Data'!E7:E1480,"=Art - Culture",'Raw Data'!H7:H1480,"=MANCHESTER")</f>
        <v>85080</v>
      </c>
      <c r="F8" s="10">
        <f>SUMIFS('Raw Data'!G7:G1480,'Raw Data'!E7:E1480,"=Liberal professions",'Raw Data'!H7:H1480,"=MANCHESTER")</f>
        <v>33540</v>
      </c>
      <c r="G8" s="10">
        <f>SUMIFS('Raw Data'!G7:G1480,'Raw Data'!E7:E1480,"=Trading",'Raw Data'!H7:H1480,"=MANCHESTER")</f>
        <v>44760</v>
      </c>
      <c r="H8" s="10">
        <f>SUMIFS('Raw Data'!G7:G1480,'Raw Data'!E7:E1480,"=Public management",'Raw Data'!H7:H1480,"=MANCHESTER")</f>
        <v>33710</v>
      </c>
      <c r="I8" s="3"/>
    </row>
    <row r="9" spans="1:9" x14ac:dyDescent="0.3">
      <c r="A9" s="2" t="s">
        <v>1349</v>
      </c>
      <c r="B9" s="9">
        <f>SUMIFS('Raw Data'!G8:G1481,'Raw Data'!H8:H1481,"=SHEFFIELD")</f>
        <v>278330</v>
      </c>
      <c r="C9" s="10">
        <f>SUMIFS('Raw Data'!G8:G1481,'Raw Data'!E8:E1481,"=Industry",'Raw Data'!H8:H1481,"=SHEFFIELD")</f>
        <v>40050</v>
      </c>
      <c r="D9" s="10">
        <f>SUMIFS('Raw Data'!G8:G1481,'Raw Data'!E8:E1481,"=Services",'Raw Data'!H8:H1481,"=SHEFFIELD")</f>
        <v>77360</v>
      </c>
      <c r="E9" s="10">
        <f>SUMIFS('Raw Data'!G8:G1481,'Raw Data'!E8:E1481,"=Art - Culture",'Raw Data'!H8:H1481,"=SHEFFIELD")</f>
        <v>20790</v>
      </c>
      <c r="F9" s="10">
        <f>SUMIFS('Raw Data'!G8:G1481,'Raw Data'!E8:E1481,"=Liberal professions",'Raw Data'!H8:H1481,"=SHEFFIELD")</f>
        <v>30150</v>
      </c>
      <c r="G9" s="10">
        <f>SUMIFS('Raw Data'!G8:G1481,'Raw Data'!E8:E1481,"=Trading",'Raw Data'!H8:H1481,"=SHEFFIELD")</f>
        <v>72460</v>
      </c>
      <c r="H9" s="10">
        <f>SUMIFS('Raw Data'!G8:G1481,'Raw Data'!E8:E1481,"=Public management",'Raw Data'!H8:H1481,"=SHEFFIELD")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Shouvik Kumar Sen</cp:lastModifiedBy>
  <cp:lastPrinted>2018-07-31T21:07:31Z</cp:lastPrinted>
  <dcterms:created xsi:type="dcterms:W3CDTF">2018-05-27T23:28:43Z</dcterms:created>
  <dcterms:modified xsi:type="dcterms:W3CDTF">2024-01-10T08:04:10Z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