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-90" windowWidth="17310" windowHeight="11580"/>
  </bookViews>
  <sheets>
    <sheet name="Лист1" sheetId="1" r:id="rId1"/>
    <sheet name="ПС" sheetId="2" r:id="rId2"/>
    <sheet name="Лист3" sheetId="3" r:id="rId3"/>
  </sheets>
  <definedNames>
    <definedName name="_xlnm._FilterDatabase" localSheetId="0" hidden="1">Лист1!$A$6:$L$526</definedName>
  </definedNames>
  <calcPr calcId="145621"/>
</workbook>
</file>

<file path=xl/calcChain.xml><?xml version="1.0" encoding="utf-8"?>
<calcChain xmlns="http://schemas.openxmlformats.org/spreadsheetml/2006/main">
  <c r="J36" i="2" l="1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H28" i="2"/>
  <c r="G28" i="2"/>
  <c r="J27" i="2"/>
  <c r="G27" i="2"/>
  <c r="J26" i="2"/>
  <c r="G26" i="2"/>
  <c r="G25" i="2"/>
  <c r="E25" i="2"/>
  <c r="J25" i="2" s="1"/>
  <c r="J24" i="2"/>
  <c r="F24" i="2"/>
  <c r="G24" i="2" s="1"/>
  <c r="H23" i="2"/>
  <c r="J23" i="2" s="1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E10" i="2"/>
  <c r="G10" i="2" s="1"/>
  <c r="J9" i="2"/>
  <c r="G9" i="2"/>
  <c r="J8" i="2"/>
  <c r="G8" i="2"/>
  <c r="J7" i="2"/>
  <c r="G7" i="2"/>
  <c r="J6" i="2"/>
  <c r="G6" i="2"/>
  <c r="J10" i="2" l="1"/>
  <c r="J730" i="1" l="1"/>
  <c r="G730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G700" i="1"/>
  <c r="G699" i="1"/>
  <c r="J698" i="1"/>
  <c r="G698" i="1"/>
  <c r="J697" i="1"/>
  <c r="G697" i="1"/>
  <c r="J696" i="1"/>
  <c r="G696" i="1"/>
  <c r="J695" i="1"/>
  <c r="G695" i="1"/>
  <c r="G694" i="1"/>
  <c r="G693" i="1"/>
  <c r="G692" i="1"/>
  <c r="G691" i="1"/>
  <c r="G690" i="1"/>
  <c r="G689" i="1"/>
  <c r="J688" i="1"/>
  <c r="G688" i="1"/>
  <c r="J687" i="1"/>
  <c r="G687" i="1"/>
  <c r="G686" i="1"/>
  <c r="G685" i="1"/>
  <c r="G684" i="1"/>
  <c r="G683" i="1"/>
  <c r="G682" i="1"/>
  <c r="J681" i="1"/>
  <c r="G681" i="1"/>
  <c r="J680" i="1"/>
  <c r="G680" i="1"/>
  <c r="G679" i="1"/>
  <c r="G678" i="1"/>
  <c r="G677" i="1"/>
  <c r="G676" i="1"/>
  <c r="J675" i="1"/>
  <c r="G675" i="1"/>
  <c r="J674" i="1"/>
  <c r="G674" i="1"/>
  <c r="G673" i="1"/>
  <c r="J672" i="1"/>
  <c r="G672" i="1"/>
  <c r="G671" i="1"/>
  <c r="G670" i="1"/>
  <c r="G669" i="1"/>
  <c r="G668" i="1"/>
  <c r="G667" i="1"/>
  <c r="G666" i="1"/>
  <c r="G665" i="1"/>
  <c r="G664" i="1"/>
  <c r="G663" i="1"/>
  <c r="J662" i="1"/>
  <c r="G662" i="1"/>
  <c r="J661" i="1"/>
  <c r="G661" i="1"/>
  <c r="J660" i="1"/>
  <c r="G660" i="1"/>
  <c r="G659" i="1"/>
  <c r="G658" i="1"/>
  <c r="G657" i="1"/>
  <c r="J656" i="1"/>
  <c r="G656" i="1"/>
  <c r="J655" i="1"/>
  <c r="G655" i="1"/>
  <c r="G654" i="1"/>
  <c r="G653" i="1"/>
  <c r="G652" i="1"/>
  <c r="J651" i="1"/>
  <c r="G651" i="1"/>
  <c r="G650" i="1"/>
  <c r="G649" i="1"/>
  <c r="G648" i="1"/>
  <c r="J647" i="1"/>
  <c r="G647" i="1"/>
  <c r="G646" i="1"/>
  <c r="J645" i="1"/>
  <c r="G645" i="1"/>
  <c r="G644" i="1"/>
  <c r="J643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J627" i="1"/>
  <c r="G627" i="1"/>
  <c r="G626" i="1"/>
  <c r="J625" i="1"/>
  <c r="G625" i="1"/>
  <c r="G624" i="1"/>
  <c r="J623" i="1"/>
  <c r="G623" i="1"/>
  <c r="J622" i="1"/>
  <c r="G622" i="1"/>
  <c r="J621" i="1"/>
  <c r="G621" i="1"/>
  <c r="G620" i="1"/>
  <c r="G619" i="1"/>
  <c r="G618" i="1"/>
  <c r="J617" i="1"/>
  <c r="G617" i="1"/>
  <c r="J616" i="1"/>
  <c r="G616" i="1"/>
  <c r="G615" i="1"/>
  <c r="G614" i="1"/>
  <c r="G613" i="1"/>
  <c r="G612" i="1"/>
  <c r="G611" i="1"/>
  <c r="G610" i="1"/>
  <c r="J609" i="1"/>
  <c r="G609" i="1"/>
  <c r="G608" i="1"/>
  <c r="J607" i="1"/>
  <c r="G607" i="1"/>
  <c r="G606" i="1"/>
  <c r="G605" i="1"/>
  <c r="G604" i="1"/>
  <c r="J603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J588" i="1"/>
  <c r="G588" i="1"/>
  <c r="G587" i="1"/>
  <c r="G586" i="1"/>
  <c r="G585" i="1"/>
  <c r="G584" i="1"/>
  <c r="G583" i="1"/>
  <c r="G582" i="1"/>
  <c r="G581" i="1"/>
  <c r="G580" i="1"/>
  <c r="J579" i="1"/>
  <c r="G579" i="1"/>
  <c r="G578" i="1"/>
  <c r="G577" i="1"/>
  <c r="G576" i="1"/>
  <c r="G575" i="1"/>
  <c r="G574" i="1"/>
  <c r="G573" i="1"/>
  <c r="G572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G563" i="1"/>
  <c r="G562" i="1"/>
  <c r="G561" i="1"/>
  <c r="G560" i="1"/>
  <c r="J559" i="1"/>
  <c r="G559" i="1"/>
  <c r="G558" i="1"/>
  <c r="G557" i="1"/>
  <c r="G556" i="1"/>
  <c r="G555" i="1"/>
  <c r="G554" i="1"/>
  <c r="J553" i="1"/>
  <c r="G553" i="1"/>
  <c r="J552" i="1"/>
  <c r="G552" i="1"/>
  <c r="G551" i="1"/>
  <c r="G550" i="1"/>
  <c r="G549" i="1"/>
  <c r="G548" i="1"/>
  <c r="G547" i="1"/>
  <c r="G546" i="1"/>
  <c r="G545" i="1"/>
  <c r="G544" i="1"/>
  <c r="G543" i="1"/>
  <c r="G542" i="1"/>
  <c r="J541" i="1"/>
  <c r="G541" i="1"/>
  <c r="G540" i="1"/>
  <c r="J539" i="1"/>
  <c r="G539" i="1"/>
  <c r="G538" i="1"/>
  <c r="G537" i="1"/>
  <c r="G536" i="1"/>
  <c r="J535" i="1"/>
  <c r="G535" i="1"/>
  <c r="G534" i="1"/>
  <c r="J533" i="1"/>
  <c r="G533" i="1"/>
  <c r="G532" i="1"/>
  <c r="G531" i="1"/>
  <c r="G530" i="1"/>
  <c r="G529" i="1"/>
  <c r="J528" i="1"/>
  <c r="G528" i="1"/>
  <c r="J527" i="1"/>
  <c r="G527" i="1"/>
  <c r="H31" i="1" l="1"/>
  <c r="H26" i="1" l="1"/>
  <c r="F27" i="1"/>
  <c r="J31" i="1" l="1"/>
  <c r="J26" i="1" l="1"/>
  <c r="J25" i="1"/>
  <c r="J24" i="1"/>
  <c r="J23" i="1"/>
  <c r="J21" i="1"/>
  <c r="J20" i="1"/>
  <c r="J19" i="1"/>
  <c r="J18" i="1"/>
  <c r="J17" i="1"/>
  <c r="J16" i="1"/>
  <c r="J15" i="1"/>
  <c r="J14" i="1"/>
  <c r="J12" i="1"/>
  <c r="J11" i="1"/>
  <c r="J525" i="1" l="1"/>
  <c r="J503" i="1"/>
  <c r="J471" i="1"/>
  <c r="J467" i="1"/>
  <c r="J448" i="1"/>
  <c r="J440" i="1"/>
  <c r="J439" i="1"/>
  <c r="G525" i="1" l="1"/>
  <c r="G522" i="1"/>
  <c r="G520" i="1"/>
  <c r="G516" i="1"/>
  <c r="G512" i="1"/>
  <c r="G508" i="1"/>
  <c r="G504" i="1"/>
  <c r="G503" i="1"/>
  <c r="G471" i="1"/>
  <c r="G468" i="1"/>
  <c r="G467" i="1"/>
  <c r="G448" i="1"/>
  <c r="G444" i="1"/>
  <c r="G440" i="1"/>
  <c r="G439" i="1"/>
  <c r="E524" i="1"/>
  <c r="J524" i="1" s="1"/>
  <c r="E523" i="1"/>
  <c r="J523" i="1" s="1"/>
  <c r="E521" i="1"/>
  <c r="J521" i="1" s="1"/>
  <c r="E520" i="1"/>
  <c r="J520" i="1" s="1"/>
  <c r="E519" i="1"/>
  <c r="J519" i="1" s="1"/>
  <c r="E518" i="1"/>
  <c r="J518" i="1" s="1"/>
  <c r="E517" i="1"/>
  <c r="J517" i="1" s="1"/>
  <c r="E516" i="1"/>
  <c r="J516" i="1" s="1"/>
  <c r="E515" i="1"/>
  <c r="J515" i="1" s="1"/>
  <c r="E514" i="1"/>
  <c r="J514" i="1" s="1"/>
  <c r="E513" i="1"/>
  <c r="J513" i="1" s="1"/>
  <c r="E512" i="1"/>
  <c r="J512" i="1" s="1"/>
  <c r="E511" i="1"/>
  <c r="J511" i="1" s="1"/>
  <c r="E510" i="1"/>
  <c r="J510" i="1" s="1"/>
  <c r="E509" i="1"/>
  <c r="J509" i="1" s="1"/>
  <c r="E508" i="1"/>
  <c r="J508" i="1" s="1"/>
  <c r="E507" i="1"/>
  <c r="J507" i="1" s="1"/>
  <c r="E506" i="1"/>
  <c r="J506" i="1" s="1"/>
  <c r="E505" i="1"/>
  <c r="J505" i="1" s="1"/>
  <c r="E504" i="1"/>
  <c r="J504" i="1" s="1"/>
  <c r="E502" i="1"/>
  <c r="J502" i="1" s="1"/>
  <c r="E501" i="1"/>
  <c r="J501" i="1" s="1"/>
  <c r="E500" i="1"/>
  <c r="J500" i="1" s="1"/>
  <c r="E499" i="1"/>
  <c r="J499" i="1" s="1"/>
  <c r="E498" i="1"/>
  <c r="J498" i="1" s="1"/>
  <c r="E497" i="1"/>
  <c r="J497" i="1" s="1"/>
  <c r="E496" i="1"/>
  <c r="J496" i="1" s="1"/>
  <c r="E495" i="1"/>
  <c r="J495" i="1" s="1"/>
  <c r="E494" i="1"/>
  <c r="J494" i="1" s="1"/>
  <c r="E493" i="1"/>
  <c r="J493" i="1" s="1"/>
  <c r="E492" i="1"/>
  <c r="J492" i="1" s="1"/>
  <c r="E491" i="1"/>
  <c r="J491" i="1" s="1"/>
  <c r="E490" i="1"/>
  <c r="J490" i="1" s="1"/>
  <c r="E489" i="1"/>
  <c r="J489" i="1" s="1"/>
  <c r="E488" i="1"/>
  <c r="J488" i="1" s="1"/>
  <c r="E487" i="1"/>
  <c r="E486" i="1"/>
  <c r="J486" i="1" s="1"/>
  <c r="E485" i="1"/>
  <c r="J485" i="1" s="1"/>
  <c r="E484" i="1"/>
  <c r="J484" i="1" s="1"/>
  <c r="E483" i="1"/>
  <c r="J483" i="1" s="1"/>
  <c r="E482" i="1"/>
  <c r="J482" i="1" s="1"/>
  <c r="E481" i="1"/>
  <c r="J481" i="1" s="1"/>
  <c r="E480" i="1"/>
  <c r="J480" i="1" s="1"/>
  <c r="E479" i="1"/>
  <c r="J479" i="1" s="1"/>
  <c r="E478" i="1"/>
  <c r="J478" i="1" s="1"/>
  <c r="E477" i="1"/>
  <c r="J477" i="1" s="1"/>
  <c r="E476" i="1"/>
  <c r="J476" i="1" s="1"/>
  <c r="E475" i="1"/>
  <c r="J475" i="1" s="1"/>
  <c r="E474" i="1"/>
  <c r="J474" i="1" s="1"/>
  <c r="E473" i="1"/>
  <c r="J473" i="1" s="1"/>
  <c r="E472" i="1"/>
  <c r="J472" i="1" s="1"/>
  <c r="E470" i="1"/>
  <c r="J470" i="1" s="1"/>
  <c r="E469" i="1"/>
  <c r="J469" i="1" s="1"/>
  <c r="E468" i="1"/>
  <c r="J468" i="1" s="1"/>
  <c r="E466" i="1"/>
  <c r="J466" i="1" s="1"/>
  <c r="E465" i="1"/>
  <c r="J465" i="1" s="1"/>
  <c r="E464" i="1"/>
  <c r="J464" i="1" s="1"/>
  <c r="E463" i="1"/>
  <c r="J463" i="1" s="1"/>
  <c r="E462" i="1"/>
  <c r="J462" i="1" s="1"/>
  <c r="E461" i="1"/>
  <c r="J461" i="1" s="1"/>
  <c r="E460" i="1"/>
  <c r="J460" i="1" s="1"/>
  <c r="E459" i="1"/>
  <c r="J459" i="1" s="1"/>
  <c r="E458" i="1"/>
  <c r="J458" i="1" s="1"/>
  <c r="E457" i="1"/>
  <c r="J457" i="1" s="1"/>
  <c r="E456" i="1"/>
  <c r="J456" i="1" s="1"/>
  <c r="E455" i="1"/>
  <c r="J455" i="1" s="1"/>
  <c r="E454" i="1"/>
  <c r="J454" i="1" s="1"/>
  <c r="E453" i="1"/>
  <c r="J453" i="1" s="1"/>
  <c r="E452" i="1"/>
  <c r="J452" i="1" s="1"/>
  <c r="E451" i="1"/>
  <c r="J451" i="1" s="1"/>
  <c r="E450" i="1"/>
  <c r="J450" i="1" s="1"/>
  <c r="E449" i="1"/>
  <c r="J449" i="1" s="1"/>
  <c r="E447" i="1"/>
  <c r="J447" i="1" s="1"/>
  <c r="E446" i="1"/>
  <c r="J446" i="1" s="1"/>
  <c r="E445" i="1"/>
  <c r="J445" i="1" s="1"/>
  <c r="E444" i="1"/>
  <c r="J444" i="1" s="1"/>
  <c r="E443" i="1"/>
  <c r="J443" i="1" s="1"/>
  <c r="E442" i="1"/>
  <c r="J442" i="1" s="1"/>
  <c r="E441" i="1"/>
  <c r="J441" i="1" s="1"/>
  <c r="G442" i="1" l="1"/>
  <c r="G446" i="1"/>
  <c r="G470" i="1"/>
  <c r="G506" i="1"/>
  <c r="G510" i="1"/>
  <c r="G514" i="1"/>
  <c r="G518" i="1"/>
  <c r="G450" i="1"/>
  <c r="G452" i="1"/>
  <c r="G454" i="1"/>
  <c r="G456" i="1"/>
  <c r="G458" i="1"/>
  <c r="G460" i="1"/>
  <c r="G462" i="1"/>
  <c r="G464" i="1"/>
  <c r="G466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502" i="1"/>
  <c r="G524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9" i="1"/>
  <c r="G473" i="1"/>
  <c r="G475" i="1"/>
  <c r="G477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5" i="1"/>
  <c r="G507" i="1"/>
  <c r="G509" i="1"/>
  <c r="G511" i="1"/>
  <c r="G513" i="1"/>
  <c r="G515" i="1"/>
  <c r="G517" i="1"/>
  <c r="G519" i="1"/>
  <c r="G521" i="1"/>
  <c r="G523" i="1"/>
  <c r="H393" i="1"/>
  <c r="H392" i="1"/>
  <c r="H391" i="1"/>
  <c r="H389" i="1"/>
  <c r="H388" i="1"/>
  <c r="H387" i="1"/>
  <c r="H386" i="1"/>
  <c r="H385" i="1"/>
  <c r="H384" i="1"/>
  <c r="H383" i="1"/>
  <c r="H382" i="1"/>
  <c r="H381" i="1"/>
  <c r="H379" i="1"/>
  <c r="H377" i="1"/>
  <c r="H375" i="1"/>
  <c r="H374" i="1"/>
  <c r="H373" i="1"/>
  <c r="H371" i="1"/>
  <c r="H370" i="1"/>
  <c r="H369" i="1"/>
  <c r="H368" i="1"/>
  <c r="H367" i="1"/>
  <c r="H366" i="1"/>
  <c r="H365" i="1"/>
  <c r="H364" i="1"/>
  <c r="H362" i="1"/>
  <c r="H359" i="1"/>
  <c r="H357" i="1"/>
  <c r="H355" i="1"/>
  <c r="H354" i="1"/>
  <c r="H353" i="1"/>
  <c r="H352" i="1"/>
  <c r="H351" i="1"/>
  <c r="H350" i="1"/>
  <c r="H349" i="1"/>
  <c r="H348" i="1"/>
  <c r="H346" i="1"/>
  <c r="H345" i="1"/>
  <c r="H344" i="1"/>
  <c r="H342" i="1"/>
  <c r="H340" i="1"/>
  <c r="H339" i="1"/>
  <c r="H338" i="1"/>
  <c r="H337" i="1"/>
  <c r="H334" i="1"/>
  <c r="H333" i="1"/>
  <c r="H332" i="1"/>
  <c r="H329" i="1"/>
  <c r="H328" i="1"/>
  <c r="H327" i="1"/>
  <c r="H326" i="1"/>
  <c r="H325" i="1"/>
  <c r="H324" i="1"/>
  <c r="H323" i="1"/>
  <c r="H322" i="1"/>
  <c r="H320" i="1"/>
  <c r="H319" i="1"/>
  <c r="H318" i="1"/>
  <c r="H316" i="1"/>
  <c r="H315" i="1"/>
  <c r="H314" i="1"/>
  <c r="H313" i="1"/>
  <c r="H312" i="1"/>
  <c r="H311" i="1"/>
  <c r="H309" i="1"/>
  <c r="H308" i="1"/>
  <c r="H307" i="1"/>
  <c r="H305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J288" i="1" s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J274" i="1" s="1"/>
  <c r="H273" i="1"/>
  <c r="H272" i="1"/>
  <c r="H271" i="1"/>
  <c r="H270" i="1"/>
  <c r="H269" i="1"/>
  <c r="H268" i="1"/>
  <c r="H267" i="1"/>
  <c r="E267" i="1"/>
  <c r="G267" i="1" s="1"/>
  <c r="E268" i="1"/>
  <c r="G268" i="1" s="1"/>
  <c r="E269" i="1"/>
  <c r="J269" i="1" s="1"/>
  <c r="F269" i="1"/>
  <c r="G269" i="1"/>
  <c r="E270" i="1"/>
  <c r="G270" i="1" s="1"/>
  <c r="E271" i="1"/>
  <c r="F271" i="1"/>
  <c r="J271" i="1"/>
  <c r="E272" i="1"/>
  <c r="G272" i="1" s="1"/>
  <c r="E273" i="1"/>
  <c r="G273" i="1" s="1"/>
  <c r="E274" i="1"/>
  <c r="F274" i="1"/>
  <c r="G274" i="1" s="1"/>
  <c r="E275" i="1"/>
  <c r="G275" i="1" s="1"/>
  <c r="J275" i="1"/>
  <c r="E276" i="1"/>
  <c r="G276" i="1" s="1"/>
  <c r="J276" i="1"/>
  <c r="E277" i="1"/>
  <c r="F277" i="1"/>
  <c r="G277" i="1" s="1"/>
  <c r="J277" i="1"/>
  <c r="E278" i="1"/>
  <c r="G278" i="1" s="1"/>
  <c r="E279" i="1"/>
  <c r="G279" i="1" s="1"/>
  <c r="E280" i="1"/>
  <c r="F280" i="1"/>
  <c r="G280" i="1"/>
  <c r="E281" i="1"/>
  <c r="G281" i="1"/>
  <c r="J281" i="1"/>
  <c r="E282" i="1"/>
  <c r="G282" i="1" s="1"/>
  <c r="E283" i="1"/>
  <c r="G283" i="1" s="1"/>
  <c r="J283" i="1"/>
  <c r="E284" i="1"/>
  <c r="G284" i="1"/>
  <c r="E285" i="1"/>
  <c r="F285" i="1"/>
  <c r="G285" i="1" s="1"/>
  <c r="J285" i="1"/>
  <c r="E286" i="1"/>
  <c r="J286" i="1" s="1"/>
  <c r="F286" i="1"/>
  <c r="G286" i="1"/>
  <c r="E287" i="1"/>
  <c r="G287" i="1" s="1"/>
  <c r="J287" i="1"/>
  <c r="E288" i="1"/>
  <c r="G288" i="1"/>
  <c r="E289" i="1"/>
  <c r="F289" i="1"/>
  <c r="J289" i="1"/>
  <c r="E290" i="1"/>
  <c r="G290" i="1" s="1"/>
  <c r="E291" i="1"/>
  <c r="J291" i="1" s="1"/>
  <c r="F291" i="1"/>
  <c r="G291" i="1"/>
  <c r="E292" i="1"/>
  <c r="G292" i="1" s="1"/>
  <c r="E293" i="1"/>
  <c r="G293" i="1" s="1"/>
  <c r="E294" i="1"/>
  <c r="G294" i="1" s="1"/>
  <c r="E295" i="1"/>
  <c r="G295" i="1" s="1"/>
  <c r="J295" i="1"/>
  <c r="E296" i="1"/>
  <c r="F296" i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F307" i="1"/>
  <c r="J307" i="1"/>
  <c r="E308" i="1"/>
  <c r="G308" i="1"/>
  <c r="J308" i="1"/>
  <c r="E309" i="1"/>
  <c r="G309" i="1" s="1"/>
  <c r="E310" i="1"/>
  <c r="G310" i="1" s="1"/>
  <c r="J310" i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J323" i="1" s="1"/>
  <c r="F323" i="1"/>
  <c r="G323" i="1" s="1"/>
  <c r="E324" i="1"/>
  <c r="G324" i="1" s="1"/>
  <c r="E325" i="1"/>
  <c r="G325" i="1" s="1"/>
  <c r="E326" i="1"/>
  <c r="J326" i="1" s="1"/>
  <c r="F326" i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J332" i="1" s="1"/>
  <c r="F332" i="1"/>
  <c r="G332" i="1" s="1"/>
  <c r="E333" i="1"/>
  <c r="J333" i="1" s="1"/>
  <c r="E334" i="1"/>
  <c r="E335" i="1"/>
  <c r="G335" i="1" s="1"/>
  <c r="J335" i="1"/>
  <c r="E336" i="1"/>
  <c r="G336" i="1"/>
  <c r="E337" i="1"/>
  <c r="G337" i="1"/>
  <c r="J337" i="1"/>
  <c r="E338" i="1"/>
  <c r="G338" i="1" s="1"/>
  <c r="E339" i="1"/>
  <c r="J339" i="1" s="1"/>
  <c r="E340" i="1"/>
  <c r="G340" i="1" s="1"/>
  <c r="E341" i="1"/>
  <c r="G341" i="1" s="1"/>
  <c r="J341" i="1"/>
  <c r="E342" i="1"/>
  <c r="E343" i="1"/>
  <c r="E344" i="1"/>
  <c r="G344" i="1" s="1"/>
  <c r="E345" i="1"/>
  <c r="G345" i="1" s="1"/>
  <c r="E346" i="1"/>
  <c r="G346" i="1" s="1"/>
  <c r="J346" i="1"/>
  <c r="G347" i="1"/>
  <c r="J347" i="1"/>
  <c r="E348" i="1"/>
  <c r="G348" i="1"/>
  <c r="E349" i="1"/>
  <c r="G349" i="1"/>
  <c r="J349" i="1"/>
  <c r="E350" i="1"/>
  <c r="G350" i="1" s="1"/>
  <c r="E351" i="1"/>
  <c r="G351" i="1" s="1"/>
  <c r="E352" i="1"/>
  <c r="F352" i="1"/>
  <c r="E353" i="1"/>
  <c r="G353" i="1" s="1"/>
  <c r="E354" i="1"/>
  <c r="G354" i="1" s="1"/>
  <c r="E355" i="1"/>
  <c r="J355" i="1" s="1"/>
  <c r="E356" i="1"/>
  <c r="J356" i="1" s="1"/>
  <c r="E357" i="1"/>
  <c r="G357" i="1" s="1"/>
  <c r="E358" i="1"/>
  <c r="G358" i="1" s="1"/>
  <c r="E359" i="1"/>
  <c r="J359" i="1" s="1"/>
  <c r="E360" i="1"/>
  <c r="J360" i="1" s="1"/>
  <c r="E361" i="1"/>
  <c r="J361" i="1" s="1"/>
  <c r="E362" i="1"/>
  <c r="G362" i="1" s="1"/>
  <c r="E363" i="1"/>
  <c r="G363" i="1" s="1"/>
  <c r="E364" i="1"/>
  <c r="J364" i="1" s="1"/>
  <c r="E365" i="1"/>
  <c r="J365" i="1" s="1"/>
  <c r="E366" i="1"/>
  <c r="J366" i="1" s="1"/>
  <c r="E367" i="1"/>
  <c r="J367" i="1" s="1"/>
  <c r="E368" i="1"/>
  <c r="J368" i="1" s="1"/>
  <c r="E369" i="1"/>
  <c r="J369" i="1" s="1"/>
  <c r="E370" i="1"/>
  <c r="J370" i="1" s="1"/>
  <c r="E371" i="1"/>
  <c r="J371" i="1" s="1"/>
  <c r="E372" i="1"/>
  <c r="J372" i="1" s="1"/>
  <c r="E373" i="1"/>
  <c r="G373" i="1" s="1"/>
  <c r="E374" i="1"/>
  <c r="G374" i="1" s="1"/>
  <c r="E375" i="1"/>
  <c r="G375" i="1" s="1"/>
  <c r="E376" i="1"/>
  <c r="G376" i="1" s="1"/>
  <c r="E377" i="1"/>
  <c r="J377" i="1" s="1"/>
  <c r="E378" i="1"/>
  <c r="J378" i="1" s="1"/>
  <c r="E379" i="1"/>
  <c r="J379" i="1" s="1"/>
  <c r="E380" i="1"/>
  <c r="J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J387" i="1" s="1"/>
  <c r="F387" i="1"/>
  <c r="E388" i="1"/>
  <c r="J388" i="1" s="1"/>
  <c r="E389" i="1"/>
  <c r="J389" i="1" s="1"/>
  <c r="E390" i="1"/>
  <c r="J390" i="1" s="1"/>
  <c r="E391" i="1"/>
  <c r="G391" i="1" s="1"/>
  <c r="E392" i="1"/>
  <c r="G392" i="1" s="1"/>
  <c r="E393" i="1"/>
  <c r="G393" i="1" s="1"/>
  <c r="E395" i="1"/>
  <c r="G395" i="1" s="1"/>
  <c r="E396" i="1"/>
  <c r="G396" i="1" s="1"/>
  <c r="H396" i="1"/>
  <c r="E397" i="1"/>
  <c r="G397" i="1" s="1"/>
  <c r="E398" i="1"/>
  <c r="G398" i="1" s="1"/>
  <c r="H398" i="1"/>
  <c r="E399" i="1"/>
  <c r="G399" i="1" s="1"/>
  <c r="J399" i="1"/>
  <c r="E400" i="1"/>
  <c r="G400" i="1" s="1"/>
  <c r="E402" i="1"/>
  <c r="G402" i="1" s="1"/>
  <c r="H402" i="1"/>
  <c r="E403" i="1"/>
  <c r="G403" i="1" s="1"/>
  <c r="H403" i="1"/>
  <c r="E404" i="1"/>
  <c r="G404" i="1" s="1"/>
  <c r="H404" i="1"/>
  <c r="J398" i="1" l="1"/>
  <c r="J396" i="1"/>
  <c r="J395" i="1"/>
  <c r="G387" i="1"/>
  <c r="G380" i="1"/>
  <c r="G379" i="1"/>
  <c r="G378" i="1"/>
  <c r="G377" i="1"/>
  <c r="G372" i="1"/>
  <c r="G371" i="1"/>
  <c r="G370" i="1"/>
  <c r="G369" i="1"/>
  <c r="G368" i="1"/>
  <c r="G367" i="1"/>
  <c r="G366" i="1"/>
  <c r="G365" i="1"/>
  <c r="G364" i="1"/>
  <c r="G361" i="1"/>
  <c r="G360" i="1"/>
  <c r="G359" i="1"/>
  <c r="G356" i="1"/>
  <c r="G355" i="1"/>
  <c r="J353" i="1"/>
  <c r="G352" i="1"/>
  <c r="G339" i="1"/>
  <c r="J338" i="1"/>
  <c r="G326" i="1"/>
  <c r="J309" i="1"/>
  <c r="G307" i="1"/>
  <c r="J304" i="1"/>
  <c r="J293" i="1"/>
  <c r="G390" i="1"/>
  <c r="G389" i="1"/>
  <c r="G388" i="1"/>
  <c r="J344" i="1"/>
  <c r="J303" i="1"/>
  <c r="G296" i="1"/>
  <c r="G289" i="1"/>
  <c r="G271" i="1"/>
  <c r="J322" i="1"/>
  <c r="J330" i="1"/>
  <c r="J345" i="1"/>
  <c r="J348" i="1"/>
  <c r="J352" i="1"/>
  <c r="J393" i="1"/>
  <c r="J391" i="1"/>
  <c r="J386" i="1"/>
  <c r="J384" i="1"/>
  <c r="J382" i="1"/>
  <c r="J375" i="1"/>
  <c r="J363" i="1"/>
  <c r="J358" i="1"/>
  <c r="J374" i="1"/>
  <c r="J270" i="1"/>
  <c r="J280" i="1"/>
  <c r="J282" i="1"/>
  <c r="J284" i="1"/>
  <c r="J292" i="1"/>
  <c r="J294" i="1"/>
  <c r="J296" i="1"/>
  <c r="J324" i="1"/>
  <c r="J340" i="1"/>
  <c r="J392" i="1"/>
  <c r="J385" i="1"/>
  <c r="J383" i="1"/>
  <c r="J381" i="1"/>
  <c r="J376" i="1"/>
  <c r="J373" i="1"/>
  <c r="J362" i="1"/>
  <c r="J357" i="1"/>
  <c r="J400" i="1"/>
  <c r="J404" i="1"/>
  <c r="J403" i="1"/>
  <c r="J402" i="1"/>
  <c r="J351" i="1"/>
  <c r="G334" i="1"/>
  <c r="J334" i="1"/>
  <c r="G333" i="1"/>
  <c r="J331" i="1"/>
  <c r="G343" i="1"/>
  <c r="J343" i="1"/>
  <c r="G342" i="1"/>
  <c r="J342" i="1"/>
  <c r="J329" i="1"/>
  <c r="J328" i="1"/>
  <c r="J327" i="1"/>
  <c r="J325" i="1"/>
  <c r="J320" i="1"/>
  <c r="J319" i="1"/>
  <c r="J318" i="1"/>
  <c r="J317" i="1"/>
  <c r="J316" i="1"/>
  <c r="J315" i="1"/>
  <c r="J314" i="1"/>
  <c r="J313" i="1"/>
  <c r="J312" i="1"/>
  <c r="J311" i="1"/>
  <c r="J305" i="1"/>
  <c r="J302" i="1"/>
  <c r="J301" i="1"/>
  <c r="J300" i="1"/>
  <c r="J299" i="1"/>
  <c r="J298" i="1"/>
  <c r="J297" i="1"/>
  <c r="J290" i="1"/>
  <c r="J279" i="1"/>
  <c r="J278" i="1"/>
  <c r="J273" i="1"/>
  <c r="J272" i="1"/>
  <c r="J268" i="1"/>
  <c r="J267" i="1"/>
  <c r="E258" i="1" l="1"/>
  <c r="E263" i="1" l="1"/>
  <c r="E241" i="1"/>
  <c r="I184" i="1" l="1"/>
  <c r="J148" i="1" l="1"/>
  <c r="J141" i="1"/>
  <c r="J140" i="1"/>
  <c r="J139" i="1"/>
  <c r="E85" i="1" l="1"/>
  <c r="G85" i="1" s="1"/>
  <c r="E84" i="1"/>
  <c r="J84" i="1" s="1"/>
  <c r="E83" i="1"/>
  <c r="G83" i="1" s="1"/>
  <c r="E82" i="1"/>
  <c r="J82" i="1" s="1"/>
  <c r="E81" i="1"/>
  <c r="G81" i="1" s="1"/>
  <c r="E80" i="1"/>
  <c r="J80" i="1" s="1"/>
  <c r="E79" i="1"/>
  <c r="G79" i="1" s="1"/>
  <c r="E78" i="1"/>
  <c r="J78" i="1" s="1"/>
  <c r="E77" i="1"/>
  <c r="G77" i="1" s="1"/>
  <c r="E76" i="1"/>
  <c r="J76" i="1" s="1"/>
  <c r="E75" i="1"/>
  <c r="G75" i="1" s="1"/>
  <c r="E74" i="1"/>
  <c r="J74" i="1" s="1"/>
  <c r="E73" i="1"/>
  <c r="G73" i="1" s="1"/>
  <c r="E72" i="1"/>
  <c r="J72" i="1" s="1"/>
  <c r="E71" i="1"/>
  <c r="G71" i="1" s="1"/>
  <c r="E70" i="1"/>
  <c r="J70" i="1" s="1"/>
  <c r="E69" i="1"/>
  <c r="G69" i="1" s="1"/>
  <c r="E68" i="1"/>
  <c r="J68" i="1" s="1"/>
  <c r="E67" i="1"/>
  <c r="G67" i="1" s="1"/>
  <c r="E66" i="1"/>
  <c r="J66" i="1" s="1"/>
  <c r="E65" i="1"/>
  <c r="G65" i="1" s="1"/>
  <c r="E64" i="1"/>
  <c r="J64" i="1" s="1"/>
  <c r="E63" i="1"/>
  <c r="G63" i="1" s="1"/>
  <c r="E62" i="1"/>
  <c r="J62" i="1" s="1"/>
  <c r="E61" i="1"/>
  <c r="G61" i="1" s="1"/>
  <c r="E60" i="1"/>
  <c r="J60" i="1" s="1"/>
  <c r="E59" i="1"/>
  <c r="G59" i="1" s="1"/>
  <c r="E58" i="1"/>
  <c r="J58" i="1" s="1"/>
  <c r="E57" i="1"/>
  <c r="G57" i="1" s="1"/>
  <c r="E56" i="1"/>
  <c r="J56" i="1" s="1"/>
  <c r="E55" i="1"/>
  <c r="G55" i="1" s="1"/>
  <c r="E54" i="1"/>
  <c r="J54" i="1" s="1"/>
  <c r="E53" i="1"/>
  <c r="G53" i="1" s="1"/>
  <c r="G52" i="1"/>
  <c r="E52" i="1"/>
  <c r="J52" i="1" s="1"/>
  <c r="E51" i="1"/>
  <c r="G51" i="1" s="1"/>
  <c r="E50" i="1"/>
  <c r="J50" i="1" s="1"/>
  <c r="E49" i="1"/>
  <c r="G49" i="1" s="1"/>
  <c r="E48" i="1"/>
  <c r="J48" i="1" s="1"/>
  <c r="E47" i="1"/>
  <c r="G47" i="1" s="1"/>
  <c r="E46" i="1"/>
  <c r="J46" i="1" s="1"/>
  <c r="E45" i="1"/>
  <c r="G45" i="1" s="1"/>
  <c r="J44" i="1"/>
  <c r="G44" i="1"/>
  <c r="J43" i="1"/>
  <c r="G43" i="1"/>
  <c r="J42" i="1"/>
  <c r="G42" i="1"/>
  <c r="J41" i="1"/>
  <c r="G41" i="1"/>
  <c r="E264" i="1"/>
  <c r="G264" i="1" s="1"/>
  <c r="G263" i="1"/>
  <c r="E262" i="1"/>
  <c r="G262" i="1" s="1"/>
  <c r="E261" i="1"/>
  <c r="G261" i="1" s="1"/>
  <c r="E260" i="1"/>
  <c r="G260" i="1" s="1"/>
  <c r="E259" i="1"/>
  <c r="J259" i="1" s="1"/>
  <c r="G258" i="1"/>
  <c r="E257" i="1"/>
  <c r="G257" i="1" s="1"/>
  <c r="E256" i="1"/>
  <c r="G256" i="1" s="1"/>
  <c r="E255" i="1"/>
  <c r="G255" i="1" s="1"/>
  <c r="E253" i="1"/>
  <c r="J253" i="1" s="1"/>
  <c r="E252" i="1"/>
  <c r="G252" i="1" s="1"/>
  <c r="E251" i="1"/>
  <c r="G251" i="1" s="1"/>
  <c r="E250" i="1"/>
  <c r="G250" i="1" s="1"/>
  <c r="E249" i="1"/>
  <c r="G249" i="1" s="1"/>
  <c r="E248" i="1"/>
  <c r="J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G241" i="1"/>
  <c r="E240" i="1"/>
  <c r="J240" i="1" s="1"/>
  <c r="E239" i="1"/>
  <c r="G239" i="1" s="1"/>
  <c r="E238" i="1"/>
  <c r="J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G68" i="1" l="1"/>
  <c r="G60" i="1"/>
  <c r="G76" i="1"/>
  <c r="G238" i="1"/>
  <c r="G48" i="1"/>
  <c r="G56" i="1"/>
  <c r="G64" i="1"/>
  <c r="G72" i="1"/>
  <c r="G80" i="1"/>
  <c r="G84" i="1"/>
  <c r="G248" i="1"/>
  <c r="G259" i="1"/>
  <c r="G46" i="1"/>
  <c r="G50" i="1"/>
  <c r="G54" i="1"/>
  <c r="G58" i="1"/>
  <c r="G62" i="1"/>
  <c r="G66" i="1"/>
  <c r="G70" i="1"/>
  <c r="G74" i="1"/>
  <c r="G78" i="1"/>
  <c r="G82" i="1"/>
  <c r="J45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7" i="1"/>
  <c r="J79" i="1"/>
  <c r="J81" i="1"/>
  <c r="J83" i="1"/>
  <c r="J85" i="1"/>
  <c r="G240" i="1"/>
  <c r="G253" i="1"/>
  <c r="J255" i="1"/>
  <c r="J233" i="1"/>
  <c r="J239" i="1"/>
  <c r="J241" i="1"/>
  <c r="J251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E222" i="1"/>
  <c r="J222" i="1" s="1"/>
  <c r="E221" i="1"/>
  <c r="G221" i="1" s="1"/>
  <c r="E220" i="1"/>
  <c r="J220" i="1" s="1"/>
  <c r="E219" i="1"/>
  <c r="G219" i="1" s="1"/>
  <c r="E218" i="1"/>
  <c r="J218" i="1" s="1"/>
  <c r="E217" i="1"/>
  <c r="G217" i="1" s="1"/>
  <c r="E216" i="1"/>
  <c r="J216" i="1" s="1"/>
  <c r="E215" i="1"/>
  <c r="G215" i="1" s="1"/>
  <c r="E214" i="1"/>
  <c r="J214" i="1" s="1"/>
  <c r="E213" i="1"/>
  <c r="G213" i="1" s="1"/>
  <c r="E212" i="1"/>
  <c r="J212" i="1" s="1"/>
  <c r="E211" i="1"/>
  <c r="G211" i="1" s="1"/>
  <c r="E210" i="1"/>
  <c r="J210" i="1" s="1"/>
  <c r="E209" i="1"/>
  <c r="G209" i="1" s="1"/>
  <c r="E208" i="1"/>
  <c r="J208" i="1" s="1"/>
  <c r="E207" i="1"/>
  <c r="G207" i="1" s="1"/>
  <c r="E206" i="1"/>
  <c r="J206" i="1" s="1"/>
  <c r="E205" i="1"/>
  <c r="G205" i="1" s="1"/>
  <c r="E204" i="1"/>
  <c r="G204" i="1" s="1"/>
  <c r="E203" i="1"/>
  <c r="J203" i="1" s="1"/>
  <c r="E202" i="1"/>
  <c r="G202" i="1" s="1"/>
  <c r="E201" i="1"/>
  <c r="J201" i="1" s="1"/>
  <c r="E200" i="1"/>
  <c r="G200" i="1" s="1"/>
  <c r="E199" i="1"/>
  <c r="J199" i="1" s="1"/>
  <c r="E198" i="1"/>
  <c r="G198" i="1" s="1"/>
  <c r="E197" i="1"/>
  <c r="J197" i="1" s="1"/>
  <c r="E196" i="1"/>
  <c r="G196" i="1" s="1"/>
  <c r="E195" i="1"/>
  <c r="J195" i="1" s="1"/>
  <c r="E194" i="1"/>
  <c r="G194" i="1" s="1"/>
  <c r="E193" i="1"/>
  <c r="J193" i="1" s="1"/>
  <c r="E192" i="1"/>
  <c r="G192" i="1" s="1"/>
  <c r="E191" i="1"/>
  <c r="G191" i="1" s="1"/>
  <c r="E190" i="1"/>
  <c r="J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J181" i="1" s="1"/>
  <c r="E180" i="1"/>
  <c r="G180" i="1" s="1"/>
  <c r="E179" i="1"/>
  <c r="J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J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J164" i="1" s="1"/>
  <c r="E163" i="1"/>
  <c r="G163" i="1" s="1"/>
  <c r="E162" i="1"/>
  <c r="G162" i="1" s="1"/>
  <c r="E161" i="1"/>
  <c r="G161" i="1" s="1"/>
  <c r="E160" i="1"/>
  <c r="J160" i="1" s="1"/>
  <c r="E159" i="1"/>
  <c r="G159" i="1" s="1"/>
  <c r="E158" i="1"/>
  <c r="G158" i="1" s="1"/>
  <c r="E157" i="1"/>
  <c r="G157" i="1" s="1"/>
  <c r="E156" i="1"/>
  <c r="G156" i="1" s="1"/>
  <c r="E155" i="1"/>
  <c r="J155" i="1" s="1"/>
  <c r="G201" i="1" l="1"/>
  <c r="G210" i="1"/>
  <c r="G181" i="1"/>
  <c r="G190" i="1"/>
  <c r="G193" i="1"/>
  <c r="G218" i="1"/>
  <c r="G155" i="1"/>
  <c r="G164" i="1"/>
  <c r="G173" i="1"/>
  <c r="G197" i="1"/>
  <c r="G206" i="1"/>
  <c r="G214" i="1"/>
  <c r="G222" i="1"/>
  <c r="G160" i="1"/>
  <c r="G179" i="1"/>
  <c r="G195" i="1"/>
  <c r="G199" i="1"/>
  <c r="G203" i="1"/>
  <c r="G208" i="1"/>
  <c r="G212" i="1"/>
  <c r="G216" i="1"/>
  <c r="G220" i="1"/>
  <c r="J158" i="1"/>
  <c r="J163" i="1"/>
  <c r="J168" i="1"/>
  <c r="J176" i="1"/>
  <c r="J180" i="1"/>
  <c r="J185" i="1"/>
  <c r="J192" i="1"/>
  <c r="J194" i="1"/>
  <c r="J196" i="1"/>
  <c r="J198" i="1"/>
  <c r="J200" i="1"/>
  <c r="J202" i="1"/>
  <c r="J204" i="1"/>
  <c r="J207" i="1"/>
  <c r="J209" i="1"/>
  <c r="J211" i="1"/>
  <c r="J213" i="1"/>
  <c r="J215" i="1"/>
  <c r="J217" i="1"/>
  <c r="J219" i="1"/>
  <c r="J221" i="1"/>
  <c r="E437" i="1" l="1"/>
  <c r="J437" i="1" s="1"/>
  <c r="E436" i="1"/>
  <c r="G436" i="1" s="1"/>
  <c r="E435" i="1"/>
  <c r="J435" i="1" s="1"/>
  <c r="E434" i="1"/>
  <c r="G434" i="1" s="1"/>
  <c r="G433" i="1"/>
  <c r="E433" i="1"/>
  <c r="J433" i="1" s="1"/>
  <c r="E432" i="1"/>
  <c r="G432" i="1" s="1"/>
  <c r="E431" i="1"/>
  <c r="J431" i="1" s="1"/>
  <c r="E430" i="1"/>
  <c r="G430" i="1" s="1"/>
  <c r="E429" i="1"/>
  <c r="J429" i="1" s="1"/>
  <c r="E428" i="1"/>
  <c r="G428" i="1" s="1"/>
  <c r="E427" i="1"/>
  <c r="J427" i="1" s="1"/>
  <c r="E426" i="1"/>
  <c r="G426" i="1" s="1"/>
  <c r="E424" i="1"/>
  <c r="J424" i="1" s="1"/>
  <c r="E423" i="1"/>
  <c r="G423" i="1" s="1"/>
  <c r="E422" i="1"/>
  <c r="J422" i="1" s="1"/>
  <c r="E421" i="1"/>
  <c r="G421" i="1" s="1"/>
  <c r="E420" i="1"/>
  <c r="E418" i="1"/>
  <c r="G418" i="1" s="1"/>
  <c r="E417" i="1"/>
  <c r="J417" i="1" s="1"/>
  <c r="G424" i="1" l="1"/>
  <c r="G420" i="1"/>
  <c r="G429" i="1"/>
  <c r="G437" i="1"/>
  <c r="G417" i="1"/>
  <c r="G422" i="1"/>
  <c r="G427" i="1"/>
  <c r="G431" i="1"/>
  <c r="G435" i="1"/>
  <c r="J426" i="1"/>
  <c r="J428" i="1"/>
  <c r="J430" i="1"/>
  <c r="J432" i="1"/>
  <c r="J434" i="1"/>
  <c r="J436" i="1"/>
  <c r="J421" i="1"/>
  <c r="J423" i="1"/>
  <c r="J418" i="1"/>
  <c r="J153" i="1" l="1"/>
  <c r="G153" i="1"/>
  <c r="J152" i="1"/>
  <c r="G152" i="1"/>
  <c r="J151" i="1"/>
  <c r="G151" i="1"/>
  <c r="J150" i="1"/>
  <c r="G150" i="1"/>
  <c r="J149" i="1"/>
  <c r="G149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G141" i="1"/>
  <c r="G140" i="1"/>
  <c r="G139" i="1"/>
  <c r="G138" i="1"/>
  <c r="J137" i="1"/>
  <c r="G137" i="1"/>
  <c r="J136" i="1"/>
  <c r="G136" i="1"/>
  <c r="G135" i="1"/>
  <c r="G134" i="1"/>
  <c r="G133" i="1"/>
  <c r="E132" i="1"/>
  <c r="G132" i="1" s="1"/>
  <c r="J132" i="1" l="1"/>
  <c r="J130" i="1" l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E120" i="1"/>
  <c r="G120" i="1" s="1"/>
  <c r="J119" i="1"/>
  <c r="J118" i="1"/>
  <c r="G118" i="1"/>
  <c r="E117" i="1"/>
  <c r="G117" i="1" s="1"/>
  <c r="E116" i="1"/>
  <c r="G116" i="1" s="1"/>
  <c r="J115" i="1"/>
  <c r="G115" i="1"/>
  <c r="J114" i="1"/>
  <c r="G114" i="1"/>
  <c r="J113" i="1"/>
  <c r="G113" i="1"/>
  <c r="J112" i="1"/>
  <c r="G112" i="1"/>
  <c r="J111" i="1"/>
  <c r="G111" i="1"/>
  <c r="J110" i="1"/>
  <c r="G110" i="1"/>
  <c r="E109" i="1"/>
  <c r="J109" i="1" s="1"/>
  <c r="J108" i="1"/>
  <c r="G108" i="1"/>
  <c r="E107" i="1"/>
  <c r="G107" i="1" s="1"/>
  <c r="J106" i="1"/>
  <c r="G106" i="1"/>
  <c r="G105" i="1"/>
  <c r="E105" i="1"/>
  <c r="J105" i="1" s="1"/>
  <c r="E104" i="1"/>
  <c r="G104" i="1" s="1"/>
  <c r="E103" i="1"/>
  <c r="J103" i="1" s="1"/>
  <c r="J102" i="1"/>
  <c r="G102" i="1"/>
  <c r="E101" i="1"/>
  <c r="G101" i="1" s="1"/>
  <c r="E100" i="1"/>
  <c r="J100" i="1" s="1"/>
  <c r="E99" i="1"/>
  <c r="G99" i="1" s="1"/>
  <c r="E98" i="1"/>
  <c r="J98" i="1" s="1"/>
  <c r="E97" i="1"/>
  <c r="G97" i="1" s="1"/>
  <c r="E96" i="1"/>
  <c r="J96" i="1" s="1"/>
  <c r="E95" i="1"/>
  <c r="G95" i="1" s="1"/>
  <c r="E94" i="1"/>
  <c r="J94" i="1" s="1"/>
  <c r="E93" i="1"/>
  <c r="G93" i="1" s="1"/>
  <c r="J92" i="1"/>
  <c r="G92" i="1"/>
  <c r="J91" i="1"/>
  <c r="G91" i="1"/>
  <c r="J90" i="1"/>
  <c r="G90" i="1"/>
  <c r="J89" i="1"/>
  <c r="G89" i="1"/>
  <c r="J88" i="1"/>
  <c r="G88" i="1"/>
  <c r="E87" i="1"/>
  <c r="J87" i="1" s="1"/>
  <c r="G87" i="1" l="1"/>
  <c r="G96" i="1"/>
  <c r="G100" i="1"/>
  <c r="G94" i="1"/>
  <c r="G98" i="1"/>
  <c r="G103" i="1"/>
  <c r="G109" i="1"/>
  <c r="G119" i="1"/>
  <c r="J93" i="1"/>
  <c r="J95" i="1"/>
  <c r="J97" i="1"/>
  <c r="J99" i="1"/>
  <c r="J101" i="1"/>
  <c r="J104" i="1"/>
  <c r="J107" i="1"/>
  <c r="J117" i="1"/>
  <c r="J120" i="1"/>
  <c r="E414" i="1" l="1"/>
  <c r="G414" i="1" s="1"/>
  <c r="H412" i="1"/>
  <c r="E412" i="1"/>
  <c r="J412" i="1" s="1"/>
  <c r="H411" i="1"/>
  <c r="E411" i="1"/>
  <c r="J411" i="1" s="1"/>
  <c r="H410" i="1"/>
  <c r="E410" i="1"/>
  <c r="J410" i="1" s="1"/>
  <c r="H409" i="1"/>
  <c r="E409" i="1"/>
  <c r="J409" i="1" s="1"/>
  <c r="H408" i="1"/>
  <c r="E408" i="1"/>
  <c r="J408" i="1" s="1"/>
  <c r="H407" i="1"/>
  <c r="E407" i="1"/>
  <c r="J407" i="1" s="1"/>
  <c r="H406" i="1"/>
  <c r="G406" i="1"/>
  <c r="E406" i="1"/>
  <c r="J406" i="1" s="1"/>
  <c r="J405" i="1"/>
  <c r="H405" i="1"/>
  <c r="G405" i="1"/>
  <c r="E405" i="1"/>
  <c r="J35" i="1"/>
  <c r="J34" i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J414" i="1" l="1"/>
  <c r="G407" i="1"/>
  <c r="G408" i="1"/>
  <c r="G409" i="1"/>
  <c r="G410" i="1"/>
  <c r="G411" i="1"/>
  <c r="G412" i="1"/>
  <c r="J39" i="1" l="1"/>
  <c r="G39" i="1"/>
  <c r="G38" i="1"/>
  <c r="J37" i="1"/>
  <c r="G37" i="1"/>
  <c r="J36" i="1"/>
  <c r="G36" i="1"/>
  <c r="G35" i="1"/>
  <c r="G34" i="1"/>
  <c r="J33" i="1"/>
  <c r="G33" i="1"/>
  <c r="J32" i="1"/>
  <c r="G32" i="1"/>
  <c r="G31" i="1"/>
  <c r="J30" i="1"/>
  <c r="G30" i="1"/>
  <c r="J29" i="1"/>
  <c r="G29" i="1"/>
  <c r="E28" i="1"/>
  <c r="G28" i="1" s="1"/>
  <c r="J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13" i="1"/>
  <c r="G12" i="1"/>
  <c r="G11" i="1"/>
  <c r="G10" i="1"/>
  <c r="G9" i="1"/>
  <c r="G13" i="1" l="1"/>
  <c r="J28" i="1"/>
</calcChain>
</file>

<file path=xl/comments1.xml><?xml version="1.0" encoding="utf-8"?>
<comments xmlns="http://schemas.openxmlformats.org/spreadsheetml/2006/main">
  <authors>
    <author>Автор</author>
  </authors>
  <commentList>
    <comment ref="I28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 Панченко</t>
        </r>
      </text>
    </comment>
    <comment ref="H29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ДОЭ-10кВт</t>
        </r>
      </text>
    </comment>
    <comment ref="I31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 Устименко</t>
        </r>
      </text>
    </comment>
    <comment ref="I31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ФОП Крилова</t>
        </r>
      </text>
    </comment>
    <comment ref="I32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ФОП Кушнир</t>
        </r>
      </text>
    </comment>
    <comment ref="I32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ФОП Антонюк</t>
        </r>
      </text>
    </comment>
    <comment ref="I38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ФО Мухсинов</t>
        </r>
      </text>
    </comment>
  </commentList>
</comments>
</file>

<file path=xl/sharedStrings.xml><?xml version="1.0" encoding="utf-8"?>
<sst xmlns="http://schemas.openxmlformats.org/spreadsheetml/2006/main" count="1306" uniqueCount="798">
  <si>
    <t>Інформація щодо трансформаторних підстанцій</t>
  </si>
  <si>
    <t>(назва електропередавальної організації)</t>
  </si>
  <si>
    <t>№ з/п</t>
  </si>
  <si>
    <t>Диспетчерська назва підстанції, тип, рівні напруги обмоток трансформаторів</t>
  </si>
  <si>
    <t>Код підстанції</t>
  </si>
  <si>
    <t>Номінальна потужність підстанції, Sном., кВА</t>
  </si>
  <si>
    <t>Максимально допустима потужність підстанції, Рмакс., кВт</t>
  </si>
  <si>
    <t>Електричне навантаження в режимний день, Рреж. день, кВт</t>
  </si>
  <si>
    <t>Резерв дозволеної потужності споживачів, Ррез. дозв. пот., кВт</t>
  </si>
  <si>
    <t>Приєднана потужність, кВт</t>
  </si>
  <si>
    <t>Резерв приєднаної потужності з урахуванням укладених договорів про приєднання, Ррез., кВт</t>
  </si>
  <si>
    <t>Вартість резерву приєднаної потужності, грн./кВт (без ПДВ)</t>
  </si>
  <si>
    <t>приєднана (дозволена) потужність існуючих споживачів, Рпр., кВт</t>
  </si>
  <si>
    <t>потужність, що приєднується за договорами про приєднання, Рдог., кВт</t>
  </si>
  <si>
    <t>Підстанції силові</t>
  </si>
  <si>
    <t xml:space="preserve">ПС 150/35/6 кВ «КПО» </t>
  </si>
  <si>
    <t>2х25000 (50000)</t>
  </si>
  <si>
    <t xml:space="preserve">ПС 150/10/6 кВ «Полімермаш» </t>
  </si>
  <si>
    <t>1х32000+1х40000 (72000)</t>
  </si>
  <si>
    <t>---</t>
  </si>
  <si>
    <t xml:space="preserve">ПС 150/6/6 кВ «Трубна» </t>
  </si>
  <si>
    <t>2х32000  (64000)</t>
  </si>
  <si>
    <t>ПС  150/35/10 кВ «Силова»</t>
  </si>
  <si>
    <t>ПС 150/10/6 кВ «ПМЗ»</t>
  </si>
  <si>
    <t>ПС  150/6/6 кВ «ПЗТО»</t>
  </si>
  <si>
    <t>2х32000 (64000)</t>
  </si>
  <si>
    <t>ПС  150/10 кВ  «Орсільмаш»</t>
  </si>
  <si>
    <t>2х16000 (32000)</t>
  </si>
  <si>
    <t>ПС  150/6 кВ «Наклонноствольна»</t>
  </si>
  <si>
    <t>2х60000 (120000)</t>
  </si>
  <si>
    <t>ПС  35/6 кВ  № 3</t>
  </si>
  <si>
    <t>2х6300 (12600)</t>
  </si>
  <si>
    <t>ПС 35/6 кВ «ЖКК»</t>
  </si>
  <si>
    <t>2х4000 (8000)</t>
  </si>
  <si>
    <t xml:space="preserve">ПС 35/6 кВ «ЛТФ» </t>
  </si>
  <si>
    <t>ПС 35/10 кВ  «НМФ»</t>
  </si>
  <si>
    <t xml:space="preserve">ПС  35/6 кВ  № 5 «Жилселище» </t>
  </si>
  <si>
    <t>2х5600 (11200)</t>
  </si>
  <si>
    <t xml:space="preserve">ПС 35/6 кВ № 47  «Западна»  </t>
  </si>
  <si>
    <t>2х10000 (20000)</t>
  </si>
  <si>
    <t xml:space="preserve">ПС  35/6 кВ   № 5    </t>
  </si>
  <si>
    <t>2х16000  (32000)</t>
  </si>
  <si>
    <t xml:space="preserve">ПС 35/6 кВ  № 29  </t>
  </si>
  <si>
    <t>2х3200 (6400)</t>
  </si>
  <si>
    <t>1х1600+1х2500 (4100)</t>
  </si>
  <si>
    <t>2х2500 (5000)</t>
  </si>
  <si>
    <t>Апостолівські РЕМ</t>
  </si>
  <si>
    <t xml:space="preserve">КТП-19  10/0,4 кВ </t>
  </si>
  <si>
    <t>КТП-23  10/0,4 кВ</t>
  </si>
  <si>
    <t xml:space="preserve">КТП-26  10/0,4 кВ </t>
  </si>
  <si>
    <t>1х400+1х320 (720)</t>
  </si>
  <si>
    <t>2х400 (800)</t>
  </si>
  <si>
    <t xml:space="preserve">КТП-117  10/0,4 кВ </t>
  </si>
  <si>
    <t xml:space="preserve">КТП-124  10/0,4 кВ </t>
  </si>
  <si>
    <t>КТП-281  6/0,4 кВ</t>
  </si>
  <si>
    <t xml:space="preserve">КТП-471  10/0,4 кВ </t>
  </si>
  <si>
    <t xml:space="preserve">КТП-476  10/0,4 кВ </t>
  </si>
  <si>
    <t>КТП-521  6/0,4 кВ</t>
  </si>
  <si>
    <t>КТП-522  6/0,4 кВ</t>
  </si>
  <si>
    <t>КТП-525  6/0,4 кВ</t>
  </si>
  <si>
    <t>2х630 (1260)</t>
  </si>
  <si>
    <t>КТП-538  6/0,4 кВ</t>
  </si>
  <si>
    <t xml:space="preserve">КТП-559  10/0,4 кВ </t>
  </si>
  <si>
    <t xml:space="preserve">КТП-564  10/0,4 кВ </t>
  </si>
  <si>
    <t xml:space="preserve">КТП-566  10/0,4 кВ </t>
  </si>
  <si>
    <t>1х400+1х630 (1030)</t>
  </si>
  <si>
    <t xml:space="preserve">КТП-580  10/0,4 кВ </t>
  </si>
  <si>
    <t xml:space="preserve">КТП-592  10/0,4 кВ </t>
  </si>
  <si>
    <t>КТП-600  6/0,4 кВ</t>
  </si>
  <si>
    <t xml:space="preserve">КТП-602  10/0,4 кВ </t>
  </si>
  <si>
    <t>1х160+1х250 (410)</t>
  </si>
  <si>
    <t xml:space="preserve">КТП-1  6/0,4 кВ </t>
  </si>
  <si>
    <t xml:space="preserve">КТП-2  6/0,4 кВ </t>
  </si>
  <si>
    <t xml:space="preserve">КТП-3  6/0,4 кВ </t>
  </si>
  <si>
    <t>2х250 (500)</t>
  </si>
  <si>
    <t>Гвардійські РЕМ</t>
  </si>
  <si>
    <t>КТП-176  10/0,4 кВ</t>
  </si>
  <si>
    <t>МТП-162  10/0,4 кВ</t>
  </si>
  <si>
    <t>МТП-163  10/0,4 кВ</t>
  </si>
  <si>
    <t>МТП-164  10/0,4 кВ</t>
  </si>
  <si>
    <t>КТП-161 10/0,4 кВ</t>
  </si>
  <si>
    <t>КТПН-152  10/0,4 кВ</t>
  </si>
  <si>
    <t>КТП-189  10/0,4 кВ</t>
  </si>
  <si>
    <t>250+400 (650)</t>
  </si>
  <si>
    <t>КТП-179  10/0,4 кВ</t>
  </si>
  <si>
    <t>КТП-158  10/0,4 кВ</t>
  </si>
  <si>
    <t>КТП-174  10/0,4 кВ</t>
  </si>
  <si>
    <t>КТП-181 10/0,4 кВ</t>
  </si>
  <si>
    <t>МТП-318 10/0,4 кВ</t>
  </si>
  <si>
    <t>МТП-5  6/0,4 кВ</t>
  </si>
  <si>
    <t>МТП-6  6/0,4 кВ</t>
  </si>
  <si>
    <t>1х250+1х200 (450)</t>
  </si>
  <si>
    <t>2х400  (800)</t>
  </si>
  <si>
    <t>2х250  (500)</t>
  </si>
  <si>
    <t>1х160+1х200 (360)</t>
  </si>
  <si>
    <t>1х160+1х250 (400)</t>
  </si>
  <si>
    <t>Інгулецькі РЕМ</t>
  </si>
  <si>
    <t>1х630+1х250 (880)</t>
  </si>
  <si>
    <t>1х400+1х250 (650)</t>
  </si>
  <si>
    <t>1х630+1х400 (1030)</t>
  </si>
  <si>
    <t>1х630+1х315 (945)</t>
  </si>
  <si>
    <t>1х250+1х400 (650)</t>
  </si>
  <si>
    <t>1х560+1х630 (1190)</t>
  </si>
  <si>
    <t>1х600+1х630 (1230)</t>
  </si>
  <si>
    <t>2х1000(1000)</t>
  </si>
  <si>
    <t>1х250+1х560 (810)</t>
  </si>
  <si>
    <t>Павлоградські РЕМ</t>
  </si>
  <si>
    <t>2х160 (320)</t>
  </si>
  <si>
    <t>2х320 (640)</t>
  </si>
  <si>
    <t>м. Вільногірськ</t>
  </si>
  <si>
    <t>1х400+1х315 (715)</t>
  </si>
  <si>
    <t>1х180+1х160 (340)</t>
  </si>
  <si>
    <t>1х315+1х250 (565)</t>
  </si>
  <si>
    <t>1х250+1х320 (570)</t>
  </si>
  <si>
    <t>1х180+1х315 (495)</t>
  </si>
  <si>
    <t>1х250+1х630 (880)</t>
  </si>
  <si>
    <t>1х400+1х200 (600)</t>
  </si>
  <si>
    <t>смт. Дніпровське</t>
  </si>
  <si>
    <t>Вільногірські РЕМ</t>
  </si>
  <si>
    <t>ТП-2 6/0,4 кВ</t>
  </si>
  <si>
    <t>ТП-3 6/0,4 кВ</t>
  </si>
  <si>
    <t>ТП-4 6/0,4 кВ</t>
  </si>
  <si>
    <t>ТП-5 6/0,4 кВ</t>
  </si>
  <si>
    <t>ТП-7 6/0,4 кВ</t>
  </si>
  <si>
    <t>ТП-9 6/0,4 кВ</t>
  </si>
  <si>
    <t>ТП-10 6/0,4 кВ</t>
  </si>
  <si>
    <t>ТП-11 6/0,4 кВ</t>
  </si>
  <si>
    <t>ТП-12 6/0,4 кВ</t>
  </si>
  <si>
    <t>ТП-13 6/0,4 кВ</t>
  </si>
  <si>
    <t>ТП-15 6/0,4 кВ</t>
  </si>
  <si>
    <t>1х320+1х400 (720)</t>
  </si>
  <si>
    <t>ТП-16 6/0,4 кВ</t>
  </si>
  <si>
    <t>ТП-18 6/0,4 кВ</t>
  </si>
  <si>
    <t>ТП-19 6/0,4 кВ</t>
  </si>
  <si>
    <t>ТП-20 6/0,4 кВ</t>
  </si>
  <si>
    <t>ТП-21 6/0,4 кВ</t>
  </si>
  <si>
    <t>1х320+1х100 (420)</t>
  </si>
  <si>
    <t>ТП-22 6/0,4 кВ</t>
  </si>
  <si>
    <t>ТП-23 6/0,4 кВ</t>
  </si>
  <si>
    <t>ТП-25 6/0,4 кВ</t>
  </si>
  <si>
    <t>ТП-26 6/0,4 кВ</t>
  </si>
  <si>
    <t>ТП-27 6/0,4 кВ</t>
  </si>
  <si>
    <t>ТП-29 6/0,4 кВ</t>
  </si>
  <si>
    <t>ТП-30 6/0,4 кВ</t>
  </si>
  <si>
    <t>ТП-31 6/0,4 кВ</t>
  </si>
  <si>
    <t>ТП-32 6/0,4 кВ</t>
  </si>
  <si>
    <t>ТП-33 6/0,4 кВ</t>
  </si>
  <si>
    <t>ТП-34 6/0,4 кВ</t>
  </si>
  <si>
    <t>ТП-35 6/0,4 кВ</t>
  </si>
  <si>
    <t>ТП-36 6/0,4 кВ</t>
  </si>
  <si>
    <t>ТП-37 6/0,4 кВ</t>
  </si>
  <si>
    <t>ТП-39 6/0,4 кВ</t>
  </si>
  <si>
    <t>ТП-41 6/0,4 кВ</t>
  </si>
  <si>
    <t>ТП-42 6/0,4 кВ</t>
  </si>
  <si>
    <t>ТП-43 6/0,4 кВ</t>
  </si>
  <si>
    <t>ТП-45 6/0,4 кВ</t>
  </si>
  <si>
    <t>ТП-46 6/0,4 кВ</t>
  </si>
  <si>
    <t>ТП-47 6/0,4 кВ</t>
  </si>
  <si>
    <t>ТП-48 6/0,4 кВ</t>
  </si>
  <si>
    <t>ТП-49 6/0,4 кВ</t>
  </si>
  <si>
    <t>ТП-50-I 6/0,4 кВ</t>
  </si>
  <si>
    <t>2х180 (360)</t>
  </si>
  <si>
    <t>ТП-50-II 6/0,4 кВ</t>
  </si>
  <si>
    <t>ТП - 52 6/0,4 кВ</t>
  </si>
  <si>
    <t>ТП - 53 6/0,4 кВ</t>
  </si>
  <si>
    <t>ТП - 54 6/0,4 кВ</t>
  </si>
  <si>
    <t>ТП - 57 6/0,4 кВ</t>
  </si>
  <si>
    <t>ТП - 59 6/0,4 кВ</t>
  </si>
  <si>
    <t>ТП - 61 6/0,4 кВ</t>
  </si>
  <si>
    <t>ТП - 62 6/0,4 кВ</t>
  </si>
  <si>
    <t>ТП - 63 6/0,4 кВ</t>
  </si>
  <si>
    <t>ТП - 64 6/0,4 кВ</t>
  </si>
  <si>
    <t>ТП - 65 6/0,4 кВ</t>
  </si>
  <si>
    <t>ТП - 66 6/0,4 кВ</t>
  </si>
  <si>
    <t>ТП - 67 6/0,4 кВ</t>
  </si>
  <si>
    <t>ТП - 70 6/0,4 кВ</t>
  </si>
  <si>
    <t>ТП - 72 6/0,4 кВ</t>
  </si>
  <si>
    <t>ТП - 73 6/0,4 кВ</t>
  </si>
  <si>
    <t>ТП - 76 6/0,4 кВ</t>
  </si>
  <si>
    <t>ТП - 77 6/0,4 кВ</t>
  </si>
  <si>
    <t>ТП - 78 6/0,4 кВ</t>
  </si>
  <si>
    <t>ТП - 79 6/0,4 кВ</t>
  </si>
  <si>
    <t>ТП - 80 6/0,4 кВ</t>
  </si>
  <si>
    <t>ТП - 81 6/0,4 кВ</t>
  </si>
  <si>
    <t>ТП - 82 6/0,4 кВ</t>
  </si>
  <si>
    <t>ТП - 83 6/0,4 кВ</t>
  </si>
  <si>
    <t>ТП - 84 6/0,4 кВ</t>
  </si>
  <si>
    <t>ТП - 85 6/0,4 кВ</t>
  </si>
  <si>
    <t>ТП - 86 6/0,4 кВ</t>
  </si>
  <si>
    <t>ТП - 87 6/0,4 кВ</t>
  </si>
  <si>
    <t>ТП - 88 6/0,4 кВ</t>
  </si>
  <si>
    <t>ТП - 91 6/0,4 кВ</t>
  </si>
  <si>
    <t>1х400+1х180 (580)</t>
  </si>
  <si>
    <t>ТП – 92 6/0,4 кВ</t>
  </si>
  <si>
    <t>ТП - 94 6/0,4 кВ</t>
  </si>
  <si>
    <t>ТП - 95 6/0,4 кВ</t>
  </si>
  <si>
    <t>ТП-96 6/0,4 кВ</t>
  </si>
  <si>
    <t>ТП - 99 6/0,4 кВ</t>
  </si>
  <si>
    <t>ТП-102 6/0,4 кВ</t>
  </si>
  <si>
    <t>ТП -103 6/0,4 кВ</t>
  </si>
  <si>
    <t>ТП -105 6/0,4 кВ</t>
  </si>
  <si>
    <t>ТП -107 6/0,4 кВ</t>
  </si>
  <si>
    <t>ТП -109 6/0,4 кВ</t>
  </si>
  <si>
    <t>ТП –111-I 6/0,4 кВ</t>
  </si>
  <si>
    <t>-</t>
  </si>
  <si>
    <t>ТП-111-II 6/0,4 кВ</t>
  </si>
  <si>
    <t>ТП -112 6/0,4 кВ</t>
  </si>
  <si>
    <t>ТП -115 6/0,4 кВ</t>
  </si>
  <si>
    <t>ТП -116 6/0,4 кВ</t>
  </si>
  <si>
    <t>ТП -117 6/0,4 кВ</t>
  </si>
  <si>
    <t>ТП -118 6/0,4 кВ</t>
  </si>
  <si>
    <t>2х315 (630)</t>
  </si>
  <si>
    <t>ТП -122 6/0,4 кВ</t>
  </si>
  <si>
    <t>ТП -123 6/0,4 кВ</t>
  </si>
  <si>
    <t>ТП -126 6/0,4 кВ</t>
  </si>
  <si>
    <t>ТП -128 6/0,4 кВ</t>
  </si>
  <si>
    <t>ТП -129 6/0,4 кВ</t>
  </si>
  <si>
    <t>ТП -131 6/0,4 кВ</t>
  </si>
  <si>
    <t>ТП -132 6/0,4 кВ</t>
  </si>
  <si>
    <t>ТП -137 6/0,4 кВ</t>
  </si>
  <si>
    <t>ТП -141 6/0,4 кВ</t>
  </si>
  <si>
    <t>ТП -145 6/0,4 кВ</t>
  </si>
  <si>
    <t>ТП -146 6/0,4 кВ</t>
  </si>
  <si>
    <t>ТП -148 6/0,4 кВ</t>
  </si>
  <si>
    <t>ТП -150 6/0,4 кВ</t>
  </si>
  <si>
    <t>ТП -151 6/0,4 кВ</t>
  </si>
  <si>
    <t>ТП -161 6/0,4 кВ</t>
  </si>
  <si>
    <t>ТП -166 6/0,4 кВ</t>
  </si>
  <si>
    <t>ТП -167 6/,04 кВ</t>
  </si>
  <si>
    <t>ТП -168 6/0,4 кВ</t>
  </si>
  <si>
    <t>ТП -173 6/0,4 кВ</t>
  </si>
  <si>
    <t>ТП -174 6/0,4 кВ</t>
  </si>
  <si>
    <t>ТП -183 6/0,4 кВ</t>
  </si>
  <si>
    <t>ТП -185 6/0,4 кВ</t>
  </si>
  <si>
    <t>ТП -186 6/0,4 кВ</t>
  </si>
  <si>
    <t>ТП -187 6/0,4 кВ</t>
  </si>
  <si>
    <t>ТП -188 6/0,4 кВ</t>
  </si>
  <si>
    <t>ТП-191 6/0,4 кВ</t>
  </si>
  <si>
    <t>ТП -194 6/0,4 кВ</t>
  </si>
  <si>
    <t>ТП -195 6/0,4 кВ</t>
  </si>
  <si>
    <t>ТП -197 6/0,4 кВ</t>
  </si>
  <si>
    <t>ТП -199 6/0,4 кВ</t>
  </si>
  <si>
    <t>ТП -205 6/0,4 кВ</t>
  </si>
  <si>
    <t>ТП-212 6/0,4 кВ</t>
  </si>
  <si>
    <t>ТП-213 6/0,4 кВ</t>
  </si>
  <si>
    <t>ТП-214 6/0,4 кВ</t>
  </si>
  <si>
    <t>ТП-215 6/0,4 кВ</t>
  </si>
  <si>
    <t>ТП-216 6/0,4 кВ</t>
  </si>
  <si>
    <t>ТП-218 6/0,4 кВ</t>
  </si>
  <si>
    <t>ТП-219 6/0,4 кВ</t>
  </si>
  <si>
    <t>ТП-222 6/0,4 кВ</t>
  </si>
  <si>
    <t>ТП-223 6/0,4 кВ</t>
  </si>
  <si>
    <t>РП-1 6/0,4 кВ</t>
  </si>
  <si>
    <t>РП-10 6/0,4 кВ</t>
  </si>
  <si>
    <t>РП-16 6/0,4 кВ</t>
  </si>
  <si>
    <t>1х560+1х400 (960)</t>
  </si>
  <si>
    <t>РП-30 6/0,4 кВ</t>
  </si>
  <si>
    <t>РП-31 6/0,4 кВ</t>
  </si>
  <si>
    <t>РП-“КБЖ” 6/,04 кВ</t>
  </si>
  <si>
    <t>ТП-190 6/0,4 кВ</t>
  </si>
  <si>
    <t>ТП-277 6/0,4 кВ</t>
  </si>
  <si>
    <t>ТП-279 6/0,4 кВ</t>
  </si>
  <si>
    <t>ТП-295 6/0,4 кВ</t>
  </si>
  <si>
    <t>ТП-298 6/0,4 кВ</t>
  </si>
  <si>
    <t>ТП-299 6/0,4 кВ</t>
  </si>
  <si>
    <t>ТП-421 6/0,4 кВ</t>
  </si>
  <si>
    <t>ТП-433 6/0,4 кВ</t>
  </si>
  <si>
    <t>ТП-512 6/0,4 кВ</t>
  </si>
  <si>
    <t>ТП-520 6/0,4 кВ</t>
  </si>
  <si>
    <t>ТП-621 6/0,4 кВ</t>
  </si>
  <si>
    <t>ТП (с. Грушеватка)</t>
  </si>
  <si>
    <t>ТП-199, ТП-199А 6/0,4 кВ</t>
  </si>
  <si>
    <t xml:space="preserve"> ПС 35/6 кВ «Інгулецька» </t>
  </si>
  <si>
    <t xml:space="preserve">ПС 35/6 кВ «Північна-35» </t>
  </si>
  <si>
    <t xml:space="preserve">ПС 35/6 кВ «Чешка» </t>
  </si>
  <si>
    <t xml:space="preserve">ПС 35/10/6 кВ «САЗ»  </t>
  </si>
  <si>
    <t xml:space="preserve">ПС 35/10 кВ «Луч»  </t>
  </si>
  <si>
    <t xml:space="preserve">ПС 35/6 кВ  «Макорти»  </t>
  </si>
  <si>
    <t xml:space="preserve">ПС 35/6 кВ  «№ 14»   </t>
  </si>
  <si>
    <t xml:space="preserve">ПС 35/6 кВ  «НГМЗ»  «Молзавод» </t>
  </si>
  <si>
    <t xml:space="preserve">ПС  35/6/10кВ № 50  «Березняки» </t>
  </si>
  <si>
    <t xml:space="preserve">ПС 35/10 кВ  «Сільстрой»  </t>
  </si>
  <si>
    <t xml:space="preserve">ПС 35/6 кВ  «Палмаш»   </t>
  </si>
  <si>
    <t xml:space="preserve">ПС 35/10 кВ  «Сонячна- 2»  </t>
  </si>
  <si>
    <t xml:space="preserve">ПС 35/6 кВ «Рахманово» </t>
  </si>
  <si>
    <t>ПС 35/6 кВ «СЗ»</t>
  </si>
  <si>
    <t xml:space="preserve">ПС 35/6 кВ  «НВ-СЗ» </t>
  </si>
  <si>
    <t>1х1800+1х2500 (4300)</t>
  </si>
  <si>
    <t>РП-1  6/0,4 кВ</t>
  </si>
  <si>
    <t>РП-3  6/0,4 кВ</t>
  </si>
  <si>
    <t>КТП-36А  6/0,4 кВ</t>
  </si>
  <si>
    <t>Жовтоводські РЕМ</t>
  </si>
  <si>
    <t>РП и ПС (м. Жовті Води)</t>
  </si>
  <si>
    <t>м. Жовті Води</t>
  </si>
  <si>
    <t xml:space="preserve">ТП-1  6/0,4 кВ </t>
  </si>
  <si>
    <t>ТП-2  6/0,4 кВ</t>
  </si>
  <si>
    <t>ТП-6  6/0,4 кВ</t>
  </si>
  <si>
    <t>ТП-7  6/0,4 кВ</t>
  </si>
  <si>
    <t>ТП-7А  6/0,4 кВ</t>
  </si>
  <si>
    <t>ТП-7Б  6/0,4 кВ</t>
  </si>
  <si>
    <t>ТП-8  6/0,4 кВ</t>
  </si>
  <si>
    <t>ТП-9  6/0,4 кВ</t>
  </si>
  <si>
    <t>ТП-10  6/0,4 кВ</t>
  </si>
  <si>
    <t>ТП-11  6/0,4 кВ</t>
  </si>
  <si>
    <t>ТП-12  6/0,4 кВ</t>
  </si>
  <si>
    <t>ТП-13  6/0,4 кВ</t>
  </si>
  <si>
    <t>ТП-14  6/0,4 кВ</t>
  </si>
  <si>
    <t>ТП-15  6/0,4 кВ</t>
  </si>
  <si>
    <t>ТП-15А  6/0,4 кВ</t>
  </si>
  <si>
    <t>ТП-16  6/0,4 кВ</t>
  </si>
  <si>
    <t>ТП-17  6/0,4 кВ</t>
  </si>
  <si>
    <t>ТП-19  6/0,4 кВ</t>
  </si>
  <si>
    <t>ТП-20  6/0,4 кВ</t>
  </si>
  <si>
    <t>ТП-21  6/0,4 кВ</t>
  </si>
  <si>
    <t>ТП-21А  6/0,4 кВ</t>
  </si>
  <si>
    <t>ТП-22  6/0,4 кВ</t>
  </si>
  <si>
    <t>ТП-22А  6/0,4 кВ</t>
  </si>
  <si>
    <t>ТП-36  6/0,4 кВ</t>
  </si>
  <si>
    <t>ТП-37  6/0,4 кВ</t>
  </si>
  <si>
    <t>ТП-68  6/0,4 кВ</t>
  </si>
  <si>
    <t>ТП-109  6/0,4 кВ</t>
  </si>
  <si>
    <t>ТП-160  6/0,4 кВ</t>
  </si>
  <si>
    <t>ТП-161  6/0,4 кВ</t>
  </si>
  <si>
    <t>ТП-163  6/0,4 кВ</t>
  </si>
  <si>
    <t>ТП-164  6/0,4 кВ</t>
  </si>
  <si>
    <t>ТП-167  6/0,4 кВ</t>
  </si>
  <si>
    <t>ТП-168  6/0,4 кВ</t>
  </si>
  <si>
    <t>ТП-177  6/0,4 кВ</t>
  </si>
  <si>
    <t>ТП-178  6/0,4 кВ</t>
  </si>
  <si>
    <t>ТП и ПС (м. П'ятихатки)</t>
  </si>
  <si>
    <t xml:space="preserve">ТП-847  6/0,4 кВ </t>
  </si>
  <si>
    <t xml:space="preserve">ТП-848  6/0,4 кВ </t>
  </si>
  <si>
    <t xml:space="preserve">ТП-849  6/0,4 кВ </t>
  </si>
  <si>
    <t xml:space="preserve">ТП-850  6/0,4 кВ </t>
  </si>
  <si>
    <t xml:space="preserve">ТП-851  6/0,4 кВ </t>
  </si>
  <si>
    <t xml:space="preserve">ТП-852  6/0,4 кВ </t>
  </si>
  <si>
    <t xml:space="preserve">ТП-853  6/0,4 кВ </t>
  </si>
  <si>
    <t xml:space="preserve">ТП-854  10/0,4 кВ </t>
  </si>
  <si>
    <t xml:space="preserve">ТП-855  10/0,4 кВ </t>
  </si>
  <si>
    <t xml:space="preserve">ТП-856  10/0,4 кВ </t>
  </si>
  <si>
    <t xml:space="preserve">ТП-857  10/0,4 кВ </t>
  </si>
  <si>
    <t xml:space="preserve">ТП-858  10/0,4 кВ </t>
  </si>
  <si>
    <t xml:space="preserve">ТП-859  10/0,4 кВ </t>
  </si>
  <si>
    <t>ТП-860  6/0,4 кВ</t>
  </si>
  <si>
    <t>КТП-861  6/0,4 кВ</t>
  </si>
  <si>
    <t>КТП-862  6/0,4 кВ</t>
  </si>
  <si>
    <t>КТП-863  6/0,4 кВ</t>
  </si>
  <si>
    <t>КТП-81  6/0,4 кВ</t>
  </si>
  <si>
    <t>РП-28  6/0,4 кВ</t>
  </si>
  <si>
    <t xml:space="preserve">ТП-46  10/0,4 кВ </t>
  </si>
  <si>
    <t xml:space="preserve">ТП-39  10/0,4 кВ </t>
  </si>
  <si>
    <t xml:space="preserve">ТП-36  10/0,4 кВ </t>
  </si>
  <si>
    <t>ТП-187  10/0,4 кВ</t>
  </si>
  <si>
    <t>ТП-165  10/0,4 Кв</t>
  </si>
  <si>
    <t>ТП-175 10/0,4 кВ</t>
  </si>
  <si>
    <t>ТП-192  10/0,4 кВ</t>
  </si>
  <si>
    <t>ТП-166  10/0,4 кВ</t>
  </si>
  <si>
    <t>ТП-169  10/0,4 кВ</t>
  </si>
  <si>
    <t>ТП-186  10/0,4 кВ</t>
  </si>
  <si>
    <t>ТП-190  10/0,4 кВ</t>
  </si>
  <si>
    <t>ТП-180  10/0,4 кВ</t>
  </si>
  <si>
    <t>ТП-167  10/0,4 кВ</t>
  </si>
  <si>
    <t>ТП-168  10/0,4 кВ</t>
  </si>
  <si>
    <t>ТП-489  10/0,4 кВ</t>
  </si>
  <si>
    <t>ТП-171  10/0,4 кВ</t>
  </si>
  <si>
    <t>ТП-191 10/0,4 кВ</t>
  </si>
  <si>
    <t>ТП-153  10/0,4 кВ</t>
  </si>
  <si>
    <t>ТП-177  10/0,4 кВ</t>
  </si>
  <si>
    <t>ТП-157  10/0,4 кВ</t>
  </si>
  <si>
    <t>ТП-154  10/0,4 кВ</t>
  </si>
  <si>
    <t>ТП-159 10/0,4 кВ</t>
  </si>
  <si>
    <t>ТП-188 10/0,4 кВ</t>
  </si>
  <si>
    <t>ТП-160 10/0,4 кВ</t>
  </si>
  <si>
    <t>ТП-173 10/0,4 кВ</t>
  </si>
  <si>
    <t>ТП-178 10/0,4 кВ</t>
  </si>
  <si>
    <t>ТП-182 10/0,4 кВ</t>
  </si>
  <si>
    <t>ТП-172 10/0,4 кВ</t>
  </si>
  <si>
    <t>ТП-1  6/0,4 кВ</t>
  </si>
  <si>
    <t>ТП-2   6/0,4 кВ</t>
  </si>
  <si>
    <t>ТП-4  6/0,4 кВ</t>
  </si>
  <si>
    <t xml:space="preserve">ТП-7  6/0,4 кВ  </t>
  </si>
  <si>
    <t xml:space="preserve">ТП-8  6/0,4 кВ     </t>
  </si>
  <si>
    <t xml:space="preserve">ТП-71  10/0,4 кВ </t>
  </si>
  <si>
    <t xml:space="preserve">ТП-72  10/0,4 кВ </t>
  </si>
  <si>
    <t xml:space="preserve">ТП-110  10/0,4 кВ </t>
  </si>
  <si>
    <t xml:space="preserve">ТП-138  10/0,4 кВ </t>
  </si>
  <si>
    <t xml:space="preserve">ТП-157  10/0,4 кВ </t>
  </si>
  <si>
    <t xml:space="preserve">ТП-169  10/0,4 кВ </t>
  </si>
  <si>
    <t>ТП-198  6/0,4 кВ</t>
  </si>
  <si>
    <t>ТП-229  6/0,4 кВ</t>
  </si>
  <si>
    <t>ТП-319  6/0,4 кВ</t>
  </si>
  <si>
    <t xml:space="preserve">ТП-380  10/0,4 кВ </t>
  </si>
  <si>
    <t xml:space="preserve">ТП-441  10/0,4 кВ </t>
  </si>
  <si>
    <t xml:space="preserve">ТП-442  10/0,4 кВ </t>
  </si>
  <si>
    <t>ТП-528  6/0,4 кВ</t>
  </si>
  <si>
    <t>ТП-529  6/0,4 кВ</t>
  </si>
  <si>
    <t>ТП-556  6/0,4 кВ</t>
  </si>
  <si>
    <t xml:space="preserve">ТП-570  10/0,4 кВ </t>
  </si>
  <si>
    <t xml:space="preserve">ТП-575 10/0,4 кВ </t>
  </si>
  <si>
    <t>ТП-596  6/0,4 кВ</t>
  </si>
  <si>
    <t>ТП-603 6/0,4 кВ</t>
  </si>
  <si>
    <t xml:space="preserve">ТП-617  10/0,4 кВ </t>
  </si>
  <si>
    <t>ТП-5  6/0,4 кВ</t>
  </si>
  <si>
    <t>2х1000 (2000)</t>
  </si>
  <si>
    <t>ТП-"Теплица"  6/0,4 кВ</t>
  </si>
  <si>
    <t>ТП-1-1  6/0,4 кВ</t>
  </si>
  <si>
    <t>ТП-1-2  6/0,4 кВ</t>
  </si>
  <si>
    <t>ТП-1-3  6/0,4 кВ</t>
  </si>
  <si>
    <t>ТП-1-4  6/0,4 кВ</t>
  </si>
  <si>
    <t>ТП-1-5  6/0,4 кВ</t>
  </si>
  <si>
    <t>ТП-1-6  6/0,4 кВ</t>
  </si>
  <si>
    <t>ТП-1-7  6/0,4 кВ</t>
  </si>
  <si>
    <t>ТП-1-8  6/0,4 кВ</t>
  </si>
  <si>
    <t>ТП-1-9  6/0,4 кВ</t>
  </si>
  <si>
    <t>ТП-1-10  6/0,4 кВ</t>
  </si>
  <si>
    <t>ТП-1-11  6/0,4 кВ</t>
  </si>
  <si>
    <t>ТП-3-1  6/0,4 кВ</t>
  </si>
  <si>
    <t>ТП-9-1  6/0,4 кВ</t>
  </si>
  <si>
    <t>ТП-4-1  6/0,4 кВ</t>
  </si>
  <si>
    <t>ТП-4-4  6/0,4 кВ</t>
  </si>
  <si>
    <t>ТП-4-5  6/0,4 кВ</t>
  </si>
  <si>
    <t>ТП-1Л  6/0,4 кВ</t>
  </si>
  <si>
    <t>ТП-2Л  6/0,4 кВ</t>
  </si>
  <si>
    <t>ТП-3Л  6/0,4 кВ</t>
  </si>
  <si>
    <t>ТП-3А  6/0,4 кВ</t>
  </si>
  <si>
    <t>ТП-4Л  6/0,4 кВ</t>
  </si>
  <si>
    <t>ТП-4А  6/0,4 кВ</t>
  </si>
  <si>
    <t>ТП-6Л  6/0,4 кВ</t>
  </si>
  <si>
    <t>ТП-7Л  6/0,4 кВ</t>
  </si>
  <si>
    <t>ТП-8Л  6/0,4 кВ</t>
  </si>
  <si>
    <t>ТП-9Л  6/0,4 кВ</t>
  </si>
  <si>
    <t>ТП-10Л  6/0,4 кВ</t>
  </si>
  <si>
    <t>ТП-11Л  6/0,4 кВ</t>
  </si>
  <si>
    <t>ТП-13Л  6/0,4 кВ</t>
  </si>
  <si>
    <t>2х560 (1120)</t>
  </si>
  <si>
    <t>ТП-3  6/0,4 кВ</t>
  </si>
  <si>
    <t>ТП-14П  6/0,4 кВ</t>
  </si>
  <si>
    <t xml:space="preserve">ТП-54  10/0,4 кВ </t>
  </si>
  <si>
    <t>ТП-58  6/0,4 кВ</t>
  </si>
  <si>
    <t>ТП-59  6/0,4 кВ</t>
  </si>
  <si>
    <t>ТП-77  6/0,4 кВ</t>
  </si>
  <si>
    <t>ТП-6/8  6/0,4 кВ</t>
  </si>
  <si>
    <t xml:space="preserve">ТП-510  10/0,4 кВ </t>
  </si>
  <si>
    <t xml:space="preserve">ТП-511  10/0,4 кВ </t>
  </si>
  <si>
    <t xml:space="preserve">ТП-512  10/0,4 кВ </t>
  </si>
  <si>
    <t xml:space="preserve">ТП-513  10/0,4 кВ </t>
  </si>
  <si>
    <t xml:space="preserve">ТП-514  10/0,4 кВ </t>
  </si>
  <si>
    <t>ТП-ЛТП  6/0,4 кВ</t>
  </si>
  <si>
    <t xml:space="preserve">ТП-РП-7  10/0,4 кВ </t>
  </si>
  <si>
    <t xml:space="preserve">ТП-85  10/0,4 кВ </t>
  </si>
  <si>
    <t xml:space="preserve">ТП-235  10/0,4 кВ </t>
  </si>
  <si>
    <t xml:space="preserve">ТП-253  10/0,4 кВ </t>
  </si>
  <si>
    <t xml:space="preserve">ТП-271  10/0,4 кВ </t>
  </si>
  <si>
    <t>ТП-12А  6/0,4 кВ</t>
  </si>
  <si>
    <t>ТП-14А  6/0,4 кВ</t>
  </si>
  <si>
    <t>ТП-23  6/0,4 кВ</t>
  </si>
  <si>
    <t>ТП-25  6/0,4 кВ</t>
  </si>
  <si>
    <t>ТП-35  6/0,4 кВ</t>
  </si>
  <si>
    <t>ТП-40  6/0,4 кВ</t>
  </si>
  <si>
    <t>ТП-44  6/0,4 кВ</t>
  </si>
  <si>
    <t>ТП-10Г  6/0,4 кВ</t>
  </si>
  <si>
    <t>ТП-ГПТУ  6/0,4 кВ</t>
  </si>
  <si>
    <t xml:space="preserve">ТП-189  10/0,4 кВ </t>
  </si>
  <si>
    <t>Запорізькі РЕМ</t>
  </si>
  <si>
    <t>2x400 (800)</t>
  </si>
  <si>
    <t>м. Запоріжжя</t>
  </si>
  <si>
    <t>м. Оріхів</t>
  </si>
  <si>
    <t>м. Мелітополь</t>
  </si>
  <si>
    <t>РП-3П 6/0,4кВ</t>
  </si>
  <si>
    <t>РП-5П 6/0,4кВ</t>
  </si>
  <si>
    <t>КТП-105  6/0,4кВ</t>
  </si>
  <si>
    <t>КТП-145  6/0,4кВ</t>
  </si>
  <si>
    <t>ТП-673 6/0,4кВ</t>
  </si>
  <si>
    <t>КТП-289 6/0,4кВ</t>
  </si>
  <si>
    <t>КТП-796 6/0,4кВ</t>
  </si>
  <si>
    <t>МТП-672 6/0,4кВ</t>
  </si>
  <si>
    <t>МТП-240 6/0,4кВ</t>
  </si>
  <si>
    <t xml:space="preserve">ТП-001 6/0,4кВ </t>
  </si>
  <si>
    <t>2х250(500)</t>
  </si>
  <si>
    <t>МТП-002 6/0,4кВ</t>
  </si>
  <si>
    <t>КТП-003 6/0,4кВ</t>
  </si>
  <si>
    <t>КТП-1 6/0,4кВ</t>
  </si>
  <si>
    <t>КТП-2 6/0,4кВ</t>
  </si>
  <si>
    <t>КТП-3 6/0,4кВ</t>
  </si>
  <si>
    <t>КТП-4 6/0,4кВ</t>
  </si>
  <si>
    <t>КТП-5 6/0,4кВ</t>
  </si>
  <si>
    <t>КТП-5 2 Т6/0,4кВ</t>
  </si>
  <si>
    <t>ТП-390 6/0,4кВ</t>
  </si>
  <si>
    <t>ТП-381 6/0,4кВ</t>
  </si>
  <si>
    <t>КТП-391 6/0,4кВ</t>
  </si>
  <si>
    <t>КТП-330 6/0,4кВ</t>
  </si>
  <si>
    <t>ТП-556 6/0,4кВ</t>
  </si>
  <si>
    <t>КТП-683 6/0,4кВ</t>
  </si>
  <si>
    <t>КТП-179 10/0,4 кВ</t>
  </si>
  <si>
    <t xml:space="preserve">КТП-312 10/0,4 кВ </t>
  </si>
  <si>
    <t>МТП-228 6/0,4кВ</t>
  </si>
  <si>
    <t>ТП-630 10/0,4 кВ</t>
  </si>
  <si>
    <t>ТП-750 10/0,4 кВ</t>
  </si>
  <si>
    <t>2х400(800)</t>
  </si>
  <si>
    <t>КТП-178 10/0,4 кВ</t>
  </si>
  <si>
    <t>МТП-655 10/0,4 кВ</t>
  </si>
  <si>
    <t>КТП-631 10/0,4 кВ</t>
  </si>
  <si>
    <t>КТП-1к 6/0,4кВ</t>
  </si>
  <si>
    <t>КТП-2к 6/0,4кВ</t>
  </si>
  <si>
    <t>МТП-139 6/0,4кВ</t>
  </si>
  <si>
    <t>КТП-700 6/0,4кВ</t>
  </si>
  <si>
    <t>КТП-621 6/0,4кВ</t>
  </si>
  <si>
    <t>МТП-147 6/0,4кВ</t>
  </si>
  <si>
    <t>ТП-40 6/0,4кВ</t>
  </si>
  <si>
    <t>КТП-343 10/0,4 кВ</t>
  </si>
  <si>
    <t>КТП-119  6/0,4кВ</t>
  </si>
  <si>
    <t>КТП-595 6/0,4кВ</t>
  </si>
  <si>
    <t>КТП-806 6/0,4кВ</t>
  </si>
  <si>
    <t>КТП-698 6/0,4кВ</t>
  </si>
  <si>
    <t>ТП-567 10/0,4 кВ</t>
  </si>
  <si>
    <t>КТП-19 6/0,4кВ</t>
  </si>
  <si>
    <t>ТП-24 6/0,4кВ</t>
  </si>
  <si>
    <t>КТП-48 6/0,4кВ</t>
  </si>
  <si>
    <t>ТП-680 10/0,4 кВ</t>
  </si>
  <si>
    <t>ТП-295 10/0,4 кВ</t>
  </si>
  <si>
    <t>ТП-3 10/0,4 кВ</t>
  </si>
  <si>
    <t>КТП-520 10/0,4 кВ</t>
  </si>
  <si>
    <t>КТП-401 10/0,4 кВ</t>
  </si>
  <si>
    <t>ТП-1 6/0,4кВ</t>
  </si>
  <si>
    <t>ТП-2 6/0,4кВ</t>
  </si>
  <si>
    <t>КТП-296 10/0,4 кВ</t>
  </si>
  <si>
    <t>КТП-294 10/0,4 кВ</t>
  </si>
  <si>
    <t>ТП-НПВ</t>
  </si>
  <si>
    <t>ТП-775 10/0,4 кВ</t>
  </si>
  <si>
    <t>КТП-777 10/0,4 кВ</t>
  </si>
  <si>
    <t>КТП-516 10/0,4 кВ</t>
  </si>
  <si>
    <t>КТП-91 6/0,4кВ</t>
  </si>
  <si>
    <t>КТП-57 6/0,4кВ</t>
  </si>
  <si>
    <t>ТП-370 Т-1 Т-2 10/0,4 кВ</t>
  </si>
  <si>
    <t>КТП-617 10/0,4 кВ</t>
  </si>
  <si>
    <t>МТП-688 10/0,4 кВ</t>
  </si>
  <si>
    <t>КТП-795 10/0,4 кВ</t>
  </si>
  <si>
    <t>КТП-563 10/0,4 кВ</t>
  </si>
  <si>
    <t>МТП-202 10/0,4 кВ</t>
  </si>
  <si>
    <t>КТП-165 10/0,4 кВ</t>
  </si>
  <si>
    <t>МТП-199 10/0,4 кВ</t>
  </si>
  <si>
    <t>МТП-175 10/0,4 кВ</t>
  </si>
  <si>
    <t>МТП-335 10/0,4 кВ</t>
  </si>
  <si>
    <t>КТП-174 10/0,4 кВ</t>
  </si>
  <si>
    <t>ТП-692 10/0,4 кВ</t>
  </si>
  <si>
    <t>КТП-255 10/0,4 кВ</t>
  </si>
  <si>
    <t>КТП-747 10/0,4 кВ</t>
  </si>
  <si>
    <t>МТП-752 10/0,4 кВ</t>
  </si>
  <si>
    <t>ТП-269 10/0,4 кВ</t>
  </si>
  <si>
    <t>МТП-207 10/0,4 кВ</t>
  </si>
  <si>
    <t>МТП-746 10/0,4 кВ</t>
  </si>
  <si>
    <t>ТП-900 6/0,4кВ</t>
  </si>
  <si>
    <t>ТП-1057 Т-1 Т-2 6/0,4кВ</t>
  </si>
  <si>
    <t>2х180(360)</t>
  </si>
  <si>
    <t>МТП-1293 6/0,4кВ</t>
  </si>
  <si>
    <t>КТП-1294 6/0,4кВ</t>
  </si>
  <si>
    <t>ТП-990  Т-1 Т-2 6/0,4кВ</t>
  </si>
  <si>
    <t>2х630</t>
  </si>
  <si>
    <t>Криворізькі РЕМ</t>
  </si>
  <si>
    <t>Дніпропетровські РЕМ</t>
  </si>
  <si>
    <t xml:space="preserve">ТП-100 6/0,4 кВ </t>
  </si>
  <si>
    <t xml:space="preserve">ТП-101 6/0,4 кВ </t>
  </si>
  <si>
    <t xml:space="preserve">ТП-102 6/0,4 кВ </t>
  </si>
  <si>
    <t xml:space="preserve">ТП-103 6/0,4 кВ </t>
  </si>
  <si>
    <t xml:space="preserve">ТП-104 6/0,4 кВ </t>
  </si>
  <si>
    <t xml:space="preserve">ТП-105 6/0,4 кВ </t>
  </si>
  <si>
    <t xml:space="preserve">ТП-106 6/0,4 кВ </t>
  </si>
  <si>
    <t xml:space="preserve">ТП-107 6/0,4 кВ </t>
  </si>
  <si>
    <t xml:space="preserve">ТП-109 6/0,4 кВ </t>
  </si>
  <si>
    <t xml:space="preserve">ТП-110 6/0,4 кВ </t>
  </si>
  <si>
    <t xml:space="preserve">ТП-111 6/0,4 кВ </t>
  </si>
  <si>
    <t xml:space="preserve">ТП-112 6/0,4 кВ </t>
  </si>
  <si>
    <t xml:space="preserve">ТП-115 6/0,4 кВ </t>
  </si>
  <si>
    <t xml:space="preserve">ТП-116 6/0,4 кВ </t>
  </si>
  <si>
    <t>1х320+1х630(950)</t>
  </si>
  <si>
    <t xml:space="preserve">ТП-117 6/0,4 кВ </t>
  </si>
  <si>
    <t>1х400+1х320(720)</t>
  </si>
  <si>
    <t xml:space="preserve">ТП-118 6/0,4 кВ </t>
  </si>
  <si>
    <t xml:space="preserve">ТП-119 6/0,4 кВ </t>
  </si>
  <si>
    <t xml:space="preserve">ТП-120 6/0,4 кВ </t>
  </si>
  <si>
    <t>1х320+1х400(720)</t>
  </si>
  <si>
    <t xml:space="preserve">ТП-121 6/0,4 кВ </t>
  </si>
  <si>
    <t xml:space="preserve">ТП-122 6/0,4 кВ </t>
  </si>
  <si>
    <t xml:space="preserve">ТП-123 6/0,4 кВ </t>
  </si>
  <si>
    <t xml:space="preserve">ТП-124 6/0,4 кВ </t>
  </si>
  <si>
    <t xml:space="preserve">ТП-128 6/0,4 кВ </t>
  </si>
  <si>
    <t xml:space="preserve">ТП-130 6/0,4 кВ </t>
  </si>
  <si>
    <t xml:space="preserve">ТП-131 6/0,4 кВ </t>
  </si>
  <si>
    <t xml:space="preserve">ТП-132 6/0,4 кВ </t>
  </si>
  <si>
    <t xml:space="preserve">ТП-133 6/0,4 кВ </t>
  </si>
  <si>
    <t xml:space="preserve">ТП-134 6/0,4 кВ </t>
  </si>
  <si>
    <t xml:space="preserve">ТП-135 6/0,4 кВ </t>
  </si>
  <si>
    <t xml:space="preserve">ТП-136 6/0,4 кВ </t>
  </si>
  <si>
    <t xml:space="preserve">ТП-137 6/0,4 кВ </t>
  </si>
  <si>
    <t xml:space="preserve">ТП-138 6/0,4 кВ </t>
  </si>
  <si>
    <t xml:space="preserve">ТП-139 6/0,4 кВ </t>
  </si>
  <si>
    <t xml:space="preserve">ТП-140 6/0,4 кВ </t>
  </si>
  <si>
    <t xml:space="preserve">ТП-142А 6/0,4 кВ </t>
  </si>
  <si>
    <t xml:space="preserve">ТП-301 10/0,4 кВ </t>
  </si>
  <si>
    <t xml:space="preserve">КТП-129 10/0,4 кВ </t>
  </si>
  <si>
    <t xml:space="preserve">ТП-200 6/0,4 кВ </t>
  </si>
  <si>
    <t xml:space="preserve">ТП-201 6/0,4 кВ </t>
  </si>
  <si>
    <t>2х320(640)</t>
  </si>
  <si>
    <t xml:space="preserve">ТП-202 6/0,4 кВ </t>
  </si>
  <si>
    <t xml:space="preserve">ТП-203 6/0,4 кВ </t>
  </si>
  <si>
    <t xml:space="preserve">ТП-204 6/0,4 кВ </t>
  </si>
  <si>
    <t xml:space="preserve">ТП-205 6/0,4 кВ </t>
  </si>
  <si>
    <t xml:space="preserve">ТП-206 6/0,4 кВ </t>
  </si>
  <si>
    <t xml:space="preserve">ТП-207 6/0,4 кВ </t>
  </si>
  <si>
    <t xml:space="preserve">ТП-208 6/0,4 кВ </t>
  </si>
  <si>
    <t xml:space="preserve">ТП-209 6/0,4 кВ </t>
  </si>
  <si>
    <t xml:space="preserve">ТП-210 6/0,4 кВ </t>
  </si>
  <si>
    <t xml:space="preserve">ТП-211 6/0,4 кВ </t>
  </si>
  <si>
    <t xml:space="preserve">ТП-212 6/0,4 кВ </t>
  </si>
  <si>
    <t xml:space="preserve">ТП-213 6/0,4 кВ </t>
  </si>
  <si>
    <t xml:space="preserve">ТП-214 6/0,4 кВ  </t>
  </si>
  <si>
    <t xml:space="preserve">ТП-215 6/0,4 кВ </t>
  </si>
  <si>
    <t xml:space="preserve">ТП-217 6/0,4 кВ </t>
  </si>
  <si>
    <t xml:space="preserve">ТП-218 6/0,4 кВ </t>
  </si>
  <si>
    <t xml:space="preserve">ТП-219 6/0,4 кВ </t>
  </si>
  <si>
    <t xml:space="preserve">ТП-220 6/0,4 кВ </t>
  </si>
  <si>
    <t xml:space="preserve">ТП-221 6/0,4 кВ </t>
  </si>
  <si>
    <t xml:space="preserve">ТП-222 6/0,4 кВ </t>
  </si>
  <si>
    <t xml:space="preserve">ТП-223 6/0,4 кВ </t>
  </si>
  <si>
    <t xml:space="preserve">ТП-224 6/0,4 кВ </t>
  </si>
  <si>
    <t xml:space="preserve">ТП-226 6/0,4 кВ </t>
  </si>
  <si>
    <t xml:space="preserve">ТП-227 6/0,4 кВ </t>
  </si>
  <si>
    <t xml:space="preserve">ТП-228 6/0,4 кВ </t>
  </si>
  <si>
    <t xml:space="preserve">ТП-229 6/0,4 кВ </t>
  </si>
  <si>
    <t xml:space="preserve">ТП-230 6/0,4 кВ </t>
  </si>
  <si>
    <t xml:space="preserve">ТП-231 6/0,4 кВ </t>
  </si>
  <si>
    <t xml:space="preserve">ТП-232 6/0,4 кВ </t>
  </si>
  <si>
    <t xml:space="preserve">ТП-233 6/0,4 кВ </t>
  </si>
  <si>
    <t xml:space="preserve">ТП-234 6/0,4 кВ </t>
  </si>
  <si>
    <t xml:space="preserve">ТП-235 6/0,4 кВ </t>
  </si>
  <si>
    <t xml:space="preserve">ТП-236 6/0,4 кВ </t>
  </si>
  <si>
    <t xml:space="preserve">ТП-238 6/0,4 кВ </t>
  </si>
  <si>
    <t xml:space="preserve">ТП-239 6/0,4 кВ </t>
  </si>
  <si>
    <t xml:space="preserve">ТП-240 6/0,4 кВ </t>
  </si>
  <si>
    <t xml:space="preserve">ТП-241 6/0,4 кВ </t>
  </si>
  <si>
    <t xml:space="preserve">ТП-242 6/0,4 кВ </t>
  </si>
  <si>
    <t xml:space="preserve">ТП-243 6/0,4 кВ </t>
  </si>
  <si>
    <t xml:space="preserve">ТП-244 6/0,4 кВ </t>
  </si>
  <si>
    <t xml:space="preserve">ТП-245 6/0,4 кВ </t>
  </si>
  <si>
    <t>1х630+1х320 (950)</t>
  </si>
  <si>
    <t xml:space="preserve">ТП-246 6/0,4 кВ </t>
  </si>
  <si>
    <t xml:space="preserve">ТП-247 6/0,4 кВ </t>
  </si>
  <si>
    <t xml:space="preserve">ТП-301А 6/0,4 кВ </t>
  </si>
  <si>
    <t xml:space="preserve">ТП-302 6/0,4 кВ </t>
  </si>
  <si>
    <t xml:space="preserve">ТП-303 6/0,4 кВ </t>
  </si>
  <si>
    <t xml:space="preserve">ТП-304 6/0,4 кВ </t>
  </si>
  <si>
    <t xml:space="preserve">ТП-305 6/0,4 кВ </t>
  </si>
  <si>
    <t xml:space="preserve">КТП-305А 6/0,4 кВ </t>
  </si>
  <si>
    <t xml:space="preserve">ТП-307 6/0,4 кВ </t>
  </si>
  <si>
    <t xml:space="preserve">ТП-308 6/0,4 кВ </t>
  </si>
  <si>
    <t xml:space="preserve">ТП-309 6/0,4 кВ </t>
  </si>
  <si>
    <t xml:space="preserve">ТП-310 6/0,4 кВ </t>
  </si>
  <si>
    <t xml:space="preserve">КТП-311 6/0,4 кВ </t>
  </si>
  <si>
    <t xml:space="preserve">ТП-312 6/0,4 кВ </t>
  </si>
  <si>
    <t xml:space="preserve">ТП-314 6/0,4 кВ </t>
  </si>
  <si>
    <t xml:space="preserve">ТП-315 6/0,4 кВ </t>
  </si>
  <si>
    <t xml:space="preserve">ТП-316 6/0,4 кВ </t>
  </si>
  <si>
    <t xml:space="preserve">ТП-317 6/0,4 кВ </t>
  </si>
  <si>
    <t xml:space="preserve">ТП-318 6/0,4 кВ </t>
  </si>
  <si>
    <t xml:space="preserve">ТП-319 6/0,4 кВ </t>
  </si>
  <si>
    <t xml:space="preserve">ТП-320 6/0,4 кВ </t>
  </si>
  <si>
    <t xml:space="preserve">КТП-322 6/0,4 кВ </t>
  </si>
  <si>
    <t xml:space="preserve">ТП-323 6/0,4 кВ </t>
  </si>
  <si>
    <t xml:space="preserve">ТП-324 6/0,4 кВ </t>
  </si>
  <si>
    <t xml:space="preserve">ТП-325 6/0,4 кВ </t>
  </si>
  <si>
    <t xml:space="preserve">ТП-326 6/0,4 кВ </t>
  </si>
  <si>
    <t xml:space="preserve">ТП-332 6/0,4 кВ </t>
  </si>
  <si>
    <t xml:space="preserve">КТП-334 6/0,4 кВ </t>
  </si>
  <si>
    <t xml:space="preserve">КТП-335 6/0,4 кВ </t>
  </si>
  <si>
    <t xml:space="preserve">ТП-336 6/0,4 кВ </t>
  </si>
  <si>
    <t xml:space="preserve">ТП-400 10/0,4 кВ </t>
  </si>
  <si>
    <t xml:space="preserve">ТП-401 10/0,4 кВ </t>
  </si>
  <si>
    <t xml:space="preserve">ТП-5080 10/0,4 кВ </t>
  </si>
  <si>
    <t xml:space="preserve">ТП-5081 10/0,4 кВ </t>
  </si>
  <si>
    <t xml:space="preserve">ТП-5082 10/0,4 кВ </t>
  </si>
  <si>
    <t xml:space="preserve">ТП-5083 10/0,4 кВ </t>
  </si>
  <si>
    <t xml:space="preserve">ТП-5084 10/0,4 кВ  </t>
  </si>
  <si>
    <t xml:space="preserve">ТП-5085 10/0,4 кВ </t>
  </si>
  <si>
    <t xml:space="preserve">ТП-5086 10/0,4 кВ </t>
  </si>
  <si>
    <t xml:space="preserve">ТП-19А 6/0,4 кВ </t>
  </si>
  <si>
    <t xml:space="preserve">ТП-745 6/0,4 кВ </t>
  </si>
  <si>
    <t xml:space="preserve">ТП-771 6/0,4 кВ </t>
  </si>
  <si>
    <t>1х180+1х400 (580)</t>
  </si>
  <si>
    <t xml:space="preserve">ТП-853 10/0,4 кВ </t>
  </si>
  <si>
    <t xml:space="preserve">ТП-5096 6/0,4 кВ </t>
  </si>
  <si>
    <t xml:space="preserve">ТП-5112 10/0,4 кВ </t>
  </si>
  <si>
    <t xml:space="preserve">ТП-5415 10/0,4 кВ </t>
  </si>
  <si>
    <t xml:space="preserve">ТП-5416 6/0,4 кВ </t>
  </si>
  <si>
    <t xml:space="preserve">ТП-5154 6/0,4 кВ </t>
  </si>
  <si>
    <t xml:space="preserve">ТП-1ш 6/0,4 кВ </t>
  </si>
  <si>
    <t xml:space="preserve">ТП-2ш 6/0,4 кВ </t>
  </si>
  <si>
    <t xml:space="preserve">ТП-3ш 6/0,4 кВ </t>
  </si>
  <si>
    <t xml:space="preserve">ТП-5ш 6/0,4 кВ </t>
  </si>
  <si>
    <t xml:space="preserve">ТП-7ш 6/0,4 кВ </t>
  </si>
  <si>
    <t xml:space="preserve">ТП-10ш 6/0,4 кВ </t>
  </si>
  <si>
    <t xml:space="preserve">ТП-11ш 10/0,4 кВ </t>
  </si>
  <si>
    <t xml:space="preserve">ТП-12ш 10/0,4 кВ </t>
  </si>
  <si>
    <t xml:space="preserve">ТП-13ш 10/0,4 кВ </t>
  </si>
  <si>
    <t xml:space="preserve">ТП-35ш 6/0,4 кВ </t>
  </si>
  <si>
    <t xml:space="preserve">ТП-736ш 6/0,4 кВ </t>
  </si>
  <si>
    <t xml:space="preserve">ТП-772ш 6/0,4 кВ </t>
  </si>
  <si>
    <t>2х200 (400)</t>
  </si>
  <si>
    <t xml:space="preserve">ТП-2к 6/0,4 кВ </t>
  </si>
  <si>
    <t xml:space="preserve">ТП-3к 6/0,4 кВ </t>
  </si>
  <si>
    <t xml:space="preserve">ТП-4к 6/0,4 кВ </t>
  </si>
  <si>
    <t xml:space="preserve">ТП-5к 6/0,4 кВ </t>
  </si>
  <si>
    <t xml:space="preserve">ТП-6к 6/0,4 кВ </t>
  </si>
  <si>
    <t xml:space="preserve">ТП-7к 6/0,4 кВ </t>
  </si>
  <si>
    <t xml:space="preserve">ТП-8к 6/0,4 кВ </t>
  </si>
  <si>
    <t xml:space="preserve">ТП-9к 6/0,4 кВ </t>
  </si>
  <si>
    <t xml:space="preserve">ТП-11к 6/0,4 кВ </t>
  </si>
  <si>
    <t xml:space="preserve">АТП-1 6/0,4 кВ </t>
  </si>
  <si>
    <t xml:space="preserve">АТП-2 6/0,4 кВ </t>
  </si>
  <si>
    <t xml:space="preserve">АТП-3 6/0,4 кВ </t>
  </si>
  <si>
    <t xml:space="preserve">АТП-4 6/0,4 кВ </t>
  </si>
  <si>
    <t xml:space="preserve">АТП-5 6/0,4 кВ </t>
  </si>
  <si>
    <t xml:space="preserve">РП-49 6/0,4 кВ </t>
  </si>
  <si>
    <t xml:space="preserve">ТП-1418А 6/0,4 кВ </t>
  </si>
  <si>
    <t>1х1000+1х630 (1630)</t>
  </si>
  <si>
    <t xml:space="preserve">КТП-1360 6/0,4 кВ </t>
  </si>
  <si>
    <t xml:space="preserve">ТП-1849 6/0,4 кВ </t>
  </si>
  <si>
    <t xml:space="preserve">КТП-413 6/0,4 кВ </t>
  </si>
  <si>
    <t xml:space="preserve"> КТП-281 6/0,4кВ</t>
  </si>
  <si>
    <t xml:space="preserve">КТП-5-1-1  10/0,4 кВ </t>
  </si>
  <si>
    <t xml:space="preserve">КТП-5-1-2  10/0,4 кВ </t>
  </si>
  <si>
    <t xml:space="preserve">КТП-5-2-1  10/0,4 кВ </t>
  </si>
  <si>
    <t xml:space="preserve">КТП-5-3-1  10/0,4 кВ </t>
  </si>
  <si>
    <t xml:space="preserve">КТП-5-4-2  10/0,4 кВ </t>
  </si>
  <si>
    <t xml:space="preserve">КТП-5-5-1  10/0,4 кВ </t>
  </si>
  <si>
    <t>КТП-1 10/0,4кВ</t>
  </si>
  <si>
    <t>КТП-2 10/0,4кВ</t>
  </si>
  <si>
    <t>КТП-3 10/0,4кВ</t>
  </si>
  <si>
    <t>КТП-4 10/0,4кВ</t>
  </si>
  <si>
    <t>КТП-5 10/0,4кВ</t>
  </si>
  <si>
    <t>КТП-20 10/0,4кВ</t>
  </si>
  <si>
    <t>КТП-8 10/0,4кВ</t>
  </si>
  <si>
    <t>КТП-14 10/0,4кВ</t>
  </si>
  <si>
    <t>КТП-16 10/0,4кВ</t>
  </si>
  <si>
    <t>КТП-28 10/0,4кВ</t>
  </si>
  <si>
    <t>КТП-7 10/0,4кВ</t>
  </si>
  <si>
    <t>КТП-142 10/0,4кВ</t>
  </si>
  <si>
    <t>КТП-724 10/0,4кВ</t>
  </si>
  <si>
    <t>КТП-1080 10/0,4кВ</t>
  </si>
  <si>
    <t>ТП-105 Т1 Т2 (Кривий Ріг) 6/0,4кВ</t>
  </si>
  <si>
    <t xml:space="preserve">ТП-141 6/0,4 кВ </t>
  </si>
  <si>
    <t xml:space="preserve">КТП-143 6/0,4 кВ </t>
  </si>
  <si>
    <t xml:space="preserve">ТП-23ДК Шинник 6/0,4 кВ </t>
  </si>
  <si>
    <t xml:space="preserve">АТП-6 6/0,4 кВ </t>
  </si>
  <si>
    <t xml:space="preserve">КТП 23А 6/0,4 кВ </t>
  </si>
  <si>
    <t>КТП 312А  6/0,4 кВ</t>
  </si>
  <si>
    <t xml:space="preserve">КТП 316А 6/0,4 кВ </t>
  </si>
  <si>
    <t xml:space="preserve">КТП 329 6/0,4 кВ </t>
  </si>
  <si>
    <t>КТП 397 6/0,4 кВ</t>
  </si>
  <si>
    <t>КТП 442 6/0,4 кВ</t>
  </si>
  <si>
    <t>ТП-524 6/0,4кВ (Запоріжжя)</t>
  </si>
  <si>
    <t>КТП-1  10/0,4кВ (Запоріжжя)</t>
  </si>
  <si>
    <t>ТП-1 10/0,4кВ (Оріхів)</t>
  </si>
  <si>
    <t>ТП-4 10/0,4кВ (Оріхів)</t>
  </si>
  <si>
    <t>ТП-9 10/0,4кВ (Оріхів)</t>
  </si>
  <si>
    <t>ТП-10 10/0,4кВ (Оріхів)</t>
  </si>
  <si>
    <t>ТП-20 10/0,4кВ (Оріхів)</t>
  </si>
  <si>
    <t>ТП-5 6/0,4кВ (Мелітополь)</t>
  </si>
  <si>
    <t>ТП-6 6/0,4кВ (Мелітополь)</t>
  </si>
  <si>
    <t>ТП-7 6/0,4кВ (Мелітополь)</t>
  </si>
  <si>
    <t>ТП-8 6/0,4кВ (Мелітополь)</t>
  </si>
  <si>
    <t>ТП-9 6/0,4кВ (Мелітополь)</t>
  </si>
  <si>
    <t>ТП-10 6/0,4кВ (Мелітополь)</t>
  </si>
  <si>
    <t>ТП-11 6/0,4кВ (Мелітополь)</t>
  </si>
  <si>
    <t>ТП-13 6/0,4кВ (Мелітополь)</t>
  </si>
  <si>
    <t>ТП-14 6/0,4кВ (Мелітополь)</t>
  </si>
  <si>
    <t>ТП-15 6/0,4кВ (Мелітополь)</t>
  </si>
  <si>
    <t>ТП-17 6/0,4кВ (Мелітополь)</t>
  </si>
  <si>
    <t>ТП-18 6/0,4кВ (Мелітополь)</t>
  </si>
  <si>
    <t>МТП-614  6/0,4 кВ</t>
  </si>
  <si>
    <t>ПрАТ "ПЕЕМ "ЦЕК"   станом на __15.01.2015__</t>
  </si>
  <si>
    <t>1х250+1х320(570)</t>
  </si>
  <si>
    <t xml:space="preserve">ТП-108 6/0,4 кВ </t>
  </si>
  <si>
    <t xml:space="preserve">ТП-113 6/0,4 кВ </t>
  </si>
  <si>
    <t xml:space="preserve">ТП-114 6/0,4 кВ </t>
  </si>
  <si>
    <t xml:space="preserve">ТП-126 6/0,4 кВ </t>
  </si>
  <si>
    <t xml:space="preserve">КТП-127 6/0,4 кВ </t>
  </si>
  <si>
    <t xml:space="preserve">ТП-207А 6/0,4 кВ </t>
  </si>
  <si>
    <t>1х400+1х630(1030)</t>
  </si>
  <si>
    <t xml:space="preserve">ТП-216 6/0,4 кВ </t>
  </si>
  <si>
    <t xml:space="preserve">ТП-5089 10/0,4 кВ </t>
  </si>
  <si>
    <t xml:space="preserve">ТП-14ш 10/0,4 кВ </t>
  </si>
  <si>
    <t xml:space="preserve">ТП-15ш 10/0,4 кВ </t>
  </si>
  <si>
    <t xml:space="preserve">ТП-СПТУ 51 6/0,4 кВ </t>
  </si>
  <si>
    <t xml:space="preserve">АТП-6 2Т 6/0,4 кВ </t>
  </si>
  <si>
    <t xml:space="preserve"> КТП-282 6/0,4кВ</t>
  </si>
  <si>
    <t xml:space="preserve">В.о. Генерального директора - Голови Правління                                                
</t>
  </si>
  <si>
    <t>Ф.С. Іващук</t>
  </si>
  <si>
    <t>2х4000(8000)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</si>
</sst>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indexed="8"/>
      <name val="Cambria"/>
      <family val="1"/>
      <charset val="204"/>
    </font>
    <font>
      <sz val="11"/>
      <name val="Times New Roman"/>
      <family val="1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CC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1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 wrapText="1"/>
    </xf>
    <xf numFmtId="0" fontId="1" fillId="2" borderId="0" xfId="0" applyNumberFormat="1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0" borderId="0" xfId="0" applyFont="1"/>
    <xf numFmtId="0" fontId="1" fillId="2" borderId="0" xfId="0" applyFont="1" applyFill="1"/>
    <xf numFmtId="2" fontId="4" fillId="2" borderId="14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15" xfId="0" quotePrefix="1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0" borderId="14" xfId="0" applyFont="1" applyFill="1" applyBorder="1"/>
    <xf numFmtId="1" fontId="1" fillId="0" borderId="18" xfId="0" quotePrefix="1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1" fontId="4" fillId="0" borderId="14" xfId="0" quotePrefix="1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1" fontId="4" fillId="0" borderId="31" xfId="0" applyNumberFormat="1" applyFont="1" applyFill="1" applyBorder="1" applyAlignment="1">
      <alignment horizontal="center" vertical="center"/>
    </xf>
    <xf numFmtId="1" fontId="4" fillId="0" borderId="18" xfId="0" quotePrefix="1" applyNumberFormat="1" applyFont="1" applyFill="1" applyBorder="1" applyAlignment="1">
      <alignment horizontal="center" vertical="center"/>
    </xf>
    <xf numFmtId="1" fontId="4" fillId="0" borderId="18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2" fontId="4" fillId="0" borderId="17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4" fillId="0" borderId="11" xfId="0" applyFont="1" applyFill="1" applyBorder="1"/>
    <xf numFmtId="2" fontId="4" fillId="0" borderId="1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0" borderId="14" xfId="0" applyFont="1" applyFill="1" applyBorder="1"/>
    <xf numFmtId="0" fontId="4" fillId="0" borderId="14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/>
    </xf>
    <xf numFmtId="2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left" wrapText="1"/>
    </xf>
    <xf numFmtId="2" fontId="4" fillId="0" borderId="14" xfId="0" applyNumberFormat="1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center" wrapText="1"/>
    </xf>
    <xf numFmtId="0" fontId="4" fillId="0" borderId="14" xfId="0" applyNumberFormat="1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center" vertical="top" wrapText="1"/>
    </xf>
    <xf numFmtId="2" fontId="4" fillId="0" borderId="17" xfId="0" applyNumberFormat="1" applyFont="1" applyFill="1" applyBorder="1" applyAlignment="1">
      <alignment horizontal="center" vertical="top" wrapText="1"/>
    </xf>
    <xf numFmtId="2" fontId="4" fillId="0" borderId="17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center" vertical="top" wrapText="1"/>
    </xf>
    <xf numFmtId="0" fontId="5" fillId="0" borderId="20" xfId="0" applyFont="1" applyFill="1" applyBorder="1" applyAlignment="1">
      <alignment horizontal="center" wrapText="1"/>
    </xf>
    <xf numFmtId="2" fontId="4" fillId="0" borderId="20" xfId="0" applyNumberFormat="1" applyFont="1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4" fontId="4" fillId="4" borderId="14" xfId="0" applyNumberFormat="1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center" vertical="center" wrapText="1"/>
    </xf>
    <xf numFmtId="164" fontId="4" fillId="4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164" fontId="4" fillId="0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164" fontId="4" fillId="4" borderId="17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 wrapText="1"/>
    </xf>
    <xf numFmtId="164" fontId="4" fillId="2" borderId="14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2" fontId="4" fillId="4" borderId="1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7" xfId="0" applyFont="1" applyFill="1" applyBorder="1"/>
    <xf numFmtId="2" fontId="1" fillId="0" borderId="1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top" wrapText="1"/>
    </xf>
    <xf numFmtId="2" fontId="1" fillId="0" borderId="14" xfId="0" applyNumberFormat="1" applyFont="1" applyFill="1" applyBorder="1" applyAlignment="1">
      <alignment horizontal="center" vertical="top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center" vertical="top" wrapText="1"/>
    </xf>
    <xf numFmtId="2" fontId="1" fillId="0" borderId="17" xfId="0" applyNumberFormat="1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2" fontId="4" fillId="2" borderId="14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/>
    </xf>
    <xf numFmtId="2" fontId="4" fillId="4" borderId="14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13" fillId="0" borderId="14" xfId="0" applyFont="1" applyFill="1" applyBorder="1" applyAlignment="1">
      <alignment horizontal="center" wrapText="1"/>
    </xf>
    <xf numFmtId="2" fontId="13" fillId="0" borderId="1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top" wrapText="1"/>
    </xf>
    <xf numFmtId="0" fontId="13" fillId="0" borderId="14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top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4" fillId="2" borderId="39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/>
    </xf>
    <xf numFmtId="2" fontId="4" fillId="0" borderId="14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14" xfId="0" applyNumberFormat="1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2" fontId="4" fillId="0" borderId="14" xfId="0" applyNumberFormat="1" applyFont="1" applyFill="1" applyBorder="1" applyAlignment="1"/>
    <xf numFmtId="0" fontId="4" fillId="0" borderId="14" xfId="0" applyFont="1" applyFill="1" applyBorder="1" applyAlignment="1"/>
    <xf numFmtId="2" fontId="4" fillId="0" borderId="5" xfId="0" applyNumberFormat="1" applyFont="1" applyFill="1" applyBorder="1" applyAlignment="1"/>
    <xf numFmtId="0" fontId="4" fillId="0" borderId="5" xfId="0" applyFont="1" applyFill="1" applyBorder="1" applyAlignment="1"/>
    <xf numFmtId="2" fontId="5" fillId="2" borderId="14" xfId="0" applyNumberFormat="1" applyFont="1" applyFill="1" applyBorder="1" applyAlignment="1">
      <alignment horizontal="center" vertical="center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/>
    <xf numFmtId="2" fontId="1" fillId="2" borderId="14" xfId="0" applyNumberFormat="1" applyFont="1" applyFill="1" applyBorder="1"/>
    <xf numFmtId="2" fontId="1" fillId="2" borderId="14" xfId="0" applyNumberFormat="1" applyFont="1" applyFill="1" applyBorder="1" applyAlignment="1">
      <alignment horizontal="right"/>
    </xf>
    <xf numFmtId="2" fontId="1" fillId="2" borderId="14" xfId="0" applyNumberFormat="1" applyFont="1" applyFill="1" applyBorder="1" applyAlignment="1">
      <alignment horizontal="right" vertical="center"/>
    </xf>
    <xf numFmtId="2" fontId="1" fillId="2" borderId="14" xfId="0" applyNumberFormat="1" applyFont="1" applyFill="1" applyBorder="1" applyAlignment="1">
      <alignment horizontal="right" vertical="center" wrapText="1"/>
    </xf>
    <xf numFmtId="0" fontId="4" fillId="0" borderId="14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2" fontId="5" fillId="2" borderId="14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top" wrapText="1"/>
    </xf>
    <xf numFmtId="2" fontId="5" fillId="2" borderId="1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3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2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39" xfId="0" applyNumberFormat="1" applyFont="1" applyFill="1" applyBorder="1" applyAlignment="1">
      <alignment horizontal="center" vertical="center"/>
    </xf>
    <xf numFmtId="2" fontId="5" fillId="2" borderId="37" xfId="0" applyNumberFormat="1" applyFont="1" applyFill="1" applyBorder="1" applyAlignment="1">
      <alignment horizontal="center" vertical="center"/>
    </xf>
    <xf numFmtId="2" fontId="5" fillId="2" borderId="38" xfId="0" applyNumberFormat="1" applyFont="1" applyFill="1" applyBorder="1" applyAlignment="1">
      <alignment horizontal="center" vertical="center"/>
    </xf>
    <xf numFmtId="2" fontId="5" fillId="2" borderId="24" xfId="0" applyNumberFormat="1" applyFont="1" applyFill="1" applyBorder="1" applyAlignment="1">
      <alignment horizontal="center" vertical="center"/>
    </xf>
    <xf numFmtId="2" fontId="5" fillId="2" borderId="39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 wrapText="1"/>
    </xf>
    <xf numFmtId="2" fontId="4" fillId="0" borderId="39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38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/>
    </xf>
    <xf numFmtId="2" fontId="4" fillId="0" borderId="17" xfId="0" applyNumberFormat="1" applyFont="1" applyFill="1" applyBorder="1" applyAlignment="1">
      <alignment horizontal="center" vertical="center"/>
    </xf>
    <xf numFmtId="2" fontId="4" fillId="0" borderId="40" xfId="0" applyNumberFormat="1" applyFont="1" applyFill="1" applyBorder="1" applyAlignment="1">
      <alignment horizontal="center" vertical="center"/>
    </xf>
    <xf numFmtId="2" fontId="4" fillId="0" borderId="4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wrapText="1"/>
    </xf>
    <xf numFmtId="0" fontId="9" fillId="0" borderId="23" xfId="0" applyFont="1" applyFill="1" applyBorder="1" applyAlignment="1">
      <alignment horizontal="center" wrapText="1"/>
    </xf>
    <xf numFmtId="0" fontId="9" fillId="0" borderId="30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/>
    </xf>
    <xf numFmtId="2" fontId="1" fillId="2" borderId="39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4" fillId="4" borderId="14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4" fillId="4" borderId="17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top"/>
    </xf>
    <xf numFmtId="0" fontId="10" fillId="3" borderId="30" xfId="0" applyFont="1" applyFill="1" applyBorder="1" applyAlignment="1">
      <alignment horizontal="center" vertical="top"/>
    </xf>
    <xf numFmtId="2" fontId="1" fillId="0" borderId="1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top" wrapText="1"/>
    </xf>
    <xf numFmtId="0" fontId="10" fillId="3" borderId="20" xfId="0" applyFont="1" applyFill="1" applyBorder="1" applyAlignment="1">
      <alignment horizontal="center" vertical="top" wrapText="1"/>
    </xf>
    <xf numFmtId="0" fontId="10" fillId="3" borderId="21" xfId="0" applyFont="1" applyFill="1" applyBorder="1" applyAlignment="1">
      <alignment horizontal="center" vertical="top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2" fontId="1" fillId="0" borderId="37" xfId="0" applyNumberFormat="1" applyFont="1" applyFill="1" applyBorder="1" applyAlignment="1">
      <alignment horizontal="center" vertical="center"/>
    </xf>
    <xf numFmtId="2" fontId="1" fillId="0" borderId="38" xfId="0" applyNumberFormat="1" applyFont="1" applyFill="1" applyBorder="1" applyAlignment="1">
      <alignment horizontal="center" vertical="center"/>
    </xf>
    <xf numFmtId="2" fontId="4" fillId="0" borderId="35" xfId="0" applyNumberFormat="1" applyFont="1" applyFill="1" applyBorder="1" applyAlignment="1">
      <alignment horizontal="center" vertical="center"/>
    </xf>
    <xf numFmtId="2" fontId="4" fillId="0" borderId="36" xfId="0" applyNumberFormat="1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/>
    </xf>
    <xf numFmtId="2" fontId="4" fillId="0" borderId="39" xfId="0" applyNumberFormat="1" applyFont="1" applyFill="1" applyBorder="1" applyAlignment="1">
      <alignment horizontal="center" vertical="center"/>
    </xf>
    <xf numFmtId="2" fontId="4" fillId="2" borderId="24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1" fontId="4" fillId="0" borderId="39" xfId="0" applyNumberFormat="1" applyFont="1" applyFill="1" applyBorder="1" applyAlignment="1">
      <alignment horizontal="center" vertical="center"/>
    </xf>
    <xf numFmtId="2" fontId="4" fillId="0" borderId="37" xfId="0" applyNumberFormat="1" applyFont="1" applyFill="1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35"/>
  <sheetViews>
    <sheetView tabSelected="1" zoomScale="80" zoomScaleNormal="80" workbookViewId="0">
      <pane ySplit="7" topLeftCell="A8" activePane="bottomLeft" state="frozen"/>
      <selection pane="bottomLeft" activeCell="N20" sqref="N20"/>
    </sheetView>
  </sheetViews>
  <sheetFormatPr defaultRowHeight="15" x14ac:dyDescent="0.25"/>
  <cols>
    <col min="1" max="1" width="9.140625" style="22"/>
    <col min="2" max="2" width="33" style="22" customWidth="1"/>
    <col min="3" max="3" width="10.42578125" style="22" customWidth="1"/>
    <col min="4" max="4" width="18.5703125" style="22" customWidth="1"/>
    <col min="5" max="5" width="13.85546875" style="22" customWidth="1"/>
    <col min="6" max="6" width="15.5703125" style="23" customWidth="1"/>
    <col min="7" max="7" width="13.5703125" style="22" customWidth="1"/>
    <col min="8" max="8" width="12.42578125" style="22" customWidth="1"/>
    <col min="9" max="9" width="13.7109375" style="22" customWidth="1"/>
    <col min="10" max="10" width="15" style="22" customWidth="1"/>
    <col min="11" max="11" width="6.28515625" style="22" customWidth="1"/>
    <col min="12" max="12" width="12.5703125" style="22" customWidth="1"/>
    <col min="13" max="16384" width="9.140625" style="22"/>
  </cols>
  <sheetData>
    <row r="1" spans="1:24" x14ac:dyDescent="0.25">
      <c r="A1" s="29"/>
      <c r="B1" s="29"/>
      <c r="C1" s="29"/>
      <c r="D1" s="29"/>
      <c r="E1" s="29"/>
      <c r="F1" s="10"/>
      <c r="G1" s="29"/>
      <c r="H1" s="29"/>
      <c r="I1" s="29"/>
      <c r="J1" s="29"/>
      <c r="K1" s="29"/>
      <c r="L1" s="29"/>
    </row>
    <row r="2" spans="1:24" x14ac:dyDescent="0.25">
      <c r="A2" s="322" t="s">
        <v>0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29"/>
    </row>
    <row r="3" spans="1:24" x14ac:dyDescent="0.25">
      <c r="A3" s="323" t="s">
        <v>779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28"/>
    </row>
    <row r="4" spans="1:24" x14ac:dyDescent="0.25">
      <c r="A4" s="324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29"/>
    </row>
    <row r="5" spans="1:24" ht="15.75" thickBot="1" x14ac:dyDescent="0.3">
      <c r="A5" s="29"/>
      <c r="B5" s="29"/>
      <c r="C5" s="29"/>
      <c r="D5" s="29"/>
      <c r="E5" s="29"/>
      <c r="F5" s="10"/>
      <c r="G5" s="29"/>
      <c r="H5" s="29"/>
      <c r="I5" s="29"/>
      <c r="J5" s="29"/>
      <c r="K5" s="29"/>
      <c r="L5" s="29"/>
    </row>
    <row r="6" spans="1:24" x14ac:dyDescent="0.25">
      <c r="A6" s="325" t="s">
        <v>2</v>
      </c>
      <c r="B6" s="327" t="s">
        <v>3</v>
      </c>
      <c r="C6" s="329" t="s">
        <v>4</v>
      </c>
      <c r="D6" s="327" t="s">
        <v>5</v>
      </c>
      <c r="E6" s="327" t="s">
        <v>6</v>
      </c>
      <c r="F6" s="331" t="s">
        <v>7</v>
      </c>
      <c r="G6" s="327" t="s">
        <v>8</v>
      </c>
      <c r="H6" s="327" t="s">
        <v>9</v>
      </c>
      <c r="I6" s="327"/>
      <c r="J6" s="327" t="s">
        <v>10</v>
      </c>
      <c r="K6" s="327"/>
      <c r="L6" s="334" t="s">
        <v>11</v>
      </c>
    </row>
    <row r="7" spans="1:24" ht="120.75" thickBot="1" x14ac:dyDescent="0.3">
      <c r="A7" s="326"/>
      <c r="B7" s="328"/>
      <c r="C7" s="330"/>
      <c r="D7" s="328"/>
      <c r="E7" s="328"/>
      <c r="F7" s="332"/>
      <c r="G7" s="328"/>
      <c r="H7" s="27" t="s">
        <v>12</v>
      </c>
      <c r="I7" s="27" t="s">
        <v>13</v>
      </c>
      <c r="J7" s="328"/>
      <c r="K7" s="328"/>
      <c r="L7" s="335"/>
    </row>
    <row r="8" spans="1:24" ht="16.5" thickBot="1" x14ac:dyDescent="0.3">
      <c r="A8" s="336" t="s">
        <v>14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8"/>
    </row>
    <row r="9" spans="1:24" x14ac:dyDescent="0.25">
      <c r="A9" s="1">
        <v>1</v>
      </c>
      <c r="B9" s="13" t="s">
        <v>15</v>
      </c>
      <c r="C9" s="2"/>
      <c r="D9" s="2" t="s">
        <v>16</v>
      </c>
      <c r="E9" s="26">
        <v>32200</v>
      </c>
      <c r="F9" s="262">
        <v>30560</v>
      </c>
      <c r="G9" s="26">
        <f>E9-F9</f>
        <v>1640</v>
      </c>
      <c r="H9" s="239">
        <v>51369</v>
      </c>
      <c r="I9" s="238">
        <v>0</v>
      </c>
      <c r="J9" s="339">
        <v>0</v>
      </c>
      <c r="K9" s="339"/>
      <c r="L9" s="16" t="s">
        <v>19</v>
      </c>
    </row>
    <row r="10" spans="1:24" ht="33" customHeight="1" x14ac:dyDescent="0.25">
      <c r="A10" s="3">
        <v>2</v>
      </c>
      <c r="B10" s="8" t="s">
        <v>17</v>
      </c>
      <c r="C10" s="4"/>
      <c r="D10" s="5" t="s">
        <v>18</v>
      </c>
      <c r="E10" s="25">
        <v>41216</v>
      </c>
      <c r="F10" s="223">
        <v>15030</v>
      </c>
      <c r="G10" s="25">
        <f>E10-F10</f>
        <v>26186</v>
      </c>
      <c r="H10" s="242">
        <v>58706</v>
      </c>
      <c r="I10" s="159">
        <v>400</v>
      </c>
      <c r="J10" s="339">
        <v>0</v>
      </c>
      <c r="K10" s="339"/>
      <c r="L10" s="16" t="s">
        <v>19</v>
      </c>
      <c r="P10" s="387"/>
      <c r="Q10" s="387"/>
      <c r="R10" s="387"/>
      <c r="W10" s="388"/>
      <c r="X10" s="388"/>
    </row>
    <row r="11" spans="1:24" x14ac:dyDescent="0.25">
      <c r="A11" s="3">
        <v>3</v>
      </c>
      <c r="B11" s="8" t="s">
        <v>20</v>
      </c>
      <c r="C11" s="4"/>
      <c r="D11" s="4" t="s">
        <v>21</v>
      </c>
      <c r="E11" s="25">
        <v>41216</v>
      </c>
      <c r="F11" s="223">
        <v>5120</v>
      </c>
      <c r="G11" s="25">
        <f t="shared" ref="G11:G25" si="0">E11-F11</f>
        <v>36096</v>
      </c>
      <c r="H11" s="242">
        <v>26738</v>
      </c>
      <c r="I11" s="159">
        <v>75</v>
      </c>
      <c r="J11" s="333">
        <f t="shared" ref="J11:J23" si="1">E11*1/0.81-(H11+I11)</f>
        <v>24070.950617283946</v>
      </c>
      <c r="K11" s="333"/>
      <c r="L11" s="17">
        <v>250</v>
      </c>
    </row>
    <row r="12" spans="1:24" x14ac:dyDescent="0.25">
      <c r="A12" s="3">
        <v>4</v>
      </c>
      <c r="B12" s="8" t="s">
        <v>22</v>
      </c>
      <c r="C12" s="4"/>
      <c r="D12" s="4">
        <v>16000</v>
      </c>
      <c r="E12" s="274">
        <v>14720</v>
      </c>
      <c r="F12" s="6">
        <v>2340</v>
      </c>
      <c r="G12" s="274">
        <f t="shared" si="0"/>
        <v>12380</v>
      </c>
      <c r="H12" s="241">
        <v>2600</v>
      </c>
      <c r="I12" s="275">
        <v>0</v>
      </c>
      <c r="J12" s="333">
        <f t="shared" si="1"/>
        <v>15572.839506172837</v>
      </c>
      <c r="K12" s="333"/>
      <c r="L12" s="17">
        <v>250</v>
      </c>
    </row>
    <row r="13" spans="1:24" x14ac:dyDescent="0.25">
      <c r="A13" s="3">
        <v>5</v>
      </c>
      <c r="B13" s="8" t="s">
        <v>23</v>
      </c>
      <c r="C13" s="4"/>
      <c r="D13" s="4">
        <v>32000</v>
      </c>
      <c r="E13" s="25">
        <f>32000*0.92</f>
        <v>29440</v>
      </c>
      <c r="F13" s="223">
        <v>1570</v>
      </c>
      <c r="G13" s="25">
        <f t="shared" si="0"/>
        <v>27870</v>
      </c>
      <c r="H13" s="240">
        <v>70778</v>
      </c>
      <c r="I13" s="159">
        <v>0</v>
      </c>
      <c r="J13" s="339">
        <v>0</v>
      </c>
      <c r="K13" s="339"/>
      <c r="L13" s="16" t="s">
        <v>19</v>
      </c>
    </row>
    <row r="14" spans="1:24" x14ac:dyDescent="0.25">
      <c r="A14" s="3">
        <v>6</v>
      </c>
      <c r="B14" s="8" t="s">
        <v>24</v>
      </c>
      <c r="C14" s="4"/>
      <c r="D14" s="4" t="s">
        <v>25</v>
      </c>
      <c r="E14" s="25">
        <v>41216</v>
      </c>
      <c r="F14" s="223">
        <v>4820</v>
      </c>
      <c r="G14" s="25">
        <f t="shared" si="0"/>
        <v>36396</v>
      </c>
      <c r="H14" s="242">
        <v>39240</v>
      </c>
      <c r="I14" s="159">
        <v>0</v>
      </c>
      <c r="J14" s="333">
        <f t="shared" si="1"/>
        <v>11643.950617283946</v>
      </c>
      <c r="K14" s="333"/>
      <c r="L14" s="17">
        <v>250</v>
      </c>
    </row>
    <row r="15" spans="1:24" x14ac:dyDescent="0.25">
      <c r="A15" s="3">
        <v>7</v>
      </c>
      <c r="B15" s="8" t="s">
        <v>26</v>
      </c>
      <c r="C15" s="4"/>
      <c r="D15" s="4" t="s">
        <v>27</v>
      </c>
      <c r="E15" s="25">
        <v>20608</v>
      </c>
      <c r="F15" s="258">
        <v>1280</v>
      </c>
      <c r="G15" s="25">
        <f t="shared" si="0"/>
        <v>19328</v>
      </c>
      <c r="H15" s="241">
        <v>2170</v>
      </c>
      <c r="I15" s="159">
        <v>0</v>
      </c>
      <c r="J15" s="333">
        <f t="shared" si="1"/>
        <v>23271.975308641973</v>
      </c>
      <c r="K15" s="333"/>
      <c r="L15" s="17">
        <v>250</v>
      </c>
    </row>
    <row r="16" spans="1:24" x14ac:dyDescent="0.25">
      <c r="A16" s="3">
        <v>8</v>
      </c>
      <c r="B16" s="8" t="s">
        <v>28</v>
      </c>
      <c r="C16" s="4"/>
      <c r="D16" s="4" t="s">
        <v>29</v>
      </c>
      <c r="E16" s="25">
        <v>77280</v>
      </c>
      <c r="F16" s="261">
        <v>13286</v>
      </c>
      <c r="G16" s="25">
        <f t="shared" si="0"/>
        <v>63994</v>
      </c>
      <c r="H16" s="268">
        <v>23800</v>
      </c>
      <c r="I16" s="159">
        <v>0</v>
      </c>
      <c r="J16" s="333">
        <f t="shared" si="1"/>
        <v>71607.407407407401</v>
      </c>
      <c r="K16" s="333"/>
      <c r="L16" s="17">
        <v>250</v>
      </c>
    </row>
    <row r="17" spans="1:12" x14ac:dyDescent="0.25">
      <c r="A17" s="3">
        <v>9</v>
      </c>
      <c r="B17" s="8" t="s">
        <v>30</v>
      </c>
      <c r="C17" s="4"/>
      <c r="D17" s="4" t="s">
        <v>31</v>
      </c>
      <c r="E17" s="25">
        <v>8114.4</v>
      </c>
      <c r="F17" s="206">
        <v>2070</v>
      </c>
      <c r="G17" s="25">
        <f t="shared" si="0"/>
        <v>6044.4</v>
      </c>
      <c r="H17" s="228">
        <v>7340</v>
      </c>
      <c r="I17" s="159">
        <v>828.22</v>
      </c>
      <c r="J17" s="333">
        <f t="shared" si="1"/>
        <v>1849.5577777777771</v>
      </c>
      <c r="K17" s="333"/>
      <c r="L17" s="17">
        <v>250</v>
      </c>
    </row>
    <row r="18" spans="1:12" x14ac:dyDescent="0.25">
      <c r="A18" s="3">
        <v>10</v>
      </c>
      <c r="B18" s="8" t="s">
        <v>32</v>
      </c>
      <c r="C18" s="4"/>
      <c r="D18" s="4" t="s">
        <v>33</v>
      </c>
      <c r="E18" s="25">
        <v>5152</v>
      </c>
      <c r="F18" s="223">
        <v>820</v>
      </c>
      <c r="G18" s="25">
        <f t="shared" si="0"/>
        <v>4332</v>
      </c>
      <c r="H18" s="241">
        <v>3840</v>
      </c>
      <c r="I18" s="159">
        <v>0</v>
      </c>
      <c r="J18" s="333">
        <f t="shared" si="1"/>
        <v>2520.4938271604933</v>
      </c>
      <c r="K18" s="333"/>
      <c r="L18" s="17">
        <v>250</v>
      </c>
    </row>
    <row r="19" spans="1:12" x14ac:dyDescent="0.25">
      <c r="A19" s="3">
        <v>11</v>
      </c>
      <c r="B19" s="8" t="s">
        <v>34</v>
      </c>
      <c r="C19" s="4"/>
      <c r="D19" s="4" t="s">
        <v>31</v>
      </c>
      <c r="E19" s="25">
        <v>8114.4</v>
      </c>
      <c r="F19" s="223">
        <v>4350</v>
      </c>
      <c r="G19" s="25">
        <f t="shared" si="0"/>
        <v>3764.3999999999996</v>
      </c>
      <c r="H19" s="241">
        <v>3680</v>
      </c>
      <c r="I19" s="159">
        <v>0</v>
      </c>
      <c r="J19" s="333">
        <f t="shared" si="1"/>
        <v>6337.7777777777774</v>
      </c>
      <c r="K19" s="333"/>
      <c r="L19" s="17">
        <v>250</v>
      </c>
    </row>
    <row r="20" spans="1:12" x14ac:dyDescent="0.25">
      <c r="A20" s="3">
        <v>12</v>
      </c>
      <c r="B20" s="8" t="s">
        <v>35</v>
      </c>
      <c r="C20" s="4"/>
      <c r="D20" s="4" t="s">
        <v>33</v>
      </c>
      <c r="E20" s="25">
        <v>5152</v>
      </c>
      <c r="F20" s="223">
        <v>63</v>
      </c>
      <c r="G20" s="25">
        <f t="shared" si="0"/>
        <v>5089</v>
      </c>
      <c r="H20" s="241">
        <v>1500</v>
      </c>
      <c r="I20" s="159">
        <v>0</v>
      </c>
      <c r="J20" s="333">
        <f t="shared" si="1"/>
        <v>4860.4938271604933</v>
      </c>
      <c r="K20" s="333"/>
      <c r="L20" s="17">
        <v>250</v>
      </c>
    </row>
    <row r="21" spans="1:12" x14ac:dyDescent="0.25">
      <c r="A21" s="3">
        <v>13</v>
      </c>
      <c r="B21" s="8" t="s">
        <v>36</v>
      </c>
      <c r="C21" s="4"/>
      <c r="D21" s="4" t="s">
        <v>37</v>
      </c>
      <c r="E21" s="25">
        <v>7212.8</v>
      </c>
      <c r="F21" s="223">
        <v>4720</v>
      </c>
      <c r="G21" s="25">
        <f t="shared" si="0"/>
        <v>2492.8000000000002</v>
      </c>
      <c r="H21" s="241">
        <v>261</v>
      </c>
      <c r="I21" s="159">
        <v>0</v>
      </c>
      <c r="J21" s="333">
        <f t="shared" si="1"/>
        <v>8643.691358024691</v>
      </c>
      <c r="K21" s="333"/>
      <c r="L21" s="17">
        <v>250</v>
      </c>
    </row>
    <row r="22" spans="1:12" ht="23.25" customHeight="1" x14ac:dyDescent="0.25">
      <c r="A22" s="3">
        <v>14</v>
      </c>
      <c r="B22" s="8" t="s">
        <v>38</v>
      </c>
      <c r="C22" s="4"/>
      <c r="D22" s="5" t="s">
        <v>797</v>
      </c>
      <c r="E22" s="265">
        <v>5152</v>
      </c>
      <c r="F22" s="265">
        <v>1660</v>
      </c>
      <c r="G22" s="25">
        <f t="shared" si="0"/>
        <v>3492</v>
      </c>
      <c r="H22" s="242">
        <v>10738</v>
      </c>
      <c r="I22" s="159">
        <v>0</v>
      </c>
      <c r="J22" s="339">
        <v>0</v>
      </c>
      <c r="K22" s="339"/>
      <c r="L22" s="16" t="s">
        <v>19</v>
      </c>
    </row>
    <row r="23" spans="1:12" ht="20.25" customHeight="1" x14ac:dyDescent="0.25">
      <c r="A23" s="3">
        <v>15</v>
      </c>
      <c r="B23" s="8" t="s">
        <v>280</v>
      </c>
      <c r="C23" s="4"/>
      <c r="D23" s="4" t="s">
        <v>39</v>
      </c>
      <c r="E23" s="25">
        <v>12880</v>
      </c>
      <c r="F23" s="223">
        <v>5940</v>
      </c>
      <c r="G23" s="25">
        <f t="shared" si="0"/>
        <v>6940</v>
      </c>
      <c r="H23" s="241">
        <v>1590</v>
      </c>
      <c r="I23" s="159">
        <v>280</v>
      </c>
      <c r="J23" s="333">
        <f t="shared" si="1"/>
        <v>14031.234567901234</v>
      </c>
      <c r="K23" s="333"/>
      <c r="L23" s="17">
        <v>250</v>
      </c>
    </row>
    <row r="24" spans="1:12" x14ac:dyDescent="0.25">
      <c r="A24" s="3">
        <v>16</v>
      </c>
      <c r="B24" s="8" t="s">
        <v>40</v>
      </c>
      <c r="C24" s="4"/>
      <c r="D24" s="4" t="s">
        <v>41</v>
      </c>
      <c r="E24" s="25">
        <v>20608</v>
      </c>
      <c r="F24" s="223">
        <v>10600</v>
      </c>
      <c r="G24" s="25">
        <f t="shared" si="0"/>
        <v>10008</v>
      </c>
      <c r="H24" s="241">
        <v>9102</v>
      </c>
      <c r="I24" s="159">
        <v>0</v>
      </c>
      <c r="J24" s="341">
        <f t="shared" ref="J24:J26" si="2">E24*1/0.81-(H24+I24)</f>
        <v>16339.975308641973</v>
      </c>
      <c r="K24" s="342"/>
      <c r="L24" s="17">
        <v>250</v>
      </c>
    </row>
    <row r="25" spans="1:12" x14ac:dyDescent="0.25">
      <c r="A25" s="3">
        <v>17</v>
      </c>
      <c r="B25" s="8" t="s">
        <v>42</v>
      </c>
      <c r="C25" s="4"/>
      <c r="D25" s="4" t="s">
        <v>33</v>
      </c>
      <c r="E25" s="25">
        <v>5152</v>
      </c>
      <c r="F25" s="223">
        <v>420</v>
      </c>
      <c r="G25" s="25">
        <f t="shared" si="0"/>
        <v>4732</v>
      </c>
      <c r="H25" s="241">
        <v>3600</v>
      </c>
      <c r="I25" s="159">
        <v>0</v>
      </c>
      <c r="J25" s="333">
        <f t="shared" ref="J25" si="3">E25*1/0.81-(H25+I25)</f>
        <v>2760.4938271604933</v>
      </c>
      <c r="K25" s="333"/>
      <c r="L25" s="17">
        <v>250</v>
      </c>
    </row>
    <row r="26" spans="1:12" x14ac:dyDescent="0.25">
      <c r="A26" s="3">
        <v>18</v>
      </c>
      <c r="B26" s="9" t="s">
        <v>272</v>
      </c>
      <c r="C26" s="5"/>
      <c r="D26" s="5" t="s">
        <v>43</v>
      </c>
      <c r="E26" s="20">
        <v>4121.6000000000004</v>
      </c>
      <c r="F26" s="65">
        <v>714</v>
      </c>
      <c r="G26" s="20">
        <f>E26-F26</f>
        <v>3407.6000000000004</v>
      </c>
      <c r="H26" s="244">
        <f>3780</f>
        <v>3780</v>
      </c>
      <c r="I26" s="235">
        <v>0</v>
      </c>
      <c r="J26" s="341">
        <f t="shared" si="2"/>
        <v>1308.3950617283954</v>
      </c>
      <c r="K26" s="342"/>
      <c r="L26" s="17">
        <v>250</v>
      </c>
    </row>
    <row r="27" spans="1:12" x14ac:dyDescent="0.25">
      <c r="A27" s="3">
        <v>19</v>
      </c>
      <c r="B27" s="8" t="s">
        <v>273</v>
      </c>
      <c r="C27" s="5"/>
      <c r="D27" s="5">
        <v>3200</v>
      </c>
      <c r="E27" s="20">
        <v>2944</v>
      </c>
      <c r="F27" s="65">
        <f>1932+1000</f>
        <v>2932</v>
      </c>
      <c r="G27" s="20">
        <f t="shared" ref="G27:G39" si="4">E27-F27</f>
        <v>12</v>
      </c>
      <c r="H27" s="244">
        <v>3410</v>
      </c>
      <c r="I27" s="235">
        <v>0</v>
      </c>
      <c r="J27" s="343">
        <f>E27*1/1-(H27+I27)</f>
        <v>-466</v>
      </c>
      <c r="K27" s="343"/>
      <c r="L27" s="17">
        <v>250</v>
      </c>
    </row>
    <row r="28" spans="1:12" ht="30" x14ac:dyDescent="0.25">
      <c r="A28" s="3">
        <v>20</v>
      </c>
      <c r="B28" s="9" t="s">
        <v>274</v>
      </c>
      <c r="C28" s="5"/>
      <c r="D28" s="21" t="s">
        <v>44</v>
      </c>
      <c r="E28" s="24">
        <f>1600*0.92*1.4</f>
        <v>2060.7999999999997</v>
      </c>
      <c r="F28" s="156">
        <v>485.76</v>
      </c>
      <c r="G28" s="222">
        <f>E28-F28</f>
        <v>1575.0399999999997</v>
      </c>
      <c r="H28" s="242">
        <v>1248</v>
      </c>
      <c r="I28" s="221">
        <v>0</v>
      </c>
      <c r="J28" s="340">
        <f>E28*1/1-(H28+I28)</f>
        <v>812.79999999999973</v>
      </c>
      <c r="K28" s="340"/>
      <c r="L28" s="18">
        <v>250</v>
      </c>
    </row>
    <row r="29" spans="1:12" x14ac:dyDescent="0.25">
      <c r="A29" s="3">
        <v>21</v>
      </c>
      <c r="B29" s="9" t="s">
        <v>275</v>
      </c>
      <c r="C29" s="5"/>
      <c r="D29" s="5" t="s">
        <v>45</v>
      </c>
      <c r="E29" s="20">
        <v>3220</v>
      </c>
      <c r="F29" s="20">
        <v>2000</v>
      </c>
      <c r="G29" s="20">
        <f t="shared" si="4"/>
        <v>1220</v>
      </c>
      <c r="H29" s="241">
        <v>1254.0999999999999</v>
      </c>
      <c r="I29" s="235">
        <v>0</v>
      </c>
      <c r="J29" s="343">
        <f t="shared" ref="J29:J39" si="5">E29*1/1-(H29+I29)</f>
        <v>1965.9</v>
      </c>
      <c r="K29" s="343"/>
      <c r="L29" s="17">
        <v>250</v>
      </c>
    </row>
    <row r="30" spans="1:12" x14ac:dyDescent="0.25">
      <c r="A30" s="3">
        <v>22</v>
      </c>
      <c r="B30" s="8" t="s">
        <v>276</v>
      </c>
      <c r="C30" s="5"/>
      <c r="D30" s="5" t="s">
        <v>31</v>
      </c>
      <c r="E30" s="20">
        <v>8114.4</v>
      </c>
      <c r="F30" s="20">
        <v>150</v>
      </c>
      <c r="G30" s="20">
        <f t="shared" si="4"/>
        <v>7964.4</v>
      </c>
      <c r="H30" s="241">
        <v>297</v>
      </c>
      <c r="I30" s="235">
        <v>0</v>
      </c>
      <c r="J30" s="343">
        <f t="shared" si="5"/>
        <v>7817.4</v>
      </c>
      <c r="K30" s="343"/>
      <c r="L30" s="17">
        <v>250</v>
      </c>
    </row>
    <row r="31" spans="1:12" x14ac:dyDescent="0.25">
      <c r="A31" s="3">
        <v>23</v>
      </c>
      <c r="B31" s="9" t="s">
        <v>277</v>
      </c>
      <c r="C31" s="5"/>
      <c r="D31" s="5">
        <v>2500</v>
      </c>
      <c r="E31" s="20">
        <v>2300</v>
      </c>
      <c r="F31" s="65">
        <v>648</v>
      </c>
      <c r="G31" s="20">
        <f t="shared" si="4"/>
        <v>1652</v>
      </c>
      <c r="H31" s="244">
        <f>108+0.92*400</f>
        <v>476</v>
      </c>
      <c r="I31" s="235">
        <v>0</v>
      </c>
      <c r="J31" s="343">
        <f t="shared" ref="J31" si="6">E31*1/1-(H31+I31)</f>
        <v>1824</v>
      </c>
      <c r="K31" s="343"/>
      <c r="L31" s="17">
        <v>250</v>
      </c>
    </row>
    <row r="32" spans="1:12" ht="30" x14ac:dyDescent="0.25">
      <c r="A32" s="3">
        <v>24</v>
      </c>
      <c r="B32" s="9" t="s">
        <v>278</v>
      </c>
      <c r="C32" s="5"/>
      <c r="D32" s="5" t="s">
        <v>287</v>
      </c>
      <c r="E32" s="20">
        <v>2318.4</v>
      </c>
      <c r="F32" s="20">
        <v>220</v>
      </c>
      <c r="G32" s="20">
        <f t="shared" si="4"/>
        <v>2098.4</v>
      </c>
      <c r="H32" s="241">
        <v>1924</v>
      </c>
      <c r="I32" s="235">
        <v>0</v>
      </c>
      <c r="J32" s="343">
        <f t="shared" si="5"/>
        <v>394.40000000000009</v>
      </c>
      <c r="K32" s="343"/>
      <c r="L32" s="17">
        <v>250</v>
      </c>
    </row>
    <row r="33" spans="1:12" x14ac:dyDescent="0.25">
      <c r="A33" s="3">
        <v>25</v>
      </c>
      <c r="B33" s="8" t="s">
        <v>279</v>
      </c>
      <c r="C33" s="5"/>
      <c r="D33" s="5">
        <v>2500</v>
      </c>
      <c r="E33" s="20">
        <v>2300</v>
      </c>
      <c r="F33" s="20">
        <v>2270</v>
      </c>
      <c r="G33" s="20">
        <f t="shared" si="4"/>
        <v>30</v>
      </c>
      <c r="H33" s="241">
        <v>0</v>
      </c>
      <c r="I33" s="235">
        <v>0</v>
      </c>
      <c r="J33" s="343">
        <f t="shared" si="5"/>
        <v>2300</v>
      </c>
      <c r="K33" s="343"/>
      <c r="L33" s="17">
        <v>250</v>
      </c>
    </row>
    <row r="34" spans="1:12" x14ac:dyDescent="0.25">
      <c r="A34" s="3">
        <v>26</v>
      </c>
      <c r="B34" s="9" t="s">
        <v>281</v>
      </c>
      <c r="C34" s="5"/>
      <c r="D34" s="5" t="s">
        <v>39</v>
      </c>
      <c r="E34" s="20">
        <v>12880</v>
      </c>
      <c r="F34" s="20">
        <v>2250</v>
      </c>
      <c r="G34" s="20">
        <f t="shared" si="4"/>
        <v>10630</v>
      </c>
      <c r="H34" s="241">
        <v>7304.05</v>
      </c>
      <c r="I34" s="235">
        <v>42</v>
      </c>
      <c r="J34" s="343">
        <f>E34*1/0.81-(H34+I34)</f>
        <v>8555.1845679012331</v>
      </c>
      <c r="K34" s="343"/>
      <c r="L34" s="17">
        <v>250</v>
      </c>
    </row>
    <row r="35" spans="1:12" x14ac:dyDescent="0.25">
      <c r="A35" s="3">
        <v>27</v>
      </c>
      <c r="B35" s="9" t="s">
        <v>282</v>
      </c>
      <c r="C35" s="5"/>
      <c r="D35" s="5" t="s">
        <v>39</v>
      </c>
      <c r="E35" s="20">
        <v>12880</v>
      </c>
      <c r="F35" s="20">
        <v>400</v>
      </c>
      <c r="G35" s="20">
        <f t="shared" si="4"/>
        <v>12480</v>
      </c>
      <c r="H35" s="241">
        <v>200</v>
      </c>
      <c r="I35" s="235">
        <v>0</v>
      </c>
      <c r="J35" s="343">
        <f>E35*1/0.81-(H35+I35)</f>
        <v>15701.234567901234</v>
      </c>
      <c r="K35" s="343"/>
      <c r="L35" s="17">
        <v>250</v>
      </c>
    </row>
    <row r="36" spans="1:12" x14ac:dyDescent="0.25">
      <c r="A36" s="3">
        <v>28</v>
      </c>
      <c r="B36" s="9" t="s">
        <v>283</v>
      </c>
      <c r="C36" s="5"/>
      <c r="D36" s="5" t="s">
        <v>45</v>
      </c>
      <c r="E36" s="20">
        <v>3220</v>
      </c>
      <c r="F36" s="20">
        <v>91</v>
      </c>
      <c r="G36" s="20">
        <f t="shared" si="4"/>
        <v>3129</v>
      </c>
      <c r="H36" s="241">
        <v>1030</v>
      </c>
      <c r="I36" s="235">
        <v>0</v>
      </c>
      <c r="J36" s="343">
        <f t="shared" si="5"/>
        <v>2190</v>
      </c>
      <c r="K36" s="343"/>
      <c r="L36" s="17">
        <v>250</v>
      </c>
    </row>
    <row r="37" spans="1:12" x14ac:dyDescent="0.25">
      <c r="A37" s="3">
        <v>29</v>
      </c>
      <c r="B37" s="8" t="s">
        <v>284</v>
      </c>
      <c r="C37" s="5"/>
      <c r="D37" s="5" t="s">
        <v>797</v>
      </c>
      <c r="E37" s="20">
        <v>5152</v>
      </c>
      <c r="F37" s="20">
        <v>1490</v>
      </c>
      <c r="G37" s="20">
        <f t="shared" si="4"/>
        <v>3662</v>
      </c>
      <c r="H37" s="241">
        <v>2000</v>
      </c>
      <c r="I37" s="235">
        <v>0</v>
      </c>
      <c r="J37" s="343">
        <f t="shared" si="5"/>
        <v>3152</v>
      </c>
      <c r="K37" s="343"/>
      <c r="L37" s="17">
        <v>250</v>
      </c>
    </row>
    <row r="38" spans="1:12" x14ac:dyDescent="0.25">
      <c r="A38" s="3">
        <v>30</v>
      </c>
      <c r="B38" s="9" t="s">
        <v>285</v>
      </c>
      <c r="C38" s="5"/>
      <c r="D38" s="5" t="s">
        <v>33</v>
      </c>
      <c r="E38" s="20">
        <v>5152</v>
      </c>
      <c r="F38" s="20">
        <v>810</v>
      </c>
      <c r="G38" s="20">
        <f t="shared" si="4"/>
        <v>4342</v>
      </c>
      <c r="H38" s="243">
        <v>8566.2000000000007</v>
      </c>
      <c r="I38" s="235">
        <v>100</v>
      </c>
      <c r="J38" s="339">
        <v>0</v>
      </c>
      <c r="K38" s="339"/>
      <c r="L38" s="16" t="s">
        <v>19</v>
      </c>
    </row>
    <row r="39" spans="1:12" ht="15.75" thickBot="1" x14ac:dyDescent="0.3">
      <c r="A39" s="7">
        <v>31</v>
      </c>
      <c r="B39" s="14" t="s">
        <v>286</v>
      </c>
      <c r="C39" s="11"/>
      <c r="D39" s="11">
        <v>1000</v>
      </c>
      <c r="E39" s="12">
        <v>920</v>
      </c>
      <c r="F39" s="237">
        <v>300</v>
      </c>
      <c r="G39" s="12">
        <f t="shared" si="4"/>
        <v>620</v>
      </c>
      <c r="H39" s="243">
        <v>800</v>
      </c>
      <c r="I39" s="236">
        <v>0</v>
      </c>
      <c r="J39" s="348">
        <f t="shared" si="5"/>
        <v>120</v>
      </c>
      <c r="K39" s="348"/>
      <c r="L39" s="19">
        <v>250</v>
      </c>
    </row>
    <row r="40" spans="1:12" ht="16.5" thickBot="1" x14ac:dyDescent="0.3">
      <c r="A40" s="344" t="s">
        <v>46</v>
      </c>
      <c r="B40" s="345"/>
      <c r="C40" s="345"/>
      <c r="D40" s="345"/>
      <c r="E40" s="345"/>
      <c r="F40" s="345"/>
      <c r="G40" s="345"/>
      <c r="H40" s="346"/>
      <c r="I40" s="345"/>
      <c r="J40" s="345"/>
      <c r="K40" s="345"/>
      <c r="L40" s="347"/>
    </row>
    <row r="41" spans="1:12" x14ac:dyDescent="0.25">
      <c r="A41" s="30">
        <v>1</v>
      </c>
      <c r="B41" s="136" t="s">
        <v>47</v>
      </c>
      <c r="C41" s="137"/>
      <c r="D41" s="137">
        <v>160</v>
      </c>
      <c r="E41" s="138">
        <v>147.19999999999999</v>
      </c>
      <c r="F41" s="139">
        <v>13</v>
      </c>
      <c r="G41" s="138">
        <f>E41-F41</f>
        <v>134.19999999999999</v>
      </c>
      <c r="H41" s="138">
        <v>48</v>
      </c>
      <c r="I41" s="137">
        <v>0</v>
      </c>
      <c r="J41" s="350">
        <f>E41*1/0.9-(H41+I41)</f>
        <v>115.55555555555554</v>
      </c>
      <c r="K41" s="350"/>
      <c r="L41" s="15">
        <v>250</v>
      </c>
    </row>
    <row r="42" spans="1:12" x14ac:dyDescent="0.25">
      <c r="A42" s="31">
        <v>2</v>
      </c>
      <c r="B42" s="140" t="s">
        <v>48</v>
      </c>
      <c r="C42" s="141"/>
      <c r="D42" s="142">
        <v>630</v>
      </c>
      <c r="E42" s="143">
        <v>579.6</v>
      </c>
      <c r="F42" s="144">
        <v>1.8</v>
      </c>
      <c r="G42" s="143">
        <f>E42-F42</f>
        <v>577.80000000000007</v>
      </c>
      <c r="H42" s="143">
        <v>230</v>
      </c>
      <c r="I42" s="141">
        <v>0</v>
      </c>
      <c r="J42" s="349">
        <f t="shared" ref="J42:J83" si="7">E42*1/0.9-(H42+I42)</f>
        <v>414</v>
      </c>
      <c r="K42" s="349"/>
      <c r="L42" s="17">
        <v>250</v>
      </c>
    </row>
    <row r="43" spans="1:12" x14ac:dyDescent="0.25">
      <c r="A43" s="30">
        <v>3</v>
      </c>
      <c r="B43" s="140" t="s">
        <v>49</v>
      </c>
      <c r="C43" s="141"/>
      <c r="D43" s="141">
        <v>100</v>
      </c>
      <c r="E43" s="143">
        <v>92</v>
      </c>
      <c r="F43" s="144">
        <v>0</v>
      </c>
      <c r="G43" s="143">
        <f t="shared" ref="G43:G85" si="8">E43-F43</f>
        <v>92</v>
      </c>
      <c r="H43" s="143">
        <v>48</v>
      </c>
      <c r="I43" s="141">
        <v>0</v>
      </c>
      <c r="J43" s="349">
        <f t="shared" si="7"/>
        <v>54.222222222222214</v>
      </c>
      <c r="K43" s="349"/>
      <c r="L43" s="17">
        <v>250</v>
      </c>
    </row>
    <row r="44" spans="1:12" x14ac:dyDescent="0.25">
      <c r="A44" s="31">
        <v>4</v>
      </c>
      <c r="B44" s="140" t="s">
        <v>382</v>
      </c>
      <c r="C44" s="141"/>
      <c r="D44" s="141">
        <v>400</v>
      </c>
      <c r="E44" s="143">
        <v>368</v>
      </c>
      <c r="F44" s="144">
        <v>76</v>
      </c>
      <c r="G44" s="143">
        <f t="shared" si="8"/>
        <v>292</v>
      </c>
      <c r="H44" s="143">
        <v>369</v>
      </c>
      <c r="I44" s="141">
        <v>0</v>
      </c>
      <c r="J44" s="349">
        <f t="shared" si="7"/>
        <v>39.888888888888857</v>
      </c>
      <c r="K44" s="349"/>
      <c r="L44" s="17">
        <v>250</v>
      </c>
    </row>
    <row r="45" spans="1:12" x14ac:dyDescent="0.25">
      <c r="A45" s="30">
        <v>5</v>
      </c>
      <c r="B45" s="140" t="s">
        <v>383</v>
      </c>
      <c r="C45" s="141"/>
      <c r="D45" s="142" t="s">
        <v>50</v>
      </c>
      <c r="E45" s="143">
        <f>320*1.4*0.92</f>
        <v>412.16</v>
      </c>
      <c r="F45" s="144">
        <v>222</v>
      </c>
      <c r="G45" s="143">
        <f t="shared" si="8"/>
        <v>190.16000000000003</v>
      </c>
      <c r="H45" s="143">
        <v>252</v>
      </c>
      <c r="I45" s="141">
        <v>0</v>
      </c>
      <c r="J45" s="349">
        <f t="shared" si="7"/>
        <v>205.95555555555558</v>
      </c>
      <c r="K45" s="349"/>
      <c r="L45" s="17">
        <v>250</v>
      </c>
    </row>
    <row r="46" spans="1:12" x14ac:dyDescent="0.25">
      <c r="A46" s="31">
        <v>6</v>
      </c>
      <c r="B46" s="140" t="s">
        <v>384</v>
      </c>
      <c r="C46" s="141"/>
      <c r="D46" s="142" t="s">
        <v>51</v>
      </c>
      <c r="E46" s="143">
        <f>400*0.92*1.4</f>
        <v>515.19999999999993</v>
      </c>
      <c r="F46" s="144">
        <v>84</v>
      </c>
      <c r="G46" s="143">
        <f t="shared" si="8"/>
        <v>431.19999999999993</v>
      </c>
      <c r="H46" s="143">
        <v>485</v>
      </c>
      <c r="I46" s="141">
        <v>0</v>
      </c>
      <c r="J46" s="349">
        <f t="shared" si="7"/>
        <v>87.444444444444343</v>
      </c>
      <c r="K46" s="349"/>
      <c r="L46" s="17">
        <v>250</v>
      </c>
    </row>
    <row r="47" spans="1:12" x14ac:dyDescent="0.25">
      <c r="A47" s="30">
        <v>7</v>
      </c>
      <c r="B47" s="160" t="s">
        <v>52</v>
      </c>
      <c r="C47" s="6"/>
      <c r="D47" s="6">
        <v>160</v>
      </c>
      <c r="E47" s="161">
        <f>D47*0.92</f>
        <v>147.20000000000002</v>
      </c>
      <c r="F47" s="144">
        <v>0.1</v>
      </c>
      <c r="G47" s="161">
        <f t="shared" si="8"/>
        <v>147.10000000000002</v>
      </c>
      <c r="H47" s="143">
        <v>109</v>
      </c>
      <c r="I47" s="141">
        <v>215</v>
      </c>
      <c r="J47" s="339">
        <v>0</v>
      </c>
      <c r="K47" s="339"/>
      <c r="L47" s="16" t="s">
        <v>19</v>
      </c>
    </row>
    <row r="48" spans="1:12" x14ac:dyDescent="0.25">
      <c r="A48" s="31">
        <v>8</v>
      </c>
      <c r="B48" s="140" t="s">
        <v>53</v>
      </c>
      <c r="C48" s="141"/>
      <c r="D48" s="141">
        <v>100</v>
      </c>
      <c r="E48" s="143">
        <f t="shared" ref="E48:E57" si="9">D48*0.92</f>
        <v>92</v>
      </c>
      <c r="F48" s="144">
        <v>6.8</v>
      </c>
      <c r="G48" s="143">
        <f t="shared" si="8"/>
        <v>85.2</v>
      </c>
      <c r="H48" s="143">
        <v>40</v>
      </c>
      <c r="I48" s="141">
        <v>0</v>
      </c>
      <c r="J48" s="349">
        <f t="shared" si="7"/>
        <v>62.222222222222214</v>
      </c>
      <c r="K48" s="349"/>
      <c r="L48" s="17">
        <v>250</v>
      </c>
    </row>
    <row r="49" spans="1:12" x14ac:dyDescent="0.25">
      <c r="A49" s="30">
        <v>9</v>
      </c>
      <c r="B49" s="140" t="s">
        <v>385</v>
      </c>
      <c r="C49" s="141"/>
      <c r="D49" s="141">
        <v>250</v>
      </c>
      <c r="E49" s="143">
        <f t="shared" si="9"/>
        <v>230</v>
      </c>
      <c r="F49" s="144">
        <v>55</v>
      </c>
      <c r="G49" s="143">
        <f t="shared" si="8"/>
        <v>175</v>
      </c>
      <c r="H49" s="143">
        <v>205.5</v>
      </c>
      <c r="I49" s="141">
        <v>0</v>
      </c>
      <c r="J49" s="349">
        <f t="shared" si="7"/>
        <v>50.055555555555543</v>
      </c>
      <c r="K49" s="349"/>
      <c r="L49" s="17">
        <v>250</v>
      </c>
    </row>
    <row r="50" spans="1:12" x14ac:dyDescent="0.25">
      <c r="A50" s="31">
        <v>10</v>
      </c>
      <c r="B50" s="140" t="s">
        <v>386</v>
      </c>
      <c r="C50" s="141"/>
      <c r="D50" s="141">
        <v>250</v>
      </c>
      <c r="E50" s="143">
        <f t="shared" si="9"/>
        <v>230</v>
      </c>
      <c r="F50" s="144">
        <v>22.8</v>
      </c>
      <c r="G50" s="143">
        <f t="shared" si="8"/>
        <v>207.2</v>
      </c>
      <c r="H50" s="143">
        <v>60</v>
      </c>
      <c r="I50" s="141">
        <v>0</v>
      </c>
      <c r="J50" s="349">
        <f t="shared" si="7"/>
        <v>195.55555555555554</v>
      </c>
      <c r="K50" s="349"/>
      <c r="L50" s="17">
        <v>250</v>
      </c>
    </row>
    <row r="51" spans="1:12" x14ac:dyDescent="0.25">
      <c r="A51" s="30">
        <v>11</v>
      </c>
      <c r="B51" s="140" t="s">
        <v>387</v>
      </c>
      <c r="C51" s="141"/>
      <c r="D51" s="141">
        <v>250</v>
      </c>
      <c r="E51" s="143">
        <f t="shared" si="9"/>
        <v>230</v>
      </c>
      <c r="F51" s="144">
        <v>31.5</v>
      </c>
      <c r="G51" s="143">
        <f t="shared" si="8"/>
        <v>198.5</v>
      </c>
      <c r="H51" s="143">
        <v>150</v>
      </c>
      <c r="I51" s="141">
        <v>0</v>
      </c>
      <c r="J51" s="349">
        <f t="shared" si="7"/>
        <v>105.55555555555554</v>
      </c>
      <c r="K51" s="349"/>
      <c r="L51" s="17">
        <v>250</v>
      </c>
    </row>
    <row r="52" spans="1:12" x14ac:dyDescent="0.25">
      <c r="A52" s="31">
        <v>12</v>
      </c>
      <c r="B52" s="140" t="s">
        <v>388</v>
      </c>
      <c r="C52" s="141"/>
      <c r="D52" s="142">
        <v>100</v>
      </c>
      <c r="E52" s="143">
        <f t="shared" si="9"/>
        <v>92</v>
      </c>
      <c r="F52" s="144">
        <v>0</v>
      </c>
      <c r="G52" s="143">
        <f t="shared" si="8"/>
        <v>92</v>
      </c>
      <c r="H52" s="143">
        <v>48</v>
      </c>
      <c r="I52" s="141">
        <v>0</v>
      </c>
      <c r="J52" s="349">
        <f t="shared" si="7"/>
        <v>54.222222222222214</v>
      </c>
      <c r="K52" s="349"/>
      <c r="L52" s="17">
        <v>250</v>
      </c>
    </row>
    <row r="53" spans="1:12" x14ac:dyDescent="0.25">
      <c r="A53" s="30">
        <v>13</v>
      </c>
      <c r="B53" s="140" t="s">
        <v>389</v>
      </c>
      <c r="C53" s="141"/>
      <c r="D53" s="141">
        <v>50</v>
      </c>
      <c r="E53" s="143">
        <f t="shared" si="9"/>
        <v>46</v>
      </c>
      <c r="F53" s="144">
        <v>1.1000000000000001</v>
      </c>
      <c r="G53" s="143">
        <f t="shared" si="8"/>
        <v>44.9</v>
      </c>
      <c r="H53" s="143">
        <v>50</v>
      </c>
      <c r="I53" s="141">
        <v>0</v>
      </c>
      <c r="J53" s="349">
        <f t="shared" si="7"/>
        <v>1.1111111111111072</v>
      </c>
      <c r="K53" s="349"/>
      <c r="L53" s="17">
        <v>250</v>
      </c>
    </row>
    <row r="54" spans="1:12" x14ac:dyDescent="0.25">
      <c r="A54" s="31">
        <v>14</v>
      </c>
      <c r="B54" s="140" t="s">
        <v>54</v>
      </c>
      <c r="C54" s="141"/>
      <c r="D54" s="141">
        <v>100</v>
      </c>
      <c r="E54" s="143">
        <f t="shared" si="9"/>
        <v>92</v>
      </c>
      <c r="F54" s="144">
        <v>30</v>
      </c>
      <c r="G54" s="143">
        <f t="shared" si="8"/>
        <v>62</v>
      </c>
      <c r="H54" s="143">
        <v>60</v>
      </c>
      <c r="I54" s="141">
        <v>0</v>
      </c>
      <c r="J54" s="349">
        <f>E54*1/0.67-(H54+I54)</f>
        <v>77.31343283582089</v>
      </c>
      <c r="K54" s="349"/>
      <c r="L54" s="17">
        <v>250</v>
      </c>
    </row>
    <row r="55" spans="1:12" x14ac:dyDescent="0.25">
      <c r="A55" s="30">
        <v>15</v>
      </c>
      <c r="B55" s="140" t="s">
        <v>390</v>
      </c>
      <c r="C55" s="141"/>
      <c r="D55" s="141">
        <v>320</v>
      </c>
      <c r="E55" s="143">
        <f t="shared" si="9"/>
        <v>294.40000000000003</v>
      </c>
      <c r="F55" s="144">
        <v>3.5</v>
      </c>
      <c r="G55" s="143">
        <f t="shared" si="8"/>
        <v>290.90000000000003</v>
      </c>
      <c r="H55" s="143">
        <v>160</v>
      </c>
      <c r="I55" s="141">
        <v>0</v>
      </c>
      <c r="J55" s="349">
        <f t="shared" si="7"/>
        <v>167.11111111111114</v>
      </c>
      <c r="K55" s="349"/>
      <c r="L55" s="17">
        <v>250</v>
      </c>
    </row>
    <row r="56" spans="1:12" x14ac:dyDescent="0.25">
      <c r="A56" s="31">
        <v>16</v>
      </c>
      <c r="B56" s="140" t="s">
        <v>391</v>
      </c>
      <c r="C56" s="142"/>
      <c r="D56" s="142">
        <v>250</v>
      </c>
      <c r="E56" s="143">
        <f t="shared" si="9"/>
        <v>230</v>
      </c>
      <c r="F56" s="145">
        <v>173.3</v>
      </c>
      <c r="G56" s="143">
        <f t="shared" si="8"/>
        <v>56.699999999999989</v>
      </c>
      <c r="H56" s="146">
        <v>208</v>
      </c>
      <c r="I56" s="142">
        <v>0</v>
      </c>
      <c r="J56" s="349">
        <f t="shared" si="7"/>
        <v>47.555555555555543</v>
      </c>
      <c r="K56" s="349"/>
      <c r="L56" s="17">
        <v>250</v>
      </c>
    </row>
    <row r="57" spans="1:12" x14ac:dyDescent="0.25">
      <c r="A57" s="30">
        <v>17</v>
      </c>
      <c r="B57" s="140" t="s">
        <v>392</v>
      </c>
      <c r="C57" s="142"/>
      <c r="D57" s="142">
        <v>400</v>
      </c>
      <c r="E57" s="146">
        <f t="shared" si="9"/>
        <v>368</v>
      </c>
      <c r="F57" s="145">
        <v>27.5</v>
      </c>
      <c r="G57" s="143">
        <f t="shared" si="8"/>
        <v>340.5</v>
      </c>
      <c r="H57" s="146">
        <v>148</v>
      </c>
      <c r="I57" s="142">
        <v>0</v>
      </c>
      <c r="J57" s="349">
        <f t="shared" si="7"/>
        <v>260.88888888888886</v>
      </c>
      <c r="K57" s="349"/>
      <c r="L57" s="17">
        <v>250</v>
      </c>
    </row>
    <row r="58" spans="1:12" x14ac:dyDescent="0.25">
      <c r="A58" s="31">
        <v>18</v>
      </c>
      <c r="B58" s="140" t="s">
        <v>393</v>
      </c>
      <c r="C58" s="142"/>
      <c r="D58" s="142" t="s">
        <v>478</v>
      </c>
      <c r="E58" s="143">
        <f>250*0.92*1.4</f>
        <v>322</v>
      </c>
      <c r="F58" s="145">
        <v>3.4</v>
      </c>
      <c r="G58" s="143">
        <f t="shared" si="8"/>
        <v>318.60000000000002</v>
      </c>
      <c r="H58" s="146">
        <v>136</v>
      </c>
      <c r="I58" s="142">
        <v>0</v>
      </c>
      <c r="J58" s="349">
        <f t="shared" si="7"/>
        <v>221.77777777777777</v>
      </c>
      <c r="K58" s="349"/>
      <c r="L58" s="17">
        <v>250</v>
      </c>
    </row>
    <row r="59" spans="1:12" x14ac:dyDescent="0.25">
      <c r="A59" s="30">
        <v>19</v>
      </c>
      <c r="B59" s="140" t="s">
        <v>55</v>
      </c>
      <c r="C59" s="142"/>
      <c r="D59" s="142">
        <v>160</v>
      </c>
      <c r="E59" s="143">
        <f>D59*0.92</f>
        <v>147.20000000000002</v>
      </c>
      <c r="F59" s="145">
        <v>18</v>
      </c>
      <c r="G59" s="143">
        <f t="shared" si="8"/>
        <v>129.20000000000002</v>
      </c>
      <c r="H59" s="146">
        <v>93</v>
      </c>
      <c r="I59" s="142">
        <v>0</v>
      </c>
      <c r="J59" s="349">
        <f t="shared" si="7"/>
        <v>70.555555555555571</v>
      </c>
      <c r="K59" s="349"/>
      <c r="L59" s="17">
        <v>250</v>
      </c>
    </row>
    <row r="60" spans="1:12" x14ac:dyDescent="0.25">
      <c r="A60" s="31">
        <v>20</v>
      </c>
      <c r="B60" s="140" t="s">
        <v>56</v>
      </c>
      <c r="C60" s="142"/>
      <c r="D60" s="142">
        <v>400</v>
      </c>
      <c r="E60" s="143">
        <f>D60*0.92</f>
        <v>368</v>
      </c>
      <c r="F60" s="144">
        <v>24</v>
      </c>
      <c r="G60" s="143">
        <f t="shared" si="8"/>
        <v>344</v>
      </c>
      <c r="H60" s="146">
        <v>93</v>
      </c>
      <c r="I60" s="142">
        <v>0</v>
      </c>
      <c r="J60" s="349">
        <f t="shared" si="7"/>
        <v>315.88888888888886</v>
      </c>
      <c r="K60" s="349"/>
      <c r="L60" s="17">
        <v>250</v>
      </c>
    </row>
    <row r="61" spans="1:12" x14ac:dyDescent="0.25">
      <c r="A61" s="30">
        <v>21</v>
      </c>
      <c r="B61" s="140" t="s">
        <v>57</v>
      </c>
      <c r="C61" s="142"/>
      <c r="D61" s="142">
        <v>160</v>
      </c>
      <c r="E61" s="143">
        <f>D61*0.92</f>
        <v>147.20000000000002</v>
      </c>
      <c r="F61" s="145">
        <v>0</v>
      </c>
      <c r="G61" s="143">
        <f t="shared" si="8"/>
        <v>147.20000000000002</v>
      </c>
      <c r="H61" s="146">
        <v>0</v>
      </c>
      <c r="I61" s="142">
        <v>0</v>
      </c>
      <c r="J61" s="349">
        <f t="shared" si="7"/>
        <v>163.55555555555557</v>
      </c>
      <c r="K61" s="349"/>
      <c r="L61" s="17">
        <v>250</v>
      </c>
    </row>
    <row r="62" spans="1:12" x14ac:dyDescent="0.25">
      <c r="A62" s="31">
        <v>22</v>
      </c>
      <c r="B62" s="140" t="s">
        <v>58</v>
      </c>
      <c r="C62" s="142"/>
      <c r="D62" s="142">
        <v>250</v>
      </c>
      <c r="E62" s="143">
        <f>D62*0.92</f>
        <v>230</v>
      </c>
      <c r="F62" s="145">
        <v>39</v>
      </c>
      <c r="G62" s="143">
        <f t="shared" si="8"/>
        <v>191</v>
      </c>
      <c r="H62" s="143">
        <v>158</v>
      </c>
      <c r="I62" s="142">
        <v>0</v>
      </c>
      <c r="J62" s="351">
        <f t="shared" si="7"/>
        <v>97.555555555555543</v>
      </c>
      <c r="K62" s="351"/>
      <c r="L62" s="17">
        <v>250</v>
      </c>
    </row>
    <row r="63" spans="1:12" x14ac:dyDescent="0.25">
      <c r="A63" s="30">
        <v>23</v>
      </c>
      <c r="B63" s="140" t="s">
        <v>59</v>
      </c>
      <c r="C63" s="142"/>
      <c r="D63" s="142">
        <v>560</v>
      </c>
      <c r="E63" s="143">
        <f>D63*0.92</f>
        <v>515.20000000000005</v>
      </c>
      <c r="F63" s="145">
        <v>0</v>
      </c>
      <c r="G63" s="143">
        <f t="shared" si="8"/>
        <v>515.20000000000005</v>
      </c>
      <c r="H63" s="143">
        <v>160</v>
      </c>
      <c r="I63" s="142">
        <v>0</v>
      </c>
      <c r="J63" s="349">
        <f t="shared" si="7"/>
        <v>412.44444444444446</v>
      </c>
      <c r="K63" s="349"/>
      <c r="L63" s="17">
        <v>250</v>
      </c>
    </row>
    <row r="64" spans="1:12" x14ac:dyDescent="0.25">
      <c r="A64" s="31">
        <v>24</v>
      </c>
      <c r="B64" s="140" t="s">
        <v>394</v>
      </c>
      <c r="C64" s="142"/>
      <c r="D64" s="142" t="s">
        <v>51</v>
      </c>
      <c r="E64" s="146">
        <f>400*0.92*1.4</f>
        <v>515.19999999999993</v>
      </c>
      <c r="F64" s="145">
        <v>194</v>
      </c>
      <c r="G64" s="143">
        <f t="shared" si="8"/>
        <v>321.19999999999993</v>
      </c>
      <c r="H64" s="143">
        <v>1531</v>
      </c>
      <c r="I64" s="142">
        <v>0</v>
      </c>
      <c r="J64" s="349">
        <f>E64*1/0.29-(H64+I64)</f>
        <v>245.55172413793093</v>
      </c>
      <c r="K64" s="349"/>
      <c r="L64" s="17">
        <v>250</v>
      </c>
    </row>
    <row r="65" spans="1:12" x14ac:dyDescent="0.25">
      <c r="A65" s="30">
        <v>25</v>
      </c>
      <c r="B65" s="140" t="s">
        <v>395</v>
      </c>
      <c r="C65" s="142"/>
      <c r="D65" s="142" t="s">
        <v>60</v>
      </c>
      <c r="E65" s="146">
        <f>630*0.92*1.4</f>
        <v>811.43999999999994</v>
      </c>
      <c r="F65" s="145">
        <v>144</v>
      </c>
      <c r="G65" s="143">
        <f t="shared" si="8"/>
        <v>667.43999999999994</v>
      </c>
      <c r="H65" s="143">
        <v>1089</v>
      </c>
      <c r="I65" s="142">
        <v>0</v>
      </c>
      <c r="J65" s="349">
        <f>E65*1/0.67-(H65+I65)</f>
        <v>122.10447761194018</v>
      </c>
      <c r="K65" s="349"/>
      <c r="L65" s="17">
        <v>250</v>
      </c>
    </row>
    <row r="66" spans="1:12" x14ac:dyDescent="0.25">
      <c r="A66" s="31">
        <v>26</v>
      </c>
      <c r="B66" s="140" t="s">
        <v>61</v>
      </c>
      <c r="C66" s="142"/>
      <c r="D66" s="142">
        <v>63</v>
      </c>
      <c r="E66" s="143">
        <f t="shared" ref="E66:E71" si="10">D66*0.92</f>
        <v>57.96</v>
      </c>
      <c r="F66" s="145">
        <v>5.5</v>
      </c>
      <c r="G66" s="143">
        <f t="shared" si="8"/>
        <v>52.46</v>
      </c>
      <c r="H66" s="143">
        <v>30</v>
      </c>
      <c r="I66" s="142">
        <v>0</v>
      </c>
      <c r="J66" s="349">
        <f t="shared" si="7"/>
        <v>34.400000000000006</v>
      </c>
      <c r="K66" s="349"/>
      <c r="L66" s="17">
        <v>250</v>
      </c>
    </row>
    <row r="67" spans="1:12" x14ac:dyDescent="0.25">
      <c r="A67" s="30">
        <v>27</v>
      </c>
      <c r="B67" s="140" t="s">
        <v>396</v>
      </c>
      <c r="C67" s="142"/>
      <c r="D67" s="142">
        <v>100</v>
      </c>
      <c r="E67" s="143">
        <f t="shared" si="10"/>
        <v>92</v>
      </c>
      <c r="F67" s="198">
        <v>10.5</v>
      </c>
      <c r="G67" s="143">
        <f t="shared" si="8"/>
        <v>81.5</v>
      </c>
      <c r="H67" s="143">
        <v>85.5</v>
      </c>
      <c r="I67" s="142">
        <v>0</v>
      </c>
      <c r="J67" s="349">
        <f t="shared" si="7"/>
        <v>16.722222222222214</v>
      </c>
      <c r="K67" s="349"/>
      <c r="L67" s="17">
        <v>250</v>
      </c>
    </row>
    <row r="68" spans="1:12" x14ac:dyDescent="0.25">
      <c r="A68" s="31">
        <v>28</v>
      </c>
      <c r="B68" s="140" t="s">
        <v>62</v>
      </c>
      <c r="C68" s="142"/>
      <c r="D68" s="142">
        <v>250</v>
      </c>
      <c r="E68" s="143">
        <f t="shared" si="10"/>
        <v>230</v>
      </c>
      <c r="F68" s="145">
        <v>36</v>
      </c>
      <c r="G68" s="143">
        <f t="shared" si="8"/>
        <v>194</v>
      </c>
      <c r="H68" s="143">
        <v>60</v>
      </c>
      <c r="I68" s="142">
        <v>0</v>
      </c>
      <c r="J68" s="349">
        <f t="shared" si="7"/>
        <v>195.55555555555554</v>
      </c>
      <c r="K68" s="349"/>
      <c r="L68" s="17">
        <v>250</v>
      </c>
    </row>
    <row r="69" spans="1:12" x14ac:dyDescent="0.25">
      <c r="A69" s="30">
        <v>29</v>
      </c>
      <c r="B69" s="140" t="s">
        <v>63</v>
      </c>
      <c r="C69" s="141"/>
      <c r="D69" s="141">
        <v>250</v>
      </c>
      <c r="E69" s="143">
        <f t="shared" si="10"/>
        <v>230</v>
      </c>
      <c r="F69" s="144">
        <v>13.1</v>
      </c>
      <c r="G69" s="143">
        <f t="shared" si="8"/>
        <v>216.9</v>
      </c>
      <c r="H69" s="143">
        <v>200</v>
      </c>
      <c r="I69" s="141">
        <v>0</v>
      </c>
      <c r="J69" s="351">
        <f t="shared" si="7"/>
        <v>55.555555555555543</v>
      </c>
      <c r="K69" s="351"/>
      <c r="L69" s="17">
        <v>250</v>
      </c>
    </row>
    <row r="70" spans="1:12" x14ac:dyDescent="0.25">
      <c r="A70" s="31">
        <v>30</v>
      </c>
      <c r="B70" s="140" t="s">
        <v>64</v>
      </c>
      <c r="C70" s="141"/>
      <c r="D70" s="141">
        <v>100</v>
      </c>
      <c r="E70" s="143">
        <f t="shared" si="10"/>
        <v>92</v>
      </c>
      <c r="F70" s="144">
        <v>16.3</v>
      </c>
      <c r="G70" s="143">
        <f t="shared" si="8"/>
        <v>75.7</v>
      </c>
      <c r="H70" s="143">
        <v>48</v>
      </c>
      <c r="I70" s="141">
        <v>0</v>
      </c>
      <c r="J70" s="349">
        <f t="shared" si="7"/>
        <v>54.222222222222214</v>
      </c>
      <c r="K70" s="349"/>
      <c r="L70" s="17">
        <v>250</v>
      </c>
    </row>
    <row r="71" spans="1:12" x14ac:dyDescent="0.25">
      <c r="A71" s="30">
        <v>31</v>
      </c>
      <c r="B71" s="140" t="s">
        <v>397</v>
      </c>
      <c r="C71" s="141"/>
      <c r="D71" s="141">
        <v>160</v>
      </c>
      <c r="E71" s="143">
        <f t="shared" si="10"/>
        <v>147.20000000000002</v>
      </c>
      <c r="F71" s="144">
        <v>43.2</v>
      </c>
      <c r="G71" s="143">
        <f t="shared" si="8"/>
        <v>104.00000000000001</v>
      </c>
      <c r="H71" s="143">
        <v>143</v>
      </c>
      <c r="I71" s="141">
        <v>0</v>
      </c>
      <c r="J71" s="349">
        <f t="shared" si="7"/>
        <v>20.555555555555571</v>
      </c>
      <c r="K71" s="349"/>
      <c r="L71" s="17">
        <v>250</v>
      </c>
    </row>
    <row r="72" spans="1:12" x14ac:dyDescent="0.25">
      <c r="A72" s="31">
        <v>32</v>
      </c>
      <c r="B72" s="147" t="s">
        <v>398</v>
      </c>
      <c r="C72" s="65"/>
      <c r="D72" s="70" t="s">
        <v>65</v>
      </c>
      <c r="E72" s="148">
        <f>400*0.92*1.4</f>
        <v>515.19999999999993</v>
      </c>
      <c r="F72" s="149">
        <v>78.099999999999994</v>
      </c>
      <c r="G72" s="148">
        <f t="shared" si="8"/>
        <v>437.09999999999991</v>
      </c>
      <c r="H72" s="148">
        <v>495</v>
      </c>
      <c r="I72" s="65">
        <v>0</v>
      </c>
      <c r="J72" s="296">
        <f t="shared" si="7"/>
        <v>77.444444444444343</v>
      </c>
      <c r="K72" s="296"/>
      <c r="L72" s="17">
        <v>250</v>
      </c>
    </row>
    <row r="73" spans="1:12" x14ac:dyDescent="0.25">
      <c r="A73" s="30">
        <v>33</v>
      </c>
      <c r="B73" s="140" t="s">
        <v>66</v>
      </c>
      <c r="C73" s="141"/>
      <c r="D73" s="141">
        <v>250</v>
      </c>
      <c r="E73" s="143">
        <f t="shared" ref="E73:E85" si="11">D73*0.92</f>
        <v>230</v>
      </c>
      <c r="F73" s="144">
        <v>1.7</v>
      </c>
      <c r="G73" s="143">
        <f t="shared" si="8"/>
        <v>228.3</v>
      </c>
      <c r="H73" s="143">
        <v>78</v>
      </c>
      <c r="I73" s="141">
        <v>0</v>
      </c>
      <c r="J73" s="349">
        <f>E73*1/0.67-(H73+I73)</f>
        <v>265.28358208955223</v>
      </c>
      <c r="K73" s="349"/>
      <c r="L73" s="17">
        <v>250</v>
      </c>
    </row>
    <row r="74" spans="1:12" x14ac:dyDescent="0.25">
      <c r="A74" s="31">
        <v>34</v>
      </c>
      <c r="B74" s="140" t="s">
        <v>67</v>
      </c>
      <c r="C74" s="141"/>
      <c r="D74" s="141">
        <v>160</v>
      </c>
      <c r="E74" s="143">
        <f t="shared" si="11"/>
        <v>147.20000000000002</v>
      </c>
      <c r="F74" s="144">
        <v>0</v>
      </c>
      <c r="G74" s="143">
        <f t="shared" si="8"/>
        <v>147.20000000000002</v>
      </c>
      <c r="H74" s="143">
        <v>90</v>
      </c>
      <c r="I74" s="141">
        <v>0</v>
      </c>
      <c r="J74" s="349">
        <f t="shared" si="7"/>
        <v>73.555555555555571</v>
      </c>
      <c r="K74" s="349"/>
      <c r="L74" s="17">
        <v>250</v>
      </c>
    </row>
    <row r="75" spans="1:12" x14ac:dyDescent="0.25">
      <c r="A75" s="30">
        <v>35</v>
      </c>
      <c r="B75" s="140" t="s">
        <v>399</v>
      </c>
      <c r="C75" s="141"/>
      <c r="D75" s="141">
        <v>100</v>
      </c>
      <c r="E75" s="143">
        <f t="shared" si="11"/>
        <v>92</v>
      </c>
      <c r="F75" s="144">
        <v>21.5</v>
      </c>
      <c r="G75" s="143">
        <f t="shared" si="8"/>
        <v>70.5</v>
      </c>
      <c r="H75" s="143">
        <v>135</v>
      </c>
      <c r="I75" s="141">
        <v>0</v>
      </c>
      <c r="J75" s="352">
        <v>0</v>
      </c>
      <c r="K75" s="353"/>
      <c r="L75" s="45" t="s">
        <v>19</v>
      </c>
    </row>
    <row r="76" spans="1:12" x14ac:dyDescent="0.25">
      <c r="A76" s="31">
        <v>36</v>
      </c>
      <c r="B76" s="140" t="s">
        <v>68</v>
      </c>
      <c r="C76" s="141"/>
      <c r="D76" s="141">
        <v>63</v>
      </c>
      <c r="E76" s="143">
        <f t="shared" si="11"/>
        <v>57.96</v>
      </c>
      <c r="F76" s="144">
        <v>0.1</v>
      </c>
      <c r="G76" s="143">
        <f t="shared" si="8"/>
        <v>57.86</v>
      </c>
      <c r="H76" s="143">
        <v>30</v>
      </c>
      <c r="I76" s="141">
        <v>0</v>
      </c>
      <c r="J76" s="349">
        <f t="shared" si="7"/>
        <v>34.400000000000006</v>
      </c>
      <c r="K76" s="349"/>
      <c r="L76" s="17">
        <v>250</v>
      </c>
    </row>
    <row r="77" spans="1:12" x14ac:dyDescent="0.25">
      <c r="A77" s="30">
        <v>37</v>
      </c>
      <c r="B77" s="140" t="s">
        <v>69</v>
      </c>
      <c r="C77" s="141"/>
      <c r="D77" s="141">
        <v>160</v>
      </c>
      <c r="E77" s="143">
        <f t="shared" si="11"/>
        <v>147.20000000000002</v>
      </c>
      <c r="F77" s="144">
        <v>15.7</v>
      </c>
      <c r="G77" s="143">
        <f t="shared" si="8"/>
        <v>131.50000000000003</v>
      </c>
      <c r="H77" s="143">
        <v>58</v>
      </c>
      <c r="I77" s="141">
        <v>0</v>
      </c>
      <c r="J77" s="349">
        <f t="shared" si="7"/>
        <v>105.55555555555557</v>
      </c>
      <c r="K77" s="349"/>
      <c r="L77" s="17">
        <v>250</v>
      </c>
    </row>
    <row r="78" spans="1:12" x14ac:dyDescent="0.25">
      <c r="A78" s="31">
        <v>38</v>
      </c>
      <c r="B78" s="140" t="s">
        <v>400</v>
      </c>
      <c r="C78" s="141"/>
      <c r="D78" s="142" t="s">
        <v>70</v>
      </c>
      <c r="E78" s="143">
        <f>160*1.4*0.92</f>
        <v>206.08</v>
      </c>
      <c r="F78" s="144">
        <v>31</v>
      </c>
      <c r="G78" s="143">
        <f t="shared" si="8"/>
        <v>175.08</v>
      </c>
      <c r="H78" s="143">
        <v>55</v>
      </c>
      <c r="I78" s="141">
        <v>0</v>
      </c>
      <c r="J78" s="349">
        <f t="shared" si="7"/>
        <v>173.97777777777779</v>
      </c>
      <c r="K78" s="349"/>
      <c r="L78" s="17">
        <v>250</v>
      </c>
    </row>
    <row r="79" spans="1:12" x14ac:dyDescent="0.25">
      <c r="A79" s="30">
        <v>39</v>
      </c>
      <c r="B79" s="140" t="s">
        <v>778</v>
      </c>
      <c r="C79" s="141"/>
      <c r="D79" s="141">
        <v>250</v>
      </c>
      <c r="E79" s="143">
        <f t="shared" si="11"/>
        <v>230</v>
      </c>
      <c r="F79" s="144">
        <v>0</v>
      </c>
      <c r="G79" s="143">
        <f t="shared" si="8"/>
        <v>230</v>
      </c>
      <c r="H79" s="143">
        <v>75</v>
      </c>
      <c r="I79" s="141">
        <v>0</v>
      </c>
      <c r="J79" s="349">
        <f t="shared" si="7"/>
        <v>180.55555555555554</v>
      </c>
      <c r="K79" s="349"/>
      <c r="L79" s="17">
        <v>250</v>
      </c>
    </row>
    <row r="80" spans="1:12" x14ac:dyDescent="0.25">
      <c r="A80" s="31">
        <v>40</v>
      </c>
      <c r="B80" s="140" t="s">
        <v>401</v>
      </c>
      <c r="C80" s="141"/>
      <c r="D80" s="141">
        <v>250</v>
      </c>
      <c r="E80" s="143">
        <f t="shared" si="11"/>
        <v>230</v>
      </c>
      <c r="F80" s="144">
        <v>25</v>
      </c>
      <c r="G80" s="143">
        <f t="shared" si="8"/>
        <v>205</v>
      </c>
      <c r="H80" s="143">
        <v>132</v>
      </c>
      <c r="I80" s="141">
        <v>0</v>
      </c>
      <c r="J80" s="349">
        <f t="shared" si="7"/>
        <v>123.55555555555554</v>
      </c>
      <c r="K80" s="349"/>
      <c r="L80" s="17">
        <v>250</v>
      </c>
    </row>
    <row r="81" spans="1:12" x14ac:dyDescent="0.25">
      <c r="A81" s="30">
        <v>41</v>
      </c>
      <c r="B81" s="140" t="s">
        <v>71</v>
      </c>
      <c r="C81" s="141"/>
      <c r="D81" s="141">
        <v>200</v>
      </c>
      <c r="E81" s="143">
        <f t="shared" si="11"/>
        <v>184</v>
      </c>
      <c r="F81" s="144">
        <v>10.6</v>
      </c>
      <c r="G81" s="143">
        <f t="shared" si="8"/>
        <v>173.4</v>
      </c>
      <c r="H81" s="143">
        <v>273.5</v>
      </c>
      <c r="I81" s="141">
        <v>0</v>
      </c>
      <c r="J81" s="349">
        <f>E81*1/0.53-(H81+I81)</f>
        <v>73.669811320754718</v>
      </c>
      <c r="K81" s="349"/>
      <c r="L81" s="17">
        <v>250</v>
      </c>
    </row>
    <row r="82" spans="1:12" x14ac:dyDescent="0.25">
      <c r="A82" s="31">
        <v>42</v>
      </c>
      <c r="B82" s="140" t="s">
        <v>72</v>
      </c>
      <c r="C82" s="141"/>
      <c r="D82" s="141">
        <v>250</v>
      </c>
      <c r="E82" s="143">
        <f t="shared" si="11"/>
        <v>230</v>
      </c>
      <c r="F82" s="144">
        <v>7</v>
      </c>
      <c r="G82" s="143">
        <f t="shared" si="8"/>
        <v>223</v>
      </c>
      <c r="H82" s="143">
        <v>80</v>
      </c>
      <c r="I82" s="141">
        <v>0</v>
      </c>
      <c r="J82" s="349">
        <f>E82*1/0.53-(H82+I82)</f>
        <v>353.96226415094338</v>
      </c>
      <c r="K82" s="349"/>
      <c r="L82" s="17">
        <v>250</v>
      </c>
    </row>
    <row r="83" spans="1:12" x14ac:dyDescent="0.25">
      <c r="A83" s="30">
        <v>43</v>
      </c>
      <c r="B83" s="140" t="s">
        <v>73</v>
      </c>
      <c r="C83" s="141"/>
      <c r="D83" s="141">
        <v>400</v>
      </c>
      <c r="E83" s="143">
        <f t="shared" si="11"/>
        <v>368</v>
      </c>
      <c r="F83" s="144">
        <v>19.8</v>
      </c>
      <c r="G83" s="143">
        <f t="shared" si="8"/>
        <v>348.2</v>
      </c>
      <c r="H83" s="143">
        <v>195</v>
      </c>
      <c r="I83" s="141">
        <v>0</v>
      </c>
      <c r="J83" s="349">
        <f t="shared" si="7"/>
        <v>213.88888888888886</v>
      </c>
      <c r="K83" s="349"/>
      <c r="L83" s="17">
        <v>250</v>
      </c>
    </row>
    <row r="84" spans="1:12" x14ac:dyDescent="0.25">
      <c r="A84" s="31">
        <v>44</v>
      </c>
      <c r="B84" s="150" t="s">
        <v>402</v>
      </c>
      <c r="C84" s="151"/>
      <c r="D84" s="152" t="s">
        <v>74</v>
      </c>
      <c r="E84" s="153">
        <f>250*0.92*1.4</f>
        <v>322</v>
      </c>
      <c r="F84" s="154">
        <v>21</v>
      </c>
      <c r="G84" s="153">
        <f>E84-F84</f>
        <v>301</v>
      </c>
      <c r="H84" s="153">
        <v>96.5</v>
      </c>
      <c r="I84" s="151">
        <v>0</v>
      </c>
      <c r="J84" s="356">
        <f>E84*1/0.53-(H84+I84)</f>
        <v>511.04716981132071</v>
      </c>
      <c r="K84" s="356"/>
      <c r="L84" s="17">
        <v>250</v>
      </c>
    </row>
    <row r="85" spans="1:12" ht="15.75" thickBot="1" x14ac:dyDescent="0.3">
      <c r="A85" s="30">
        <v>45</v>
      </c>
      <c r="B85" s="150" t="s">
        <v>296</v>
      </c>
      <c r="C85" s="151"/>
      <c r="D85" s="152">
        <v>50</v>
      </c>
      <c r="E85" s="143">
        <f t="shared" si="11"/>
        <v>46</v>
      </c>
      <c r="F85" s="170">
        <v>3.6</v>
      </c>
      <c r="G85" s="153">
        <f t="shared" si="8"/>
        <v>42.4</v>
      </c>
      <c r="H85" s="153">
        <v>33.200000000000003</v>
      </c>
      <c r="I85" s="151">
        <v>5</v>
      </c>
      <c r="J85" s="351">
        <f>E85*1/0.9-(H85+I85)</f>
        <v>12.911111111111104</v>
      </c>
      <c r="K85" s="351"/>
      <c r="L85" s="19">
        <v>250</v>
      </c>
    </row>
    <row r="86" spans="1:12" ht="16.5" thickBot="1" x14ac:dyDescent="0.3">
      <c r="A86" s="344" t="s">
        <v>75</v>
      </c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7"/>
    </row>
    <row r="87" spans="1:12" x14ac:dyDescent="0.25">
      <c r="A87" s="32">
        <v>1</v>
      </c>
      <c r="B87" s="33" t="s">
        <v>352</v>
      </c>
      <c r="C87" s="34"/>
      <c r="D87" s="35" t="s">
        <v>51</v>
      </c>
      <c r="E87" s="34">
        <f>400*0.92*1.4</f>
        <v>515.19999999999993</v>
      </c>
      <c r="F87" s="157">
        <v>70.23</v>
      </c>
      <c r="G87" s="36">
        <f t="shared" ref="G87:G130" si="12">E87-F87</f>
        <v>444.96999999999991</v>
      </c>
      <c r="H87" s="2">
        <v>225</v>
      </c>
      <c r="I87" s="34">
        <v>0</v>
      </c>
      <c r="J87" s="354">
        <f>E87*1/0.9-(H87+I87)</f>
        <v>347.44444444444434</v>
      </c>
      <c r="K87" s="354"/>
      <c r="L87" s="37">
        <v>250</v>
      </c>
    </row>
    <row r="88" spans="1:12" x14ac:dyDescent="0.25">
      <c r="A88" s="38">
        <v>2</v>
      </c>
      <c r="B88" s="39" t="s">
        <v>353</v>
      </c>
      <c r="C88" s="40"/>
      <c r="D88" s="40">
        <v>400</v>
      </c>
      <c r="E88" s="40">
        <v>368</v>
      </c>
      <c r="F88" s="155">
        <v>11.7</v>
      </c>
      <c r="G88" s="41">
        <f t="shared" si="12"/>
        <v>356.3</v>
      </c>
      <c r="H88" s="173">
        <v>150</v>
      </c>
      <c r="I88" s="42">
        <v>0</v>
      </c>
      <c r="J88" s="355">
        <f>E88*1/0.9-(H88+I88)</f>
        <v>258.88888888888886</v>
      </c>
      <c r="K88" s="355"/>
      <c r="L88" s="43">
        <v>250</v>
      </c>
    </row>
    <row r="89" spans="1:12" x14ac:dyDescent="0.25">
      <c r="A89" s="38">
        <v>3</v>
      </c>
      <c r="B89" s="39" t="s">
        <v>354</v>
      </c>
      <c r="C89" s="40"/>
      <c r="D89" s="40">
        <v>400</v>
      </c>
      <c r="E89" s="40">
        <v>368</v>
      </c>
      <c r="F89" s="155">
        <v>21.15</v>
      </c>
      <c r="G89" s="40">
        <f t="shared" si="12"/>
        <v>346.85</v>
      </c>
      <c r="H89" s="4">
        <v>206</v>
      </c>
      <c r="I89" s="40">
        <v>0</v>
      </c>
      <c r="J89" s="355">
        <f t="shared" ref="J89:J130" si="13">E89*1/0.9-(H89+I89)</f>
        <v>202.88888888888886</v>
      </c>
      <c r="K89" s="355"/>
      <c r="L89" s="43">
        <v>250</v>
      </c>
    </row>
    <row r="90" spans="1:12" x14ac:dyDescent="0.25">
      <c r="A90" s="32">
        <v>4</v>
      </c>
      <c r="B90" s="39" t="s">
        <v>355</v>
      </c>
      <c r="C90" s="40"/>
      <c r="D90" s="40">
        <v>400</v>
      </c>
      <c r="E90" s="40">
        <v>368</v>
      </c>
      <c r="F90" s="155">
        <v>9.5500000000000007</v>
      </c>
      <c r="G90" s="41">
        <f t="shared" si="12"/>
        <v>358.45</v>
      </c>
      <c r="H90" s="4">
        <v>76</v>
      </c>
      <c r="I90" s="40">
        <v>0</v>
      </c>
      <c r="J90" s="355">
        <f t="shared" si="13"/>
        <v>332.88888888888886</v>
      </c>
      <c r="K90" s="355"/>
      <c r="L90" s="43">
        <v>250</v>
      </c>
    </row>
    <row r="91" spans="1:12" x14ac:dyDescent="0.25">
      <c r="A91" s="38">
        <v>5</v>
      </c>
      <c r="B91" s="39" t="s">
        <v>356</v>
      </c>
      <c r="C91" s="40"/>
      <c r="D91" s="42">
        <v>400</v>
      </c>
      <c r="E91" s="40">
        <v>368</v>
      </c>
      <c r="F91" s="155">
        <v>12.3</v>
      </c>
      <c r="G91" s="41">
        <f t="shared" si="12"/>
        <v>355.7</v>
      </c>
      <c r="H91" s="4">
        <v>380</v>
      </c>
      <c r="I91" s="40">
        <v>0</v>
      </c>
      <c r="J91" s="355">
        <f t="shared" si="13"/>
        <v>28.888888888888857</v>
      </c>
      <c r="K91" s="355"/>
      <c r="L91" s="43">
        <v>250</v>
      </c>
    </row>
    <row r="92" spans="1:12" x14ac:dyDescent="0.25">
      <c r="A92" s="38">
        <v>6</v>
      </c>
      <c r="B92" s="39" t="s">
        <v>357</v>
      </c>
      <c r="C92" s="40"/>
      <c r="D92" s="42">
        <v>250</v>
      </c>
      <c r="E92" s="40">
        <v>230</v>
      </c>
      <c r="F92" s="155">
        <v>8.9</v>
      </c>
      <c r="G92" s="41">
        <f t="shared" si="12"/>
        <v>221.1</v>
      </c>
      <c r="H92" s="4">
        <v>150</v>
      </c>
      <c r="I92" s="40">
        <v>0</v>
      </c>
      <c r="J92" s="355">
        <f t="shared" si="13"/>
        <v>105.55555555555554</v>
      </c>
      <c r="K92" s="355"/>
      <c r="L92" s="43">
        <v>250</v>
      </c>
    </row>
    <row r="93" spans="1:12" x14ac:dyDescent="0.25">
      <c r="A93" s="32">
        <v>7</v>
      </c>
      <c r="B93" s="39" t="s">
        <v>358</v>
      </c>
      <c r="C93" s="40"/>
      <c r="D93" s="40" t="s">
        <v>60</v>
      </c>
      <c r="E93" s="40">
        <f>630*0.92*1.4</f>
        <v>811.43999999999994</v>
      </c>
      <c r="F93" s="155">
        <v>34.89</v>
      </c>
      <c r="G93" s="41">
        <f t="shared" si="12"/>
        <v>776.55</v>
      </c>
      <c r="H93" s="4">
        <v>380</v>
      </c>
      <c r="I93" s="40">
        <v>0</v>
      </c>
      <c r="J93" s="355">
        <f t="shared" si="13"/>
        <v>521.59999999999991</v>
      </c>
      <c r="K93" s="355"/>
      <c r="L93" s="43">
        <v>250</v>
      </c>
    </row>
    <row r="94" spans="1:12" x14ac:dyDescent="0.25">
      <c r="A94" s="38">
        <v>8</v>
      </c>
      <c r="B94" s="39" t="s">
        <v>76</v>
      </c>
      <c r="C94" s="40"/>
      <c r="D94" s="42">
        <v>250</v>
      </c>
      <c r="E94" s="40">
        <f>D94*0.92</f>
        <v>230</v>
      </c>
      <c r="F94" s="155">
        <v>5.25</v>
      </c>
      <c r="G94" s="41">
        <f t="shared" si="12"/>
        <v>224.75</v>
      </c>
      <c r="H94" s="4">
        <v>88</v>
      </c>
      <c r="I94" s="40">
        <v>0</v>
      </c>
      <c r="J94" s="355">
        <f t="shared" si="13"/>
        <v>167.55555555555554</v>
      </c>
      <c r="K94" s="355"/>
      <c r="L94" s="43">
        <v>250</v>
      </c>
    </row>
    <row r="95" spans="1:12" x14ac:dyDescent="0.25">
      <c r="A95" s="38">
        <v>9</v>
      </c>
      <c r="B95" s="39" t="s">
        <v>77</v>
      </c>
      <c r="C95" s="40"/>
      <c r="D95" s="42">
        <v>180</v>
      </c>
      <c r="E95" s="40">
        <f t="shared" ref="E95:E99" si="14">D95*0.92</f>
        <v>165.6</v>
      </c>
      <c r="F95" s="155">
        <v>4.0999999999999996</v>
      </c>
      <c r="G95" s="41">
        <f t="shared" si="12"/>
        <v>161.5</v>
      </c>
      <c r="H95" s="4">
        <v>115</v>
      </c>
      <c r="I95" s="40">
        <v>0</v>
      </c>
      <c r="J95" s="355">
        <f t="shared" si="13"/>
        <v>69</v>
      </c>
      <c r="K95" s="355"/>
      <c r="L95" s="43">
        <v>250</v>
      </c>
    </row>
    <row r="96" spans="1:12" x14ac:dyDescent="0.25">
      <c r="A96" s="32">
        <v>10</v>
      </c>
      <c r="B96" s="39" t="s">
        <v>78</v>
      </c>
      <c r="C96" s="40"/>
      <c r="D96" s="42">
        <v>100</v>
      </c>
      <c r="E96" s="40">
        <f t="shared" si="14"/>
        <v>92</v>
      </c>
      <c r="F96" s="155">
        <v>4.99</v>
      </c>
      <c r="G96" s="41">
        <f t="shared" si="12"/>
        <v>87.01</v>
      </c>
      <c r="H96" s="4">
        <v>12</v>
      </c>
      <c r="I96" s="40">
        <v>0</v>
      </c>
      <c r="J96" s="355">
        <f t="shared" si="13"/>
        <v>90.222222222222214</v>
      </c>
      <c r="K96" s="355"/>
      <c r="L96" s="43">
        <v>250</v>
      </c>
    </row>
    <row r="97" spans="1:12" x14ac:dyDescent="0.25">
      <c r="A97" s="38">
        <v>11</v>
      </c>
      <c r="B97" s="39" t="s">
        <v>79</v>
      </c>
      <c r="C97" s="40"/>
      <c r="D97" s="42">
        <v>100</v>
      </c>
      <c r="E97" s="40">
        <f t="shared" si="14"/>
        <v>92</v>
      </c>
      <c r="F97" s="155">
        <v>2.88</v>
      </c>
      <c r="G97" s="40">
        <f t="shared" si="12"/>
        <v>89.12</v>
      </c>
      <c r="H97" s="4">
        <v>12</v>
      </c>
      <c r="I97" s="40">
        <v>0</v>
      </c>
      <c r="J97" s="355">
        <f t="shared" si="13"/>
        <v>90.222222222222214</v>
      </c>
      <c r="K97" s="355"/>
      <c r="L97" s="43">
        <v>250</v>
      </c>
    </row>
    <row r="98" spans="1:12" x14ac:dyDescent="0.25">
      <c r="A98" s="38">
        <v>12</v>
      </c>
      <c r="B98" s="39" t="s">
        <v>80</v>
      </c>
      <c r="C98" s="40"/>
      <c r="D98" s="42">
        <v>30</v>
      </c>
      <c r="E98" s="40">
        <f t="shared" si="14"/>
        <v>27.6</v>
      </c>
      <c r="F98" s="155">
        <v>2.2000000000000002</v>
      </c>
      <c r="G98" s="40">
        <f t="shared" si="12"/>
        <v>25.400000000000002</v>
      </c>
      <c r="H98" s="4">
        <v>3</v>
      </c>
      <c r="I98" s="40">
        <v>0</v>
      </c>
      <c r="J98" s="355">
        <f t="shared" si="13"/>
        <v>27.666666666666668</v>
      </c>
      <c r="K98" s="355"/>
      <c r="L98" s="43">
        <v>250</v>
      </c>
    </row>
    <row r="99" spans="1:12" x14ac:dyDescent="0.25">
      <c r="A99" s="32">
        <v>13</v>
      </c>
      <c r="B99" s="39" t="s">
        <v>81</v>
      </c>
      <c r="C99" s="40"/>
      <c r="D99" s="42">
        <v>100</v>
      </c>
      <c r="E99" s="40">
        <f t="shared" si="14"/>
        <v>92</v>
      </c>
      <c r="F99" s="155">
        <v>15.45</v>
      </c>
      <c r="G99" s="41">
        <f t="shared" si="12"/>
        <v>76.55</v>
      </c>
      <c r="H99" s="4">
        <v>40</v>
      </c>
      <c r="I99" s="40">
        <v>0</v>
      </c>
      <c r="J99" s="355">
        <f t="shared" si="13"/>
        <v>62.222222222222214</v>
      </c>
      <c r="K99" s="355"/>
      <c r="L99" s="43">
        <v>250</v>
      </c>
    </row>
    <row r="100" spans="1:12" x14ac:dyDescent="0.25">
      <c r="A100" s="32">
        <v>14</v>
      </c>
      <c r="B100" s="39" t="s">
        <v>359</v>
      </c>
      <c r="C100" s="40"/>
      <c r="D100" s="44" t="s">
        <v>51</v>
      </c>
      <c r="E100" s="40">
        <f>400*0.92*1.4</f>
        <v>515.19999999999993</v>
      </c>
      <c r="F100" s="155">
        <v>87.04</v>
      </c>
      <c r="G100" s="41">
        <f t="shared" si="12"/>
        <v>428.15999999999991</v>
      </c>
      <c r="H100" s="4">
        <v>310</v>
      </c>
      <c r="I100" s="40">
        <v>0</v>
      </c>
      <c r="J100" s="355">
        <f>E100*1/0.9-(H100+I100)</f>
        <v>262.44444444444434</v>
      </c>
      <c r="K100" s="355"/>
      <c r="L100" s="43">
        <v>250</v>
      </c>
    </row>
    <row r="101" spans="1:12" x14ac:dyDescent="0.25">
      <c r="A101" s="38">
        <v>15</v>
      </c>
      <c r="B101" s="39" t="s">
        <v>82</v>
      </c>
      <c r="C101" s="40"/>
      <c r="D101" s="40">
        <v>250</v>
      </c>
      <c r="E101" s="40">
        <f>D101*0.92</f>
        <v>230</v>
      </c>
      <c r="F101" s="155">
        <v>12.7</v>
      </c>
      <c r="G101" s="41">
        <f t="shared" si="12"/>
        <v>217.3</v>
      </c>
      <c r="H101" s="4">
        <v>48</v>
      </c>
      <c r="I101" s="40">
        <v>0</v>
      </c>
      <c r="J101" s="355">
        <f t="shared" si="13"/>
        <v>207.55555555555554</v>
      </c>
      <c r="K101" s="355"/>
      <c r="L101" s="43">
        <v>250</v>
      </c>
    </row>
    <row r="102" spans="1:12" x14ac:dyDescent="0.25">
      <c r="A102" s="38">
        <v>16</v>
      </c>
      <c r="B102" s="39" t="s">
        <v>360</v>
      </c>
      <c r="C102" s="40"/>
      <c r="D102" s="40" t="s">
        <v>60</v>
      </c>
      <c r="E102" s="40">
        <v>811.4</v>
      </c>
      <c r="F102" s="155">
        <v>115.85</v>
      </c>
      <c r="G102" s="41">
        <f t="shared" si="12"/>
        <v>695.55</v>
      </c>
      <c r="H102" s="4">
        <v>262.7</v>
      </c>
      <c r="I102" s="40">
        <v>0</v>
      </c>
      <c r="J102" s="355">
        <f>E102*1/0.9-(H102+I102)</f>
        <v>638.85555555555561</v>
      </c>
      <c r="K102" s="355"/>
      <c r="L102" s="43">
        <v>250</v>
      </c>
    </row>
    <row r="103" spans="1:12" x14ac:dyDescent="0.25">
      <c r="A103" s="32">
        <v>17</v>
      </c>
      <c r="B103" s="39" t="s">
        <v>361</v>
      </c>
      <c r="C103" s="40"/>
      <c r="D103" s="40" t="s">
        <v>83</v>
      </c>
      <c r="E103" s="40">
        <f>250*0.92*1.4</f>
        <v>322</v>
      </c>
      <c r="F103" s="155">
        <v>84.7</v>
      </c>
      <c r="G103" s="41">
        <f t="shared" si="12"/>
        <v>237.3</v>
      </c>
      <c r="H103" s="4">
        <v>234</v>
      </c>
      <c r="I103" s="40">
        <v>0</v>
      </c>
      <c r="J103" s="355">
        <f>E103*1/0.9-(H103+I103)</f>
        <v>123.77777777777777</v>
      </c>
      <c r="K103" s="355"/>
      <c r="L103" s="43">
        <v>250</v>
      </c>
    </row>
    <row r="104" spans="1:12" x14ac:dyDescent="0.25">
      <c r="A104" s="38">
        <v>18</v>
      </c>
      <c r="B104" s="39" t="s">
        <v>362</v>
      </c>
      <c r="C104" s="40"/>
      <c r="D104" s="44" t="s">
        <v>51</v>
      </c>
      <c r="E104" s="40">
        <f>400*0.92*1.4</f>
        <v>515.19999999999993</v>
      </c>
      <c r="F104" s="155">
        <v>119.9</v>
      </c>
      <c r="G104" s="41">
        <f t="shared" si="12"/>
        <v>395.29999999999995</v>
      </c>
      <c r="H104" s="4">
        <v>228</v>
      </c>
      <c r="I104" s="40">
        <v>0</v>
      </c>
      <c r="J104" s="355">
        <f>E104*1/0.9-(H104+I104)</f>
        <v>344.44444444444434</v>
      </c>
      <c r="K104" s="355"/>
      <c r="L104" s="43">
        <v>250</v>
      </c>
    </row>
    <row r="105" spans="1:12" x14ac:dyDescent="0.25">
      <c r="A105" s="38">
        <v>19</v>
      </c>
      <c r="B105" s="39" t="s">
        <v>363</v>
      </c>
      <c r="C105" s="40"/>
      <c r="D105" s="44" t="s">
        <v>51</v>
      </c>
      <c r="E105" s="40">
        <f>400*0.92*1.4</f>
        <v>515.19999999999993</v>
      </c>
      <c r="F105" s="155">
        <v>142.80000000000001</v>
      </c>
      <c r="G105" s="40">
        <f t="shared" si="12"/>
        <v>372.39999999999992</v>
      </c>
      <c r="H105" s="4">
        <v>150</v>
      </c>
      <c r="I105" s="40">
        <v>0</v>
      </c>
      <c r="J105" s="355">
        <f t="shared" si="13"/>
        <v>422.44444444444434</v>
      </c>
      <c r="K105" s="355"/>
      <c r="L105" s="43">
        <v>250</v>
      </c>
    </row>
    <row r="106" spans="1:12" x14ac:dyDescent="0.25">
      <c r="A106" s="32">
        <v>20</v>
      </c>
      <c r="B106" s="39" t="s">
        <v>364</v>
      </c>
      <c r="C106" s="40"/>
      <c r="D106" s="40">
        <v>250</v>
      </c>
      <c r="E106" s="40">
        <v>230</v>
      </c>
      <c r="F106" s="155">
        <v>12.5</v>
      </c>
      <c r="G106" s="41">
        <f t="shared" si="12"/>
        <v>217.5</v>
      </c>
      <c r="H106" s="4">
        <v>25</v>
      </c>
      <c r="I106" s="40">
        <v>0</v>
      </c>
      <c r="J106" s="355">
        <f t="shared" si="13"/>
        <v>230.55555555555554</v>
      </c>
      <c r="K106" s="355"/>
      <c r="L106" s="43">
        <v>250</v>
      </c>
    </row>
    <row r="107" spans="1:12" x14ac:dyDescent="0.25">
      <c r="A107" s="38">
        <v>21</v>
      </c>
      <c r="B107" s="39" t="s">
        <v>365</v>
      </c>
      <c r="C107" s="40"/>
      <c r="D107" s="44" t="s">
        <v>51</v>
      </c>
      <c r="E107" s="40">
        <f>400*0.92*1.4</f>
        <v>515.19999999999993</v>
      </c>
      <c r="F107" s="155">
        <v>6.33</v>
      </c>
      <c r="G107" s="41">
        <f t="shared" si="12"/>
        <v>508.86999999999995</v>
      </c>
      <c r="H107" s="4">
        <v>214</v>
      </c>
      <c r="I107" s="40">
        <v>0</v>
      </c>
      <c r="J107" s="355">
        <f t="shared" si="13"/>
        <v>358.44444444444434</v>
      </c>
      <c r="K107" s="355"/>
      <c r="L107" s="43">
        <v>250</v>
      </c>
    </row>
    <row r="108" spans="1:12" x14ac:dyDescent="0.25">
      <c r="A108" s="38">
        <v>22</v>
      </c>
      <c r="B108" s="39" t="s">
        <v>366</v>
      </c>
      <c r="C108" s="40"/>
      <c r="D108" s="40">
        <v>250</v>
      </c>
      <c r="E108" s="40">
        <v>230</v>
      </c>
      <c r="F108" s="155">
        <v>4.55</v>
      </c>
      <c r="G108" s="40">
        <f t="shared" si="12"/>
        <v>225.45</v>
      </c>
      <c r="H108" s="4">
        <v>200</v>
      </c>
      <c r="I108" s="40">
        <v>0</v>
      </c>
      <c r="J108" s="355">
        <f t="shared" si="13"/>
        <v>55.555555555555543</v>
      </c>
      <c r="K108" s="355"/>
      <c r="L108" s="43">
        <v>250</v>
      </c>
    </row>
    <row r="109" spans="1:12" x14ac:dyDescent="0.25">
      <c r="A109" s="32">
        <v>23</v>
      </c>
      <c r="B109" s="39" t="s">
        <v>367</v>
      </c>
      <c r="C109" s="40"/>
      <c r="D109" s="44" t="s">
        <v>51</v>
      </c>
      <c r="E109" s="40">
        <f>400*0.92*1.4</f>
        <v>515.19999999999993</v>
      </c>
      <c r="F109" s="155">
        <v>33.65</v>
      </c>
      <c r="G109" s="41">
        <f t="shared" si="12"/>
        <v>481.54999999999995</v>
      </c>
      <c r="H109" s="4">
        <v>100</v>
      </c>
      <c r="I109" s="40">
        <v>0</v>
      </c>
      <c r="J109" s="355">
        <f t="shared" si="13"/>
        <v>472.44444444444434</v>
      </c>
      <c r="K109" s="355"/>
      <c r="L109" s="43">
        <v>250</v>
      </c>
    </row>
    <row r="110" spans="1:12" x14ac:dyDescent="0.25">
      <c r="A110" s="38">
        <v>24</v>
      </c>
      <c r="B110" s="39" t="s">
        <v>368</v>
      </c>
      <c r="C110" s="40"/>
      <c r="D110" s="40">
        <v>160</v>
      </c>
      <c r="E110" s="40">
        <v>147.19999999999999</v>
      </c>
      <c r="F110" s="155">
        <v>8.3000000000000007</v>
      </c>
      <c r="G110" s="41">
        <f t="shared" si="12"/>
        <v>138.89999999999998</v>
      </c>
      <c r="H110" s="4">
        <v>40</v>
      </c>
      <c r="I110" s="40">
        <v>0</v>
      </c>
      <c r="J110" s="355">
        <f t="shared" si="13"/>
        <v>123.55555555555554</v>
      </c>
      <c r="K110" s="355"/>
      <c r="L110" s="43">
        <v>250</v>
      </c>
    </row>
    <row r="111" spans="1:12" x14ac:dyDescent="0.25">
      <c r="A111" s="38">
        <v>25</v>
      </c>
      <c r="B111" s="39" t="s">
        <v>369</v>
      </c>
      <c r="C111" s="40"/>
      <c r="D111" s="40">
        <v>180</v>
      </c>
      <c r="E111" s="40">
        <v>165.6</v>
      </c>
      <c r="F111" s="155">
        <v>5.27</v>
      </c>
      <c r="G111" s="40">
        <f t="shared" si="12"/>
        <v>160.32999999999998</v>
      </c>
      <c r="H111" s="4">
        <v>0</v>
      </c>
      <c r="I111" s="40">
        <v>0</v>
      </c>
      <c r="J111" s="355">
        <f t="shared" si="13"/>
        <v>184</v>
      </c>
      <c r="K111" s="355"/>
      <c r="L111" s="43">
        <v>250</v>
      </c>
    </row>
    <row r="112" spans="1:12" x14ac:dyDescent="0.25">
      <c r="A112" s="32">
        <v>26</v>
      </c>
      <c r="B112" s="39" t="s">
        <v>84</v>
      </c>
      <c r="C112" s="40"/>
      <c r="D112" s="40">
        <v>250</v>
      </c>
      <c r="E112" s="40">
        <v>230</v>
      </c>
      <c r="F112" s="155">
        <v>18.2</v>
      </c>
      <c r="G112" s="41">
        <f t="shared" si="12"/>
        <v>211.8</v>
      </c>
      <c r="H112" s="4">
        <v>145</v>
      </c>
      <c r="I112" s="40">
        <v>0</v>
      </c>
      <c r="J112" s="355">
        <f t="shared" si="13"/>
        <v>110.55555555555554</v>
      </c>
      <c r="K112" s="355"/>
      <c r="L112" s="43">
        <v>250</v>
      </c>
    </row>
    <row r="113" spans="1:12" x14ac:dyDescent="0.25">
      <c r="A113" s="38">
        <v>27</v>
      </c>
      <c r="B113" s="39" t="s">
        <v>85</v>
      </c>
      <c r="C113" s="40"/>
      <c r="D113" s="40">
        <v>160</v>
      </c>
      <c r="E113" s="40">
        <v>147.19999999999999</v>
      </c>
      <c r="F113" s="155">
        <v>2.2000000000000002</v>
      </c>
      <c r="G113" s="41">
        <f t="shared" si="12"/>
        <v>145</v>
      </c>
      <c r="H113" s="4">
        <v>30</v>
      </c>
      <c r="I113" s="40">
        <v>0</v>
      </c>
      <c r="J113" s="355">
        <f t="shared" si="13"/>
        <v>133.55555555555554</v>
      </c>
      <c r="K113" s="355"/>
      <c r="L113" s="43">
        <v>250</v>
      </c>
    </row>
    <row r="114" spans="1:12" x14ac:dyDescent="0.25">
      <c r="A114" s="38">
        <v>28</v>
      </c>
      <c r="B114" s="39" t="s">
        <v>86</v>
      </c>
      <c r="C114" s="40"/>
      <c r="D114" s="40">
        <v>40</v>
      </c>
      <c r="E114" s="40">
        <v>36.799999999999997</v>
      </c>
      <c r="F114" s="155">
        <v>0.38</v>
      </c>
      <c r="G114" s="41">
        <f t="shared" si="12"/>
        <v>36.419999999999995</v>
      </c>
      <c r="H114" s="4">
        <v>10</v>
      </c>
      <c r="I114" s="40">
        <v>0</v>
      </c>
      <c r="J114" s="355">
        <f t="shared" si="13"/>
        <v>30.888888888888886</v>
      </c>
      <c r="K114" s="355"/>
      <c r="L114" s="43">
        <v>250</v>
      </c>
    </row>
    <row r="115" spans="1:12" x14ac:dyDescent="0.25">
      <c r="A115" s="32">
        <v>29</v>
      </c>
      <c r="B115" s="39" t="s">
        <v>370</v>
      </c>
      <c r="C115" s="40"/>
      <c r="D115" s="40">
        <v>160</v>
      </c>
      <c r="E115" s="40">
        <v>147.19999999999999</v>
      </c>
      <c r="F115" s="155">
        <v>9.15</v>
      </c>
      <c r="G115" s="41">
        <f t="shared" si="12"/>
        <v>138.04999999999998</v>
      </c>
      <c r="H115" s="4">
        <v>62</v>
      </c>
      <c r="I115" s="40">
        <v>0</v>
      </c>
      <c r="J115" s="355">
        <f t="shared" si="13"/>
        <v>101.55555555555554</v>
      </c>
      <c r="K115" s="355"/>
      <c r="L115" s="43">
        <v>250</v>
      </c>
    </row>
    <row r="116" spans="1:12" x14ac:dyDescent="0.25">
      <c r="A116" s="38">
        <v>30</v>
      </c>
      <c r="B116" s="39" t="s">
        <v>371</v>
      </c>
      <c r="C116" s="40"/>
      <c r="D116" s="40" t="s">
        <v>74</v>
      </c>
      <c r="E116" s="40">
        <f>250*0.92*1.4</f>
        <v>322</v>
      </c>
      <c r="F116" s="155">
        <v>79.22</v>
      </c>
      <c r="G116" s="41">
        <f t="shared" si="12"/>
        <v>242.78</v>
      </c>
      <c r="H116" s="4">
        <v>365.6</v>
      </c>
      <c r="I116" s="40">
        <v>0</v>
      </c>
      <c r="J116" s="357">
        <v>0</v>
      </c>
      <c r="K116" s="357"/>
      <c r="L116" s="45" t="s">
        <v>19</v>
      </c>
    </row>
    <row r="117" spans="1:12" x14ac:dyDescent="0.25">
      <c r="A117" s="38">
        <v>31</v>
      </c>
      <c r="B117" s="39" t="s">
        <v>372</v>
      </c>
      <c r="C117" s="40"/>
      <c r="D117" s="40" t="s">
        <v>74</v>
      </c>
      <c r="E117" s="40">
        <f>250*0.92*1.4</f>
        <v>322</v>
      </c>
      <c r="F117" s="155">
        <v>19.12</v>
      </c>
      <c r="G117" s="41">
        <f t="shared" si="12"/>
        <v>302.88</v>
      </c>
      <c r="H117" s="4">
        <v>220</v>
      </c>
      <c r="I117" s="40">
        <v>0</v>
      </c>
      <c r="J117" s="355">
        <f t="shared" si="13"/>
        <v>137.77777777777777</v>
      </c>
      <c r="K117" s="355"/>
      <c r="L117" s="43">
        <v>250</v>
      </c>
    </row>
    <row r="118" spans="1:12" x14ac:dyDescent="0.25">
      <c r="A118" s="32">
        <v>32</v>
      </c>
      <c r="B118" s="39" t="s">
        <v>373</v>
      </c>
      <c r="C118" s="40"/>
      <c r="D118" s="44" t="s">
        <v>51</v>
      </c>
      <c r="E118" s="40">
        <v>515.20000000000005</v>
      </c>
      <c r="F118" s="155">
        <v>133.82</v>
      </c>
      <c r="G118" s="41">
        <f t="shared" si="12"/>
        <v>381.38000000000005</v>
      </c>
      <c r="H118" s="4">
        <v>351.75</v>
      </c>
      <c r="I118" s="40">
        <v>5</v>
      </c>
      <c r="J118" s="355">
        <f>E118*1/0.9-(H118+I118)</f>
        <v>215.69444444444446</v>
      </c>
      <c r="K118" s="355"/>
      <c r="L118" s="43">
        <v>250</v>
      </c>
    </row>
    <row r="119" spans="1:12" x14ac:dyDescent="0.25">
      <c r="A119" s="38">
        <v>33</v>
      </c>
      <c r="B119" s="39" t="s">
        <v>374</v>
      </c>
      <c r="C119" s="40"/>
      <c r="D119" s="44" t="s">
        <v>51</v>
      </c>
      <c r="E119" s="40">
        <v>515.20000000000005</v>
      </c>
      <c r="F119" s="155">
        <v>82.14</v>
      </c>
      <c r="G119" s="41">
        <f t="shared" si="12"/>
        <v>433.06000000000006</v>
      </c>
      <c r="H119" s="4">
        <v>250</v>
      </c>
      <c r="I119" s="40">
        <v>0</v>
      </c>
      <c r="J119" s="355">
        <f>E119*1/0.9-(H119+I119)</f>
        <v>322.44444444444446</v>
      </c>
      <c r="K119" s="355"/>
      <c r="L119" s="43">
        <v>250</v>
      </c>
    </row>
    <row r="120" spans="1:12" x14ac:dyDescent="0.25">
      <c r="A120" s="38">
        <v>34</v>
      </c>
      <c r="B120" s="39" t="s">
        <v>375</v>
      </c>
      <c r="C120" s="40"/>
      <c r="D120" s="40" t="s">
        <v>98</v>
      </c>
      <c r="E120" s="40">
        <f>250*1.4*0.92</f>
        <v>322</v>
      </c>
      <c r="F120" s="155">
        <v>19.989999999999998</v>
      </c>
      <c r="G120" s="41">
        <f t="shared" si="12"/>
        <v>302.01</v>
      </c>
      <c r="H120" s="173">
        <v>60</v>
      </c>
      <c r="I120" s="42">
        <v>0</v>
      </c>
      <c r="J120" s="355">
        <f>E120*1/0.9-(H120+I120)</f>
        <v>297.77777777777777</v>
      </c>
      <c r="K120" s="355"/>
      <c r="L120" s="43">
        <v>250</v>
      </c>
    </row>
    <row r="121" spans="1:12" x14ac:dyDescent="0.25">
      <c r="A121" s="32">
        <v>35</v>
      </c>
      <c r="B121" s="39" t="s">
        <v>376</v>
      </c>
      <c r="C121" s="40"/>
      <c r="D121" s="42">
        <v>400</v>
      </c>
      <c r="E121" s="40">
        <v>368</v>
      </c>
      <c r="F121" s="155">
        <v>23.08</v>
      </c>
      <c r="G121" s="41">
        <f t="shared" si="12"/>
        <v>344.92</v>
      </c>
      <c r="H121" s="173">
        <v>65</v>
      </c>
      <c r="I121" s="42">
        <v>0</v>
      </c>
      <c r="J121" s="355">
        <f t="shared" si="13"/>
        <v>343.88888888888886</v>
      </c>
      <c r="K121" s="355"/>
      <c r="L121" s="43">
        <v>250</v>
      </c>
    </row>
    <row r="122" spans="1:12" x14ac:dyDescent="0.25">
      <c r="A122" s="32">
        <v>36</v>
      </c>
      <c r="B122" s="39" t="s">
        <v>87</v>
      </c>
      <c r="C122" s="40"/>
      <c r="D122" s="42">
        <v>160</v>
      </c>
      <c r="E122" s="40">
        <v>147.19999999999999</v>
      </c>
      <c r="F122" s="155">
        <v>20.98</v>
      </c>
      <c r="G122" s="40">
        <f t="shared" si="12"/>
        <v>126.21999999999998</v>
      </c>
      <c r="H122" s="173">
        <v>30</v>
      </c>
      <c r="I122" s="42">
        <v>0</v>
      </c>
      <c r="J122" s="355">
        <f t="shared" si="13"/>
        <v>133.55555555555554</v>
      </c>
      <c r="K122" s="355"/>
      <c r="L122" s="43">
        <v>250</v>
      </c>
    </row>
    <row r="123" spans="1:12" x14ac:dyDescent="0.25">
      <c r="A123" s="38">
        <v>37</v>
      </c>
      <c r="B123" s="39" t="s">
        <v>377</v>
      </c>
      <c r="C123" s="40"/>
      <c r="D123" s="42">
        <v>630</v>
      </c>
      <c r="E123" s="40">
        <v>579.6</v>
      </c>
      <c r="F123" s="155">
        <v>82.7</v>
      </c>
      <c r="G123" s="41">
        <f t="shared" si="12"/>
        <v>496.90000000000003</v>
      </c>
      <c r="H123" s="173">
        <v>215</v>
      </c>
      <c r="I123" s="42">
        <v>100</v>
      </c>
      <c r="J123" s="355">
        <f>E123*1/0.67-(H123+I123)</f>
        <v>550.07462686567158</v>
      </c>
      <c r="K123" s="355"/>
      <c r="L123" s="43">
        <v>250</v>
      </c>
    </row>
    <row r="124" spans="1:12" x14ac:dyDescent="0.25">
      <c r="A124" s="38">
        <v>38</v>
      </c>
      <c r="B124" s="39" t="s">
        <v>378</v>
      </c>
      <c r="C124" s="40"/>
      <c r="D124" s="44" t="s">
        <v>51</v>
      </c>
      <c r="E124" s="40">
        <v>515.20000000000005</v>
      </c>
      <c r="F124" s="155">
        <v>54.08</v>
      </c>
      <c r="G124" s="41">
        <f t="shared" si="12"/>
        <v>461.12000000000006</v>
      </c>
      <c r="H124" s="4">
        <v>210</v>
      </c>
      <c r="I124" s="40">
        <v>0</v>
      </c>
      <c r="J124" s="355">
        <f t="shared" si="13"/>
        <v>362.44444444444446</v>
      </c>
      <c r="K124" s="355"/>
      <c r="L124" s="43">
        <v>250</v>
      </c>
    </row>
    <row r="125" spans="1:12" x14ac:dyDescent="0.25">
      <c r="A125" s="32">
        <v>39</v>
      </c>
      <c r="B125" s="39" t="s">
        <v>88</v>
      </c>
      <c r="C125" s="40"/>
      <c r="D125" s="42">
        <v>100</v>
      </c>
      <c r="E125" s="40">
        <v>92</v>
      </c>
      <c r="F125" s="155">
        <v>0.55000000000000004</v>
      </c>
      <c r="G125" s="41">
        <f t="shared" si="12"/>
        <v>91.45</v>
      </c>
      <c r="H125" s="173">
        <v>5</v>
      </c>
      <c r="I125" s="42">
        <v>0</v>
      </c>
      <c r="J125" s="355">
        <f t="shared" si="13"/>
        <v>97.222222222222214</v>
      </c>
      <c r="K125" s="355"/>
      <c r="L125" s="43">
        <v>250</v>
      </c>
    </row>
    <row r="126" spans="1:12" x14ac:dyDescent="0.25">
      <c r="A126" s="38">
        <v>40</v>
      </c>
      <c r="B126" s="39" t="s">
        <v>379</v>
      </c>
      <c r="C126" s="40"/>
      <c r="D126" s="42">
        <v>400</v>
      </c>
      <c r="E126" s="40">
        <v>368</v>
      </c>
      <c r="F126" s="155">
        <v>11.25</v>
      </c>
      <c r="G126" s="40">
        <f t="shared" si="12"/>
        <v>356.75</v>
      </c>
      <c r="H126" s="173">
        <v>75</v>
      </c>
      <c r="I126" s="42">
        <v>0</v>
      </c>
      <c r="J126" s="355">
        <f t="shared" si="13"/>
        <v>333.88888888888886</v>
      </c>
      <c r="K126" s="355"/>
      <c r="L126" s="43">
        <v>250</v>
      </c>
    </row>
    <row r="127" spans="1:12" x14ac:dyDescent="0.25">
      <c r="A127" s="38">
        <v>41</v>
      </c>
      <c r="B127" s="39" t="s">
        <v>89</v>
      </c>
      <c r="C127" s="40"/>
      <c r="D127" s="42">
        <v>100</v>
      </c>
      <c r="E127" s="40">
        <v>92</v>
      </c>
      <c r="F127" s="155">
        <v>0.54</v>
      </c>
      <c r="G127" s="40">
        <f t="shared" si="12"/>
        <v>91.46</v>
      </c>
      <c r="H127" s="173">
        <v>12</v>
      </c>
      <c r="I127" s="42">
        <v>0</v>
      </c>
      <c r="J127" s="355">
        <f t="shared" si="13"/>
        <v>90.222222222222214</v>
      </c>
      <c r="K127" s="355"/>
      <c r="L127" s="43">
        <v>250</v>
      </c>
    </row>
    <row r="128" spans="1:12" x14ac:dyDescent="0.25">
      <c r="A128" s="32">
        <v>42</v>
      </c>
      <c r="B128" s="39" t="s">
        <v>90</v>
      </c>
      <c r="C128" s="40"/>
      <c r="D128" s="40">
        <v>400</v>
      </c>
      <c r="E128" s="40">
        <v>368</v>
      </c>
      <c r="F128" s="155">
        <v>0.29899999999999999</v>
      </c>
      <c r="G128" s="40">
        <f t="shared" si="12"/>
        <v>367.70100000000002</v>
      </c>
      <c r="H128" s="4">
        <v>20</v>
      </c>
      <c r="I128" s="40">
        <v>0</v>
      </c>
      <c r="J128" s="355">
        <f t="shared" si="13"/>
        <v>388.88888888888886</v>
      </c>
      <c r="K128" s="355"/>
      <c r="L128" s="43">
        <v>250</v>
      </c>
    </row>
    <row r="129" spans="1:12" x14ac:dyDescent="0.25">
      <c r="A129" s="38">
        <v>43</v>
      </c>
      <c r="B129" s="39" t="s">
        <v>380</v>
      </c>
      <c r="C129" s="40"/>
      <c r="D129" s="40">
        <v>400</v>
      </c>
      <c r="E129" s="40">
        <v>368</v>
      </c>
      <c r="F129" s="155">
        <v>2.64</v>
      </c>
      <c r="G129" s="40">
        <f t="shared" si="12"/>
        <v>365.36</v>
      </c>
      <c r="H129" s="4">
        <v>15</v>
      </c>
      <c r="I129" s="40">
        <v>0</v>
      </c>
      <c r="J129" s="355">
        <f t="shared" si="13"/>
        <v>393.88888888888886</v>
      </c>
      <c r="K129" s="355"/>
      <c r="L129" s="43">
        <v>250</v>
      </c>
    </row>
    <row r="130" spans="1:12" ht="15.75" thickBot="1" x14ac:dyDescent="0.3">
      <c r="A130" s="38">
        <v>44</v>
      </c>
      <c r="B130" s="46" t="s">
        <v>381</v>
      </c>
      <c r="C130" s="47"/>
      <c r="D130" s="47">
        <v>180</v>
      </c>
      <c r="E130" s="47">
        <v>165.6</v>
      </c>
      <c r="F130" s="172">
        <v>11.23</v>
      </c>
      <c r="G130" s="47">
        <f t="shared" si="12"/>
        <v>154.37</v>
      </c>
      <c r="H130" s="174">
        <v>25</v>
      </c>
      <c r="I130" s="47">
        <v>0</v>
      </c>
      <c r="J130" s="358">
        <f t="shared" si="13"/>
        <v>159</v>
      </c>
      <c r="K130" s="358"/>
      <c r="L130" s="48">
        <v>250</v>
      </c>
    </row>
    <row r="131" spans="1:12" ht="16.5" thickBot="1" x14ac:dyDescent="0.3">
      <c r="A131" s="359" t="s">
        <v>96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1"/>
    </row>
    <row r="132" spans="1:12" x14ac:dyDescent="0.25">
      <c r="A132" s="32">
        <v>1</v>
      </c>
      <c r="B132" s="175" t="s">
        <v>330</v>
      </c>
      <c r="C132" s="49"/>
      <c r="D132" s="35" t="s">
        <v>91</v>
      </c>
      <c r="E132" s="176">
        <f>200*0.92*1.4</f>
        <v>257.59999999999997</v>
      </c>
      <c r="F132" s="34">
        <v>237</v>
      </c>
      <c r="G132" s="176">
        <f>E132-F132</f>
        <v>20.599999999999966</v>
      </c>
      <c r="H132" s="176">
        <v>804</v>
      </c>
      <c r="I132" s="177">
        <v>0</v>
      </c>
      <c r="J132" s="362">
        <f>E132*1/0.29-(H132+I132)</f>
        <v>84.275862068965466</v>
      </c>
      <c r="K132" s="362"/>
      <c r="L132" s="48">
        <v>250</v>
      </c>
    </row>
    <row r="133" spans="1:12" x14ac:dyDescent="0.25">
      <c r="A133" s="38">
        <v>2</v>
      </c>
      <c r="B133" s="178" t="s">
        <v>331</v>
      </c>
      <c r="C133" s="50"/>
      <c r="D133" s="40" t="s">
        <v>92</v>
      </c>
      <c r="E133" s="164">
        <v>515.20000000000005</v>
      </c>
      <c r="F133" s="40">
        <v>208</v>
      </c>
      <c r="G133" s="164">
        <f>E133-F133</f>
        <v>307.20000000000005</v>
      </c>
      <c r="H133" s="164">
        <v>846</v>
      </c>
      <c r="I133" s="179">
        <v>0</v>
      </c>
      <c r="J133" s="362">
        <v>0</v>
      </c>
      <c r="K133" s="362"/>
      <c r="L133" s="51" t="s">
        <v>19</v>
      </c>
    </row>
    <row r="134" spans="1:12" x14ac:dyDescent="0.25">
      <c r="A134" s="38">
        <v>3</v>
      </c>
      <c r="B134" s="178" t="s">
        <v>332</v>
      </c>
      <c r="C134" s="50"/>
      <c r="D134" s="40" t="s">
        <v>93</v>
      </c>
      <c r="E134" s="164">
        <v>322</v>
      </c>
      <c r="F134" s="40">
        <v>271</v>
      </c>
      <c r="G134" s="164">
        <f t="shared" ref="G134:G148" si="15">E134-F134</f>
        <v>51</v>
      </c>
      <c r="H134" s="164">
        <v>881</v>
      </c>
      <c r="I134" s="179">
        <v>0</v>
      </c>
      <c r="J134" s="287">
        <v>0</v>
      </c>
      <c r="K134" s="287"/>
      <c r="L134" s="51" t="s">
        <v>19</v>
      </c>
    </row>
    <row r="135" spans="1:12" x14ac:dyDescent="0.25">
      <c r="A135" s="38">
        <v>4</v>
      </c>
      <c r="B135" s="178" t="s">
        <v>333</v>
      </c>
      <c r="C135" s="50"/>
      <c r="D135" s="40" t="s">
        <v>92</v>
      </c>
      <c r="E135" s="164">
        <v>515.20000000000005</v>
      </c>
      <c r="F135" s="40">
        <v>233</v>
      </c>
      <c r="G135" s="164">
        <f t="shared" si="15"/>
        <v>282.20000000000005</v>
      </c>
      <c r="H135" s="164">
        <v>717</v>
      </c>
      <c r="I135" s="179">
        <v>0</v>
      </c>
      <c r="J135" s="287">
        <v>0</v>
      </c>
      <c r="K135" s="287"/>
      <c r="L135" s="51" t="s">
        <v>19</v>
      </c>
    </row>
    <row r="136" spans="1:12" x14ac:dyDescent="0.25">
      <c r="A136" s="38">
        <v>5</v>
      </c>
      <c r="B136" s="178" t="s">
        <v>334</v>
      </c>
      <c r="C136" s="50"/>
      <c r="D136" s="40" t="s">
        <v>93</v>
      </c>
      <c r="E136" s="164">
        <v>322</v>
      </c>
      <c r="F136" s="40">
        <v>253</v>
      </c>
      <c r="G136" s="164">
        <f t="shared" si="15"/>
        <v>69</v>
      </c>
      <c r="H136" s="164">
        <v>820</v>
      </c>
      <c r="I136" s="179">
        <v>0</v>
      </c>
      <c r="J136" s="284">
        <f>E136*1/0.29-(H136+I136)</f>
        <v>290.34482758620697</v>
      </c>
      <c r="K136" s="284"/>
      <c r="L136" s="48">
        <v>250</v>
      </c>
    </row>
    <row r="137" spans="1:12" x14ac:dyDescent="0.25">
      <c r="A137" s="38">
        <v>6</v>
      </c>
      <c r="B137" s="178" t="s">
        <v>335</v>
      </c>
      <c r="C137" s="50"/>
      <c r="D137" s="40" t="s">
        <v>93</v>
      </c>
      <c r="E137" s="164">
        <v>322</v>
      </c>
      <c r="F137" s="40">
        <v>240</v>
      </c>
      <c r="G137" s="164">
        <f t="shared" si="15"/>
        <v>82</v>
      </c>
      <c r="H137" s="164">
        <v>125</v>
      </c>
      <c r="I137" s="179">
        <v>0</v>
      </c>
      <c r="J137" s="284">
        <f t="shared" ref="J137:J143" si="16">E137*1/0.9-(H137+I137)</f>
        <v>232.77777777777777</v>
      </c>
      <c r="K137" s="284"/>
      <c r="L137" s="48">
        <v>250</v>
      </c>
    </row>
    <row r="138" spans="1:12" x14ac:dyDescent="0.25">
      <c r="A138" s="38">
        <v>7</v>
      </c>
      <c r="B138" s="178" t="s">
        <v>336</v>
      </c>
      <c r="C138" s="50"/>
      <c r="D138" s="44" t="s">
        <v>94</v>
      </c>
      <c r="E138" s="164">
        <v>206.08</v>
      </c>
      <c r="F138" s="40">
        <v>171</v>
      </c>
      <c r="G138" s="164">
        <f t="shared" si="15"/>
        <v>35.080000000000013</v>
      </c>
      <c r="H138" s="164">
        <v>962</v>
      </c>
      <c r="I138" s="179">
        <v>0</v>
      </c>
      <c r="J138" s="287">
        <v>0</v>
      </c>
      <c r="K138" s="287"/>
      <c r="L138" s="51" t="s">
        <v>19</v>
      </c>
    </row>
    <row r="139" spans="1:12" x14ac:dyDescent="0.25">
      <c r="A139" s="38">
        <v>8</v>
      </c>
      <c r="B139" s="178" t="s">
        <v>337</v>
      </c>
      <c r="C139" s="50"/>
      <c r="D139" s="40" t="s">
        <v>60</v>
      </c>
      <c r="E139" s="164">
        <v>811.44</v>
      </c>
      <c r="F139" s="40">
        <v>157</v>
      </c>
      <c r="G139" s="164">
        <f t="shared" si="15"/>
        <v>654.44000000000005</v>
      </c>
      <c r="H139" s="164">
        <v>445</v>
      </c>
      <c r="I139" s="179">
        <v>0</v>
      </c>
      <c r="J139" s="284">
        <f>E139*1/0.9-(H139+I139)</f>
        <v>456.6</v>
      </c>
      <c r="K139" s="284"/>
      <c r="L139" s="48">
        <v>250</v>
      </c>
    </row>
    <row r="140" spans="1:12" x14ac:dyDescent="0.25">
      <c r="A140" s="38">
        <v>9</v>
      </c>
      <c r="B140" s="178" t="s">
        <v>338</v>
      </c>
      <c r="C140" s="50"/>
      <c r="D140" s="40" t="s">
        <v>92</v>
      </c>
      <c r="E140" s="164">
        <v>515.20000000000005</v>
      </c>
      <c r="F140" s="40">
        <v>127</v>
      </c>
      <c r="G140" s="164">
        <f t="shared" si="15"/>
        <v>388.20000000000005</v>
      </c>
      <c r="H140" s="164">
        <v>268</v>
      </c>
      <c r="I140" s="179">
        <v>0</v>
      </c>
      <c r="J140" s="284">
        <f>E140*1/0.9-(H140+I140)</f>
        <v>304.44444444444446</v>
      </c>
      <c r="K140" s="284"/>
      <c r="L140" s="48">
        <v>250</v>
      </c>
    </row>
    <row r="141" spans="1:12" x14ac:dyDescent="0.25">
      <c r="A141" s="38">
        <v>10</v>
      </c>
      <c r="B141" s="178" t="s">
        <v>339</v>
      </c>
      <c r="C141" s="50"/>
      <c r="D141" s="40" t="s">
        <v>60</v>
      </c>
      <c r="E141" s="164">
        <v>811.44</v>
      </c>
      <c r="F141" s="40">
        <v>326</v>
      </c>
      <c r="G141" s="164">
        <f t="shared" si="15"/>
        <v>485.44000000000005</v>
      </c>
      <c r="H141" s="164">
        <v>873</v>
      </c>
      <c r="I141" s="179">
        <v>0</v>
      </c>
      <c r="J141" s="284">
        <f>E141*1/0.9-(H141+I141)</f>
        <v>28.600000000000023</v>
      </c>
      <c r="K141" s="284"/>
      <c r="L141" s="48">
        <v>250</v>
      </c>
    </row>
    <row r="142" spans="1:12" x14ac:dyDescent="0.25">
      <c r="A142" s="38">
        <v>11</v>
      </c>
      <c r="B142" s="178" t="s">
        <v>340</v>
      </c>
      <c r="C142" s="50"/>
      <c r="D142" s="40" t="s">
        <v>60</v>
      </c>
      <c r="E142" s="164">
        <v>811.44</v>
      </c>
      <c r="F142" s="40">
        <v>246</v>
      </c>
      <c r="G142" s="164">
        <f t="shared" si="15"/>
        <v>565.44000000000005</v>
      </c>
      <c r="H142" s="164">
        <v>800</v>
      </c>
      <c r="I142" s="179">
        <v>0</v>
      </c>
      <c r="J142" s="284">
        <f t="shared" si="16"/>
        <v>101.60000000000002</v>
      </c>
      <c r="K142" s="284"/>
      <c r="L142" s="48">
        <v>250</v>
      </c>
    </row>
    <row r="143" spans="1:12" x14ac:dyDescent="0.25">
      <c r="A143" s="38">
        <v>12</v>
      </c>
      <c r="B143" s="178" t="s">
        <v>341</v>
      </c>
      <c r="C143" s="50"/>
      <c r="D143" s="40" t="s">
        <v>92</v>
      </c>
      <c r="E143" s="164">
        <v>515.20000000000005</v>
      </c>
      <c r="F143" s="40">
        <v>77</v>
      </c>
      <c r="G143" s="164">
        <f t="shared" si="15"/>
        <v>438.20000000000005</v>
      </c>
      <c r="H143" s="164">
        <v>495</v>
      </c>
      <c r="I143" s="179">
        <v>0</v>
      </c>
      <c r="J143" s="284">
        <f t="shared" si="16"/>
        <v>77.444444444444457</v>
      </c>
      <c r="K143" s="284"/>
      <c r="L143" s="48">
        <v>250</v>
      </c>
    </row>
    <row r="144" spans="1:12" x14ac:dyDescent="0.25">
      <c r="A144" s="38">
        <v>13</v>
      </c>
      <c r="B144" s="178" t="s">
        <v>342</v>
      </c>
      <c r="C144" s="50"/>
      <c r="D144" s="40" t="s">
        <v>60</v>
      </c>
      <c r="E144" s="164">
        <v>811.44</v>
      </c>
      <c r="F144" s="40">
        <v>226</v>
      </c>
      <c r="G144" s="164">
        <f t="shared" si="15"/>
        <v>585.44000000000005</v>
      </c>
      <c r="H144" s="164">
        <v>802</v>
      </c>
      <c r="I144" s="179">
        <v>0</v>
      </c>
      <c r="J144" s="284">
        <f>E144*1/0.9-(H144+I144)</f>
        <v>99.600000000000023</v>
      </c>
      <c r="K144" s="284"/>
      <c r="L144" s="48">
        <v>250</v>
      </c>
    </row>
    <row r="145" spans="1:12" x14ac:dyDescent="0.25">
      <c r="A145" s="38">
        <v>14</v>
      </c>
      <c r="B145" s="178" t="s">
        <v>343</v>
      </c>
      <c r="C145" s="50"/>
      <c r="D145" s="40" t="s">
        <v>93</v>
      </c>
      <c r="E145" s="164">
        <v>322</v>
      </c>
      <c r="F145" s="40">
        <v>51</v>
      </c>
      <c r="G145" s="164">
        <f t="shared" si="15"/>
        <v>271</v>
      </c>
      <c r="H145" s="164">
        <v>233</v>
      </c>
      <c r="I145" s="179">
        <v>0</v>
      </c>
      <c r="J145" s="284">
        <f>E145*1/0.9-(H145+I145)</f>
        <v>124.77777777777777</v>
      </c>
      <c r="K145" s="284"/>
      <c r="L145" s="48">
        <v>250</v>
      </c>
    </row>
    <row r="146" spans="1:12" x14ac:dyDescent="0.25">
      <c r="A146" s="38">
        <v>15</v>
      </c>
      <c r="B146" s="178" t="s">
        <v>344</v>
      </c>
      <c r="C146" s="50"/>
      <c r="D146" s="40" t="s">
        <v>92</v>
      </c>
      <c r="E146" s="164">
        <v>515.20000000000005</v>
      </c>
      <c r="F146" s="40">
        <v>73</v>
      </c>
      <c r="G146" s="164">
        <f t="shared" si="15"/>
        <v>442.20000000000005</v>
      </c>
      <c r="H146" s="164">
        <v>256</v>
      </c>
      <c r="I146" s="179">
        <v>12</v>
      </c>
      <c r="J146" s="284">
        <f>E146*1/0.9-(H146+I146)</f>
        <v>304.44444444444446</v>
      </c>
      <c r="K146" s="284"/>
      <c r="L146" s="48">
        <v>250</v>
      </c>
    </row>
    <row r="147" spans="1:12" x14ac:dyDescent="0.25">
      <c r="A147" s="38">
        <v>16</v>
      </c>
      <c r="B147" s="178" t="s">
        <v>345</v>
      </c>
      <c r="C147" s="50"/>
      <c r="D147" s="40">
        <v>250</v>
      </c>
      <c r="E147" s="164">
        <v>230</v>
      </c>
      <c r="F147" s="40">
        <v>24</v>
      </c>
      <c r="G147" s="164">
        <f t="shared" si="15"/>
        <v>206</v>
      </c>
      <c r="H147" s="164">
        <v>153</v>
      </c>
      <c r="I147" s="179">
        <v>5</v>
      </c>
      <c r="J147" s="284">
        <f>E147*1/0.9-(H147+I147)</f>
        <v>97.555555555555543</v>
      </c>
      <c r="K147" s="284"/>
      <c r="L147" s="48">
        <v>250</v>
      </c>
    </row>
    <row r="148" spans="1:12" x14ac:dyDescent="0.25">
      <c r="A148" s="52">
        <v>17</v>
      </c>
      <c r="B148" s="178" t="s">
        <v>346</v>
      </c>
      <c r="C148" s="180"/>
      <c r="D148" s="47">
        <v>400</v>
      </c>
      <c r="E148" s="181">
        <v>368</v>
      </c>
      <c r="F148" s="47">
        <v>24</v>
      </c>
      <c r="G148" s="181">
        <f t="shared" si="15"/>
        <v>344</v>
      </c>
      <c r="H148" s="181">
        <v>114</v>
      </c>
      <c r="I148" s="182">
        <v>0</v>
      </c>
      <c r="J148" s="284">
        <f>E148*1/0.9-(H148+I148)</f>
        <v>294.88888888888886</v>
      </c>
      <c r="K148" s="284"/>
      <c r="L148" s="48">
        <v>250</v>
      </c>
    </row>
    <row r="149" spans="1:12" x14ac:dyDescent="0.25">
      <c r="A149" s="38">
        <v>18</v>
      </c>
      <c r="B149" s="53" t="s">
        <v>347</v>
      </c>
      <c r="C149" s="183"/>
      <c r="D149" s="47">
        <v>180</v>
      </c>
      <c r="E149" s="184">
        <v>165.6</v>
      </c>
      <c r="F149" s="183">
        <v>13</v>
      </c>
      <c r="G149" s="184">
        <f>E149-F149</f>
        <v>152.6</v>
      </c>
      <c r="H149" s="162">
        <v>96</v>
      </c>
      <c r="I149" s="185">
        <v>0</v>
      </c>
      <c r="J149" s="284">
        <f t="shared" ref="J149" si="17">E149*1/0.9-(H149+I149)</f>
        <v>88</v>
      </c>
      <c r="K149" s="284"/>
      <c r="L149" s="48">
        <v>250</v>
      </c>
    </row>
    <row r="150" spans="1:12" x14ac:dyDescent="0.25">
      <c r="A150" s="38">
        <v>19</v>
      </c>
      <c r="B150" s="178" t="s">
        <v>348</v>
      </c>
      <c r="C150" s="183"/>
      <c r="D150" s="40" t="s">
        <v>93</v>
      </c>
      <c r="E150" s="184">
        <v>322</v>
      </c>
      <c r="F150" s="183">
        <v>28</v>
      </c>
      <c r="G150" s="184">
        <f t="shared" ref="G150:G153" si="18">E150-F150</f>
        <v>294</v>
      </c>
      <c r="H150" s="162">
        <v>255</v>
      </c>
      <c r="I150" s="185">
        <v>0</v>
      </c>
      <c r="J150" s="284">
        <f>E150*1/0.9-(H150+I150)</f>
        <v>102.77777777777777</v>
      </c>
      <c r="K150" s="284"/>
      <c r="L150" s="48">
        <v>250</v>
      </c>
    </row>
    <row r="151" spans="1:12" x14ac:dyDescent="0.25">
      <c r="A151" s="38">
        <v>20</v>
      </c>
      <c r="B151" s="53" t="s">
        <v>349</v>
      </c>
      <c r="C151" s="183"/>
      <c r="D151" s="40" t="s">
        <v>60</v>
      </c>
      <c r="E151" s="184">
        <v>811.44</v>
      </c>
      <c r="F151" s="183">
        <v>27</v>
      </c>
      <c r="G151" s="184">
        <f t="shared" si="18"/>
        <v>784.44</v>
      </c>
      <c r="H151" s="162">
        <v>144</v>
      </c>
      <c r="I151" s="185">
        <v>0</v>
      </c>
      <c r="J151" s="284">
        <f>E151*1/0.9-(H151+I151)</f>
        <v>757.6</v>
      </c>
      <c r="K151" s="284"/>
      <c r="L151" s="48">
        <v>250</v>
      </c>
    </row>
    <row r="152" spans="1:12" x14ac:dyDescent="0.25">
      <c r="A152" s="52">
        <v>21</v>
      </c>
      <c r="B152" s="54" t="s">
        <v>350</v>
      </c>
      <c r="C152" s="183"/>
      <c r="D152" s="40" t="s">
        <v>60</v>
      </c>
      <c r="E152" s="184">
        <v>811.44</v>
      </c>
      <c r="F152" s="183">
        <v>66</v>
      </c>
      <c r="G152" s="184">
        <f t="shared" si="18"/>
        <v>745.44</v>
      </c>
      <c r="H152" s="162">
        <v>372</v>
      </c>
      <c r="I152" s="185">
        <v>0</v>
      </c>
      <c r="J152" s="284">
        <f>E152*1/0.9-(H152+I152)</f>
        <v>529.6</v>
      </c>
      <c r="K152" s="284"/>
      <c r="L152" s="48">
        <v>250</v>
      </c>
    </row>
    <row r="153" spans="1:12" ht="15.75" thickBot="1" x14ac:dyDescent="0.3">
      <c r="A153" s="52">
        <v>22</v>
      </c>
      <c r="B153" s="186" t="s">
        <v>351</v>
      </c>
      <c r="C153" s="187"/>
      <c r="D153" s="55" t="s">
        <v>95</v>
      </c>
      <c r="E153" s="188">
        <v>206.08</v>
      </c>
      <c r="F153" s="183">
        <v>31</v>
      </c>
      <c r="G153" s="188">
        <f t="shared" si="18"/>
        <v>175.08</v>
      </c>
      <c r="H153" s="163">
        <v>120</v>
      </c>
      <c r="I153" s="189">
        <v>0</v>
      </c>
      <c r="J153" s="285">
        <f>E153*1/0.9-(H153+I153)</f>
        <v>108.97777777777779</v>
      </c>
      <c r="K153" s="286"/>
      <c r="L153" s="48">
        <v>250</v>
      </c>
    </row>
    <row r="154" spans="1:12" ht="16.5" thickBot="1" x14ac:dyDescent="0.3">
      <c r="A154" s="367" t="s">
        <v>106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9"/>
    </row>
    <row r="155" spans="1:12" x14ac:dyDescent="0.25">
      <c r="A155" s="56">
        <v>1</v>
      </c>
      <c r="B155" s="57" t="s">
        <v>377</v>
      </c>
      <c r="C155" s="35"/>
      <c r="D155" s="35">
        <v>400</v>
      </c>
      <c r="E155" s="58">
        <f>400*0.92</f>
        <v>368</v>
      </c>
      <c r="F155" s="191">
        <v>27.2</v>
      </c>
      <c r="G155" s="35">
        <f>E155-F155</f>
        <v>340.8</v>
      </c>
      <c r="H155" s="195">
        <v>193.8</v>
      </c>
      <c r="I155" s="195">
        <v>0</v>
      </c>
      <c r="J155" s="284">
        <f t="shared" ref="J155" si="19">E155*1/0.9-(H155+I155)</f>
        <v>215.08888888888885</v>
      </c>
      <c r="K155" s="284"/>
      <c r="L155" s="48">
        <v>250</v>
      </c>
    </row>
    <row r="156" spans="1:12" x14ac:dyDescent="0.25">
      <c r="A156" s="59">
        <v>2</v>
      </c>
      <c r="B156" s="53" t="s">
        <v>295</v>
      </c>
      <c r="C156" s="44"/>
      <c r="D156" s="44" t="s">
        <v>97</v>
      </c>
      <c r="E156" s="60">
        <f>250*0.92*1.4</f>
        <v>322</v>
      </c>
      <c r="F156" s="192">
        <v>39.06</v>
      </c>
      <c r="G156" s="44">
        <f t="shared" ref="G156:G219" si="20">E156-F156</f>
        <v>282.94</v>
      </c>
      <c r="H156" s="192">
        <v>579.52</v>
      </c>
      <c r="I156" s="193">
        <v>0</v>
      </c>
      <c r="J156" s="363">
        <v>0</v>
      </c>
      <c r="K156" s="364"/>
      <c r="L156" s="51" t="s">
        <v>19</v>
      </c>
    </row>
    <row r="157" spans="1:12" x14ac:dyDescent="0.25">
      <c r="A157" s="59">
        <v>3</v>
      </c>
      <c r="B157" s="53" t="s">
        <v>435</v>
      </c>
      <c r="C157" s="44"/>
      <c r="D157" s="44" t="s">
        <v>108</v>
      </c>
      <c r="E157" s="60">
        <f>320*0.92*1.4</f>
        <v>412.16</v>
      </c>
      <c r="F157" s="192">
        <v>224.96</v>
      </c>
      <c r="G157" s="44">
        <f t="shared" si="20"/>
        <v>187.20000000000002</v>
      </c>
      <c r="H157" s="192">
        <v>1229.1500000000001</v>
      </c>
      <c r="I157" s="193">
        <v>2.6</v>
      </c>
      <c r="J157" s="363">
        <v>0</v>
      </c>
      <c r="K157" s="364"/>
      <c r="L157" s="51" t="s">
        <v>19</v>
      </c>
    </row>
    <row r="158" spans="1:12" x14ac:dyDescent="0.25">
      <c r="A158" s="59">
        <v>4</v>
      </c>
      <c r="B158" s="53" t="s">
        <v>402</v>
      </c>
      <c r="C158" s="44"/>
      <c r="D158" s="44" t="s">
        <v>60</v>
      </c>
      <c r="E158" s="60">
        <f>630*0.92*1.4</f>
        <v>811.43999999999994</v>
      </c>
      <c r="F158" s="192">
        <v>55.44</v>
      </c>
      <c r="G158" s="44">
        <f t="shared" si="20"/>
        <v>756</v>
      </c>
      <c r="H158" s="192">
        <v>741.09</v>
      </c>
      <c r="I158" s="193">
        <v>1.5</v>
      </c>
      <c r="J158" s="365">
        <f t="shared" ref="J158:J221" si="21">E158*1/0.9-(H158+I158)</f>
        <v>159.00999999999988</v>
      </c>
      <c r="K158" s="366"/>
      <c r="L158" s="48">
        <v>250</v>
      </c>
    </row>
    <row r="159" spans="1:12" x14ac:dyDescent="0.25">
      <c r="A159" s="59">
        <v>5</v>
      </c>
      <c r="B159" s="53" t="s">
        <v>301</v>
      </c>
      <c r="C159" s="44"/>
      <c r="D159" s="44" t="s">
        <v>60</v>
      </c>
      <c r="E159" s="60">
        <f>630*0.92*1.4</f>
        <v>811.43999999999994</v>
      </c>
      <c r="F159" s="192">
        <v>294.20999999999998</v>
      </c>
      <c r="G159" s="44">
        <f t="shared" si="20"/>
        <v>517.23</v>
      </c>
      <c r="H159" s="192">
        <v>1741.91</v>
      </c>
      <c r="I159" s="193">
        <v>2.9</v>
      </c>
      <c r="J159" s="363">
        <v>0</v>
      </c>
      <c r="K159" s="364"/>
      <c r="L159" s="51" t="s">
        <v>19</v>
      </c>
    </row>
    <row r="160" spans="1:12" x14ac:dyDescent="0.25">
      <c r="A160" s="59">
        <v>6</v>
      </c>
      <c r="B160" s="53" t="s">
        <v>436</v>
      </c>
      <c r="C160" s="44"/>
      <c r="D160" s="44">
        <v>630</v>
      </c>
      <c r="E160" s="60">
        <f>630*0.92</f>
        <v>579.6</v>
      </c>
      <c r="F160" s="192">
        <v>22.68</v>
      </c>
      <c r="G160" s="44">
        <f t="shared" si="20"/>
        <v>556.92000000000007</v>
      </c>
      <c r="H160" s="192">
        <v>502</v>
      </c>
      <c r="I160" s="193">
        <v>0</v>
      </c>
      <c r="J160" s="365">
        <f t="shared" si="21"/>
        <v>142</v>
      </c>
      <c r="K160" s="366"/>
      <c r="L160" s="48">
        <v>250</v>
      </c>
    </row>
    <row r="161" spans="1:12" x14ac:dyDescent="0.25">
      <c r="A161" s="59">
        <v>7</v>
      </c>
      <c r="B161" s="53" t="s">
        <v>437</v>
      </c>
      <c r="C161" s="44"/>
      <c r="D161" s="44">
        <v>100</v>
      </c>
      <c r="E161" s="60">
        <f>100*0.92</f>
        <v>92</v>
      </c>
      <c r="F161" s="192">
        <v>21.7</v>
      </c>
      <c r="G161" s="44">
        <f t="shared" si="20"/>
        <v>70.3</v>
      </c>
      <c r="H161" s="192">
        <v>189.2</v>
      </c>
      <c r="I161" s="193">
        <v>0</v>
      </c>
      <c r="J161" s="363">
        <v>0</v>
      </c>
      <c r="K161" s="364"/>
      <c r="L161" s="51" t="s">
        <v>19</v>
      </c>
    </row>
    <row r="162" spans="1:12" x14ac:dyDescent="0.25">
      <c r="A162" s="59">
        <v>8</v>
      </c>
      <c r="B162" s="53" t="s">
        <v>438</v>
      </c>
      <c r="C162" s="44"/>
      <c r="D162" s="44" t="s">
        <v>51</v>
      </c>
      <c r="E162" s="60">
        <f>400*0.92*1.4</f>
        <v>515.19999999999993</v>
      </c>
      <c r="F162" s="192">
        <v>145.6</v>
      </c>
      <c r="G162" s="44">
        <f t="shared" si="20"/>
        <v>369.59999999999991</v>
      </c>
      <c r="H162" s="192">
        <v>715.5</v>
      </c>
      <c r="I162" s="193">
        <v>0</v>
      </c>
      <c r="J162" s="363">
        <v>0</v>
      </c>
      <c r="K162" s="364"/>
      <c r="L162" s="51" t="s">
        <v>19</v>
      </c>
    </row>
    <row r="163" spans="1:12" x14ac:dyDescent="0.25">
      <c r="A163" s="59">
        <v>9</v>
      </c>
      <c r="B163" s="53" t="s">
        <v>439</v>
      </c>
      <c r="C163" s="44"/>
      <c r="D163" s="44" t="s">
        <v>60</v>
      </c>
      <c r="E163" s="60">
        <f>630*0.92*1.4</f>
        <v>811.43999999999994</v>
      </c>
      <c r="F163" s="192">
        <v>233.73</v>
      </c>
      <c r="G163" s="44">
        <f t="shared" si="20"/>
        <v>577.70999999999992</v>
      </c>
      <c r="H163" s="192">
        <v>734</v>
      </c>
      <c r="I163" s="192">
        <v>0</v>
      </c>
      <c r="J163" s="365">
        <f t="shared" si="21"/>
        <v>167.59999999999991</v>
      </c>
      <c r="K163" s="366"/>
      <c r="L163" s="48">
        <v>250</v>
      </c>
    </row>
    <row r="164" spans="1:12" x14ac:dyDescent="0.25">
      <c r="A164" s="59">
        <v>10</v>
      </c>
      <c r="B164" s="53" t="s">
        <v>440</v>
      </c>
      <c r="C164" s="44"/>
      <c r="D164" s="44" t="s">
        <v>51</v>
      </c>
      <c r="E164" s="60">
        <f>400*0.92*1.4</f>
        <v>515.19999999999993</v>
      </c>
      <c r="F164" s="192">
        <v>166.4</v>
      </c>
      <c r="G164" s="44">
        <f t="shared" si="20"/>
        <v>348.79999999999995</v>
      </c>
      <c r="H164" s="192">
        <v>570.16999999999996</v>
      </c>
      <c r="I164" s="193">
        <v>0</v>
      </c>
      <c r="J164" s="365">
        <f t="shared" si="21"/>
        <v>2.2744444444443843</v>
      </c>
      <c r="K164" s="366"/>
      <c r="L164" s="48">
        <v>250</v>
      </c>
    </row>
    <row r="165" spans="1:12" x14ac:dyDescent="0.25">
      <c r="A165" s="59">
        <v>11</v>
      </c>
      <c r="B165" s="53" t="s">
        <v>296</v>
      </c>
      <c r="C165" s="44"/>
      <c r="D165" s="44" t="s">
        <v>51</v>
      </c>
      <c r="E165" s="60">
        <f>400*0.92*1.4</f>
        <v>515.19999999999993</v>
      </c>
      <c r="F165" s="192">
        <v>355.32</v>
      </c>
      <c r="G165" s="44">
        <f t="shared" si="20"/>
        <v>159.87999999999994</v>
      </c>
      <c r="H165" s="192">
        <v>783.3</v>
      </c>
      <c r="I165" s="193">
        <v>0</v>
      </c>
      <c r="J165" s="363">
        <v>0</v>
      </c>
      <c r="K165" s="364"/>
      <c r="L165" s="51" t="s">
        <v>19</v>
      </c>
    </row>
    <row r="166" spans="1:12" x14ac:dyDescent="0.25">
      <c r="A166" s="59">
        <v>12</v>
      </c>
      <c r="B166" s="53" t="s">
        <v>441</v>
      </c>
      <c r="C166" s="44"/>
      <c r="D166" s="44" t="s">
        <v>51</v>
      </c>
      <c r="E166" s="60">
        <f>400*0.92*1.4</f>
        <v>515.19999999999993</v>
      </c>
      <c r="F166" s="192">
        <v>298.8</v>
      </c>
      <c r="G166" s="44">
        <f t="shared" si="20"/>
        <v>216.39999999999992</v>
      </c>
      <c r="H166" s="192">
        <v>1081.1199999999999</v>
      </c>
      <c r="I166" s="193">
        <v>0</v>
      </c>
      <c r="J166" s="363">
        <v>0</v>
      </c>
      <c r="K166" s="364"/>
      <c r="L166" s="51" t="s">
        <v>19</v>
      </c>
    </row>
    <row r="167" spans="1:12" x14ac:dyDescent="0.25">
      <c r="A167" s="59">
        <v>13</v>
      </c>
      <c r="B167" s="53" t="s">
        <v>300</v>
      </c>
      <c r="C167" s="44"/>
      <c r="D167" s="44" t="s">
        <v>74</v>
      </c>
      <c r="E167" s="60">
        <f>250*0.92*1.4</f>
        <v>322</v>
      </c>
      <c r="F167" s="192">
        <v>99.75</v>
      </c>
      <c r="G167" s="44">
        <f t="shared" si="20"/>
        <v>222.25</v>
      </c>
      <c r="H167" s="192">
        <v>584.70000000000005</v>
      </c>
      <c r="I167" s="193">
        <v>0</v>
      </c>
      <c r="J167" s="363">
        <v>0</v>
      </c>
      <c r="K167" s="364"/>
      <c r="L167" s="51" t="s">
        <v>19</v>
      </c>
    </row>
    <row r="168" spans="1:12" x14ac:dyDescent="0.25">
      <c r="A168" s="59">
        <v>14</v>
      </c>
      <c r="B168" s="53" t="s">
        <v>442</v>
      </c>
      <c r="C168" s="44"/>
      <c r="D168" s="44" t="s">
        <v>98</v>
      </c>
      <c r="E168" s="60">
        <f>250*0.92*1.4</f>
        <v>322</v>
      </c>
      <c r="F168" s="192">
        <v>160.05000000000001</v>
      </c>
      <c r="G168" s="44">
        <f t="shared" si="20"/>
        <v>161.94999999999999</v>
      </c>
      <c r="H168" s="192">
        <v>322.92</v>
      </c>
      <c r="I168" s="193">
        <v>13</v>
      </c>
      <c r="J168" s="365">
        <f t="shared" si="21"/>
        <v>21.857777777777756</v>
      </c>
      <c r="K168" s="366"/>
      <c r="L168" s="48">
        <v>250</v>
      </c>
    </row>
    <row r="169" spans="1:12" x14ac:dyDescent="0.25">
      <c r="A169" s="59">
        <v>15</v>
      </c>
      <c r="B169" s="53" t="s">
        <v>443</v>
      </c>
      <c r="C169" s="44"/>
      <c r="D169" s="44" t="s">
        <v>99</v>
      </c>
      <c r="E169" s="60">
        <f>400*0.92*1.4</f>
        <v>515.19999999999993</v>
      </c>
      <c r="F169" s="192">
        <v>498.88</v>
      </c>
      <c r="G169" s="44">
        <f t="shared" si="20"/>
        <v>16.319999999999936</v>
      </c>
      <c r="H169" s="192">
        <v>1388.98</v>
      </c>
      <c r="I169" s="193">
        <v>0</v>
      </c>
      <c r="J169" s="363">
        <v>0</v>
      </c>
      <c r="K169" s="364"/>
      <c r="L169" s="51" t="s">
        <v>19</v>
      </c>
    </row>
    <row r="170" spans="1:12" x14ac:dyDescent="0.25">
      <c r="A170" s="59">
        <v>16</v>
      </c>
      <c r="B170" s="53" t="s">
        <v>444</v>
      </c>
      <c r="C170" s="44"/>
      <c r="D170" s="44" t="s">
        <v>51</v>
      </c>
      <c r="E170" s="60">
        <f>400*0.92*1.4</f>
        <v>515.19999999999993</v>
      </c>
      <c r="F170" s="192">
        <v>246.4</v>
      </c>
      <c r="G170" s="44">
        <f t="shared" si="20"/>
        <v>268.79999999999995</v>
      </c>
      <c r="H170" s="192">
        <v>811.57</v>
      </c>
      <c r="I170" s="193">
        <v>0</v>
      </c>
      <c r="J170" s="363">
        <v>0</v>
      </c>
      <c r="K170" s="364"/>
      <c r="L170" s="51" t="s">
        <v>19</v>
      </c>
    </row>
    <row r="171" spans="1:12" x14ac:dyDescent="0.25">
      <c r="A171" s="59">
        <v>17</v>
      </c>
      <c r="B171" s="53" t="s">
        <v>445</v>
      </c>
      <c r="C171" s="44"/>
      <c r="D171" s="44" t="s">
        <v>51</v>
      </c>
      <c r="E171" s="60">
        <f>400*0.92*1.4</f>
        <v>515.19999999999993</v>
      </c>
      <c r="F171" s="192">
        <v>334.8</v>
      </c>
      <c r="G171" s="44">
        <f t="shared" si="20"/>
        <v>180.39999999999992</v>
      </c>
      <c r="H171" s="192">
        <v>1526.44</v>
      </c>
      <c r="I171" s="193">
        <v>0</v>
      </c>
      <c r="J171" s="363">
        <v>0</v>
      </c>
      <c r="K171" s="364"/>
      <c r="L171" s="51" t="s">
        <v>19</v>
      </c>
    </row>
    <row r="172" spans="1:12" x14ac:dyDescent="0.25">
      <c r="A172" s="59">
        <v>18</v>
      </c>
      <c r="B172" s="53" t="s">
        <v>446</v>
      </c>
      <c r="C172" s="44"/>
      <c r="D172" s="44" t="s">
        <v>65</v>
      </c>
      <c r="E172" s="60">
        <f>400*0.92*1.4</f>
        <v>515.19999999999993</v>
      </c>
      <c r="F172" s="192">
        <v>252.84</v>
      </c>
      <c r="G172" s="44">
        <f t="shared" si="20"/>
        <v>262.3599999999999</v>
      </c>
      <c r="H172" s="192">
        <v>713.6</v>
      </c>
      <c r="I172" s="193">
        <v>0</v>
      </c>
      <c r="J172" s="363">
        <v>0</v>
      </c>
      <c r="K172" s="364"/>
      <c r="L172" s="51" t="s">
        <v>19</v>
      </c>
    </row>
    <row r="173" spans="1:12" x14ac:dyDescent="0.25">
      <c r="A173" s="59">
        <v>19</v>
      </c>
      <c r="B173" s="53" t="s">
        <v>447</v>
      </c>
      <c r="C173" s="44"/>
      <c r="D173" s="44" t="s">
        <v>51</v>
      </c>
      <c r="E173" s="60">
        <f>400*0.92*1.4</f>
        <v>515.19999999999993</v>
      </c>
      <c r="F173" s="192">
        <v>79.599999999999994</v>
      </c>
      <c r="G173" s="44">
        <f t="shared" si="20"/>
        <v>435.59999999999991</v>
      </c>
      <c r="H173" s="192">
        <v>411.7</v>
      </c>
      <c r="I173" s="193">
        <v>0</v>
      </c>
      <c r="J173" s="365">
        <f t="shared" si="21"/>
        <v>160.74444444444435</v>
      </c>
      <c r="K173" s="366"/>
      <c r="L173" s="48">
        <v>250</v>
      </c>
    </row>
    <row r="174" spans="1:12" x14ac:dyDescent="0.25">
      <c r="A174" s="59">
        <v>20</v>
      </c>
      <c r="B174" s="53" t="s">
        <v>448</v>
      </c>
      <c r="C174" s="44"/>
      <c r="D174" s="44" t="s">
        <v>100</v>
      </c>
      <c r="E174" s="60">
        <f>315*0.92*1.4</f>
        <v>405.71999999999997</v>
      </c>
      <c r="F174" s="192">
        <v>271.20999999999998</v>
      </c>
      <c r="G174" s="44">
        <f t="shared" si="20"/>
        <v>134.51</v>
      </c>
      <c r="H174" s="192">
        <v>805.37</v>
      </c>
      <c r="I174" s="193">
        <v>0</v>
      </c>
      <c r="J174" s="363">
        <v>0</v>
      </c>
      <c r="K174" s="364"/>
      <c r="L174" s="51" t="s">
        <v>19</v>
      </c>
    </row>
    <row r="175" spans="1:12" x14ac:dyDescent="0.25">
      <c r="A175" s="59">
        <v>21</v>
      </c>
      <c r="B175" s="53" t="s">
        <v>382</v>
      </c>
      <c r="C175" s="44"/>
      <c r="D175" s="44" t="s">
        <v>97</v>
      </c>
      <c r="E175" s="60">
        <f>250*0.92*1.4</f>
        <v>322</v>
      </c>
      <c r="F175" s="192">
        <v>258.87</v>
      </c>
      <c r="G175" s="44">
        <f t="shared" si="20"/>
        <v>63.129999999999995</v>
      </c>
      <c r="H175" s="192">
        <v>618.25</v>
      </c>
      <c r="I175" s="193">
        <v>0</v>
      </c>
      <c r="J175" s="363">
        <v>0</v>
      </c>
      <c r="K175" s="364"/>
      <c r="L175" s="51" t="s">
        <v>19</v>
      </c>
    </row>
    <row r="176" spans="1:12" x14ac:dyDescent="0.25">
      <c r="A176" s="59">
        <v>22</v>
      </c>
      <c r="B176" s="53" t="s">
        <v>449</v>
      </c>
      <c r="C176" s="44"/>
      <c r="D176" s="44">
        <v>630</v>
      </c>
      <c r="E176" s="60">
        <f>630*0.92</f>
        <v>579.6</v>
      </c>
      <c r="F176" s="192">
        <v>291.69</v>
      </c>
      <c r="G176" s="44">
        <f t="shared" si="20"/>
        <v>287.91000000000003</v>
      </c>
      <c r="H176" s="192">
        <v>399.3</v>
      </c>
      <c r="I176" s="193">
        <v>15</v>
      </c>
      <c r="J176" s="365">
        <f t="shared" si="21"/>
        <v>229.7</v>
      </c>
      <c r="K176" s="366"/>
      <c r="L176" s="48">
        <v>250</v>
      </c>
    </row>
    <row r="177" spans="1:12" x14ac:dyDescent="0.25">
      <c r="A177" s="59">
        <v>23</v>
      </c>
      <c r="B177" s="53" t="s">
        <v>450</v>
      </c>
      <c r="C177" s="44"/>
      <c r="D177" s="44" t="s">
        <v>101</v>
      </c>
      <c r="E177" s="60">
        <f>250*0.92*1.4</f>
        <v>322</v>
      </c>
      <c r="F177" s="192">
        <v>221.6</v>
      </c>
      <c r="G177" s="44">
        <f t="shared" si="20"/>
        <v>100.4</v>
      </c>
      <c r="H177" s="192">
        <v>519.44000000000005</v>
      </c>
      <c r="I177" s="193">
        <v>0</v>
      </c>
      <c r="J177" s="363">
        <v>0</v>
      </c>
      <c r="K177" s="364"/>
      <c r="L177" s="51" t="s">
        <v>19</v>
      </c>
    </row>
    <row r="178" spans="1:12" x14ac:dyDescent="0.25">
      <c r="A178" s="59">
        <v>24</v>
      </c>
      <c r="B178" s="53" t="s">
        <v>451</v>
      </c>
      <c r="C178" s="44"/>
      <c r="D178" s="44" t="s">
        <v>98</v>
      </c>
      <c r="E178" s="60">
        <f>250*0.92*1.4</f>
        <v>322</v>
      </c>
      <c r="F178" s="192">
        <v>199.65</v>
      </c>
      <c r="G178" s="44">
        <f t="shared" si="20"/>
        <v>122.35</v>
      </c>
      <c r="H178" s="192">
        <v>511.5</v>
      </c>
      <c r="I178" s="193">
        <v>0</v>
      </c>
      <c r="J178" s="363">
        <v>0</v>
      </c>
      <c r="K178" s="364"/>
      <c r="L178" s="51" t="s">
        <v>19</v>
      </c>
    </row>
    <row r="179" spans="1:12" x14ac:dyDescent="0.25">
      <c r="A179" s="59">
        <v>25</v>
      </c>
      <c r="B179" s="53" t="s">
        <v>452</v>
      </c>
      <c r="C179" s="44"/>
      <c r="D179" s="44">
        <v>630</v>
      </c>
      <c r="E179" s="60">
        <f>630*0.92</f>
        <v>579.6</v>
      </c>
      <c r="F179" s="192">
        <v>102.06</v>
      </c>
      <c r="G179" s="44">
        <f t="shared" si="20"/>
        <v>477.54</v>
      </c>
      <c r="H179" s="192">
        <v>388</v>
      </c>
      <c r="I179" s="193">
        <v>0</v>
      </c>
      <c r="J179" s="365">
        <f t="shared" si="21"/>
        <v>256</v>
      </c>
      <c r="K179" s="366"/>
      <c r="L179" s="48">
        <v>250</v>
      </c>
    </row>
    <row r="180" spans="1:12" x14ac:dyDescent="0.25">
      <c r="A180" s="59">
        <v>26</v>
      </c>
      <c r="B180" s="53" t="s">
        <v>302</v>
      </c>
      <c r="C180" s="44"/>
      <c r="D180" s="44" t="s">
        <v>99</v>
      </c>
      <c r="E180" s="60">
        <f>400*0.92*1.4</f>
        <v>515.19999999999993</v>
      </c>
      <c r="F180" s="192">
        <v>585.45000000000005</v>
      </c>
      <c r="G180" s="44">
        <f t="shared" si="20"/>
        <v>-70.250000000000114</v>
      </c>
      <c r="H180" s="192">
        <v>2001.2</v>
      </c>
      <c r="I180" s="193">
        <v>0</v>
      </c>
      <c r="J180" s="365">
        <f>E180*1/0.24-(H180+I180)</f>
        <v>145.46666666666647</v>
      </c>
      <c r="K180" s="366"/>
      <c r="L180" s="48">
        <v>250</v>
      </c>
    </row>
    <row r="181" spans="1:12" x14ac:dyDescent="0.25">
      <c r="A181" s="59">
        <v>27</v>
      </c>
      <c r="B181" s="53" t="s">
        <v>453</v>
      </c>
      <c r="C181" s="44"/>
      <c r="D181" s="44" t="s">
        <v>65</v>
      </c>
      <c r="E181" s="60">
        <f>400*0.92*1.4</f>
        <v>515.19999999999993</v>
      </c>
      <c r="F181" s="192">
        <v>221.76</v>
      </c>
      <c r="G181" s="44">
        <f t="shared" si="20"/>
        <v>293.43999999999994</v>
      </c>
      <c r="H181" s="196">
        <v>687</v>
      </c>
      <c r="I181" s="197">
        <v>120</v>
      </c>
      <c r="J181" s="365">
        <f>E181*1/0.36-(H181+I181)</f>
        <v>624.11111111111109</v>
      </c>
      <c r="K181" s="366"/>
      <c r="L181" s="48">
        <v>250</v>
      </c>
    </row>
    <row r="182" spans="1:12" x14ac:dyDescent="0.25">
      <c r="A182" s="59">
        <v>28</v>
      </c>
      <c r="B182" s="53" t="s">
        <v>305</v>
      </c>
      <c r="C182" s="44"/>
      <c r="D182" s="44">
        <v>560</v>
      </c>
      <c r="E182" s="60">
        <f>560*0.92</f>
        <v>515.20000000000005</v>
      </c>
      <c r="F182" s="192">
        <v>300.72000000000003</v>
      </c>
      <c r="G182" s="44">
        <f t="shared" si="20"/>
        <v>214.48000000000002</v>
      </c>
      <c r="H182" s="192">
        <v>645.34</v>
      </c>
      <c r="I182" s="197">
        <v>0</v>
      </c>
      <c r="J182" s="363">
        <v>0</v>
      </c>
      <c r="K182" s="364"/>
      <c r="L182" s="51" t="s">
        <v>19</v>
      </c>
    </row>
    <row r="183" spans="1:12" x14ac:dyDescent="0.25">
      <c r="A183" s="59">
        <v>29</v>
      </c>
      <c r="B183" s="53" t="s">
        <v>306</v>
      </c>
      <c r="C183" s="44"/>
      <c r="D183" s="44">
        <v>250</v>
      </c>
      <c r="E183" s="60">
        <f>250*0.92</f>
        <v>230</v>
      </c>
      <c r="F183" s="192">
        <v>68</v>
      </c>
      <c r="G183" s="44">
        <f t="shared" si="20"/>
        <v>162</v>
      </c>
      <c r="H183" s="192">
        <v>277.77999999999997</v>
      </c>
      <c r="I183" s="197">
        <v>0</v>
      </c>
      <c r="J183" s="363">
        <v>0</v>
      </c>
      <c r="K183" s="364"/>
      <c r="L183" s="51" t="s">
        <v>19</v>
      </c>
    </row>
    <row r="184" spans="1:12" x14ac:dyDescent="0.25">
      <c r="A184" s="59">
        <v>30</v>
      </c>
      <c r="B184" s="53" t="s">
        <v>454</v>
      </c>
      <c r="C184" s="44"/>
      <c r="D184" s="44" t="s">
        <v>434</v>
      </c>
      <c r="E184" s="60">
        <f>560*0.92*1.4</f>
        <v>721.28</v>
      </c>
      <c r="F184" s="192">
        <v>377.44</v>
      </c>
      <c r="G184" s="44">
        <f t="shared" si="20"/>
        <v>343.84</v>
      </c>
      <c r="H184" s="192">
        <v>906.6</v>
      </c>
      <c r="I184" s="197">
        <f>10+10</f>
        <v>20</v>
      </c>
      <c r="J184" s="363">
        <v>0</v>
      </c>
      <c r="K184" s="364"/>
      <c r="L184" s="51" t="s">
        <v>19</v>
      </c>
    </row>
    <row r="185" spans="1:12" x14ac:dyDescent="0.25">
      <c r="A185" s="59">
        <v>31</v>
      </c>
      <c r="B185" s="53" t="s">
        <v>455</v>
      </c>
      <c r="C185" s="44"/>
      <c r="D185" s="44" t="s">
        <v>102</v>
      </c>
      <c r="E185" s="60">
        <f>560*0.92*1.4</f>
        <v>721.28</v>
      </c>
      <c r="F185" s="192">
        <v>183.68</v>
      </c>
      <c r="G185" s="44">
        <f t="shared" si="20"/>
        <v>537.59999999999991</v>
      </c>
      <c r="H185" s="192">
        <v>763.5</v>
      </c>
      <c r="I185" s="197">
        <v>27</v>
      </c>
      <c r="J185" s="365">
        <f t="shared" si="21"/>
        <v>10.922222222222217</v>
      </c>
      <c r="K185" s="366"/>
      <c r="L185" s="48">
        <v>250</v>
      </c>
    </row>
    <row r="186" spans="1:12" x14ac:dyDescent="0.25">
      <c r="A186" s="59">
        <v>32</v>
      </c>
      <c r="B186" s="53" t="s">
        <v>456</v>
      </c>
      <c r="C186" s="44"/>
      <c r="D186" s="44" t="s">
        <v>103</v>
      </c>
      <c r="E186" s="60">
        <f>600*0.92*1.4</f>
        <v>772.8</v>
      </c>
      <c r="F186" s="192">
        <v>390.6</v>
      </c>
      <c r="G186" s="44">
        <f t="shared" si="20"/>
        <v>382.19999999999993</v>
      </c>
      <c r="H186" s="192">
        <v>977.57</v>
      </c>
      <c r="I186" s="193">
        <v>0</v>
      </c>
      <c r="J186" s="363">
        <v>0</v>
      </c>
      <c r="K186" s="364"/>
      <c r="L186" s="51" t="s">
        <v>19</v>
      </c>
    </row>
    <row r="187" spans="1:12" x14ac:dyDescent="0.25">
      <c r="A187" s="59">
        <v>33</v>
      </c>
      <c r="B187" s="53" t="s">
        <v>457</v>
      </c>
      <c r="C187" s="44"/>
      <c r="D187" s="44" t="s">
        <v>60</v>
      </c>
      <c r="E187" s="60">
        <f>630*0.92*1.4</f>
        <v>811.43999999999994</v>
      </c>
      <c r="F187" s="192">
        <v>491.4</v>
      </c>
      <c r="G187" s="44">
        <f t="shared" si="20"/>
        <v>320.03999999999996</v>
      </c>
      <c r="H187" s="192">
        <v>2056.34</v>
      </c>
      <c r="I187" s="193">
        <v>0</v>
      </c>
      <c r="J187" s="363">
        <v>0</v>
      </c>
      <c r="K187" s="364"/>
      <c r="L187" s="51" t="s">
        <v>19</v>
      </c>
    </row>
    <row r="188" spans="1:12" x14ac:dyDescent="0.25">
      <c r="A188" s="59">
        <v>34</v>
      </c>
      <c r="B188" s="53" t="s">
        <v>458</v>
      </c>
      <c r="C188" s="44"/>
      <c r="D188" s="44" t="s">
        <v>51</v>
      </c>
      <c r="E188" s="60">
        <f>400*0.92*1.4</f>
        <v>515.19999999999993</v>
      </c>
      <c r="F188" s="192">
        <v>155.19999999999999</v>
      </c>
      <c r="G188" s="44">
        <f t="shared" si="20"/>
        <v>359.99999999999994</v>
      </c>
      <c r="H188" s="192">
        <v>594.88</v>
      </c>
      <c r="I188" s="193">
        <v>5</v>
      </c>
      <c r="J188" s="363">
        <v>0</v>
      </c>
      <c r="K188" s="364"/>
      <c r="L188" s="51" t="s">
        <v>19</v>
      </c>
    </row>
    <row r="189" spans="1:12" x14ac:dyDescent="0.25">
      <c r="A189" s="59">
        <v>35</v>
      </c>
      <c r="B189" s="53" t="s">
        <v>459</v>
      </c>
      <c r="C189" s="44"/>
      <c r="D189" s="44" t="s">
        <v>99</v>
      </c>
      <c r="E189" s="60">
        <f>400*0.92*1.4</f>
        <v>515.19999999999993</v>
      </c>
      <c r="F189" s="192">
        <v>373.38</v>
      </c>
      <c r="G189" s="44">
        <f t="shared" si="20"/>
        <v>141.81999999999994</v>
      </c>
      <c r="H189" s="192">
        <v>895</v>
      </c>
      <c r="I189" s="193">
        <v>0</v>
      </c>
      <c r="J189" s="363">
        <v>0</v>
      </c>
      <c r="K189" s="364"/>
      <c r="L189" s="51" t="s">
        <v>19</v>
      </c>
    </row>
    <row r="190" spans="1:12" x14ac:dyDescent="0.25">
      <c r="A190" s="59">
        <v>36</v>
      </c>
      <c r="B190" s="53" t="s">
        <v>460</v>
      </c>
      <c r="C190" s="44"/>
      <c r="D190" s="44">
        <v>250</v>
      </c>
      <c r="E190" s="60">
        <f>250*0.92</f>
        <v>230</v>
      </c>
      <c r="F190" s="192">
        <v>48</v>
      </c>
      <c r="G190" s="44">
        <f t="shared" si="20"/>
        <v>182</v>
      </c>
      <c r="H190" s="192">
        <v>60</v>
      </c>
      <c r="I190" s="193">
        <v>0</v>
      </c>
      <c r="J190" s="365">
        <f t="shared" si="21"/>
        <v>195.55555555555554</v>
      </c>
      <c r="K190" s="366"/>
      <c r="L190" s="48">
        <v>250</v>
      </c>
    </row>
    <row r="191" spans="1:12" x14ac:dyDescent="0.25">
      <c r="A191" s="59">
        <v>37</v>
      </c>
      <c r="B191" s="53" t="s">
        <v>461</v>
      </c>
      <c r="C191" s="44"/>
      <c r="D191" s="44" t="s">
        <v>60</v>
      </c>
      <c r="E191" s="60">
        <f>630*0.92*1.4</f>
        <v>811.43999999999994</v>
      </c>
      <c r="F191" s="192">
        <v>123.48</v>
      </c>
      <c r="G191" s="44">
        <f t="shared" si="20"/>
        <v>687.95999999999992</v>
      </c>
      <c r="H191" s="192">
        <v>960.72</v>
      </c>
      <c r="I191" s="193">
        <v>0</v>
      </c>
      <c r="J191" s="363">
        <v>0</v>
      </c>
      <c r="K191" s="364"/>
      <c r="L191" s="51" t="s">
        <v>19</v>
      </c>
    </row>
    <row r="192" spans="1:12" x14ac:dyDescent="0.25">
      <c r="A192" s="59">
        <v>38</v>
      </c>
      <c r="B192" s="53" t="s">
        <v>462</v>
      </c>
      <c r="C192" s="44"/>
      <c r="D192" s="44">
        <v>250</v>
      </c>
      <c r="E192" s="60">
        <f>250*0.92</f>
        <v>230</v>
      </c>
      <c r="F192" s="192">
        <v>17.25</v>
      </c>
      <c r="G192" s="44">
        <f t="shared" si="20"/>
        <v>212.75</v>
      </c>
      <c r="H192" s="192">
        <v>172.7</v>
      </c>
      <c r="I192" s="193">
        <v>0</v>
      </c>
      <c r="J192" s="365">
        <f t="shared" si="21"/>
        <v>82.855555555555554</v>
      </c>
      <c r="K192" s="366"/>
      <c r="L192" s="48">
        <v>250</v>
      </c>
    </row>
    <row r="193" spans="1:12" x14ac:dyDescent="0.25">
      <c r="A193" s="59">
        <v>39</v>
      </c>
      <c r="B193" s="53" t="s">
        <v>404</v>
      </c>
      <c r="C193" s="44"/>
      <c r="D193" s="44">
        <v>250</v>
      </c>
      <c r="E193" s="60">
        <f>250*0.92</f>
        <v>230</v>
      </c>
      <c r="F193" s="192">
        <v>150</v>
      </c>
      <c r="G193" s="44">
        <f t="shared" si="20"/>
        <v>80</v>
      </c>
      <c r="H193" s="192">
        <v>195</v>
      </c>
      <c r="I193" s="193">
        <v>0</v>
      </c>
      <c r="J193" s="365">
        <f t="shared" si="21"/>
        <v>60.555555555555543</v>
      </c>
      <c r="K193" s="366"/>
      <c r="L193" s="48">
        <v>250</v>
      </c>
    </row>
    <row r="194" spans="1:12" x14ac:dyDescent="0.25">
      <c r="A194" s="59">
        <v>40</v>
      </c>
      <c r="B194" s="53" t="s">
        <v>405</v>
      </c>
      <c r="C194" s="44"/>
      <c r="D194" s="44" t="s">
        <v>403</v>
      </c>
      <c r="E194" s="60">
        <f>1000*0.92*1.4</f>
        <v>1288</v>
      </c>
      <c r="F194" s="193">
        <v>690</v>
      </c>
      <c r="G194" s="44">
        <f t="shared" si="20"/>
        <v>598</v>
      </c>
      <c r="H194" s="193">
        <v>788</v>
      </c>
      <c r="I194" s="193">
        <v>0</v>
      </c>
      <c r="J194" s="365">
        <f t="shared" si="21"/>
        <v>643.11111111111109</v>
      </c>
      <c r="K194" s="366"/>
      <c r="L194" s="48">
        <v>250</v>
      </c>
    </row>
    <row r="195" spans="1:12" x14ac:dyDescent="0.25">
      <c r="A195" s="59">
        <v>41</v>
      </c>
      <c r="B195" s="53" t="s">
        <v>406</v>
      </c>
      <c r="C195" s="44"/>
      <c r="D195" s="44">
        <v>1000</v>
      </c>
      <c r="E195" s="60">
        <f>1000*0.92</f>
        <v>920</v>
      </c>
      <c r="F195" s="193">
        <v>640</v>
      </c>
      <c r="G195" s="44">
        <f t="shared" si="20"/>
        <v>280</v>
      </c>
      <c r="H195" s="193">
        <v>790</v>
      </c>
      <c r="I195" s="193">
        <v>0</v>
      </c>
      <c r="J195" s="365">
        <f t="shared" si="21"/>
        <v>232.22222222222217</v>
      </c>
      <c r="K195" s="366"/>
      <c r="L195" s="48">
        <v>250</v>
      </c>
    </row>
    <row r="196" spans="1:12" x14ac:dyDescent="0.25">
      <c r="A196" s="59">
        <v>42</v>
      </c>
      <c r="B196" s="53" t="s">
        <v>407</v>
      </c>
      <c r="C196" s="44"/>
      <c r="D196" s="44">
        <v>1000</v>
      </c>
      <c r="E196" s="60">
        <f t="shared" ref="E196:E204" si="22">1000*0.92</f>
        <v>920</v>
      </c>
      <c r="F196" s="193">
        <v>212</v>
      </c>
      <c r="G196" s="44">
        <f t="shared" si="20"/>
        <v>708</v>
      </c>
      <c r="H196" s="193">
        <v>360</v>
      </c>
      <c r="I196" s="193">
        <v>0</v>
      </c>
      <c r="J196" s="365">
        <f t="shared" si="21"/>
        <v>662.22222222222217</v>
      </c>
      <c r="K196" s="366"/>
      <c r="L196" s="48">
        <v>250</v>
      </c>
    </row>
    <row r="197" spans="1:12" x14ac:dyDescent="0.25">
      <c r="A197" s="59">
        <v>43</v>
      </c>
      <c r="B197" s="53" t="s">
        <v>408</v>
      </c>
      <c r="C197" s="44"/>
      <c r="D197" s="44">
        <v>1000</v>
      </c>
      <c r="E197" s="60">
        <f t="shared" si="22"/>
        <v>920</v>
      </c>
      <c r="F197" s="193">
        <v>45</v>
      </c>
      <c r="G197" s="44">
        <f t="shared" si="20"/>
        <v>875</v>
      </c>
      <c r="H197" s="193">
        <v>50</v>
      </c>
      <c r="I197" s="193">
        <v>0</v>
      </c>
      <c r="J197" s="365">
        <f t="shared" si="21"/>
        <v>972.22222222222217</v>
      </c>
      <c r="K197" s="366"/>
      <c r="L197" s="48">
        <v>250</v>
      </c>
    </row>
    <row r="198" spans="1:12" x14ac:dyDescent="0.25">
      <c r="A198" s="59">
        <v>44</v>
      </c>
      <c r="B198" s="53" t="s">
        <v>409</v>
      </c>
      <c r="C198" s="44"/>
      <c r="D198" s="44">
        <v>1000</v>
      </c>
      <c r="E198" s="60">
        <f t="shared" si="22"/>
        <v>920</v>
      </c>
      <c r="F198" s="193">
        <v>230</v>
      </c>
      <c r="G198" s="44">
        <f t="shared" si="20"/>
        <v>690</v>
      </c>
      <c r="H198" s="193">
        <v>250</v>
      </c>
      <c r="I198" s="193">
        <v>0</v>
      </c>
      <c r="J198" s="365">
        <f t="shared" si="21"/>
        <v>772.22222222222217</v>
      </c>
      <c r="K198" s="366"/>
      <c r="L198" s="48">
        <v>250</v>
      </c>
    </row>
    <row r="199" spans="1:12" x14ac:dyDescent="0.25">
      <c r="A199" s="59">
        <v>45</v>
      </c>
      <c r="B199" s="53" t="s">
        <v>410</v>
      </c>
      <c r="C199" s="44"/>
      <c r="D199" s="44">
        <v>1000</v>
      </c>
      <c r="E199" s="60">
        <f t="shared" si="22"/>
        <v>920</v>
      </c>
      <c r="F199" s="193">
        <v>36</v>
      </c>
      <c r="G199" s="44">
        <f t="shared" si="20"/>
        <v>884</v>
      </c>
      <c r="H199" s="193">
        <v>48</v>
      </c>
      <c r="I199" s="193">
        <v>0</v>
      </c>
      <c r="J199" s="365">
        <f t="shared" si="21"/>
        <v>974.22222222222217</v>
      </c>
      <c r="K199" s="366"/>
      <c r="L199" s="48">
        <v>250</v>
      </c>
    </row>
    <row r="200" spans="1:12" x14ac:dyDescent="0.25">
      <c r="A200" s="59">
        <v>46</v>
      </c>
      <c r="B200" s="53" t="s">
        <v>411</v>
      </c>
      <c r="C200" s="44"/>
      <c r="D200" s="44">
        <v>1000</v>
      </c>
      <c r="E200" s="60">
        <f t="shared" si="22"/>
        <v>920</v>
      </c>
      <c r="F200" s="193">
        <v>280</v>
      </c>
      <c r="G200" s="44">
        <f t="shared" si="20"/>
        <v>640</v>
      </c>
      <c r="H200" s="193">
        <v>350</v>
      </c>
      <c r="I200" s="193">
        <v>0</v>
      </c>
      <c r="J200" s="365">
        <f t="shared" si="21"/>
        <v>672.22222222222217</v>
      </c>
      <c r="K200" s="366"/>
      <c r="L200" s="48">
        <v>250</v>
      </c>
    </row>
    <row r="201" spans="1:12" x14ac:dyDescent="0.25">
      <c r="A201" s="59">
        <v>47</v>
      </c>
      <c r="B201" s="53" t="s">
        <v>412</v>
      </c>
      <c r="C201" s="44"/>
      <c r="D201" s="44">
        <v>1000</v>
      </c>
      <c r="E201" s="60">
        <f t="shared" si="22"/>
        <v>920</v>
      </c>
      <c r="F201" s="193">
        <v>210</v>
      </c>
      <c r="G201" s="44">
        <f t="shared" si="20"/>
        <v>710</v>
      </c>
      <c r="H201" s="193">
        <v>250</v>
      </c>
      <c r="I201" s="193">
        <v>0</v>
      </c>
      <c r="J201" s="365">
        <f t="shared" si="21"/>
        <v>772.22222222222217</v>
      </c>
      <c r="K201" s="366"/>
      <c r="L201" s="48">
        <v>250</v>
      </c>
    </row>
    <row r="202" spans="1:12" x14ac:dyDescent="0.25">
      <c r="A202" s="59">
        <v>48</v>
      </c>
      <c r="B202" s="53" t="s">
        <v>413</v>
      </c>
      <c r="C202" s="44"/>
      <c r="D202" s="44">
        <v>1000</v>
      </c>
      <c r="E202" s="60">
        <f t="shared" si="22"/>
        <v>920</v>
      </c>
      <c r="F202" s="193">
        <v>55</v>
      </c>
      <c r="G202" s="44">
        <f t="shared" si="20"/>
        <v>865</v>
      </c>
      <c r="H202" s="193">
        <v>75</v>
      </c>
      <c r="I202" s="193">
        <v>0</v>
      </c>
      <c r="J202" s="365">
        <f t="shared" si="21"/>
        <v>947.22222222222217</v>
      </c>
      <c r="K202" s="366"/>
      <c r="L202" s="48">
        <v>250</v>
      </c>
    </row>
    <row r="203" spans="1:12" x14ac:dyDescent="0.25">
      <c r="A203" s="59">
        <v>49</v>
      </c>
      <c r="B203" s="53" t="s">
        <v>414</v>
      </c>
      <c r="C203" s="44"/>
      <c r="D203" s="44">
        <v>1000</v>
      </c>
      <c r="E203" s="60">
        <f t="shared" si="22"/>
        <v>920</v>
      </c>
      <c r="F203" s="193">
        <v>140</v>
      </c>
      <c r="G203" s="44">
        <f t="shared" si="20"/>
        <v>780</v>
      </c>
      <c r="H203" s="193">
        <v>145</v>
      </c>
      <c r="I203" s="193">
        <v>0</v>
      </c>
      <c r="J203" s="365">
        <f t="shared" si="21"/>
        <v>877.22222222222217</v>
      </c>
      <c r="K203" s="366"/>
      <c r="L203" s="48">
        <v>250</v>
      </c>
    </row>
    <row r="204" spans="1:12" x14ac:dyDescent="0.25">
      <c r="A204" s="59">
        <v>50</v>
      </c>
      <c r="B204" s="53" t="s">
        <v>415</v>
      </c>
      <c r="C204" s="44"/>
      <c r="D204" s="44">
        <v>1000</v>
      </c>
      <c r="E204" s="60">
        <f t="shared" si="22"/>
        <v>920</v>
      </c>
      <c r="F204" s="193">
        <v>380</v>
      </c>
      <c r="G204" s="44">
        <f t="shared" si="20"/>
        <v>540</v>
      </c>
      <c r="H204" s="193">
        <v>420</v>
      </c>
      <c r="I204" s="193">
        <v>0</v>
      </c>
      <c r="J204" s="365">
        <f t="shared" si="21"/>
        <v>602.22222222222217</v>
      </c>
      <c r="K204" s="366"/>
      <c r="L204" s="48">
        <v>250</v>
      </c>
    </row>
    <row r="205" spans="1:12" x14ac:dyDescent="0.25">
      <c r="A205" s="59">
        <v>51</v>
      </c>
      <c r="B205" s="53" t="s">
        <v>416</v>
      </c>
      <c r="C205" s="44"/>
      <c r="D205" s="44" t="s">
        <v>104</v>
      </c>
      <c r="E205" s="60">
        <f t="shared" ref="E205:E207" si="23">1000*0.92*1.4</f>
        <v>1288</v>
      </c>
      <c r="F205" s="193">
        <v>780</v>
      </c>
      <c r="G205" s="44">
        <f t="shared" si="20"/>
        <v>508</v>
      </c>
      <c r="H205" s="193">
        <v>1742</v>
      </c>
      <c r="I205" s="193">
        <v>0</v>
      </c>
      <c r="J205" s="363">
        <v>0</v>
      </c>
      <c r="K205" s="364"/>
      <c r="L205" s="51" t="s">
        <v>19</v>
      </c>
    </row>
    <row r="206" spans="1:12" x14ac:dyDescent="0.25">
      <c r="A206" s="59">
        <v>52</v>
      </c>
      <c r="B206" s="53" t="s">
        <v>417</v>
      </c>
      <c r="C206" s="44"/>
      <c r="D206" s="44" t="s">
        <v>403</v>
      </c>
      <c r="E206" s="60">
        <f t="shared" si="23"/>
        <v>1288</v>
      </c>
      <c r="F206" s="193">
        <v>150</v>
      </c>
      <c r="G206" s="44">
        <f t="shared" si="20"/>
        <v>1138</v>
      </c>
      <c r="H206" s="193">
        <v>184</v>
      </c>
      <c r="I206" s="193">
        <v>0</v>
      </c>
      <c r="J206" s="365">
        <f t="shared" si="21"/>
        <v>1247.1111111111111</v>
      </c>
      <c r="K206" s="366"/>
      <c r="L206" s="48">
        <v>250</v>
      </c>
    </row>
    <row r="207" spans="1:12" x14ac:dyDescent="0.25">
      <c r="A207" s="59">
        <v>53</v>
      </c>
      <c r="B207" s="53" t="s">
        <v>418</v>
      </c>
      <c r="C207" s="44"/>
      <c r="D207" s="44" t="s">
        <v>403</v>
      </c>
      <c r="E207" s="60">
        <f t="shared" si="23"/>
        <v>1288</v>
      </c>
      <c r="F207" s="193">
        <v>175</v>
      </c>
      <c r="G207" s="44">
        <f t="shared" si="20"/>
        <v>1113</v>
      </c>
      <c r="H207" s="193">
        <v>194</v>
      </c>
      <c r="I207" s="193">
        <v>0</v>
      </c>
      <c r="J207" s="365">
        <f t="shared" si="21"/>
        <v>1237.1111111111111</v>
      </c>
      <c r="K207" s="366"/>
      <c r="L207" s="48">
        <v>250</v>
      </c>
    </row>
    <row r="208" spans="1:12" x14ac:dyDescent="0.25">
      <c r="A208" s="59">
        <v>54</v>
      </c>
      <c r="B208" s="53" t="s">
        <v>419</v>
      </c>
      <c r="C208" s="44"/>
      <c r="D208" s="44">
        <v>1000</v>
      </c>
      <c r="E208" s="60">
        <f t="shared" ref="E208:E209" si="24">1000*0.92</f>
        <v>920</v>
      </c>
      <c r="F208" s="193">
        <v>40</v>
      </c>
      <c r="G208" s="44">
        <f t="shared" si="20"/>
        <v>880</v>
      </c>
      <c r="H208" s="193">
        <v>42</v>
      </c>
      <c r="I208" s="193">
        <v>0</v>
      </c>
      <c r="J208" s="365">
        <f t="shared" si="21"/>
        <v>980.22222222222217</v>
      </c>
      <c r="K208" s="366"/>
      <c r="L208" s="48">
        <v>250</v>
      </c>
    </row>
    <row r="209" spans="1:12" x14ac:dyDescent="0.25">
      <c r="A209" s="59">
        <v>55</v>
      </c>
      <c r="B209" s="53" t="s">
        <v>420</v>
      </c>
      <c r="C209" s="44"/>
      <c r="D209" s="44">
        <v>1000</v>
      </c>
      <c r="E209" s="60">
        <f t="shared" si="24"/>
        <v>920</v>
      </c>
      <c r="F209" s="193">
        <v>40</v>
      </c>
      <c r="G209" s="44">
        <f t="shared" si="20"/>
        <v>880</v>
      </c>
      <c r="H209" s="193">
        <v>45</v>
      </c>
      <c r="I209" s="193">
        <v>0</v>
      </c>
      <c r="J209" s="365">
        <f t="shared" si="21"/>
        <v>977.22222222222217</v>
      </c>
      <c r="K209" s="366"/>
      <c r="L209" s="48">
        <v>250</v>
      </c>
    </row>
    <row r="210" spans="1:12" x14ac:dyDescent="0.25">
      <c r="A210" s="59">
        <v>56</v>
      </c>
      <c r="B210" s="53" t="s">
        <v>421</v>
      </c>
      <c r="C210" s="44"/>
      <c r="D210" s="44" t="s">
        <v>105</v>
      </c>
      <c r="E210" s="60">
        <f>250*0.92*1.4</f>
        <v>322</v>
      </c>
      <c r="F210" s="193">
        <v>150</v>
      </c>
      <c r="G210" s="44">
        <f t="shared" si="20"/>
        <v>172</v>
      </c>
      <c r="H210" s="193">
        <v>170</v>
      </c>
      <c r="I210" s="193">
        <v>0</v>
      </c>
      <c r="J210" s="365">
        <f t="shared" si="21"/>
        <v>187.77777777777777</v>
      </c>
      <c r="K210" s="366"/>
      <c r="L210" s="48">
        <v>250</v>
      </c>
    </row>
    <row r="211" spans="1:12" x14ac:dyDescent="0.25">
      <c r="A211" s="59">
        <v>57</v>
      </c>
      <c r="B211" s="53" t="s">
        <v>422</v>
      </c>
      <c r="C211" s="44"/>
      <c r="D211" s="44">
        <v>1000</v>
      </c>
      <c r="E211" s="60">
        <f t="shared" ref="E211" si="25">1000*0.92</f>
        <v>920</v>
      </c>
      <c r="F211" s="193">
        <v>12</v>
      </c>
      <c r="G211" s="44">
        <f t="shared" si="20"/>
        <v>908</v>
      </c>
      <c r="H211" s="193">
        <v>482</v>
      </c>
      <c r="I211" s="193">
        <v>0</v>
      </c>
      <c r="J211" s="365">
        <f t="shared" si="21"/>
        <v>540.22222222222217</v>
      </c>
      <c r="K211" s="366"/>
      <c r="L211" s="48">
        <v>250</v>
      </c>
    </row>
    <row r="212" spans="1:12" x14ac:dyDescent="0.25">
      <c r="A212" s="59">
        <v>58</v>
      </c>
      <c r="B212" s="53" t="s">
        <v>423</v>
      </c>
      <c r="C212" s="44"/>
      <c r="D212" s="44">
        <v>560</v>
      </c>
      <c r="E212" s="60">
        <f>560*0.92</f>
        <v>515.20000000000005</v>
      </c>
      <c r="F212" s="193">
        <v>0</v>
      </c>
      <c r="G212" s="44">
        <f t="shared" si="20"/>
        <v>515.20000000000005</v>
      </c>
      <c r="H212" s="193">
        <v>0</v>
      </c>
      <c r="I212" s="193">
        <v>0</v>
      </c>
      <c r="J212" s="365">
        <f>E212*1/0.9-(H212+I212)</f>
        <v>572.44444444444446</v>
      </c>
      <c r="K212" s="366"/>
      <c r="L212" s="48">
        <v>250</v>
      </c>
    </row>
    <row r="213" spans="1:12" x14ac:dyDescent="0.25">
      <c r="A213" s="59">
        <v>59</v>
      </c>
      <c r="B213" s="53" t="s">
        <v>424</v>
      </c>
      <c r="C213" s="44"/>
      <c r="D213" s="44">
        <v>315</v>
      </c>
      <c r="E213" s="60">
        <f>315*0.92</f>
        <v>289.8</v>
      </c>
      <c r="F213" s="193">
        <v>125</v>
      </c>
      <c r="G213" s="44">
        <f t="shared" si="20"/>
        <v>164.8</v>
      </c>
      <c r="H213" s="193">
        <v>200</v>
      </c>
      <c r="I213" s="193">
        <v>0</v>
      </c>
      <c r="J213" s="365">
        <f t="shared" si="21"/>
        <v>122</v>
      </c>
      <c r="K213" s="366"/>
      <c r="L213" s="48">
        <v>250</v>
      </c>
    </row>
    <row r="214" spans="1:12" x14ac:dyDescent="0.25">
      <c r="A214" s="59">
        <v>60</v>
      </c>
      <c r="B214" s="53" t="s">
        <v>425</v>
      </c>
      <c r="C214" s="44"/>
      <c r="D214" s="44">
        <v>630</v>
      </c>
      <c r="E214" s="60">
        <f>630*0.92</f>
        <v>579.6</v>
      </c>
      <c r="F214" s="193">
        <v>280</v>
      </c>
      <c r="G214" s="44">
        <f t="shared" si="20"/>
        <v>299.60000000000002</v>
      </c>
      <c r="H214" s="193">
        <v>380</v>
      </c>
      <c r="I214" s="193">
        <v>0</v>
      </c>
      <c r="J214" s="365">
        <f t="shared" si="21"/>
        <v>264</v>
      </c>
      <c r="K214" s="366"/>
      <c r="L214" s="48">
        <v>250</v>
      </c>
    </row>
    <row r="215" spans="1:12" x14ac:dyDescent="0.25">
      <c r="A215" s="59">
        <v>61</v>
      </c>
      <c r="B215" s="53" t="s">
        <v>426</v>
      </c>
      <c r="C215" s="44"/>
      <c r="D215" s="44">
        <v>1000</v>
      </c>
      <c r="E215" s="60">
        <f t="shared" ref="E215:E216" si="26">1000*0.92</f>
        <v>920</v>
      </c>
      <c r="F215" s="193">
        <v>250</v>
      </c>
      <c r="G215" s="44">
        <f t="shared" si="20"/>
        <v>670</v>
      </c>
      <c r="H215" s="193">
        <v>340</v>
      </c>
      <c r="I215" s="193">
        <v>0</v>
      </c>
      <c r="J215" s="365">
        <f t="shared" si="21"/>
        <v>682.22222222222217</v>
      </c>
      <c r="K215" s="366"/>
      <c r="L215" s="48">
        <v>250</v>
      </c>
    </row>
    <row r="216" spans="1:12" x14ac:dyDescent="0.25">
      <c r="A216" s="59">
        <v>62</v>
      </c>
      <c r="B216" s="53" t="s">
        <v>427</v>
      </c>
      <c r="C216" s="44"/>
      <c r="D216" s="44">
        <v>1000</v>
      </c>
      <c r="E216" s="60">
        <f t="shared" si="26"/>
        <v>920</v>
      </c>
      <c r="F216" s="193">
        <v>290</v>
      </c>
      <c r="G216" s="44">
        <f t="shared" si="20"/>
        <v>630</v>
      </c>
      <c r="H216" s="193">
        <v>307.5</v>
      </c>
      <c r="I216" s="193">
        <v>0</v>
      </c>
      <c r="J216" s="365">
        <f t="shared" si="21"/>
        <v>714.72222222222217</v>
      </c>
      <c r="K216" s="366"/>
      <c r="L216" s="48">
        <v>250</v>
      </c>
    </row>
    <row r="217" spans="1:12" x14ac:dyDescent="0.25">
      <c r="A217" s="59">
        <v>63</v>
      </c>
      <c r="B217" s="53" t="s">
        <v>428</v>
      </c>
      <c r="C217" s="44"/>
      <c r="D217" s="44" t="s">
        <v>403</v>
      </c>
      <c r="E217" s="60">
        <f t="shared" ref="E217" si="27">1000*0.92*1.4</f>
        <v>1288</v>
      </c>
      <c r="F217" s="193">
        <v>970</v>
      </c>
      <c r="G217" s="44">
        <f t="shared" si="20"/>
        <v>318</v>
      </c>
      <c r="H217" s="193">
        <v>1200</v>
      </c>
      <c r="I217" s="193">
        <v>0</v>
      </c>
      <c r="J217" s="365">
        <f t="shared" si="21"/>
        <v>231.11111111111109</v>
      </c>
      <c r="K217" s="366"/>
      <c r="L217" s="48">
        <v>250</v>
      </c>
    </row>
    <row r="218" spans="1:12" x14ac:dyDescent="0.25">
      <c r="A218" s="59">
        <v>64</v>
      </c>
      <c r="B218" s="53" t="s">
        <v>429</v>
      </c>
      <c r="C218" s="44"/>
      <c r="D218" s="44">
        <v>1000</v>
      </c>
      <c r="E218" s="60">
        <f t="shared" ref="E218:E221" si="28">1000*0.92</f>
        <v>920</v>
      </c>
      <c r="F218" s="193">
        <v>360</v>
      </c>
      <c r="G218" s="44">
        <f t="shared" si="20"/>
        <v>560</v>
      </c>
      <c r="H218" s="193">
        <v>450</v>
      </c>
      <c r="I218" s="193">
        <v>0</v>
      </c>
      <c r="J218" s="365">
        <f t="shared" si="21"/>
        <v>572.22222222222217</v>
      </c>
      <c r="K218" s="366"/>
      <c r="L218" s="48">
        <v>250</v>
      </c>
    </row>
    <row r="219" spans="1:12" x14ac:dyDescent="0.25">
      <c r="A219" s="59">
        <v>65</v>
      </c>
      <c r="B219" s="53" t="s">
        <v>430</v>
      </c>
      <c r="C219" s="44"/>
      <c r="D219" s="44">
        <v>1000</v>
      </c>
      <c r="E219" s="60">
        <f t="shared" si="28"/>
        <v>920</v>
      </c>
      <c r="F219" s="193">
        <v>300</v>
      </c>
      <c r="G219" s="44">
        <f t="shared" si="20"/>
        <v>620</v>
      </c>
      <c r="H219" s="193">
        <v>420</v>
      </c>
      <c r="I219" s="193">
        <v>0</v>
      </c>
      <c r="J219" s="365">
        <f t="shared" si="21"/>
        <v>602.22222222222217</v>
      </c>
      <c r="K219" s="366"/>
      <c r="L219" s="48">
        <v>250</v>
      </c>
    </row>
    <row r="220" spans="1:12" x14ac:dyDescent="0.25">
      <c r="A220" s="59">
        <v>66</v>
      </c>
      <c r="B220" s="53" t="s">
        <v>431</v>
      </c>
      <c r="C220" s="44"/>
      <c r="D220" s="60">
        <v>1000</v>
      </c>
      <c r="E220" s="60">
        <f t="shared" si="28"/>
        <v>920</v>
      </c>
      <c r="F220" s="193">
        <v>470</v>
      </c>
      <c r="G220" s="44">
        <f t="shared" ref="G220:G222" si="29">E220-F220</f>
        <v>450</v>
      </c>
      <c r="H220" s="193">
        <v>800</v>
      </c>
      <c r="I220" s="193">
        <v>0</v>
      </c>
      <c r="J220" s="365">
        <f t="shared" si="21"/>
        <v>222.22222222222217</v>
      </c>
      <c r="K220" s="366"/>
      <c r="L220" s="48">
        <v>250</v>
      </c>
    </row>
    <row r="221" spans="1:12" x14ac:dyDescent="0.25">
      <c r="A221" s="59">
        <v>67</v>
      </c>
      <c r="B221" s="53" t="s">
        <v>432</v>
      </c>
      <c r="C221" s="44"/>
      <c r="D221" s="44">
        <v>1000</v>
      </c>
      <c r="E221" s="60">
        <f t="shared" si="28"/>
        <v>920</v>
      </c>
      <c r="F221" s="193">
        <v>250</v>
      </c>
      <c r="G221" s="44">
        <f t="shared" si="29"/>
        <v>670</v>
      </c>
      <c r="H221" s="193">
        <v>300</v>
      </c>
      <c r="I221" s="193">
        <v>0</v>
      </c>
      <c r="J221" s="365">
        <f t="shared" si="21"/>
        <v>722.22222222222217</v>
      </c>
      <c r="K221" s="366"/>
      <c r="L221" s="48">
        <v>250</v>
      </c>
    </row>
    <row r="222" spans="1:12" ht="15.75" thickBot="1" x14ac:dyDescent="0.3">
      <c r="A222" s="61">
        <v>68</v>
      </c>
      <c r="B222" s="54" t="s">
        <v>433</v>
      </c>
      <c r="C222" s="55"/>
      <c r="D222" s="55" t="s">
        <v>51</v>
      </c>
      <c r="E222" s="62">
        <f>400*0.92*1.4</f>
        <v>515.19999999999993</v>
      </c>
      <c r="F222" s="194">
        <v>64</v>
      </c>
      <c r="G222" s="55">
        <f t="shared" si="29"/>
        <v>451.19999999999993</v>
      </c>
      <c r="H222" s="194">
        <v>150</v>
      </c>
      <c r="I222" s="194">
        <v>0</v>
      </c>
      <c r="J222" s="373">
        <f t="shared" ref="J222" si="30">E222*1/0.9-(H222+I222)</f>
        <v>422.44444444444434</v>
      </c>
      <c r="K222" s="374"/>
      <c r="L222" s="48">
        <v>250</v>
      </c>
    </row>
    <row r="223" spans="1:12" ht="16.5" thickBot="1" x14ac:dyDescent="0.3">
      <c r="A223" s="370" t="s">
        <v>118</v>
      </c>
      <c r="B223" s="371"/>
      <c r="C223" s="371"/>
      <c r="D223" s="371"/>
      <c r="E223" s="371"/>
      <c r="F223" s="371"/>
      <c r="G223" s="371"/>
      <c r="H223" s="371"/>
      <c r="I223" s="371"/>
      <c r="J223" s="371"/>
      <c r="K223" s="371"/>
      <c r="L223" s="372"/>
    </row>
    <row r="224" spans="1:12" ht="15.75" thickBot="1" x14ac:dyDescent="0.3">
      <c r="A224" s="308" t="s">
        <v>109</v>
      </c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10"/>
    </row>
    <row r="225" spans="1:12" x14ac:dyDescent="0.25">
      <c r="A225" s="32">
        <v>1</v>
      </c>
      <c r="B225" s="63" t="s">
        <v>294</v>
      </c>
      <c r="C225" s="64"/>
      <c r="D225" s="65" t="s">
        <v>74</v>
      </c>
      <c r="E225" s="66">
        <f>0.92*250*1.4</f>
        <v>322</v>
      </c>
      <c r="F225" s="199">
        <v>139</v>
      </c>
      <c r="G225" s="66">
        <f>E225-F225</f>
        <v>183</v>
      </c>
      <c r="H225" s="206">
        <v>980.6</v>
      </c>
      <c r="I225" s="203">
        <v>5</v>
      </c>
      <c r="J225" s="363">
        <v>0</v>
      </c>
      <c r="K225" s="364"/>
      <c r="L225" s="67" t="s">
        <v>19</v>
      </c>
    </row>
    <row r="226" spans="1:12" x14ac:dyDescent="0.25">
      <c r="A226" s="38">
        <f>A225+1</f>
        <v>2</v>
      </c>
      <c r="B226" s="68" t="s">
        <v>295</v>
      </c>
      <c r="C226" s="69"/>
      <c r="D226" s="70" t="s">
        <v>110</v>
      </c>
      <c r="E226" s="66">
        <f>0.92*315*1.4</f>
        <v>405.71999999999997</v>
      </c>
      <c r="F226" s="199">
        <v>154</v>
      </c>
      <c r="G226" s="66">
        <f t="shared" ref="G226:G253" si="31">E226-F226</f>
        <v>251.71999999999997</v>
      </c>
      <c r="H226" s="206">
        <v>1390.7</v>
      </c>
      <c r="I226" s="203">
        <v>0</v>
      </c>
      <c r="J226" s="363">
        <v>0</v>
      </c>
      <c r="K226" s="364"/>
      <c r="L226" s="67" t="s">
        <v>19</v>
      </c>
    </row>
    <row r="227" spans="1:12" x14ac:dyDescent="0.25">
      <c r="A227" s="38">
        <f>A226+1</f>
        <v>3</v>
      </c>
      <c r="B227" s="68" t="s">
        <v>296</v>
      </c>
      <c r="C227" s="69"/>
      <c r="D227" s="70" t="s">
        <v>110</v>
      </c>
      <c r="E227" s="66">
        <f>0.92*315*1.4</f>
        <v>405.71999999999997</v>
      </c>
      <c r="F227" s="199">
        <v>141</v>
      </c>
      <c r="G227" s="66">
        <f t="shared" si="31"/>
        <v>264.71999999999997</v>
      </c>
      <c r="H227" s="206">
        <v>1482.8</v>
      </c>
      <c r="I227" s="204">
        <v>5</v>
      </c>
      <c r="J227" s="363">
        <v>0</v>
      </c>
      <c r="K227" s="364"/>
      <c r="L227" s="67" t="s">
        <v>19</v>
      </c>
    </row>
    <row r="228" spans="1:12" x14ac:dyDescent="0.25">
      <c r="A228" s="38">
        <f t="shared" ref="A228:A253" si="32">A227+1</f>
        <v>4</v>
      </c>
      <c r="B228" s="68" t="s">
        <v>297</v>
      </c>
      <c r="C228" s="69"/>
      <c r="D228" s="70" t="s">
        <v>111</v>
      </c>
      <c r="E228" s="66">
        <f>0.92*160*1.4</f>
        <v>206.08</v>
      </c>
      <c r="F228" s="199">
        <v>80</v>
      </c>
      <c r="G228" s="66">
        <f t="shared" si="31"/>
        <v>126.08000000000001</v>
      </c>
      <c r="H228" s="206">
        <v>293.36</v>
      </c>
      <c r="I228" s="204">
        <v>0</v>
      </c>
      <c r="J228" s="363">
        <v>0</v>
      </c>
      <c r="K228" s="364"/>
      <c r="L228" s="67" t="s">
        <v>19</v>
      </c>
    </row>
    <row r="229" spans="1:12" x14ac:dyDescent="0.25">
      <c r="A229" s="38">
        <f t="shared" si="32"/>
        <v>5</v>
      </c>
      <c r="B229" s="68" t="s">
        <v>298</v>
      </c>
      <c r="C229" s="69"/>
      <c r="D229" s="65">
        <v>630</v>
      </c>
      <c r="E229" s="66">
        <f>0.92*630</f>
        <v>579.6</v>
      </c>
      <c r="F229" s="199">
        <v>109</v>
      </c>
      <c r="G229" s="66">
        <f t="shared" si="31"/>
        <v>470.6</v>
      </c>
      <c r="H229" s="206">
        <v>982.4</v>
      </c>
      <c r="I229" s="204">
        <v>0</v>
      </c>
      <c r="J229" s="363">
        <v>0</v>
      </c>
      <c r="K229" s="364"/>
      <c r="L229" s="67" t="s">
        <v>19</v>
      </c>
    </row>
    <row r="230" spans="1:12" x14ac:dyDescent="0.25">
      <c r="A230" s="38">
        <f t="shared" si="32"/>
        <v>6</v>
      </c>
      <c r="B230" s="68" t="s">
        <v>299</v>
      </c>
      <c r="C230" s="69"/>
      <c r="D230" s="65">
        <v>320</v>
      </c>
      <c r="E230" s="66">
        <f>0.92*320</f>
        <v>294.40000000000003</v>
      </c>
      <c r="F230" s="199">
        <v>54</v>
      </c>
      <c r="G230" s="66">
        <f t="shared" si="31"/>
        <v>240.40000000000003</v>
      </c>
      <c r="H230" s="166">
        <v>643.6</v>
      </c>
      <c r="I230" s="203">
        <v>5</v>
      </c>
      <c r="J230" s="363">
        <v>0</v>
      </c>
      <c r="K230" s="364"/>
      <c r="L230" s="67" t="s">
        <v>19</v>
      </c>
    </row>
    <row r="231" spans="1:12" x14ac:dyDescent="0.25">
      <c r="A231" s="38">
        <f t="shared" si="32"/>
        <v>7</v>
      </c>
      <c r="B231" s="68" t="s">
        <v>300</v>
      </c>
      <c r="C231" s="69"/>
      <c r="D231" s="70" t="s">
        <v>101</v>
      </c>
      <c r="E231" s="66">
        <f>0.92*250*1.4</f>
        <v>322</v>
      </c>
      <c r="F231" s="199">
        <v>99</v>
      </c>
      <c r="G231" s="66">
        <f t="shared" si="31"/>
        <v>223</v>
      </c>
      <c r="H231" s="206">
        <v>753.4</v>
      </c>
      <c r="I231" s="203">
        <v>25</v>
      </c>
      <c r="J231" s="363">
        <v>0</v>
      </c>
      <c r="K231" s="364"/>
      <c r="L231" s="67" t="s">
        <v>19</v>
      </c>
    </row>
    <row r="232" spans="1:12" x14ac:dyDescent="0.25">
      <c r="A232" s="38">
        <f t="shared" si="32"/>
        <v>8</v>
      </c>
      <c r="B232" s="68" t="s">
        <v>301</v>
      </c>
      <c r="C232" s="69"/>
      <c r="D232" s="65" t="s">
        <v>51</v>
      </c>
      <c r="E232" s="66">
        <f>0.92*400*1.4</f>
        <v>515.19999999999993</v>
      </c>
      <c r="F232" s="200">
        <v>98</v>
      </c>
      <c r="G232" s="66">
        <f t="shared" si="31"/>
        <v>417.19999999999993</v>
      </c>
      <c r="H232" s="171">
        <v>590.6</v>
      </c>
      <c r="I232" s="200">
        <v>86.2</v>
      </c>
      <c r="J232" s="363">
        <v>0</v>
      </c>
      <c r="K232" s="364"/>
      <c r="L232" s="67" t="s">
        <v>19</v>
      </c>
    </row>
    <row r="233" spans="1:12" x14ac:dyDescent="0.25">
      <c r="A233" s="38">
        <f t="shared" si="32"/>
        <v>9</v>
      </c>
      <c r="B233" s="39" t="s">
        <v>302</v>
      </c>
      <c r="C233" s="69"/>
      <c r="D233" s="65">
        <v>630</v>
      </c>
      <c r="E233" s="66">
        <f>0.92*630</f>
        <v>579.6</v>
      </c>
      <c r="F233" s="199">
        <v>87</v>
      </c>
      <c r="G233" s="66">
        <f t="shared" si="31"/>
        <v>492.6</v>
      </c>
      <c r="H233" s="206">
        <v>527.9</v>
      </c>
      <c r="I233" s="203">
        <v>0</v>
      </c>
      <c r="J233" s="296">
        <f>E233*1/0.9-(H233+I233)</f>
        <v>116.10000000000002</v>
      </c>
      <c r="K233" s="296"/>
      <c r="L233" s="71">
        <v>250</v>
      </c>
    </row>
    <row r="234" spans="1:12" x14ac:dyDescent="0.25">
      <c r="A234" s="38">
        <f t="shared" si="32"/>
        <v>10</v>
      </c>
      <c r="B234" s="68" t="s">
        <v>303</v>
      </c>
      <c r="C234" s="69"/>
      <c r="D234" s="70" t="s">
        <v>112</v>
      </c>
      <c r="E234" s="66">
        <f>0.92*250*1.4</f>
        <v>322</v>
      </c>
      <c r="F234" s="199">
        <v>204</v>
      </c>
      <c r="G234" s="171">
        <f t="shared" si="31"/>
        <v>118</v>
      </c>
      <c r="H234" s="206">
        <v>1242.9000000000001</v>
      </c>
      <c r="I234" s="204">
        <v>0</v>
      </c>
      <c r="J234" s="363">
        <v>0</v>
      </c>
      <c r="K234" s="364"/>
      <c r="L234" s="67" t="s">
        <v>19</v>
      </c>
    </row>
    <row r="235" spans="1:12" x14ac:dyDescent="0.25">
      <c r="A235" s="38">
        <f t="shared" si="32"/>
        <v>11</v>
      </c>
      <c r="B235" s="68" t="s">
        <v>304</v>
      </c>
      <c r="C235" s="69"/>
      <c r="D235" s="65">
        <v>320</v>
      </c>
      <c r="E235" s="66">
        <f>0.92*320</f>
        <v>294.40000000000003</v>
      </c>
      <c r="F235" s="199">
        <v>67</v>
      </c>
      <c r="G235" s="66">
        <f t="shared" si="31"/>
        <v>227.40000000000003</v>
      </c>
      <c r="H235" s="206">
        <v>651.1</v>
      </c>
      <c r="I235" s="204">
        <v>10</v>
      </c>
      <c r="J235" s="363">
        <v>0</v>
      </c>
      <c r="K235" s="364"/>
      <c r="L235" s="67" t="s">
        <v>19</v>
      </c>
    </row>
    <row r="236" spans="1:12" x14ac:dyDescent="0.25">
      <c r="A236" s="38">
        <f t="shared" si="32"/>
        <v>12</v>
      </c>
      <c r="B236" s="68" t="s">
        <v>305</v>
      </c>
      <c r="C236" s="69"/>
      <c r="D236" s="70" t="s">
        <v>113</v>
      </c>
      <c r="E236" s="66">
        <f>0.92*250*1.4</f>
        <v>322</v>
      </c>
      <c r="F236" s="199">
        <v>197</v>
      </c>
      <c r="G236" s="66">
        <f t="shared" si="31"/>
        <v>125</v>
      </c>
      <c r="H236" s="166">
        <v>711.4</v>
      </c>
      <c r="I236" s="204">
        <v>0</v>
      </c>
      <c r="J236" s="363">
        <v>0</v>
      </c>
      <c r="K236" s="364"/>
      <c r="L236" s="67" t="s">
        <v>19</v>
      </c>
    </row>
    <row r="237" spans="1:12" x14ac:dyDescent="0.25">
      <c r="A237" s="38">
        <f t="shared" si="32"/>
        <v>13</v>
      </c>
      <c r="B237" s="68" t="s">
        <v>306</v>
      </c>
      <c r="C237" s="69"/>
      <c r="D237" s="65" t="s">
        <v>108</v>
      </c>
      <c r="E237" s="66">
        <f>0.92*320*1.4</f>
        <v>412.16</v>
      </c>
      <c r="F237" s="199">
        <v>317</v>
      </c>
      <c r="G237" s="66">
        <f t="shared" si="31"/>
        <v>95.160000000000025</v>
      </c>
      <c r="H237" s="206">
        <v>969.9</v>
      </c>
      <c r="I237" s="204">
        <v>0</v>
      </c>
      <c r="J237" s="363">
        <v>0</v>
      </c>
      <c r="K237" s="364"/>
      <c r="L237" s="67" t="s">
        <v>19</v>
      </c>
    </row>
    <row r="238" spans="1:12" x14ac:dyDescent="0.25">
      <c r="A238" s="38">
        <f t="shared" si="32"/>
        <v>14</v>
      </c>
      <c r="B238" s="68" t="s">
        <v>307</v>
      </c>
      <c r="C238" s="69"/>
      <c r="D238" s="70" t="s">
        <v>114</v>
      </c>
      <c r="E238" s="66">
        <f>0.92*180*1.4</f>
        <v>231.83999999999997</v>
      </c>
      <c r="F238" s="199">
        <v>162</v>
      </c>
      <c r="G238" s="66">
        <f t="shared" si="31"/>
        <v>69.839999999999975</v>
      </c>
      <c r="H238" s="206">
        <v>240.6</v>
      </c>
      <c r="I238" s="204">
        <v>0</v>
      </c>
      <c r="J238" s="296">
        <f>E238*1/0.9-(H238+I238)</f>
        <v>16.999999999999972</v>
      </c>
      <c r="K238" s="296"/>
      <c r="L238" s="71">
        <v>250</v>
      </c>
    </row>
    <row r="239" spans="1:12" x14ac:dyDescent="0.25">
      <c r="A239" s="38">
        <f t="shared" si="32"/>
        <v>15</v>
      </c>
      <c r="B239" s="68" t="s">
        <v>308</v>
      </c>
      <c r="C239" s="69"/>
      <c r="D239" s="65">
        <v>315</v>
      </c>
      <c r="E239" s="66">
        <f>0.92*315</f>
        <v>289.8</v>
      </c>
      <c r="F239" s="199">
        <v>42</v>
      </c>
      <c r="G239" s="66">
        <f t="shared" si="31"/>
        <v>247.8</v>
      </c>
      <c r="H239" s="206">
        <v>144.5</v>
      </c>
      <c r="I239" s="204">
        <v>5</v>
      </c>
      <c r="J239" s="296">
        <f>E239*1/0.9-(H239+I239)</f>
        <v>172.5</v>
      </c>
      <c r="K239" s="296"/>
      <c r="L239" s="71">
        <v>250</v>
      </c>
    </row>
    <row r="240" spans="1:12" x14ac:dyDescent="0.25">
      <c r="A240" s="38">
        <f t="shared" si="32"/>
        <v>16</v>
      </c>
      <c r="B240" s="68" t="s">
        <v>309</v>
      </c>
      <c r="C240" s="69"/>
      <c r="D240" s="65" t="s">
        <v>51</v>
      </c>
      <c r="E240" s="66">
        <f>0.92*400*1.4</f>
        <v>515.19999999999993</v>
      </c>
      <c r="F240" s="199">
        <v>40</v>
      </c>
      <c r="G240" s="66">
        <f t="shared" si="31"/>
        <v>475.19999999999993</v>
      </c>
      <c r="H240" s="206">
        <v>204.1</v>
      </c>
      <c r="I240" s="204">
        <v>11.5</v>
      </c>
      <c r="J240" s="296">
        <f>E240*1/0.9-(H240+I240)</f>
        <v>356.84444444444432</v>
      </c>
      <c r="K240" s="296"/>
      <c r="L240" s="71">
        <v>250</v>
      </c>
    </row>
    <row r="241" spans="1:12" x14ac:dyDescent="0.25">
      <c r="A241" s="38">
        <f t="shared" si="32"/>
        <v>17</v>
      </c>
      <c r="B241" s="68" t="s">
        <v>310</v>
      </c>
      <c r="C241" s="69"/>
      <c r="D241" s="70">
        <v>400</v>
      </c>
      <c r="E241" s="169">
        <f>0.92*400</f>
        <v>368</v>
      </c>
      <c r="F241" s="199">
        <v>61</v>
      </c>
      <c r="G241" s="66">
        <f t="shared" si="31"/>
        <v>307</v>
      </c>
      <c r="H241" s="206">
        <v>337.3</v>
      </c>
      <c r="I241" s="204">
        <v>0</v>
      </c>
      <c r="J241" s="296">
        <f>E241*1/0.9-(H241+I241)</f>
        <v>71.588888888888846</v>
      </c>
      <c r="K241" s="296"/>
      <c r="L241" s="71">
        <v>250</v>
      </c>
    </row>
    <row r="242" spans="1:12" x14ac:dyDescent="0.25">
      <c r="A242" s="38">
        <f t="shared" si="32"/>
        <v>18</v>
      </c>
      <c r="B242" s="68" t="s">
        <v>311</v>
      </c>
      <c r="C242" s="44"/>
      <c r="D242" s="70" t="s">
        <v>98</v>
      </c>
      <c r="E242" s="72">
        <f>0.92*250*1.4</f>
        <v>322</v>
      </c>
      <c r="F242" s="201">
        <v>225</v>
      </c>
      <c r="G242" s="66">
        <f t="shared" si="31"/>
        <v>97</v>
      </c>
      <c r="H242" s="207">
        <v>691.9</v>
      </c>
      <c r="I242" s="205">
        <v>5</v>
      </c>
      <c r="J242" s="363">
        <v>0</v>
      </c>
      <c r="K242" s="364"/>
      <c r="L242" s="67" t="s">
        <v>19</v>
      </c>
    </row>
    <row r="243" spans="1:12" x14ac:dyDescent="0.25">
      <c r="A243" s="38">
        <f t="shared" si="32"/>
        <v>19</v>
      </c>
      <c r="B243" s="68" t="s">
        <v>312</v>
      </c>
      <c r="C243" s="44"/>
      <c r="D243" s="70" t="s">
        <v>98</v>
      </c>
      <c r="E243" s="72">
        <f>0.92*250*1.4</f>
        <v>322</v>
      </c>
      <c r="F243" s="201">
        <v>227</v>
      </c>
      <c r="G243" s="66">
        <f t="shared" si="31"/>
        <v>95</v>
      </c>
      <c r="H243" s="207">
        <v>898</v>
      </c>
      <c r="I243" s="205">
        <v>0</v>
      </c>
      <c r="J243" s="363">
        <v>0</v>
      </c>
      <c r="K243" s="364"/>
      <c r="L243" s="67" t="s">
        <v>19</v>
      </c>
    </row>
    <row r="244" spans="1:12" x14ac:dyDescent="0.25">
      <c r="A244" s="38">
        <f t="shared" si="32"/>
        <v>20</v>
      </c>
      <c r="B244" s="68" t="s">
        <v>313</v>
      </c>
      <c r="C244" s="44"/>
      <c r="D244" s="65" t="s">
        <v>51</v>
      </c>
      <c r="E244" s="72">
        <f>0.92*400*1.4</f>
        <v>515.19999999999993</v>
      </c>
      <c r="F244" s="201">
        <v>170</v>
      </c>
      <c r="G244" s="66">
        <f t="shared" si="31"/>
        <v>345.19999999999993</v>
      </c>
      <c r="H244" s="207">
        <v>929.7</v>
      </c>
      <c r="I244" s="205">
        <v>5</v>
      </c>
      <c r="J244" s="363">
        <v>0</v>
      </c>
      <c r="K244" s="364"/>
      <c r="L244" s="67" t="s">
        <v>19</v>
      </c>
    </row>
    <row r="245" spans="1:12" x14ac:dyDescent="0.25">
      <c r="A245" s="38">
        <f t="shared" si="32"/>
        <v>21</v>
      </c>
      <c r="B245" s="68" t="s">
        <v>314</v>
      </c>
      <c r="C245" s="44"/>
      <c r="D245" s="70" t="s">
        <v>115</v>
      </c>
      <c r="E245" s="72">
        <f>0.92*250*1.4</f>
        <v>322</v>
      </c>
      <c r="F245" s="201">
        <v>67</v>
      </c>
      <c r="G245" s="66">
        <f t="shared" si="31"/>
        <v>255</v>
      </c>
      <c r="H245" s="207">
        <v>527.5</v>
      </c>
      <c r="I245" s="205">
        <v>5</v>
      </c>
      <c r="J245" s="363">
        <v>0</v>
      </c>
      <c r="K245" s="364"/>
      <c r="L245" s="67" t="s">
        <v>19</v>
      </c>
    </row>
    <row r="246" spans="1:12" x14ac:dyDescent="0.25">
      <c r="A246" s="38">
        <f t="shared" si="32"/>
        <v>22</v>
      </c>
      <c r="B246" s="68" t="s">
        <v>315</v>
      </c>
      <c r="C246" s="44"/>
      <c r="D246" s="70" t="s">
        <v>116</v>
      </c>
      <c r="E246" s="72">
        <f>0.92*200*1.4</f>
        <v>257.59999999999997</v>
      </c>
      <c r="F246" s="201">
        <v>165</v>
      </c>
      <c r="G246" s="66">
        <f t="shared" si="31"/>
        <v>92.599999999999966</v>
      </c>
      <c r="H246" s="207">
        <v>560.29999999999995</v>
      </c>
      <c r="I246" s="205">
        <v>0</v>
      </c>
      <c r="J246" s="363">
        <v>0</v>
      </c>
      <c r="K246" s="364"/>
      <c r="L246" s="67" t="s">
        <v>19</v>
      </c>
    </row>
    <row r="247" spans="1:12" x14ac:dyDescent="0.25">
      <c r="A247" s="38">
        <f t="shared" si="32"/>
        <v>23</v>
      </c>
      <c r="B247" s="68" t="s">
        <v>316</v>
      </c>
      <c r="C247" s="44"/>
      <c r="D247" s="70" t="s">
        <v>99</v>
      </c>
      <c r="E247" s="72">
        <f>0.92*400*1.4</f>
        <v>515.19999999999993</v>
      </c>
      <c r="F247" s="199">
        <v>285</v>
      </c>
      <c r="G247" s="66">
        <f t="shared" si="31"/>
        <v>230.19999999999993</v>
      </c>
      <c r="H247" s="207">
        <v>999.3</v>
      </c>
      <c r="I247" s="205">
        <v>0</v>
      </c>
      <c r="J247" s="363">
        <v>0</v>
      </c>
      <c r="K247" s="364"/>
      <c r="L247" s="67" t="s">
        <v>19</v>
      </c>
    </row>
    <row r="248" spans="1:12" x14ac:dyDescent="0.25">
      <c r="A248" s="38">
        <f t="shared" si="32"/>
        <v>24</v>
      </c>
      <c r="B248" s="68" t="s">
        <v>317</v>
      </c>
      <c r="C248" s="44"/>
      <c r="D248" s="65" t="s">
        <v>60</v>
      </c>
      <c r="E248" s="72">
        <f>0.92*630*1.4</f>
        <v>811.43999999999994</v>
      </c>
      <c r="F248" s="201">
        <v>70</v>
      </c>
      <c r="G248" s="66">
        <f t="shared" si="31"/>
        <v>741.43999999999994</v>
      </c>
      <c r="H248" s="208">
        <v>679.3</v>
      </c>
      <c r="I248" s="205">
        <v>0</v>
      </c>
      <c r="J248" s="296">
        <f t="shared" ref="J248:J253" si="33">E248*1/0.9-(H248+I248)</f>
        <v>222.29999999999995</v>
      </c>
      <c r="K248" s="296"/>
      <c r="L248" s="71">
        <v>250</v>
      </c>
    </row>
    <row r="249" spans="1:12" x14ac:dyDescent="0.25">
      <c r="A249" s="38">
        <f t="shared" si="32"/>
        <v>25</v>
      </c>
      <c r="B249" s="68" t="s">
        <v>318</v>
      </c>
      <c r="C249" s="44"/>
      <c r="D249" s="70">
        <v>400</v>
      </c>
      <c r="E249" s="72">
        <f>0.92*400</f>
        <v>368</v>
      </c>
      <c r="F249" s="201">
        <v>96</v>
      </c>
      <c r="G249" s="66">
        <f t="shared" si="31"/>
        <v>272</v>
      </c>
      <c r="H249" s="207">
        <v>1163.7</v>
      </c>
      <c r="I249" s="205">
        <v>0</v>
      </c>
      <c r="J249" s="363">
        <v>0</v>
      </c>
      <c r="K249" s="364"/>
      <c r="L249" s="67" t="s">
        <v>19</v>
      </c>
    </row>
    <row r="250" spans="1:12" x14ac:dyDescent="0.25">
      <c r="A250" s="38">
        <f t="shared" si="32"/>
        <v>26</v>
      </c>
      <c r="B250" s="68" t="s">
        <v>319</v>
      </c>
      <c r="C250" s="44"/>
      <c r="D250" s="65" t="s">
        <v>74</v>
      </c>
      <c r="E250" s="72">
        <f>0.92*250*1.4</f>
        <v>322</v>
      </c>
      <c r="F250" s="201">
        <v>230</v>
      </c>
      <c r="G250" s="66">
        <f t="shared" si="31"/>
        <v>92</v>
      </c>
      <c r="H250" s="207">
        <v>693.5</v>
      </c>
      <c r="I250" s="205">
        <v>0</v>
      </c>
      <c r="J250" s="363">
        <v>0</v>
      </c>
      <c r="K250" s="364"/>
      <c r="L250" s="67" t="s">
        <v>19</v>
      </c>
    </row>
    <row r="251" spans="1:12" x14ac:dyDescent="0.25">
      <c r="A251" s="38">
        <f t="shared" si="32"/>
        <v>27</v>
      </c>
      <c r="B251" s="68" t="s">
        <v>288</v>
      </c>
      <c r="C251" s="44"/>
      <c r="D251" s="70">
        <v>400</v>
      </c>
      <c r="E251" s="72">
        <f>0.92*400</f>
        <v>368</v>
      </c>
      <c r="F251" s="201">
        <v>41</v>
      </c>
      <c r="G251" s="66">
        <f t="shared" si="31"/>
        <v>327</v>
      </c>
      <c r="H251" s="207">
        <v>120</v>
      </c>
      <c r="I251" s="205">
        <v>0</v>
      </c>
      <c r="J251" s="296">
        <f t="shared" si="33"/>
        <v>288.88888888888886</v>
      </c>
      <c r="K251" s="296"/>
      <c r="L251" s="71">
        <v>250</v>
      </c>
    </row>
    <row r="252" spans="1:12" x14ac:dyDescent="0.25">
      <c r="A252" s="38">
        <f t="shared" si="32"/>
        <v>28</v>
      </c>
      <c r="B252" s="68" t="s">
        <v>289</v>
      </c>
      <c r="C252" s="44"/>
      <c r="D252" s="70" t="s">
        <v>99</v>
      </c>
      <c r="E252" s="72">
        <f>0.92*400*1.4</f>
        <v>515.19999999999993</v>
      </c>
      <c r="F252" s="201">
        <v>318</v>
      </c>
      <c r="G252" s="66">
        <f t="shared" si="31"/>
        <v>197.19999999999993</v>
      </c>
      <c r="H252" s="207">
        <v>791.4</v>
      </c>
      <c r="I252" s="205">
        <v>0</v>
      </c>
      <c r="J252" s="363">
        <v>0</v>
      </c>
      <c r="K252" s="364"/>
      <c r="L252" s="67" t="s">
        <v>19</v>
      </c>
    </row>
    <row r="253" spans="1:12" ht="15.75" thickBot="1" x14ac:dyDescent="0.3">
      <c r="A253" s="52">
        <f t="shared" si="32"/>
        <v>29</v>
      </c>
      <c r="B253" s="73" t="s">
        <v>290</v>
      </c>
      <c r="C253" s="55"/>
      <c r="D253" s="70">
        <v>320</v>
      </c>
      <c r="E253" s="72">
        <f>0.92*320</f>
        <v>294.40000000000003</v>
      </c>
      <c r="F253" s="201">
        <v>82</v>
      </c>
      <c r="G253" s="66">
        <f t="shared" si="31"/>
        <v>212.40000000000003</v>
      </c>
      <c r="H253" s="207">
        <v>147.5</v>
      </c>
      <c r="I253" s="205">
        <v>0</v>
      </c>
      <c r="J253" s="296">
        <f t="shared" si="33"/>
        <v>179.61111111111114</v>
      </c>
      <c r="K253" s="296"/>
      <c r="L253" s="71">
        <v>250</v>
      </c>
    </row>
    <row r="254" spans="1:12" ht="15.75" thickBot="1" x14ac:dyDescent="0.3">
      <c r="A254" s="308" t="s">
        <v>117</v>
      </c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10"/>
    </row>
    <row r="255" spans="1:12" x14ac:dyDescent="0.25">
      <c r="A255" s="32">
        <f>A253+1</f>
        <v>30</v>
      </c>
      <c r="B255" s="63" t="s">
        <v>300</v>
      </c>
      <c r="C255" s="35"/>
      <c r="D255" s="74">
        <v>400</v>
      </c>
      <c r="E255" s="75">
        <f>0.92*400</f>
        <v>368</v>
      </c>
      <c r="F255" s="202">
        <v>50</v>
      </c>
      <c r="G255" s="75">
        <f t="shared" ref="G255:G264" si="34">E255-F255</f>
        <v>318</v>
      </c>
      <c r="H255" s="72">
        <v>203</v>
      </c>
      <c r="I255" s="142">
        <v>0</v>
      </c>
      <c r="J255" s="375">
        <f>E255*1/0.9-(H255+I255)</f>
        <v>205.88888888888886</v>
      </c>
      <c r="K255" s="376"/>
      <c r="L255" s="76">
        <v>250</v>
      </c>
    </row>
    <row r="256" spans="1:12" x14ac:dyDescent="0.25">
      <c r="A256" s="38">
        <f>A255+1</f>
        <v>31</v>
      </c>
      <c r="B256" s="68" t="s">
        <v>320</v>
      </c>
      <c r="C256" s="44"/>
      <c r="D256" s="65" t="s">
        <v>74</v>
      </c>
      <c r="E256" s="72">
        <f>0.92*250*1.4</f>
        <v>322</v>
      </c>
      <c r="F256" s="202">
        <v>59</v>
      </c>
      <c r="G256" s="72">
        <f t="shared" si="34"/>
        <v>263</v>
      </c>
      <c r="H256" s="72">
        <v>820.6</v>
      </c>
      <c r="I256" s="142">
        <v>4</v>
      </c>
      <c r="J256" s="363">
        <v>0</v>
      </c>
      <c r="K256" s="364"/>
      <c r="L256" s="77" t="s">
        <v>19</v>
      </c>
    </row>
    <row r="257" spans="1:12" x14ac:dyDescent="0.25">
      <c r="A257" s="38">
        <f t="shared" ref="A257:A264" si="35">A256+1</f>
        <v>32</v>
      </c>
      <c r="B257" s="68" t="s">
        <v>321</v>
      </c>
      <c r="C257" s="44"/>
      <c r="D257" s="70">
        <v>320</v>
      </c>
      <c r="E257" s="72">
        <f>0.92*320</f>
        <v>294.40000000000003</v>
      </c>
      <c r="F257" s="202">
        <v>115</v>
      </c>
      <c r="G257" s="72">
        <f t="shared" si="34"/>
        <v>179.40000000000003</v>
      </c>
      <c r="H257" s="72">
        <v>807.6</v>
      </c>
      <c r="I257" s="142">
        <v>0</v>
      </c>
      <c r="J257" s="363">
        <v>0</v>
      </c>
      <c r="K257" s="364"/>
      <c r="L257" s="77" t="s">
        <v>19</v>
      </c>
    </row>
    <row r="258" spans="1:12" x14ac:dyDescent="0.25">
      <c r="A258" s="38">
        <f t="shared" si="35"/>
        <v>33</v>
      </c>
      <c r="B258" s="68" t="s">
        <v>322</v>
      </c>
      <c r="C258" s="44"/>
      <c r="D258" s="70" t="s">
        <v>780</v>
      </c>
      <c r="E258" s="169">
        <f>0.92*250*1.4</f>
        <v>322</v>
      </c>
      <c r="F258" s="202">
        <v>74</v>
      </c>
      <c r="G258" s="167">
        <f t="shared" si="34"/>
        <v>248</v>
      </c>
      <c r="H258" s="72">
        <v>336</v>
      </c>
      <c r="I258" s="142">
        <v>0</v>
      </c>
      <c r="J258" s="363">
        <v>0</v>
      </c>
      <c r="K258" s="364"/>
      <c r="L258" s="77" t="s">
        <v>19</v>
      </c>
    </row>
    <row r="259" spans="1:12" x14ac:dyDescent="0.25">
      <c r="A259" s="38">
        <f t="shared" si="35"/>
        <v>34</v>
      </c>
      <c r="B259" s="68" t="s">
        <v>323</v>
      </c>
      <c r="C259" s="44"/>
      <c r="D259" s="65" t="s">
        <v>107</v>
      </c>
      <c r="E259" s="72">
        <f>0.92*160*1.4</f>
        <v>206.08</v>
      </c>
      <c r="F259" s="202">
        <v>52</v>
      </c>
      <c r="G259" s="72">
        <f t="shared" si="34"/>
        <v>154.08000000000001</v>
      </c>
      <c r="H259" s="72">
        <v>57</v>
      </c>
      <c r="I259" s="142">
        <v>0</v>
      </c>
      <c r="J259" s="377">
        <f>E259*1/0.9-(H259+I259)</f>
        <v>171.97777777777779</v>
      </c>
      <c r="K259" s="378"/>
      <c r="L259" s="78">
        <v>250</v>
      </c>
    </row>
    <row r="260" spans="1:12" x14ac:dyDescent="0.25">
      <c r="A260" s="38">
        <f t="shared" si="35"/>
        <v>35</v>
      </c>
      <c r="B260" s="68" t="s">
        <v>324</v>
      </c>
      <c r="C260" s="44"/>
      <c r="D260" s="70">
        <v>315</v>
      </c>
      <c r="E260" s="72">
        <f>0.92*315</f>
        <v>289.8</v>
      </c>
      <c r="F260" s="202">
        <v>80</v>
      </c>
      <c r="G260" s="72">
        <f t="shared" si="34"/>
        <v>209.8</v>
      </c>
      <c r="H260" s="72">
        <v>396</v>
      </c>
      <c r="I260" s="142">
        <v>0</v>
      </c>
      <c r="J260" s="363">
        <v>0</v>
      </c>
      <c r="K260" s="364"/>
      <c r="L260" s="77" t="s">
        <v>19</v>
      </c>
    </row>
    <row r="261" spans="1:12" x14ac:dyDescent="0.25">
      <c r="A261" s="38">
        <f t="shared" si="35"/>
        <v>36</v>
      </c>
      <c r="B261" s="68" t="s">
        <v>325</v>
      </c>
      <c r="C261" s="44"/>
      <c r="D261" s="70">
        <v>250</v>
      </c>
      <c r="E261" s="72">
        <f>0.92*250</f>
        <v>230</v>
      </c>
      <c r="F261" s="202">
        <v>149</v>
      </c>
      <c r="G261" s="72">
        <f t="shared" si="34"/>
        <v>81</v>
      </c>
      <c r="H261" s="72">
        <v>1219.9000000000001</v>
      </c>
      <c r="I261" s="142">
        <v>0</v>
      </c>
      <c r="J261" s="363">
        <v>0</v>
      </c>
      <c r="K261" s="364"/>
      <c r="L261" s="77" t="s">
        <v>19</v>
      </c>
    </row>
    <row r="262" spans="1:12" x14ac:dyDescent="0.25">
      <c r="A262" s="38">
        <f t="shared" si="35"/>
        <v>37</v>
      </c>
      <c r="B262" s="68" t="s">
        <v>326</v>
      </c>
      <c r="C262" s="44"/>
      <c r="D262" s="70" t="s">
        <v>112</v>
      </c>
      <c r="E262" s="72">
        <f>0.92*250*1.4</f>
        <v>322</v>
      </c>
      <c r="F262" s="202">
        <v>93</v>
      </c>
      <c r="G262" s="72">
        <f t="shared" si="34"/>
        <v>229</v>
      </c>
      <c r="H262" s="72">
        <v>1050.4000000000001</v>
      </c>
      <c r="I262" s="142">
        <v>0</v>
      </c>
      <c r="J262" s="363">
        <v>0</v>
      </c>
      <c r="K262" s="364"/>
      <c r="L262" s="77" t="s">
        <v>19</v>
      </c>
    </row>
    <row r="263" spans="1:12" x14ac:dyDescent="0.25">
      <c r="A263" s="38">
        <f t="shared" si="35"/>
        <v>38</v>
      </c>
      <c r="B263" s="39" t="s">
        <v>327</v>
      </c>
      <c r="C263" s="44"/>
      <c r="D263" s="74">
        <v>400</v>
      </c>
      <c r="E263" s="168">
        <f>0.92*400</f>
        <v>368</v>
      </c>
      <c r="F263" s="202">
        <v>82</v>
      </c>
      <c r="G263" s="72">
        <f t="shared" si="34"/>
        <v>286</v>
      </c>
      <c r="H263" s="72">
        <v>498.5</v>
      </c>
      <c r="I263" s="142">
        <v>0</v>
      </c>
      <c r="J263" s="363">
        <v>0</v>
      </c>
      <c r="K263" s="364"/>
      <c r="L263" s="77" t="s">
        <v>19</v>
      </c>
    </row>
    <row r="264" spans="1:12" ht="15.75" thickBot="1" x14ac:dyDescent="0.3">
      <c r="A264" s="52">
        <f t="shared" si="35"/>
        <v>39</v>
      </c>
      <c r="B264" s="73" t="s">
        <v>328</v>
      </c>
      <c r="C264" s="55"/>
      <c r="D264" s="79">
        <v>320</v>
      </c>
      <c r="E264" s="80">
        <f>0.92*320</f>
        <v>294.40000000000003</v>
      </c>
      <c r="F264" s="202">
        <v>96</v>
      </c>
      <c r="G264" s="80">
        <f t="shared" si="34"/>
        <v>198.40000000000003</v>
      </c>
      <c r="H264" s="72">
        <v>1489.1</v>
      </c>
      <c r="I264" s="142">
        <v>0</v>
      </c>
      <c r="J264" s="381">
        <v>0</v>
      </c>
      <c r="K264" s="382"/>
      <c r="L264" s="77" t="s">
        <v>19</v>
      </c>
    </row>
    <row r="265" spans="1:12" ht="16.5" thickBot="1" x14ac:dyDescent="0.3">
      <c r="A265" s="344" t="s">
        <v>291</v>
      </c>
      <c r="B265" s="345"/>
      <c r="C265" s="345"/>
      <c r="D265" s="345"/>
      <c r="E265" s="345"/>
      <c r="F265" s="345"/>
      <c r="G265" s="345"/>
      <c r="H265" s="345"/>
      <c r="I265" s="345"/>
      <c r="J265" s="345"/>
      <c r="K265" s="345"/>
      <c r="L265" s="347"/>
    </row>
    <row r="266" spans="1:12" ht="15.75" thickBot="1" x14ac:dyDescent="0.3">
      <c r="A266" s="308" t="s">
        <v>293</v>
      </c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10"/>
    </row>
    <row r="267" spans="1:12" x14ac:dyDescent="0.25">
      <c r="A267" s="81">
        <v>1</v>
      </c>
      <c r="B267" s="63" t="s">
        <v>119</v>
      </c>
      <c r="C267" s="82"/>
      <c r="D267" s="209" t="s">
        <v>60</v>
      </c>
      <c r="E267" s="165">
        <f>0.92*630*1.4</f>
        <v>811.43999999999994</v>
      </c>
      <c r="F267" s="65">
        <v>155.22999999999999</v>
      </c>
      <c r="G267" s="83">
        <f>E267-F267</f>
        <v>656.20999999999992</v>
      </c>
      <c r="H267" s="165">
        <f>82.78+351*2.5*0.2</f>
        <v>258.27999999999997</v>
      </c>
      <c r="I267" s="87">
        <v>0</v>
      </c>
      <c r="J267" s="375">
        <f>E267*1/0.9-(H267+I267)</f>
        <v>643.31999999999994</v>
      </c>
      <c r="K267" s="376"/>
      <c r="L267" s="76">
        <v>250</v>
      </c>
    </row>
    <row r="268" spans="1:12" x14ac:dyDescent="0.25">
      <c r="A268" s="85">
        <v>2</v>
      </c>
      <c r="B268" s="68" t="s">
        <v>120</v>
      </c>
      <c r="C268" s="86"/>
      <c r="D268" s="210" t="s">
        <v>51</v>
      </c>
      <c r="E268" s="165">
        <f>0.92*400*1.4</f>
        <v>515.19999999999993</v>
      </c>
      <c r="F268" s="65">
        <v>221.15</v>
      </c>
      <c r="G268" s="66">
        <f t="shared" ref="G268:G331" si="36">E268-F268</f>
        <v>294.04999999999995</v>
      </c>
      <c r="H268" s="165">
        <f>233.9+60*1.14*0.16</f>
        <v>244.84399999999999</v>
      </c>
      <c r="I268" s="87">
        <v>0</v>
      </c>
      <c r="J268" s="377">
        <f t="shared" ref="J268:J331" si="37">E268*1/0.9-(H268+I268)</f>
        <v>327.60044444444435</v>
      </c>
      <c r="K268" s="378"/>
      <c r="L268" s="78">
        <v>250</v>
      </c>
    </row>
    <row r="269" spans="1:12" x14ac:dyDescent="0.25">
      <c r="A269" s="88">
        <v>3</v>
      </c>
      <c r="B269" s="68" t="s">
        <v>121</v>
      </c>
      <c r="C269" s="86"/>
      <c r="D269" s="210" t="s">
        <v>51</v>
      </c>
      <c r="E269" s="165">
        <f>0.92*400*1.4</f>
        <v>515.19999999999993</v>
      </c>
      <c r="F269" s="65">
        <f>44.85*1.8</f>
        <v>80.73</v>
      </c>
      <c r="G269" s="66">
        <f t="shared" si="36"/>
        <v>434.46999999999991</v>
      </c>
      <c r="H269" s="165">
        <f>142.8*0.7+37*2*0.2</f>
        <v>114.76</v>
      </c>
      <c r="I269" s="87">
        <v>0</v>
      </c>
      <c r="J269" s="377">
        <f t="shared" si="37"/>
        <v>457.68444444444435</v>
      </c>
      <c r="K269" s="378"/>
      <c r="L269" s="78">
        <v>250</v>
      </c>
    </row>
    <row r="270" spans="1:12" x14ac:dyDescent="0.25">
      <c r="A270" s="85">
        <v>4</v>
      </c>
      <c r="B270" s="89" t="s">
        <v>122</v>
      </c>
      <c r="C270" s="86"/>
      <c r="D270" s="209">
        <v>180</v>
      </c>
      <c r="E270" s="165">
        <f>0.92*180</f>
        <v>165.6</v>
      </c>
      <c r="F270" s="65">
        <v>72.45</v>
      </c>
      <c r="G270" s="66">
        <f t="shared" si="36"/>
        <v>93.149999999999991</v>
      </c>
      <c r="H270" s="90">
        <f>106.9+48*1.7*0.18</f>
        <v>121.58800000000001</v>
      </c>
      <c r="I270" s="87">
        <v>0</v>
      </c>
      <c r="J270" s="379">
        <f t="shared" si="37"/>
        <v>62.411999999999992</v>
      </c>
      <c r="K270" s="380"/>
      <c r="L270" s="78">
        <v>250</v>
      </c>
    </row>
    <row r="271" spans="1:12" x14ac:dyDescent="0.25">
      <c r="A271" s="85">
        <v>5</v>
      </c>
      <c r="B271" s="89" t="s">
        <v>123</v>
      </c>
      <c r="C271" s="86"/>
      <c r="D271" s="209" t="s">
        <v>74</v>
      </c>
      <c r="E271" s="165">
        <f>0.92*250*1.4</f>
        <v>322</v>
      </c>
      <c r="F271" s="65">
        <f>81*0.22+150*0.22+106*0.22+58</f>
        <v>132.13999999999999</v>
      </c>
      <c r="G271" s="66">
        <f t="shared" si="36"/>
        <v>189.86</v>
      </c>
      <c r="H271" s="165">
        <f>256.03+118*2*0.2</f>
        <v>303.22999999999996</v>
      </c>
      <c r="I271" s="87">
        <v>0</v>
      </c>
      <c r="J271" s="379">
        <f>E271*1/0.67-(H271+I271)</f>
        <v>177.36701492537316</v>
      </c>
      <c r="K271" s="380"/>
      <c r="L271" s="78">
        <v>250</v>
      </c>
    </row>
    <row r="272" spans="1:12" x14ac:dyDescent="0.25">
      <c r="A272" s="85">
        <v>6</v>
      </c>
      <c r="B272" s="89" t="s">
        <v>124</v>
      </c>
      <c r="C272" s="86"/>
      <c r="D272" s="209">
        <v>250</v>
      </c>
      <c r="E272" s="165">
        <f>0.92*250</f>
        <v>230</v>
      </c>
      <c r="F272" s="65">
        <v>97.21</v>
      </c>
      <c r="G272" s="66">
        <f t="shared" si="36"/>
        <v>132.79000000000002</v>
      </c>
      <c r="H272" s="149">
        <f>96+238*2*0.15</f>
        <v>167.39999999999998</v>
      </c>
      <c r="I272" s="87">
        <v>0</v>
      </c>
      <c r="J272" s="379">
        <f t="shared" si="37"/>
        <v>88.155555555555566</v>
      </c>
      <c r="K272" s="380"/>
      <c r="L272" s="78">
        <v>250</v>
      </c>
    </row>
    <row r="273" spans="1:12" x14ac:dyDescent="0.25">
      <c r="A273" s="85">
        <v>7</v>
      </c>
      <c r="B273" s="89" t="s">
        <v>125</v>
      </c>
      <c r="C273" s="86"/>
      <c r="D273" s="209">
        <v>400</v>
      </c>
      <c r="E273" s="165">
        <f>0.92*D273</f>
        <v>368</v>
      </c>
      <c r="F273" s="65">
        <v>162.33000000000001</v>
      </c>
      <c r="G273" s="66">
        <f t="shared" si="36"/>
        <v>205.67</v>
      </c>
      <c r="H273" s="165">
        <f>403.2-76.3+61.4*0.8+160*0.93*0.13+76.3*0.05</f>
        <v>399.17899999999997</v>
      </c>
      <c r="I273" s="87">
        <v>0</v>
      </c>
      <c r="J273" s="379">
        <f>E273*1/0.67-(H273+I273)</f>
        <v>150.07473134328359</v>
      </c>
      <c r="K273" s="380"/>
      <c r="L273" s="78">
        <v>250</v>
      </c>
    </row>
    <row r="274" spans="1:12" x14ac:dyDescent="0.25">
      <c r="A274" s="85">
        <v>8</v>
      </c>
      <c r="B274" s="89" t="s">
        <v>126</v>
      </c>
      <c r="C274" s="86"/>
      <c r="D274" s="65" t="s">
        <v>51</v>
      </c>
      <c r="E274" s="165">
        <f>0.92*400*1.4</f>
        <v>515.19999999999993</v>
      </c>
      <c r="F274" s="65">
        <f>(324+288+275)*0.22</f>
        <v>195.14000000000001</v>
      </c>
      <c r="G274" s="66">
        <f t="shared" si="36"/>
        <v>320.05999999999995</v>
      </c>
      <c r="H274" s="149">
        <f>105.1+660*1.8*0.2</f>
        <v>342.70000000000005</v>
      </c>
      <c r="I274" s="87">
        <v>0</v>
      </c>
      <c r="J274" s="379">
        <f t="shared" si="37"/>
        <v>229.7444444444443</v>
      </c>
      <c r="K274" s="380"/>
      <c r="L274" s="78">
        <v>250</v>
      </c>
    </row>
    <row r="275" spans="1:12" x14ac:dyDescent="0.25">
      <c r="A275" s="85">
        <v>9</v>
      </c>
      <c r="B275" s="89" t="s">
        <v>127</v>
      </c>
      <c r="C275" s="86"/>
      <c r="D275" s="65" t="s">
        <v>74</v>
      </c>
      <c r="E275" s="165">
        <f>0.92*250*1.4</f>
        <v>322</v>
      </c>
      <c r="F275" s="65">
        <v>257.44</v>
      </c>
      <c r="G275" s="66">
        <f t="shared" si="36"/>
        <v>64.56</v>
      </c>
      <c r="H275" s="165">
        <f>126+678*1.8*0.15</f>
        <v>309.06</v>
      </c>
      <c r="I275" s="87">
        <v>0</v>
      </c>
      <c r="J275" s="379">
        <f t="shared" si="37"/>
        <v>48.717777777777769</v>
      </c>
      <c r="K275" s="380"/>
      <c r="L275" s="78">
        <v>250</v>
      </c>
    </row>
    <row r="276" spans="1:12" x14ac:dyDescent="0.25">
      <c r="A276" s="85">
        <v>10</v>
      </c>
      <c r="B276" s="89" t="s">
        <v>128</v>
      </c>
      <c r="C276" s="86"/>
      <c r="D276" s="65">
        <v>250</v>
      </c>
      <c r="E276" s="165">
        <f>0.92*D276</f>
        <v>230</v>
      </c>
      <c r="F276" s="65">
        <v>48.12</v>
      </c>
      <c r="G276" s="66">
        <f t="shared" si="36"/>
        <v>181.88</v>
      </c>
      <c r="H276" s="165">
        <f>17.4+146*1.25*0.15+5.3</f>
        <v>50.074999999999996</v>
      </c>
      <c r="I276" s="87">
        <v>0</v>
      </c>
      <c r="J276" s="379">
        <f t="shared" si="37"/>
        <v>205.48055555555555</v>
      </c>
      <c r="K276" s="380"/>
      <c r="L276" s="78">
        <v>250</v>
      </c>
    </row>
    <row r="277" spans="1:12" x14ac:dyDescent="0.25">
      <c r="A277" s="88">
        <v>11</v>
      </c>
      <c r="B277" s="89" t="s">
        <v>129</v>
      </c>
      <c r="C277" s="86"/>
      <c r="D277" s="65" t="s">
        <v>130</v>
      </c>
      <c r="E277" s="165">
        <f>0.92*320*1.4</f>
        <v>412.16</v>
      </c>
      <c r="F277" s="65">
        <f>(430+420+268+163+112+150)*0.22</f>
        <v>339.46</v>
      </c>
      <c r="G277" s="66">
        <f t="shared" si="36"/>
        <v>72.700000000000045</v>
      </c>
      <c r="H277" s="165">
        <f>374.3*0.8+528*1.5*0.15+5.5*0.8</f>
        <v>422.64</v>
      </c>
      <c r="I277" s="87">
        <v>0</v>
      </c>
      <c r="J277" s="379">
        <f>E277*1/0.67-(H277+I277)</f>
        <v>192.52417910447764</v>
      </c>
      <c r="K277" s="380"/>
      <c r="L277" s="78">
        <v>250</v>
      </c>
    </row>
    <row r="278" spans="1:12" x14ac:dyDescent="0.25">
      <c r="A278" s="85">
        <v>12</v>
      </c>
      <c r="B278" s="89" t="s">
        <v>131</v>
      </c>
      <c r="C278" s="86"/>
      <c r="D278" s="65">
        <v>250</v>
      </c>
      <c r="E278" s="165">
        <f>0.92*D278</f>
        <v>230</v>
      </c>
      <c r="F278" s="65">
        <v>67.849999999999994</v>
      </c>
      <c r="G278" s="66">
        <f t="shared" si="36"/>
        <v>162.15</v>
      </c>
      <c r="H278" s="165">
        <f>69.81+115*1.4*0.14+5+0.1</f>
        <v>97.45</v>
      </c>
      <c r="I278" s="87">
        <v>0</v>
      </c>
      <c r="J278" s="379">
        <f t="shared" si="37"/>
        <v>158.10555555555555</v>
      </c>
      <c r="K278" s="380"/>
      <c r="L278" s="78">
        <v>250</v>
      </c>
    </row>
    <row r="279" spans="1:12" x14ac:dyDescent="0.25">
      <c r="A279" s="85">
        <v>13</v>
      </c>
      <c r="B279" s="89" t="s">
        <v>132</v>
      </c>
      <c r="C279" s="86"/>
      <c r="D279" s="65">
        <v>320</v>
      </c>
      <c r="E279" s="165">
        <f>0.92*D279</f>
        <v>294.40000000000003</v>
      </c>
      <c r="F279" s="65">
        <v>52.73</v>
      </c>
      <c r="G279" s="66">
        <f t="shared" si="36"/>
        <v>241.67000000000004</v>
      </c>
      <c r="H279" s="149">
        <f>147.8</f>
        <v>147.80000000000001</v>
      </c>
      <c r="I279" s="87">
        <v>0</v>
      </c>
      <c r="J279" s="379">
        <f t="shared" si="37"/>
        <v>179.31111111111113</v>
      </c>
      <c r="K279" s="380"/>
      <c r="L279" s="78">
        <v>250</v>
      </c>
    </row>
    <row r="280" spans="1:12" x14ac:dyDescent="0.25">
      <c r="A280" s="85">
        <v>14</v>
      </c>
      <c r="B280" s="89" t="s">
        <v>133</v>
      </c>
      <c r="C280" s="86"/>
      <c r="D280" s="70">
        <v>630</v>
      </c>
      <c r="E280" s="165">
        <f>0.92*D280</f>
        <v>579.6</v>
      </c>
      <c r="F280" s="65">
        <f>(28*0.22+43*0.22+8*0.22)*5</f>
        <v>86.9</v>
      </c>
      <c r="G280" s="66">
        <f t="shared" si="36"/>
        <v>492.70000000000005</v>
      </c>
      <c r="H280" s="165">
        <f>238.8+115*1.28*0.16+5</f>
        <v>267.35200000000003</v>
      </c>
      <c r="I280" s="87">
        <v>0</v>
      </c>
      <c r="J280" s="379">
        <f t="shared" si="37"/>
        <v>376.64799999999997</v>
      </c>
      <c r="K280" s="380"/>
      <c r="L280" s="78">
        <v>250</v>
      </c>
    </row>
    <row r="281" spans="1:12" x14ac:dyDescent="0.25">
      <c r="A281" s="85">
        <v>15</v>
      </c>
      <c r="B281" s="89" t="s">
        <v>134</v>
      </c>
      <c r="C281" s="86"/>
      <c r="D281" s="65" t="s">
        <v>51</v>
      </c>
      <c r="E281" s="165">
        <f>0.92*400*1.4</f>
        <v>515.19999999999993</v>
      </c>
      <c r="F281" s="65">
        <v>387.42</v>
      </c>
      <c r="G281" s="66">
        <f t="shared" si="36"/>
        <v>127.77999999999992</v>
      </c>
      <c r="H281" s="149">
        <f>63.65+665*3*0.21</f>
        <v>482.59999999999997</v>
      </c>
      <c r="I281" s="87">
        <v>0</v>
      </c>
      <c r="J281" s="379">
        <f t="shared" si="37"/>
        <v>89.844444444444377</v>
      </c>
      <c r="K281" s="380"/>
      <c r="L281" s="78">
        <v>250</v>
      </c>
    </row>
    <row r="282" spans="1:12" x14ac:dyDescent="0.25">
      <c r="A282" s="85">
        <v>16</v>
      </c>
      <c r="B282" s="89" t="s">
        <v>135</v>
      </c>
      <c r="C282" s="86"/>
      <c r="D282" s="65" t="s">
        <v>136</v>
      </c>
      <c r="E282" s="165">
        <f>0.92*100*1.4</f>
        <v>128.79999999999998</v>
      </c>
      <c r="F282" s="65">
        <v>118.32</v>
      </c>
      <c r="G282" s="66">
        <f t="shared" si="36"/>
        <v>10.47999999999999</v>
      </c>
      <c r="H282" s="165">
        <f>111.04+219*0.86*0.12</f>
        <v>133.64080000000001</v>
      </c>
      <c r="I282" s="87">
        <v>14.5</v>
      </c>
      <c r="J282" s="377">
        <f>E282*1/0.67-(H282+I282)</f>
        <v>44.098005970149217</v>
      </c>
      <c r="K282" s="378"/>
      <c r="L282" s="78">
        <v>250</v>
      </c>
    </row>
    <row r="283" spans="1:12" x14ac:dyDescent="0.25">
      <c r="A283" s="85">
        <v>17</v>
      </c>
      <c r="B283" s="89" t="s">
        <v>137</v>
      </c>
      <c r="C283" s="86"/>
      <c r="D283" s="65">
        <v>400</v>
      </c>
      <c r="E283" s="165">
        <f>0.92*D283</f>
        <v>368</v>
      </c>
      <c r="F283" s="65">
        <v>152.47999999999999</v>
      </c>
      <c r="G283" s="66">
        <f t="shared" si="36"/>
        <v>215.52</v>
      </c>
      <c r="H283" s="165">
        <f>135*0.6+239*1.12*0.14+70.94*0.05+100+5+4.4</f>
        <v>231.4222</v>
      </c>
      <c r="I283" s="87">
        <v>0</v>
      </c>
      <c r="J283" s="377">
        <f t="shared" si="37"/>
        <v>177.46668888888885</v>
      </c>
      <c r="K283" s="378"/>
      <c r="L283" s="78">
        <v>250</v>
      </c>
    </row>
    <row r="284" spans="1:12" x14ac:dyDescent="0.25">
      <c r="A284" s="85">
        <v>18</v>
      </c>
      <c r="B284" s="89" t="s">
        <v>138</v>
      </c>
      <c r="C284" s="91"/>
      <c r="D284" s="91">
        <v>250</v>
      </c>
      <c r="E284" s="165">
        <f t="shared" ref="E284:E304" si="38">0.92*D284</f>
        <v>230</v>
      </c>
      <c r="F284" s="65">
        <v>57.94</v>
      </c>
      <c r="G284" s="66">
        <f t="shared" si="36"/>
        <v>172.06</v>
      </c>
      <c r="H284" s="169">
        <f>76.5+223*1.12*0.14</f>
        <v>111.46640000000001</v>
      </c>
      <c r="I284" s="87">
        <v>0</v>
      </c>
      <c r="J284" s="377">
        <f t="shared" si="37"/>
        <v>144.08915555555552</v>
      </c>
      <c r="K284" s="378"/>
      <c r="L284" s="78">
        <v>250</v>
      </c>
    </row>
    <row r="285" spans="1:12" x14ac:dyDescent="0.25">
      <c r="A285" s="88">
        <v>19</v>
      </c>
      <c r="B285" s="89" t="s">
        <v>139</v>
      </c>
      <c r="C285" s="92"/>
      <c r="D285" s="211">
        <v>180</v>
      </c>
      <c r="E285" s="214">
        <f t="shared" si="38"/>
        <v>165.6</v>
      </c>
      <c r="F285" s="216">
        <f>(187+190+230)*0.22</f>
        <v>133.54</v>
      </c>
      <c r="G285" s="66">
        <f t="shared" si="36"/>
        <v>32.06</v>
      </c>
      <c r="H285" s="217">
        <f>199.65+224*0.87*0.12</f>
        <v>223.03560000000002</v>
      </c>
      <c r="I285" s="218">
        <v>0</v>
      </c>
      <c r="J285" s="377">
        <f>E285*1/0.67-(H285+I285)</f>
        <v>24.128579104477581</v>
      </c>
      <c r="K285" s="378"/>
      <c r="L285" s="78">
        <v>250</v>
      </c>
    </row>
    <row r="286" spans="1:12" x14ac:dyDescent="0.25">
      <c r="A286" s="85">
        <v>20</v>
      </c>
      <c r="B286" s="89" t="s">
        <v>140</v>
      </c>
      <c r="C286" s="91"/>
      <c r="D286" s="91">
        <v>250</v>
      </c>
      <c r="E286" s="165">
        <f t="shared" si="38"/>
        <v>230</v>
      </c>
      <c r="F286" s="65">
        <f>(107+73+176)*0.22+20</f>
        <v>98.320000000000007</v>
      </c>
      <c r="G286" s="66">
        <f t="shared" si="36"/>
        <v>131.68</v>
      </c>
      <c r="H286" s="169">
        <f>(156.6-27)*0.8+112*1.3*0.16+27</f>
        <v>153.976</v>
      </c>
      <c r="I286" s="87">
        <v>0</v>
      </c>
      <c r="J286" s="377">
        <f t="shared" si="37"/>
        <v>101.57955555555554</v>
      </c>
      <c r="K286" s="378"/>
      <c r="L286" s="78">
        <v>250</v>
      </c>
    </row>
    <row r="287" spans="1:12" x14ac:dyDescent="0.25">
      <c r="A287" s="85">
        <v>21</v>
      </c>
      <c r="B287" s="89" t="s">
        <v>141</v>
      </c>
      <c r="C287" s="91"/>
      <c r="D287" s="91">
        <v>320</v>
      </c>
      <c r="E287" s="165">
        <f>0.92*D287</f>
        <v>294.40000000000003</v>
      </c>
      <c r="F287" s="65">
        <v>48.42</v>
      </c>
      <c r="G287" s="66">
        <f t="shared" si="36"/>
        <v>245.98000000000002</v>
      </c>
      <c r="H287" s="169">
        <f>115.9+23*2.2*0.24+1.5</f>
        <v>129.54400000000001</v>
      </c>
      <c r="I287" s="87">
        <v>0</v>
      </c>
      <c r="J287" s="377">
        <f t="shared" si="37"/>
        <v>197.56711111111113</v>
      </c>
      <c r="K287" s="378"/>
      <c r="L287" s="78">
        <v>250</v>
      </c>
    </row>
    <row r="288" spans="1:12" x14ac:dyDescent="0.25">
      <c r="A288" s="85">
        <v>22</v>
      </c>
      <c r="B288" s="89" t="s">
        <v>142</v>
      </c>
      <c r="C288" s="91"/>
      <c r="D288" s="91">
        <v>250</v>
      </c>
      <c r="E288" s="165">
        <f t="shared" si="38"/>
        <v>230</v>
      </c>
      <c r="F288" s="65">
        <v>61.41</v>
      </c>
      <c r="G288" s="66">
        <f t="shared" si="36"/>
        <v>168.59</v>
      </c>
      <c r="H288" s="169">
        <f>189.8*0.47+40*1.7*0.2+6.7+6</f>
        <v>115.50600000000001</v>
      </c>
      <c r="I288" s="87">
        <v>0</v>
      </c>
      <c r="J288" s="377">
        <f t="shared" si="37"/>
        <v>140.04955555555551</v>
      </c>
      <c r="K288" s="378"/>
      <c r="L288" s="78">
        <v>250</v>
      </c>
    </row>
    <row r="289" spans="1:12" x14ac:dyDescent="0.25">
      <c r="A289" s="85">
        <v>23</v>
      </c>
      <c r="B289" s="89" t="s">
        <v>143</v>
      </c>
      <c r="C289" s="91"/>
      <c r="D289" s="91">
        <v>250</v>
      </c>
      <c r="E289" s="165">
        <f t="shared" si="38"/>
        <v>230</v>
      </c>
      <c r="F289" s="65">
        <f>125*0.25+83*0.23+226*0.215</f>
        <v>98.93</v>
      </c>
      <c r="G289" s="66">
        <f t="shared" si="36"/>
        <v>131.07</v>
      </c>
      <c r="H289" s="169">
        <f>282.2+230*0.87*0.12</f>
        <v>306.21199999999999</v>
      </c>
      <c r="I289" s="87">
        <v>0</v>
      </c>
      <c r="J289" s="377">
        <f>E289*1/0.67-(H289+I289)</f>
        <v>37.071582089552237</v>
      </c>
      <c r="K289" s="378"/>
      <c r="L289" s="78">
        <v>250</v>
      </c>
    </row>
    <row r="290" spans="1:12" x14ac:dyDescent="0.25">
      <c r="A290" s="85">
        <v>24</v>
      </c>
      <c r="B290" s="89" t="s">
        <v>144</v>
      </c>
      <c r="C290" s="91"/>
      <c r="D290" s="91">
        <v>320</v>
      </c>
      <c r="E290" s="165">
        <f>0.92*D290</f>
        <v>294.40000000000003</v>
      </c>
      <c r="F290" s="65">
        <v>105.76</v>
      </c>
      <c r="G290" s="66">
        <f t="shared" si="36"/>
        <v>188.64000000000004</v>
      </c>
      <c r="H290" s="169">
        <f>72.48+196*1.5*0.2+10</f>
        <v>141.28</v>
      </c>
      <c r="I290" s="87">
        <v>0</v>
      </c>
      <c r="J290" s="377">
        <f t="shared" si="37"/>
        <v>185.83111111111114</v>
      </c>
      <c r="K290" s="378"/>
      <c r="L290" s="78">
        <v>250</v>
      </c>
    </row>
    <row r="291" spans="1:12" x14ac:dyDescent="0.25">
      <c r="A291" s="85">
        <v>25</v>
      </c>
      <c r="B291" s="89" t="s">
        <v>145</v>
      </c>
      <c r="C291" s="91"/>
      <c r="D291" s="91">
        <v>320</v>
      </c>
      <c r="E291" s="165">
        <f t="shared" si="38"/>
        <v>294.40000000000003</v>
      </c>
      <c r="F291" s="65">
        <f>(8+72+89+9+3+127+20+48+12+4+86+35+74+17)*0.22</f>
        <v>132.88</v>
      </c>
      <c r="G291" s="66">
        <f t="shared" si="36"/>
        <v>161.52000000000004</v>
      </c>
      <c r="H291" s="169">
        <f>395.91+200*0.87*0.12</f>
        <v>416.79</v>
      </c>
      <c r="I291" s="87">
        <v>0</v>
      </c>
      <c r="J291" s="377">
        <f>E291*1/0.67-(H291+I291)</f>
        <v>22.612985074626863</v>
      </c>
      <c r="K291" s="378"/>
      <c r="L291" s="78">
        <v>250</v>
      </c>
    </row>
    <row r="292" spans="1:12" x14ac:dyDescent="0.25">
      <c r="A292" s="85">
        <v>26</v>
      </c>
      <c r="B292" s="89" t="s">
        <v>146</v>
      </c>
      <c r="C292" s="86"/>
      <c r="D292" s="70">
        <v>400</v>
      </c>
      <c r="E292" s="165">
        <f t="shared" si="38"/>
        <v>368</v>
      </c>
      <c r="F292" s="65">
        <v>134.15</v>
      </c>
      <c r="G292" s="66">
        <f t="shared" si="36"/>
        <v>233.85</v>
      </c>
      <c r="H292" s="165">
        <f>228.11+200*0.87*0.12</f>
        <v>248.99</v>
      </c>
      <c r="I292" s="87">
        <v>0</v>
      </c>
      <c r="J292" s="377">
        <f t="shared" si="37"/>
        <v>159.89888888888885</v>
      </c>
      <c r="K292" s="378"/>
      <c r="L292" s="78">
        <v>250</v>
      </c>
    </row>
    <row r="293" spans="1:12" x14ac:dyDescent="0.25">
      <c r="A293" s="88">
        <v>27</v>
      </c>
      <c r="B293" s="89" t="s">
        <v>147</v>
      </c>
      <c r="C293" s="86"/>
      <c r="D293" s="70">
        <v>400</v>
      </c>
      <c r="E293" s="165">
        <f t="shared" si="38"/>
        <v>368</v>
      </c>
      <c r="F293" s="65">
        <v>195.31</v>
      </c>
      <c r="G293" s="66">
        <f t="shared" si="36"/>
        <v>172.69</v>
      </c>
      <c r="H293" s="165">
        <f>246.15+341*0.8*0.12</f>
        <v>278.88600000000002</v>
      </c>
      <c r="I293" s="87">
        <v>0</v>
      </c>
      <c r="J293" s="377">
        <f t="shared" si="37"/>
        <v>130.00288888888883</v>
      </c>
      <c r="K293" s="378"/>
      <c r="L293" s="78">
        <v>250</v>
      </c>
    </row>
    <row r="294" spans="1:12" x14ac:dyDescent="0.25">
      <c r="A294" s="85">
        <v>28</v>
      </c>
      <c r="B294" s="89" t="s">
        <v>148</v>
      </c>
      <c r="C294" s="86"/>
      <c r="D294" s="65">
        <v>320</v>
      </c>
      <c r="E294" s="165">
        <f>0.92*D294</f>
        <v>294.40000000000003</v>
      </c>
      <c r="F294" s="65">
        <v>87.45</v>
      </c>
      <c r="G294" s="66">
        <f t="shared" si="36"/>
        <v>206.95000000000005</v>
      </c>
      <c r="H294" s="165">
        <f>68.03+258*1.5*0.15+8*0.05</f>
        <v>126.48</v>
      </c>
      <c r="I294" s="87">
        <v>0</v>
      </c>
      <c r="J294" s="377">
        <f t="shared" si="37"/>
        <v>200.63111111111112</v>
      </c>
      <c r="K294" s="378"/>
      <c r="L294" s="78">
        <v>250</v>
      </c>
    </row>
    <row r="295" spans="1:12" x14ac:dyDescent="0.25">
      <c r="A295" s="85">
        <v>29</v>
      </c>
      <c r="B295" s="89" t="s">
        <v>149</v>
      </c>
      <c r="C295" s="86"/>
      <c r="D295" s="65">
        <v>250</v>
      </c>
      <c r="E295" s="165">
        <f t="shared" si="38"/>
        <v>230</v>
      </c>
      <c r="F295" s="65">
        <v>133.72</v>
      </c>
      <c r="G295" s="66">
        <f t="shared" si="36"/>
        <v>96.28</v>
      </c>
      <c r="H295" s="165">
        <f>177.4+215*1.4*0.12</f>
        <v>213.52</v>
      </c>
      <c r="I295" s="87">
        <v>0</v>
      </c>
      <c r="J295" s="377">
        <f t="shared" si="37"/>
        <v>42.035555555555533</v>
      </c>
      <c r="K295" s="378"/>
      <c r="L295" s="78">
        <v>250</v>
      </c>
    </row>
    <row r="296" spans="1:12" x14ac:dyDescent="0.25">
      <c r="A296" s="85">
        <v>30</v>
      </c>
      <c r="B296" s="89" t="s">
        <v>150</v>
      </c>
      <c r="C296" s="86"/>
      <c r="D296" s="65">
        <v>400</v>
      </c>
      <c r="E296" s="165">
        <f t="shared" si="38"/>
        <v>368</v>
      </c>
      <c r="F296" s="65">
        <f>180*0.22+203*0.22+185*0.22</f>
        <v>124.96000000000001</v>
      </c>
      <c r="G296" s="66">
        <f t="shared" si="36"/>
        <v>243.04</v>
      </c>
      <c r="H296" s="165">
        <f>281.9+220*0.87*0.12</f>
        <v>304.86799999999999</v>
      </c>
      <c r="I296" s="87">
        <v>0</v>
      </c>
      <c r="J296" s="379">
        <f t="shared" si="37"/>
        <v>104.02088888888886</v>
      </c>
      <c r="K296" s="380"/>
      <c r="L296" s="78">
        <v>250</v>
      </c>
    </row>
    <row r="297" spans="1:12" x14ac:dyDescent="0.25">
      <c r="A297" s="85">
        <v>31</v>
      </c>
      <c r="B297" s="89" t="s">
        <v>151</v>
      </c>
      <c r="C297" s="86"/>
      <c r="D297" s="65">
        <v>400</v>
      </c>
      <c r="E297" s="165">
        <f t="shared" si="38"/>
        <v>368</v>
      </c>
      <c r="F297" s="65">
        <v>221.89</v>
      </c>
      <c r="G297" s="66">
        <f t="shared" si="36"/>
        <v>146.11000000000001</v>
      </c>
      <c r="H297" s="165">
        <f>142.5+694*2.5*0.15</f>
        <v>402.75</v>
      </c>
      <c r="I297" s="87">
        <v>0</v>
      </c>
      <c r="J297" s="377">
        <f>E297*1/0.67-(H297+I297)</f>
        <v>146.50373134328356</v>
      </c>
      <c r="K297" s="378"/>
      <c r="L297" s="78">
        <v>250</v>
      </c>
    </row>
    <row r="298" spans="1:12" x14ac:dyDescent="0.25">
      <c r="A298" s="85">
        <v>32</v>
      </c>
      <c r="B298" s="89" t="s">
        <v>152</v>
      </c>
      <c r="C298" s="86"/>
      <c r="D298" s="65">
        <v>400</v>
      </c>
      <c r="E298" s="165">
        <f t="shared" si="38"/>
        <v>368</v>
      </c>
      <c r="F298" s="65">
        <v>141.36000000000001</v>
      </c>
      <c r="G298" s="66">
        <f t="shared" si="36"/>
        <v>226.64</v>
      </c>
      <c r="H298" s="165">
        <f>253.75+188*1.2*0.12</f>
        <v>280.822</v>
      </c>
      <c r="I298" s="87">
        <v>0</v>
      </c>
      <c r="J298" s="377">
        <f t="shared" si="37"/>
        <v>128.06688888888885</v>
      </c>
      <c r="K298" s="378"/>
      <c r="L298" s="78">
        <v>250</v>
      </c>
    </row>
    <row r="299" spans="1:12" x14ac:dyDescent="0.25">
      <c r="A299" s="85">
        <v>33</v>
      </c>
      <c r="B299" s="89" t="s">
        <v>153</v>
      </c>
      <c r="C299" s="86"/>
      <c r="D299" s="65">
        <v>320</v>
      </c>
      <c r="E299" s="165">
        <f t="shared" si="38"/>
        <v>294.40000000000003</v>
      </c>
      <c r="F299" s="65">
        <v>159.87</v>
      </c>
      <c r="G299" s="66">
        <f t="shared" si="36"/>
        <v>134.53000000000003</v>
      </c>
      <c r="H299" s="165">
        <f>80.8+297*1.5*0.15</f>
        <v>147.625</v>
      </c>
      <c r="I299" s="87">
        <v>0</v>
      </c>
      <c r="J299" s="377">
        <f t="shared" si="37"/>
        <v>179.48611111111114</v>
      </c>
      <c r="K299" s="378"/>
      <c r="L299" s="78">
        <v>250</v>
      </c>
    </row>
    <row r="300" spans="1:12" x14ac:dyDescent="0.25">
      <c r="A300" s="85">
        <v>34</v>
      </c>
      <c r="B300" s="89" t="s">
        <v>154</v>
      </c>
      <c r="C300" s="86"/>
      <c r="D300" s="65">
        <v>320</v>
      </c>
      <c r="E300" s="165">
        <f t="shared" si="38"/>
        <v>294.40000000000003</v>
      </c>
      <c r="F300" s="65">
        <v>165.47</v>
      </c>
      <c r="G300" s="66">
        <f t="shared" si="36"/>
        <v>128.93000000000004</v>
      </c>
      <c r="H300" s="165">
        <f>24.7+395*2.5*0.23</f>
        <v>251.82499999999999</v>
      </c>
      <c r="I300" s="87">
        <v>0</v>
      </c>
      <c r="J300" s="377">
        <f t="shared" si="37"/>
        <v>75.286111111111154</v>
      </c>
      <c r="K300" s="378"/>
      <c r="L300" s="78">
        <v>250</v>
      </c>
    </row>
    <row r="301" spans="1:12" x14ac:dyDescent="0.25">
      <c r="A301" s="88">
        <v>35</v>
      </c>
      <c r="B301" s="89" t="s">
        <v>155</v>
      </c>
      <c r="C301" s="86"/>
      <c r="D301" s="92" t="s">
        <v>51</v>
      </c>
      <c r="E301" s="94">
        <f>0.92*400*1.4</f>
        <v>515.19999999999993</v>
      </c>
      <c r="F301" s="65">
        <v>257.33999999999997</v>
      </c>
      <c r="G301" s="66">
        <f t="shared" si="36"/>
        <v>257.85999999999996</v>
      </c>
      <c r="H301" s="149">
        <f>141.4+170*2.7*0.4</f>
        <v>325</v>
      </c>
      <c r="I301" s="87">
        <v>0</v>
      </c>
      <c r="J301" s="377">
        <f t="shared" si="37"/>
        <v>247.44444444444434</v>
      </c>
      <c r="K301" s="378"/>
      <c r="L301" s="78">
        <v>250</v>
      </c>
    </row>
    <row r="302" spans="1:12" x14ac:dyDescent="0.25">
      <c r="A302" s="85">
        <v>36</v>
      </c>
      <c r="B302" s="89" t="s">
        <v>156</v>
      </c>
      <c r="C302" s="86"/>
      <c r="D302" s="65">
        <v>400</v>
      </c>
      <c r="E302" s="165">
        <f t="shared" si="38"/>
        <v>368</v>
      </c>
      <c r="F302" s="65">
        <v>114.73</v>
      </c>
      <c r="G302" s="66">
        <f t="shared" si="36"/>
        <v>253.26999999999998</v>
      </c>
      <c r="H302" s="165">
        <f>135.1+242*0.85*0.12+6+5.6+4.5</f>
        <v>175.88399999999999</v>
      </c>
      <c r="I302" s="87">
        <v>0</v>
      </c>
      <c r="J302" s="377">
        <f t="shared" si="37"/>
        <v>233.00488888888887</v>
      </c>
      <c r="K302" s="378"/>
      <c r="L302" s="78">
        <v>250</v>
      </c>
    </row>
    <row r="303" spans="1:12" x14ac:dyDescent="0.25">
      <c r="A303" s="85">
        <v>37</v>
      </c>
      <c r="B303" s="89" t="s">
        <v>157</v>
      </c>
      <c r="C303" s="86"/>
      <c r="D303" s="65">
        <v>250</v>
      </c>
      <c r="E303" s="165">
        <f t="shared" si="38"/>
        <v>230</v>
      </c>
      <c r="F303" s="65">
        <v>104.52</v>
      </c>
      <c r="G303" s="66">
        <f t="shared" si="36"/>
        <v>125.48</v>
      </c>
      <c r="H303" s="149">
        <v>139.4</v>
      </c>
      <c r="I303" s="87">
        <v>0</v>
      </c>
      <c r="J303" s="377">
        <f t="shared" si="37"/>
        <v>116.15555555555554</v>
      </c>
      <c r="K303" s="378"/>
      <c r="L303" s="78">
        <v>250</v>
      </c>
    </row>
    <row r="304" spans="1:12" x14ac:dyDescent="0.25">
      <c r="A304" s="85">
        <v>38</v>
      </c>
      <c r="B304" s="89" t="s">
        <v>158</v>
      </c>
      <c r="C304" s="86"/>
      <c r="D304" s="65">
        <v>400</v>
      </c>
      <c r="E304" s="165">
        <f t="shared" si="38"/>
        <v>368</v>
      </c>
      <c r="F304" s="42">
        <v>128.94</v>
      </c>
      <c r="G304" s="66">
        <f t="shared" si="36"/>
        <v>239.06</v>
      </c>
      <c r="H304" s="165">
        <v>182.22</v>
      </c>
      <c r="I304" s="87">
        <v>0</v>
      </c>
      <c r="J304" s="377">
        <f t="shared" si="37"/>
        <v>226.66888888888886</v>
      </c>
      <c r="K304" s="378"/>
      <c r="L304" s="78">
        <v>250</v>
      </c>
    </row>
    <row r="305" spans="1:12" x14ac:dyDescent="0.25">
      <c r="A305" s="85">
        <v>39</v>
      </c>
      <c r="B305" s="89" t="s">
        <v>159</v>
      </c>
      <c r="C305" s="86"/>
      <c r="D305" s="70">
        <v>250</v>
      </c>
      <c r="E305" s="165">
        <f>D305*0.92</f>
        <v>230</v>
      </c>
      <c r="F305" s="65">
        <v>59.51</v>
      </c>
      <c r="G305" s="66">
        <f t="shared" si="36"/>
        <v>170.49</v>
      </c>
      <c r="H305" s="165">
        <f>94.2+60*1.48*0.18</f>
        <v>110.184</v>
      </c>
      <c r="I305" s="87">
        <v>0</v>
      </c>
      <c r="J305" s="377">
        <f t="shared" si="37"/>
        <v>145.37155555555555</v>
      </c>
      <c r="K305" s="378"/>
      <c r="L305" s="78">
        <v>250</v>
      </c>
    </row>
    <row r="306" spans="1:12" x14ac:dyDescent="0.25">
      <c r="A306" s="85">
        <v>40</v>
      </c>
      <c r="B306" s="93" t="s">
        <v>160</v>
      </c>
      <c r="C306" s="86"/>
      <c r="D306" s="65" t="s">
        <v>161</v>
      </c>
      <c r="E306" s="165">
        <f>0.92*180*1.4</f>
        <v>231.83999999999997</v>
      </c>
      <c r="F306" s="65">
        <v>127.98</v>
      </c>
      <c r="G306" s="66">
        <f t="shared" si="36"/>
        <v>103.85999999999997</v>
      </c>
      <c r="H306" s="149">
        <v>350</v>
      </c>
      <c r="I306" s="87">
        <v>0</v>
      </c>
      <c r="J306" s="383">
        <v>0</v>
      </c>
      <c r="K306" s="384"/>
      <c r="L306" s="77" t="s">
        <v>19</v>
      </c>
    </row>
    <row r="307" spans="1:12" x14ac:dyDescent="0.25">
      <c r="A307" s="85">
        <v>41</v>
      </c>
      <c r="B307" s="93" t="s">
        <v>162</v>
      </c>
      <c r="C307" s="86"/>
      <c r="D307" s="65">
        <v>250</v>
      </c>
      <c r="E307" s="165">
        <f t="shared" ref="E307:E312" si="39">0.92*D307</f>
        <v>230</v>
      </c>
      <c r="F307" s="65">
        <f>45*0.22+63*0.22+39*0.22</f>
        <v>32.339999999999996</v>
      </c>
      <c r="G307" s="66">
        <f t="shared" si="36"/>
        <v>197.66</v>
      </c>
      <c r="H307" s="149">
        <f>78+10+2</f>
        <v>90</v>
      </c>
      <c r="I307" s="87">
        <v>0</v>
      </c>
      <c r="J307" s="377">
        <f t="shared" si="37"/>
        <v>165.55555555555554</v>
      </c>
      <c r="K307" s="378"/>
      <c r="L307" s="78">
        <v>250</v>
      </c>
    </row>
    <row r="308" spans="1:12" x14ac:dyDescent="0.25">
      <c r="A308" s="85">
        <v>42</v>
      </c>
      <c r="B308" s="93" t="s">
        <v>163</v>
      </c>
      <c r="C308" s="86"/>
      <c r="D308" s="65">
        <v>160</v>
      </c>
      <c r="E308" s="165">
        <f t="shared" si="39"/>
        <v>147.20000000000002</v>
      </c>
      <c r="F308" s="65">
        <v>42.33</v>
      </c>
      <c r="G308" s="66">
        <f t="shared" si="36"/>
        <v>104.87000000000002</v>
      </c>
      <c r="H308" s="165">
        <f>75.1+98*1*0.14+11.6</f>
        <v>100.41999999999999</v>
      </c>
      <c r="I308" s="87">
        <v>0</v>
      </c>
      <c r="J308" s="377">
        <f t="shared" si="37"/>
        <v>63.135555555555584</v>
      </c>
      <c r="K308" s="378"/>
      <c r="L308" s="78">
        <v>250</v>
      </c>
    </row>
    <row r="309" spans="1:12" x14ac:dyDescent="0.25">
      <c r="A309" s="85">
        <v>43</v>
      </c>
      <c r="B309" s="93" t="s">
        <v>164</v>
      </c>
      <c r="C309" s="91"/>
      <c r="D309" s="91">
        <v>630</v>
      </c>
      <c r="E309" s="165">
        <f t="shared" si="39"/>
        <v>579.6</v>
      </c>
      <c r="F309" s="65">
        <v>268.20999999999998</v>
      </c>
      <c r="G309" s="66">
        <f t="shared" si="36"/>
        <v>311.39000000000004</v>
      </c>
      <c r="H309" s="169">
        <f>21.1+777*2*0.2</f>
        <v>331.90000000000003</v>
      </c>
      <c r="I309" s="87">
        <v>0</v>
      </c>
      <c r="J309" s="377">
        <f t="shared" si="37"/>
        <v>312.09999999999997</v>
      </c>
      <c r="K309" s="378"/>
      <c r="L309" s="78">
        <v>250</v>
      </c>
    </row>
    <row r="310" spans="1:12" x14ac:dyDescent="0.25">
      <c r="A310" s="85">
        <v>44</v>
      </c>
      <c r="B310" s="93" t="s">
        <v>165</v>
      </c>
      <c r="C310" s="91"/>
      <c r="D310" s="91">
        <v>180</v>
      </c>
      <c r="E310" s="165">
        <f t="shared" si="39"/>
        <v>165.6</v>
      </c>
      <c r="F310" s="42">
        <v>54.86</v>
      </c>
      <c r="G310" s="66">
        <f t="shared" si="36"/>
        <v>110.74</v>
      </c>
      <c r="H310" s="169">
        <v>143.41999999999999</v>
      </c>
      <c r="I310" s="87">
        <v>0</v>
      </c>
      <c r="J310" s="377">
        <f t="shared" si="37"/>
        <v>40.580000000000013</v>
      </c>
      <c r="K310" s="378"/>
      <c r="L310" s="78">
        <v>250</v>
      </c>
    </row>
    <row r="311" spans="1:12" x14ac:dyDescent="0.25">
      <c r="A311" s="88">
        <v>45</v>
      </c>
      <c r="B311" s="93" t="s">
        <v>166</v>
      </c>
      <c r="C311" s="91"/>
      <c r="D311" s="91">
        <v>250</v>
      </c>
      <c r="E311" s="165">
        <f t="shared" si="39"/>
        <v>230</v>
      </c>
      <c r="F311" s="65">
        <v>61.84</v>
      </c>
      <c r="G311" s="66">
        <f t="shared" si="36"/>
        <v>168.16</v>
      </c>
      <c r="H311" s="169">
        <f>112.1+145*1.04*0.1+2.7</f>
        <v>129.88</v>
      </c>
      <c r="I311" s="87">
        <v>3.1</v>
      </c>
      <c r="J311" s="377">
        <f t="shared" si="37"/>
        <v>122.57555555555555</v>
      </c>
      <c r="K311" s="378"/>
      <c r="L311" s="78">
        <v>250</v>
      </c>
    </row>
    <row r="312" spans="1:12" x14ac:dyDescent="0.25">
      <c r="A312" s="85">
        <v>46</v>
      </c>
      <c r="B312" s="93" t="s">
        <v>167</v>
      </c>
      <c r="C312" s="91"/>
      <c r="D312" s="91">
        <v>400</v>
      </c>
      <c r="E312" s="165">
        <f t="shared" si="39"/>
        <v>368</v>
      </c>
      <c r="F312" s="65">
        <v>191.44</v>
      </c>
      <c r="G312" s="66">
        <f t="shared" si="36"/>
        <v>176.56</v>
      </c>
      <c r="H312" s="149">
        <f>224.02+371*1.5*0.12</f>
        <v>290.8</v>
      </c>
      <c r="I312" s="87">
        <v>0</v>
      </c>
      <c r="J312" s="379">
        <f t="shared" si="37"/>
        <v>118.08888888888885</v>
      </c>
      <c r="K312" s="380"/>
      <c r="L312" s="78">
        <v>250</v>
      </c>
    </row>
    <row r="313" spans="1:12" x14ac:dyDescent="0.25">
      <c r="A313" s="85">
        <v>47</v>
      </c>
      <c r="B313" s="93" t="s">
        <v>168</v>
      </c>
      <c r="C313" s="91"/>
      <c r="D313" s="91" t="s">
        <v>51</v>
      </c>
      <c r="E313" s="94">
        <f>0.92*400*1.4</f>
        <v>515.19999999999993</v>
      </c>
      <c r="F313" s="65">
        <v>238.63</v>
      </c>
      <c r="G313" s="66">
        <f t="shared" si="36"/>
        <v>276.56999999999994</v>
      </c>
      <c r="H313" s="169">
        <f>625.5+12*2*0.4+20.5</f>
        <v>655.6</v>
      </c>
      <c r="I313" s="87">
        <v>0</v>
      </c>
      <c r="J313" s="379">
        <f>E313*1/0.67-(H313+I313)</f>
        <v>113.3552238805969</v>
      </c>
      <c r="K313" s="380"/>
      <c r="L313" s="78">
        <v>250</v>
      </c>
    </row>
    <row r="314" spans="1:12" x14ac:dyDescent="0.25">
      <c r="A314" s="85">
        <v>48</v>
      </c>
      <c r="B314" s="93" t="s">
        <v>169</v>
      </c>
      <c r="C314" s="91"/>
      <c r="D314" s="91">
        <v>320</v>
      </c>
      <c r="E314" s="94">
        <f>0.92*D314</f>
        <v>294.40000000000003</v>
      </c>
      <c r="F314" s="65">
        <v>124.34</v>
      </c>
      <c r="G314" s="66">
        <f t="shared" si="36"/>
        <v>170.06000000000003</v>
      </c>
      <c r="H314" s="169">
        <f>212.78*0.7+104*1.5*0.14+5+6</f>
        <v>181.786</v>
      </c>
      <c r="I314" s="87">
        <v>0</v>
      </c>
      <c r="J314" s="379">
        <f t="shared" si="37"/>
        <v>145.32511111111114</v>
      </c>
      <c r="K314" s="380"/>
      <c r="L314" s="78">
        <v>250</v>
      </c>
    </row>
    <row r="315" spans="1:12" x14ac:dyDescent="0.25">
      <c r="A315" s="85">
        <v>49</v>
      </c>
      <c r="B315" s="93" t="s">
        <v>170</v>
      </c>
      <c r="C315" s="91"/>
      <c r="D315" s="91" t="s">
        <v>74</v>
      </c>
      <c r="E315" s="94">
        <f>0.92*250*1.4</f>
        <v>322</v>
      </c>
      <c r="F315" s="65">
        <v>247.68</v>
      </c>
      <c r="G315" s="66">
        <f t="shared" si="36"/>
        <v>74.319999999999993</v>
      </c>
      <c r="H315" s="169">
        <f>131.6+481*2*0.15+13</f>
        <v>288.89999999999998</v>
      </c>
      <c r="I315" s="87">
        <v>0</v>
      </c>
      <c r="J315" s="379">
        <f t="shared" si="37"/>
        <v>68.877777777777794</v>
      </c>
      <c r="K315" s="380"/>
      <c r="L315" s="78">
        <v>250</v>
      </c>
    </row>
    <row r="316" spans="1:12" x14ac:dyDescent="0.25">
      <c r="A316" s="88">
        <v>50</v>
      </c>
      <c r="B316" s="93" t="s">
        <v>171</v>
      </c>
      <c r="C316" s="86"/>
      <c r="D316" s="65">
        <v>250</v>
      </c>
      <c r="E316" s="94">
        <f>0.92*D316</f>
        <v>230</v>
      </c>
      <c r="F316" s="65">
        <v>71.39</v>
      </c>
      <c r="G316" s="66">
        <f t="shared" si="36"/>
        <v>158.61000000000001</v>
      </c>
      <c r="H316" s="165">
        <f>(122.3-48.9)*0.7+76*1.35*0.16+48.9</f>
        <v>116.696</v>
      </c>
      <c r="I316" s="87">
        <v>0</v>
      </c>
      <c r="J316" s="379">
        <f t="shared" si="37"/>
        <v>138.85955555555554</v>
      </c>
      <c r="K316" s="380"/>
      <c r="L316" s="78">
        <v>250</v>
      </c>
    </row>
    <row r="317" spans="1:12" x14ac:dyDescent="0.25">
      <c r="A317" s="85">
        <v>51</v>
      </c>
      <c r="B317" s="93" t="s">
        <v>172</v>
      </c>
      <c r="C317" s="91"/>
      <c r="D317" s="91">
        <v>160</v>
      </c>
      <c r="E317" s="94">
        <f>0.92*D317</f>
        <v>147.20000000000002</v>
      </c>
      <c r="F317" s="65">
        <v>149.44</v>
      </c>
      <c r="G317" s="66">
        <f t="shared" si="36"/>
        <v>-2.2399999999999807</v>
      </c>
      <c r="H317" s="169">
        <v>135.15</v>
      </c>
      <c r="I317" s="87">
        <v>5.5</v>
      </c>
      <c r="J317" s="379">
        <f>E317*1/0.67-(H317+I317)</f>
        <v>79.051492537313436</v>
      </c>
      <c r="K317" s="380"/>
      <c r="L317" s="78">
        <v>250</v>
      </c>
    </row>
    <row r="318" spans="1:12" x14ac:dyDescent="0.25">
      <c r="A318" s="85">
        <v>52</v>
      </c>
      <c r="B318" s="93" t="s">
        <v>173</v>
      </c>
      <c r="C318" s="91"/>
      <c r="D318" s="91" t="s">
        <v>51</v>
      </c>
      <c r="E318" s="94">
        <f>0.92*400*1.4</f>
        <v>515.19999999999993</v>
      </c>
      <c r="F318" s="42">
        <v>205.48</v>
      </c>
      <c r="G318" s="66">
        <f t="shared" si="36"/>
        <v>309.71999999999991</v>
      </c>
      <c r="H318" s="169">
        <f>317.84+4.5</f>
        <v>322.33999999999997</v>
      </c>
      <c r="I318" s="87">
        <v>0</v>
      </c>
      <c r="J318" s="377">
        <f t="shared" si="37"/>
        <v>250.10444444444437</v>
      </c>
      <c r="K318" s="378"/>
      <c r="L318" s="78">
        <v>250</v>
      </c>
    </row>
    <row r="319" spans="1:12" x14ac:dyDescent="0.25">
      <c r="A319" s="85">
        <v>53</v>
      </c>
      <c r="B319" s="93" t="s">
        <v>174</v>
      </c>
      <c r="C319" s="91"/>
      <c r="D319" s="91" t="s">
        <v>51</v>
      </c>
      <c r="E319" s="94">
        <f>0.92*400*1.4</f>
        <v>515.19999999999993</v>
      </c>
      <c r="F319" s="65">
        <v>215.83</v>
      </c>
      <c r="G319" s="66">
        <f t="shared" si="36"/>
        <v>299.36999999999989</v>
      </c>
      <c r="H319" s="169">
        <f>218.35+400*0.74-0.11</f>
        <v>514.24</v>
      </c>
      <c r="I319" s="87">
        <v>0</v>
      </c>
      <c r="J319" s="377">
        <f t="shared" si="37"/>
        <v>58.204444444444334</v>
      </c>
      <c r="K319" s="378"/>
      <c r="L319" s="78">
        <v>250</v>
      </c>
    </row>
    <row r="320" spans="1:12" x14ac:dyDescent="0.25">
      <c r="A320" s="85">
        <v>54</v>
      </c>
      <c r="B320" s="93" t="s">
        <v>175</v>
      </c>
      <c r="C320" s="91"/>
      <c r="D320" s="91">
        <v>320</v>
      </c>
      <c r="E320" s="94">
        <f>0.92*D320</f>
        <v>294.40000000000003</v>
      </c>
      <c r="F320" s="65">
        <v>184.52</v>
      </c>
      <c r="G320" s="66">
        <f t="shared" si="36"/>
        <v>109.88000000000002</v>
      </c>
      <c r="H320" s="169">
        <f>183.46+404*1.5*0.11</f>
        <v>250.12</v>
      </c>
      <c r="I320" s="87">
        <v>0</v>
      </c>
      <c r="J320" s="377">
        <f t="shared" si="37"/>
        <v>76.991111111111138</v>
      </c>
      <c r="K320" s="378"/>
      <c r="L320" s="78">
        <v>250</v>
      </c>
    </row>
    <row r="321" spans="1:12" x14ac:dyDescent="0.25">
      <c r="A321" s="88">
        <v>55</v>
      </c>
      <c r="B321" s="93" t="s">
        <v>176</v>
      </c>
      <c r="C321" s="91"/>
      <c r="D321" s="91">
        <v>400</v>
      </c>
      <c r="E321" s="94">
        <f t="shared" ref="E321:E329" si="40">0.92*D321</f>
        <v>368</v>
      </c>
      <c r="F321" s="42">
        <v>137.24</v>
      </c>
      <c r="G321" s="66">
        <f t="shared" si="36"/>
        <v>230.76</v>
      </c>
      <c r="H321" s="169">
        <v>881.13</v>
      </c>
      <c r="I321" s="87">
        <v>0</v>
      </c>
      <c r="J321" s="383">
        <v>0</v>
      </c>
      <c r="K321" s="384"/>
      <c r="L321" s="77" t="s">
        <v>19</v>
      </c>
    </row>
    <row r="322" spans="1:12" x14ac:dyDescent="0.25">
      <c r="A322" s="85">
        <v>56</v>
      </c>
      <c r="B322" s="93" t="s">
        <v>177</v>
      </c>
      <c r="C322" s="91"/>
      <c r="D322" s="91">
        <v>320</v>
      </c>
      <c r="E322" s="94">
        <f t="shared" si="40"/>
        <v>294.40000000000003</v>
      </c>
      <c r="F322" s="65">
        <v>147.18</v>
      </c>
      <c r="G322" s="66">
        <f t="shared" si="36"/>
        <v>147.22000000000003</v>
      </c>
      <c r="H322" s="169">
        <f>300.67+92*1*0.14</f>
        <v>313.55</v>
      </c>
      <c r="I322" s="87">
        <v>0</v>
      </c>
      <c r="J322" s="379">
        <f>E322*1/0.67-(H322+I322)</f>
        <v>125.85298507462687</v>
      </c>
      <c r="K322" s="380"/>
      <c r="L322" s="78">
        <v>250</v>
      </c>
    </row>
    <row r="323" spans="1:12" x14ac:dyDescent="0.25">
      <c r="A323" s="85">
        <v>57</v>
      </c>
      <c r="B323" s="93" t="s">
        <v>178</v>
      </c>
      <c r="C323" s="86"/>
      <c r="D323" s="65">
        <v>400</v>
      </c>
      <c r="E323" s="94">
        <f t="shared" si="40"/>
        <v>368</v>
      </c>
      <c r="F323" s="65">
        <f>(180+170+209)*0.22</f>
        <v>122.98</v>
      </c>
      <c r="G323" s="66">
        <f t="shared" si="36"/>
        <v>245.01999999999998</v>
      </c>
      <c r="H323" s="165">
        <f>88.67+211*1.5*0.2</f>
        <v>151.97</v>
      </c>
      <c r="I323" s="87">
        <v>0</v>
      </c>
      <c r="J323" s="379">
        <f t="shared" si="37"/>
        <v>256.91888888888889</v>
      </c>
      <c r="K323" s="380"/>
      <c r="L323" s="78">
        <v>250</v>
      </c>
    </row>
    <row r="324" spans="1:12" x14ac:dyDescent="0.25">
      <c r="A324" s="85">
        <v>58</v>
      </c>
      <c r="B324" s="93" t="s">
        <v>179</v>
      </c>
      <c r="C324" s="91"/>
      <c r="D324" s="91">
        <v>400</v>
      </c>
      <c r="E324" s="94">
        <f t="shared" si="40"/>
        <v>368</v>
      </c>
      <c r="F324" s="65">
        <v>297.64999999999998</v>
      </c>
      <c r="G324" s="66">
        <f t="shared" si="36"/>
        <v>70.350000000000023</v>
      </c>
      <c r="H324" s="169">
        <f>648.36-84</f>
        <v>564.36</v>
      </c>
      <c r="I324" s="87">
        <v>3.5</v>
      </c>
      <c r="J324" s="379">
        <f>E324*1/0.53-(H324+I324)</f>
        <v>126.47962264150942</v>
      </c>
      <c r="K324" s="380"/>
      <c r="L324" s="78">
        <v>250</v>
      </c>
    </row>
    <row r="325" spans="1:12" x14ac:dyDescent="0.25">
      <c r="A325" s="85">
        <v>59</v>
      </c>
      <c r="B325" s="93" t="s">
        <v>180</v>
      </c>
      <c r="C325" s="91"/>
      <c r="D325" s="91">
        <v>180</v>
      </c>
      <c r="E325" s="94">
        <f t="shared" si="40"/>
        <v>165.6</v>
      </c>
      <c r="F325" s="65">
        <v>41.83</v>
      </c>
      <c r="G325" s="66">
        <f t="shared" si="36"/>
        <v>123.77</v>
      </c>
      <c r="H325" s="169">
        <f>28.6*0.8+70*1.35+20</f>
        <v>137.38</v>
      </c>
      <c r="I325" s="87">
        <v>0</v>
      </c>
      <c r="J325" s="379">
        <f t="shared" si="37"/>
        <v>46.620000000000005</v>
      </c>
      <c r="K325" s="380"/>
      <c r="L325" s="78">
        <v>250</v>
      </c>
    </row>
    <row r="326" spans="1:12" x14ac:dyDescent="0.25">
      <c r="A326" s="88">
        <v>60</v>
      </c>
      <c r="B326" s="93" t="s">
        <v>181</v>
      </c>
      <c r="C326" s="91"/>
      <c r="D326" s="212" t="s">
        <v>107</v>
      </c>
      <c r="E326" s="215">
        <f>0.92*160*1.4</f>
        <v>206.08</v>
      </c>
      <c r="F326" s="65">
        <f>(39+42+50+47+43+100+40)*0.22+(88+78+52+63+30+36+52)*0.22+(38+39+75+70+69+47)*0.22</f>
        <v>241.56</v>
      </c>
      <c r="G326" s="66">
        <f t="shared" si="36"/>
        <v>-35.47999999999999</v>
      </c>
      <c r="H326" s="169">
        <f>82.8+427*2*0.18</f>
        <v>236.51999999999998</v>
      </c>
      <c r="I326" s="87">
        <v>5.2</v>
      </c>
      <c r="J326" s="377">
        <f>E326*1/0.67-(H326+I326)</f>
        <v>65.862089552238842</v>
      </c>
      <c r="K326" s="378"/>
      <c r="L326" s="78">
        <v>250</v>
      </c>
    </row>
    <row r="327" spans="1:12" x14ac:dyDescent="0.25">
      <c r="A327" s="85">
        <v>61</v>
      </c>
      <c r="B327" s="93" t="s">
        <v>182</v>
      </c>
      <c r="C327" s="91"/>
      <c r="D327" s="91">
        <v>250</v>
      </c>
      <c r="E327" s="94">
        <f t="shared" si="40"/>
        <v>230</v>
      </c>
      <c r="F327" s="65">
        <v>47.63</v>
      </c>
      <c r="G327" s="66">
        <f t="shared" si="36"/>
        <v>182.37</v>
      </c>
      <c r="H327" s="169">
        <f>0.7+42*2.82*0.44</f>
        <v>52.813600000000001</v>
      </c>
      <c r="I327" s="87">
        <v>0</v>
      </c>
      <c r="J327" s="377">
        <f t="shared" si="37"/>
        <v>202.74195555555553</v>
      </c>
      <c r="K327" s="378"/>
      <c r="L327" s="78">
        <v>250</v>
      </c>
    </row>
    <row r="328" spans="1:12" x14ac:dyDescent="0.25">
      <c r="A328" s="85">
        <v>62</v>
      </c>
      <c r="B328" s="93" t="s">
        <v>183</v>
      </c>
      <c r="C328" s="91"/>
      <c r="D328" s="91">
        <v>250</v>
      </c>
      <c r="E328" s="94">
        <f t="shared" si="40"/>
        <v>230</v>
      </c>
      <c r="F328" s="65">
        <v>31.27</v>
      </c>
      <c r="G328" s="66">
        <f t="shared" si="36"/>
        <v>198.73</v>
      </c>
      <c r="H328" s="169">
        <f>42.6+18*2.48*0.27</f>
        <v>54.652799999999999</v>
      </c>
      <c r="I328" s="87">
        <v>0</v>
      </c>
      <c r="J328" s="377">
        <f t="shared" si="37"/>
        <v>200.90275555555553</v>
      </c>
      <c r="K328" s="378"/>
      <c r="L328" s="78">
        <v>250</v>
      </c>
    </row>
    <row r="329" spans="1:12" x14ac:dyDescent="0.25">
      <c r="A329" s="85">
        <v>63</v>
      </c>
      <c r="B329" s="93" t="s">
        <v>184</v>
      </c>
      <c r="C329" s="91"/>
      <c r="D329" s="91">
        <v>320</v>
      </c>
      <c r="E329" s="94">
        <f t="shared" si="40"/>
        <v>294.40000000000003</v>
      </c>
      <c r="F329" s="65">
        <v>125.14</v>
      </c>
      <c r="G329" s="66">
        <f t="shared" si="36"/>
        <v>169.26000000000005</v>
      </c>
      <c r="H329" s="169">
        <f>109.58+396*0.74*0.11</f>
        <v>141.81440000000001</v>
      </c>
      <c r="I329" s="87">
        <v>0</v>
      </c>
      <c r="J329" s="377">
        <f t="shared" si="37"/>
        <v>185.29671111111114</v>
      </c>
      <c r="K329" s="378"/>
      <c r="L329" s="78">
        <v>250</v>
      </c>
    </row>
    <row r="330" spans="1:12" x14ac:dyDescent="0.25">
      <c r="A330" s="85">
        <v>64</v>
      </c>
      <c r="B330" s="93" t="s">
        <v>185</v>
      </c>
      <c r="C330" s="86"/>
      <c r="D330" s="92" t="s">
        <v>108</v>
      </c>
      <c r="E330" s="94">
        <f>0.92*320*1.4</f>
        <v>412.16</v>
      </c>
      <c r="F330" s="65">
        <v>119.7</v>
      </c>
      <c r="G330" s="66">
        <f t="shared" si="36"/>
        <v>292.46000000000004</v>
      </c>
      <c r="H330" s="165">
        <v>456.4</v>
      </c>
      <c r="I330" s="87">
        <v>0</v>
      </c>
      <c r="J330" s="377">
        <f>E330*1/0.67-(H330+I330)</f>
        <v>158.76417910447765</v>
      </c>
      <c r="K330" s="378"/>
      <c r="L330" s="78">
        <v>250</v>
      </c>
    </row>
    <row r="331" spans="1:12" x14ac:dyDescent="0.25">
      <c r="A331" s="88">
        <v>65</v>
      </c>
      <c r="B331" s="93" t="s">
        <v>186</v>
      </c>
      <c r="C331" s="91"/>
      <c r="D331" s="91">
        <v>180</v>
      </c>
      <c r="E331" s="94">
        <f>0.92*D331</f>
        <v>165.6</v>
      </c>
      <c r="F331" s="65">
        <v>126.25</v>
      </c>
      <c r="G331" s="66">
        <f t="shared" si="36"/>
        <v>39.349999999999994</v>
      </c>
      <c r="H331" s="169">
        <v>102.08</v>
      </c>
      <c r="I331" s="87">
        <v>0</v>
      </c>
      <c r="J331" s="379">
        <f t="shared" si="37"/>
        <v>81.92</v>
      </c>
      <c r="K331" s="380"/>
      <c r="L331" s="78">
        <v>250</v>
      </c>
    </row>
    <row r="332" spans="1:12" x14ac:dyDescent="0.25">
      <c r="A332" s="85">
        <v>66</v>
      </c>
      <c r="B332" s="93" t="s">
        <v>187</v>
      </c>
      <c r="C332" s="91"/>
      <c r="D332" s="91" t="s">
        <v>161</v>
      </c>
      <c r="E332" s="94">
        <f>0.92*180*1.4</f>
        <v>231.83999999999997</v>
      </c>
      <c r="F332" s="65">
        <f>(227+220+250+110+76+150)*0.22</f>
        <v>227.26</v>
      </c>
      <c r="G332" s="66">
        <f t="shared" ref="G332:G393" si="41">E332-F332</f>
        <v>4.5799999999999841</v>
      </c>
      <c r="H332" s="169">
        <f>162.3+568*1.2*0.12</f>
        <v>244.09200000000001</v>
      </c>
      <c r="I332" s="87">
        <v>0</v>
      </c>
      <c r="J332" s="377">
        <f>E332*1/0.67-(H332+I332)</f>
        <v>101.93785074626859</v>
      </c>
      <c r="K332" s="378"/>
      <c r="L332" s="78">
        <v>250</v>
      </c>
    </row>
    <row r="333" spans="1:12" x14ac:dyDescent="0.25">
      <c r="A333" s="85">
        <v>67</v>
      </c>
      <c r="B333" s="93" t="s">
        <v>188</v>
      </c>
      <c r="C333" s="91"/>
      <c r="D333" s="91">
        <v>180</v>
      </c>
      <c r="E333" s="94">
        <f>0.92*D333</f>
        <v>165.6</v>
      </c>
      <c r="F333" s="65">
        <v>107.5</v>
      </c>
      <c r="G333" s="66">
        <f t="shared" si="41"/>
        <v>58.099999999999994</v>
      </c>
      <c r="H333" s="169">
        <f>150+40*1.31*0.18</f>
        <v>159.43199999999999</v>
      </c>
      <c r="I333" s="87">
        <v>0</v>
      </c>
      <c r="J333" s="377">
        <f>E333*1/0.67-(H333+I333)</f>
        <v>87.732179104477609</v>
      </c>
      <c r="K333" s="378"/>
      <c r="L333" s="78">
        <v>250</v>
      </c>
    </row>
    <row r="334" spans="1:12" x14ac:dyDescent="0.25">
      <c r="A334" s="85">
        <v>68</v>
      </c>
      <c r="B334" s="93" t="s">
        <v>189</v>
      </c>
      <c r="C334" s="91"/>
      <c r="D334" s="91" t="s">
        <v>108</v>
      </c>
      <c r="E334" s="94">
        <f>0.92*320*1.4</f>
        <v>412.16</v>
      </c>
      <c r="F334" s="65">
        <v>218.72</v>
      </c>
      <c r="G334" s="66">
        <f t="shared" si="41"/>
        <v>193.44000000000003</v>
      </c>
      <c r="H334" s="169">
        <f>95.58+714*1.8*0.12</f>
        <v>249.80399999999997</v>
      </c>
      <c r="I334" s="87">
        <v>0</v>
      </c>
      <c r="J334" s="377">
        <f t="shared" ref="J334:J393" si="42">E334*1/0.9-(H334+I334)</f>
        <v>208.1515555555556</v>
      </c>
      <c r="K334" s="378"/>
      <c r="L334" s="78">
        <v>250</v>
      </c>
    </row>
    <row r="335" spans="1:12" x14ac:dyDescent="0.25">
      <c r="A335" s="85">
        <v>69</v>
      </c>
      <c r="B335" s="93" t="s">
        <v>190</v>
      </c>
      <c r="C335" s="91"/>
      <c r="D335" s="91">
        <v>400</v>
      </c>
      <c r="E335" s="94">
        <f>0.92*D335</f>
        <v>368</v>
      </c>
      <c r="F335" s="65">
        <v>114.7</v>
      </c>
      <c r="G335" s="66">
        <f t="shared" si="41"/>
        <v>253.3</v>
      </c>
      <c r="H335" s="219">
        <v>255</v>
      </c>
      <c r="I335" s="87">
        <v>0</v>
      </c>
      <c r="J335" s="377">
        <f t="shared" si="42"/>
        <v>153.88888888888886</v>
      </c>
      <c r="K335" s="378"/>
      <c r="L335" s="78">
        <v>250</v>
      </c>
    </row>
    <row r="336" spans="1:12" x14ac:dyDescent="0.25">
      <c r="A336" s="88">
        <v>70</v>
      </c>
      <c r="B336" s="95" t="s">
        <v>191</v>
      </c>
      <c r="C336" s="91"/>
      <c r="D336" s="91" t="s">
        <v>192</v>
      </c>
      <c r="E336" s="65">
        <f>0.92*180*1.4</f>
        <v>231.83999999999997</v>
      </c>
      <c r="F336" s="65">
        <v>199.5</v>
      </c>
      <c r="G336" s="66">
        <f t="shared" si="41"/>
        <v>32.339999999999975</v>
      </c>
      <c r="H336" s="169">
        <v>775.86</v>
      </c>
      <c r="I336" s="87">
        <v>0</v>
      </c>
      <c r="J336" s="383">
        <v>0</v>
      </c>
      <c r="K336" s="384"/>
      <c r="L336" s="77" t="s">
        <v>19</v>
      </c>
    </row>
    <row r="337" spans="1:12" x14ac:dyDescent="0.25">
      <c r="A337" s="85">
        <v>71</v>
      </c>
      <c r="B337" s="93" t="s">
        <v>193</v>
      </c>
      <c r="C337" s="86"/>
      <c r="D337" s="65" t="s">
        <v>161</v>
      </c>
      <c r="E337" s="165">
        <f>0.92*180*1.4</f>
        <v>231.83999999999997</v>
      </c>
      <c r="F337" s="65">
        <v>118.2</v>
      </c>
      <c r="G337" s="66">
        <f t="shared" si="41"/>
        <v>113.63999999999997</v>
      </c>
      <c r="H337" s="165">
        <f>98.9+280*1.5*0.15</f>
        <v>161.9</v>
      </c>
      <c r="I337" s="87">
        <v>0</v>
      </c>
      <c r="J337" s="377">
        <f t="shared" si="42"/>
        <v>95.69999999999996</v>
      </c>
      <c r="K337" s="378"/>
      <c r="L337" s="78">
        <v>250</v>
      </c>
    </row>
    <row r="338" spans="1:12" x14ac:dyDescent="0.25">
      <c r="A338" s="85">
        <v>72</v>
      </c>
      <c r="B338" s="93" t="s">
        <v>194</v>
      </c>
      <c r="C338" s="91"/>
      <c r="D338" s="91">
        <v>180</v>
      </c>
      <c r="E338" s="94">
        <f>0.92*D338</f>
        <v>165.6</v>
      </c>
      <c r="F338" s="65">
        <v>58.2</v>
      </c>
      <c r="G338" s="66">
        <f t="shared" si="41"/>
        <v>107.39999999999999</v>
      </c>
      <c r="H338" s="169">
        <f>142.7+80*1.07*0.14</f>
        <v>154.684</v>
      </c>
      <c r="I338" s="87">
        <v>0</v>
      </c>
      <c r="J338" s="379">
        <f t="shared" si="42"/>
        <v>29.316000000000003</v>
      </c>
      <c r="K338" s="380"/>
      <c r="L338" s="78">
        <v>250</v>
      </c>
    </row>
    <row r="339" spans="1:12" x14ac:dyDescent="0.25">
      <c r="A339" s="85">
        <v>73</v>
      </c>
      <c r="B339" s="93" t="s">
        <v>195</v>
      </c>
      <c r="C339" s="91"/>
      <c r="D339" s="91" t="s">
        <v>51</v>
      </c>
      <c r="E339" s="94">
        <f>0.92*400*1.4</f>
        <v>515.19999999999993</v>
      </c>
      <c r="F339" s="65">
        <v>153</v>
      </c>
      <c r="G339" s="66">
        <f t="shared" si="41"/>
        <v>362.19999999999993</v>
      </c>
      <c r="H339" s="169">
        <f>394.86+348*1.5*0.15</f>
        <v>473.16</v>
      </c>
      <c r="I339" s="87">
        <v>0</v>
      </c>
      <c r="J339" s="379">
        <f>E339*1/0.67-(H339+I339)</f>
        <v>295.79522388059689</v>
      </c>
      <c r="K339" s="380"/>
      <c r="L339" s="78">
        <v>250</v>
      </c>
    </row>
    <row r="340" spans="1:12" x14ac:dyDescent="0.25">
      <c r="A340" s="85">
        <v>74</v>
      </c>
      <c r="B340" s="93" t="s">
        <v>196</v>
      </c>
      <c r="C340" s="91"/>
      <c r="D340" s="91">
        <v>180</v>
      </c>
      <c r="E340" s="94">
        <f>0.92*D340</f>
        <v>165.6</v>
      </c>
      <c r="F340" s="65">
        <v>19.5</v>
      </c>
      <c r="G340" s="66">
        <f t="shared" si="41"/>
        <v>146.1</v>
      </c>
      <c r="H340" s="169">
        <f>27.9+100*1*0.14</f>
        <v>41.9</v>
      </c>
      <c r="I340" s="87">
        <v>0</v>
      </c>
      <c r="J340" s="379">
        <f t="shared" si="42"/>
        <v>142.1</v>
      </c>
      <c r="K340" s="380"/>
      <c r="L340" s="78">
        <v>250</v>
      </c>
    </row>
    <row r="341" spans="1:12" x14ac:dyDescent="0.25">
      <c r="A341" s="88">
        <v>75</v>
      </c>
      <c r="B341" s="93" t="s">
        <v>197</v>
      </c>
      <c r="C341" s="91"/>
      <c r="D341" s="91">
        <v>100</v>
      </c>
      <c r="E341" s="94">
        <f>0.92*D341</f>
        <v>92</v>
      </c>
      <c r="F341" s="65">
        <v>8</v>
      </c>
      <c r="G341" s="66">
        <f t="shared" si="41"/>
        <v>84</v>
      </c>
      <c r="H341" s="169">
        <v>31.5</v>
      </c>
      <c r="I341" s="87">
        <v>0</v>
      </c>
      <c r="J341" s="379">
        <f t="shared" si="42"/>
        <v>70.722222222222214</v>
      </c>
      <c r="K341" s="380"/>
      <c r="L341" s="78">
        <v>250</v>
      </c>
    </row>
    <row r="342" spans="1:12" x14ac:dyDescent="0.25">
      <c r="A342" s="85">
        <v>76</v>
      </c>
      <c r="B342" s="93" t="s">
        <v>198</v>
      </c>
      <c r="C342" s="91"/>
      <c r="D342" s="91">
        <v>400</v>
      </c>
      <c r="E342" s="94">
        <f>0.92*D342</f>
        <v>368</v>
      </c>
      <c r="F342" s="65">
        <v>158.1</v>
      </c>
      <c r="G342" s="66">
        <f t="shared" si="41"/>
        <v>209.9</v>
      </c>
      <c r="H342" s="169">
        <f>(316.25+20)</f>
        <v>336.25</v>
      </c>
      <c r="I342" s="87">
        <v>0</v>
      </c>
      <c r="J342" s="377">
        <f t="shared" si="42"/>
        <v>72.638888888888857</v>
      </c>
      <c r="K342" s="378"/>
      <c r="L342" s="78">
        <v>250</v>
      </c>
    </row>
    <row r="343" spans="1:12" x14ac:dyDescent="0.25">
      <c r="A343" s="85">
        <v>77</v>
      </c>
      <c r="B343" s="93" t="s">
        <v>199</v>
      </c>
      <c r="C343" s="91"/>
      <c r="D343" s="91">
        <v>400</v>
      </c>
      <c r="E343" s="94">
        <f>0.92*D343</f>
        <v>368</v>
      </c>
      <c r="F343" s="65">
        <v>45.8</v>
      </c>
      <c r="G343" s="66">
        <f t="shared" si="41"/>
        <v>322.2</v>
      </c>
      <c r="H343" s="169">
        <v>156.09</v>
      </c>
      <c r="I343" s="87">
        <v>0</v>
      </c>
      <c r="J343" s="377">
        <f t="shared" si="42"/>
        <v>252.79888888888885</v>
      </c>
      <c r="K343" s="378"/>
      <c r="L343" s="78">
        <v>250</v>
      </c>
    </row>
    <row r="344" spans="1:12" x14ac:dyDescent="0.25">
      <c r="A344" s="85">
        <v>78</v>
      </c>
      <c r="B344" s="93" t="s">
        <v>200</v>
      </c>
      <c r="C344" s="86"/>
      <c r="D344" s="65" t="s">
        <v>107</v>
      </c>
      <c r="E344" s="165">
        <f>0.92*160*1.4</f>
        <v>206.08</v>
      </c>
      <c r="F344" s="65">
        <v>101.8</v>
      </c>
      <c r="G344" s="66">
        <f t="shared" si="41"/>
        <v>104.28000000000002</v>
      </c>
      <c r="H344" s="165">
        <f>151.6+211*1.5*0.15</f>
        <v>199.07499999999999</v>
      </c>
      <c r="I344" s="87">
        <v>0</v>
      </c>
      <c r="J344" s="377">
        <f t="shared" si="42"/>
        <v>29.9027777777778</v>
      </c>
      <c r="K344" s="378"/>
      <c r="L344" s="78">
        <v>250</v>
      </c>
    </row>
    <row r="345" spans="1:12" x14ac:dyDescent="0.25">
      <c r="A345" s="85">
        <v>79</v>
      </c>
      <c r="B345" s="93" t="s">
        <v>201</v>
      </c>
      <c r="C345" s="91"/>
      <c r="D345" s="91">
        <v>630</v>
      </c>
      <c r="E345" s="94">
        <f>0.92*D345</f>
        <v>579.6</v>
      </c>
      <c r="F345" s="65">
        <v>144.19999999999999</v>
      </c>
      <c r="G345" s="66">
        <f t="shared" si="41"/>
        <v>435.40000000000003</v>
      </c>
      <c r="H345" s="169">
        <f>231.2+200*1.12*0.14+1</f>
        <v>263.56</v>
      </c>
      <c r="I345" s="87">
        <v>0</v>
      </c>
      <c r="J345" s="377">
        <f t="shared" si="42"/>
        <v>380.44</v>
      </c>
      <c r="K345" s="378"/>
      <c r="L345" s="78">
        <v>250</v>
      </c>
    </row>
    <row r="346" spans="1:12" x14ac:dyDescent="0.25">
      <c r="A346" s="88">
        <v>80</v>
      </c>
      <c r="B346" s="93" t="s">
        <v>202</v>
      </c>
      <c r="C346" s="91"/>
      <c r="D346" s="91" t="s">
        <v>74</v>
      </c>
      <c r="E346" s="94">
        <f>0.92*250*1.4</f>
        <v>322</v>
      </c>
      <c r="F346" s="65">
        <v>164.3</v>
      </c>
      <c r="G346" s="66">
        <f t="shared" si="41"/>
        <v>157.69999999999999</v>
      </c>
      <c r="H346" s="169">
        <f>170.01+465*1.2*0.12</f>
        <v>236.96999999999997</v>
      </c>
      <c r="I346" s="87">
        <v>0</v>
      </c>
      <c r="J346" s="377">
        <f t="shared" si="42"/>
        <v>120.8077777777778</v>
      </c>
      <c r="K346" s="378"/>
      <c r="L346" s="78">
        <v>250</v>
      </c>
    </row>
    <row r="347" spans="1:12" x14ac:dyDescent="0.25">
      <c r="A347" s="85">
        <v>81</v>
      </c>
      <c r="B347" s="93" t="s">
        <v>203</v>
      </c>
      <c r="C347" s="91"/>
      <c r="D347" s="91" t="s">
        <v>204</v>
      </c>
      <c r="E347" s="97">
        <v>0</v>
      </c>
      <c r="F347" s="65">
        <v>0</v>
      </c>
      <c r="G347" s="66">
        <f t="shared" si="41"/>
        <v>0</v>
      </c>
      <c r="H347" s="97">
        <v>0</v>
      </c>
      <c r="I347" s="87">
        <v>0</v>
      </c>
      <c r="J347" s="377">
        <f t="shared" si="42"/>
        <v>0</v>
      </c>
      <c r="K347" s="378"/>
      <c r="L347" s="78">
        <v>250</v>
      </c>
    </row>
    <row r="348" spans="1:12" x14ac:dyDescent="0.25">
      <c r="A348" s="85">
        <v>82</v>
      </c>
      <c r="B348" s="93" t="s">
        <v>205</v>
      </c>
      <c r="C348" s="91"/>
      <c r="D348" s="92">
        <v>180</v>
      </c>
      <c r="E348" s="94">
        <f>0.92*D348</f>
        <v>165.6</v>
      </c>
      <c r="F348" s="65">
        <v>83.4</v>
      </c>
      <c r="G348" s="66">
        <f t="shared" si="41"/>
        <v>82.199999999999989</v>
      </c>
      <c r="H348" s="169">
        <f>99.5+83*1.35*0.17</f>
        <v>118.5485</v>
      </c>
      <c r="I348" s="87">
        <v>0</v>
      </c>
      <c r="J348" s="377">
        <f t="shared" si="42"/>
        <v>65.451499999999996</v>
      </c>
      <c r="K348" s="378"/>
      <c r="L348" s="78">
        <v>250</v>
      </c>
    </row>
    <row r="349" spans="1:12" x14ac:dyDescent="0.25">
      <c r="A349" s="85">
        <v>83</v>
      </c>
      <c r="B349" s="93" t="s">
        <v>206</v>
      </c>
      <c r="C349" s="91"/>
      <c r="D349" s="91" t="s">
        <v>51</v>
      </c>
      <c r="E349" s="94">
        <f>0.92*400*1.4</f>
        <v>515.19999999999993</v>
      </c>
      <c r="F349" s="65">
        <v>224.35</v>
      </c>
      <c r="G349" s="66">
        <f t="shared" si="41"/>
        <v>290.84999999999991</v>
      </c>
      <c r="H349" s="169">
        <f>113.9+574*2*0.2</f>
        <v>343.5</v>
      </c>
      <c r="I349" s="87">
        <v>0</v>
      </c>
      <c r="J349" s="377">
        <f t="shared" si="42"/>
        <v>228.94444444444434</v>
      </c>
      <c r="K349" s="378"/>
      <c r="L349" s="78">
        <v>250</v>
      </c>
    </row>
    <row r="350" spans="1:12" x14ac:dyDescent="0.25">
      <c r="A350" s="85">
        <v>84</v>
      </c>
      <c r="B350" s="93" t="s">
        <v>207</v>
      </c>
      <c r="C350" s="91"/>
      <c r="D350" s="91" t="s">
        <v>74</v>
      </c>
      <c r="E350" s="94">
        <f>0.92*250*1.4</f>
        <v>322</v>
      </c>
      <c r="F350" s="65">
        <v>57.12</v>
      </c>
      <c r="G350" s="66">
        <f t="shared" si="41"/>
        <v>264.88</v>
      </c>
      <c r="H350" s="97">
        <f>729+3</f>
        <v>732</v>
      </c>
      <c r="I350" s="87">
        <v>0</v>
      </c>
      <c r="J350" s="383">
        <v>0</v>
      </c>
      <c r="K350" s="384"/>
      <c r="L350" s="77" t="s">
        <v>19</v>
      </c>
    </row>
    <row r="351" spans="1:12" x14ac:dyDescent="0.25">
      <c r="A351" s="85">
        <v>85</v>
      </c>
      <c r="B351" s="93" t="s">
        <v>208</v>
      </c>
      <c r="C351" s="86"/>
      <c r="D351" s="65" t="s">
        <v>65</v>
      </c>
      <c r="E351" s="165">
        <f>0.92*400*1.4</f>
        <v>515.19999999999993</v>
      </c>
      <c r="F351" s="65">
        <v>315.2</v>
      </c>
      <c r="G351" s="66">
        <f t="shared" si="41"/>
        <v>199.99999999999994</v>
      </c>
      <c r="H351" s="165">
        <f>608.13+171*0.9*0.12+(4+5.2+7.2+4+5.2+5.2+5+5)*1</f>
        <v>667.39799999999991</v>
      </c>
      <c r="I351" s="87">
        <v>0</v>
      </c>
      <c r="J351" s="377">
        <f>E351*1/0.67-(H351+I351)</f>
        <v>101.55722388059701</v>
      </c>
      <c r="K351" s="378"/>
      <c r="L351" s="78">
        <v>250</v>
      </c>
    </row>
    <row r="352" spans="1:12" x14ac:dyDescent="0.25">
      <c r="A352" s="85">
        <v>86</v>
      </c>
      <c r="B352" s="93" t="s">
        <v>209</v>
      </c>
      <c r="C352" s="91"/>
      <c r="D352" s="91" t="s">
        <v>51</v>
      </c>
      <c r="E352" s="94">
        <f>0.92*400*1.4</f>
        <v>515.19999999999993</v>
      </c>
      <c r="F352" s="65">
        <f>(222+118+209+24+18+50)*0.22*2</f>
        <v>282.04000000000002</v>
      </c>
      <c r="G352" s="66">
        <f t="shared" si="41"/>
        <v>233.15999999999991</v>
      </c>
      <c r="H352" s="169">
        <f>315.6+303*0.8*0.12</f>
        <v>344.68800000000005</v>
      </c>
      <c r="I352" s="87">
        <v>0</v>
      </c>
      <c r="J352" s="377">
        <f t="shared" si="42"/>
        <v>227.7564444444443</v>
      </c>
      <c r="K352" s="378"/>
      <c r="L352" s="78">
        <v>250</v>
      </c>
    </row>
    <row r="353" spans="1:12" x14ac:dyDescent="0.25">
      <c r="A353" s="85">
        <v>87</v>
      </c>
      <c r="B353" s="93" t="s">
        <v>210</v>
      </c>
      <c r="C353" s="91"/>
      <c r="D353" s="91" t="s">
        <v>211</v>
      </c>
      <c r="E353" s="94">
        <f>0.92*315*1.4</f>
        <v>405.71999999999997</v>
      </c>
      <c r="F353" s="65">
        <v>243.5</v>
      </c>
      <c r="G353" s="66">
        <f t="shared" si="41"/>
        <v>162.21999999999997</v>
      </c>
      <c r="H353" s="169">
        <f>98.17+600*2*0.2</f>
        <v>338.17</v>
      </c>
      <c r="I353" s="87">
        <v>0</v>
      </c>
      <c r="J353" s="379">
        <f t="shared" si="42"/>
        <v>112.62999999999994</v>
      </c>
      <c r="K353" s="380"/>
      <c r="L353" s="78">
        <v>250</v>
      </c>
    </row>
    <row r="354" spans="1:12" x14ac:dyDescent="0.25">
      <c r="A354" s="85">
        <v>88</v>
      </c>
      <c r="B354" s="93" t="s">
        <v>212</v>
      </c>
      <c r="C354" s="91"/>
      <c r="D354" s="91" t="s">
        <v>60</v>
      </c>
      <c r="E354" s="94">
        <f>0.92*630*1.4</f>
        <v>811.43999999999994</v>
      </c>
      <c r="F354" s="65">
        <v>381.4</v>
      </c>
      <c r="G354" s="66">
        <f t="shared" si="41"/>
        <v>430.03999999999996</v>
      </c>
      <c r="H354" s="169">
        <f>274.48+1000*3*0.15+(10.2+2.5+9.5)*0.9</f>
        <v>744.46</v>
      </c>
      <c r="I354" s="87">
        <v>0</v>
      </c>
      <c r="J354" s="379">
        <v>466.64447761194015</v>
      </c>
      <c r="K354" s="380"/>
      <c r="L354" s="78">
        <v>250</v>
      </c>
    </row>
    <row r="355" spans="1:12" x14ac:dyDescent="0.25">
      <c r="A355" s="85">
        <v>89</v>
      </c>
      <c r="B355" s="93" t="s">
        <v>213</v>
      </c>
      <c r="C355" s="91"/>
      <c r="D355" s="91">
        <v>250</v>
      </c>
      <c r="E355" s="94">
        <f>0.92*D355</f>
        <v>230</v>
      </c>
      <c r="F355" s="65">
        <v>35.799999999999997</v>
      </c>
      <c r="G355" s="66">
        <f t="shared" si="41"/>
        <v>194.2</v>
      </c>
      <c r="H355" s="169">
        <f>98.5*0.65+69*1.48*0.16</f>
        <v>80.364200000000011</v>
      </c>
      <c r="I355" s="87">
        <v>0</v>
      </c>
      <c r="J355" s="379">
        <f t="shared" si="42"/>
        <v>175.19135555555553</v>
      </c>
      <c r="K355" s="380"/>
      <c r="L355" s="78">
        <v>250</v>
      </c>
    </row>
    <row r="356" spans="1:12" x14ac:dyDescent="0.25">
      <c r="A356" s="85">
        <v>90</v>
      </c>
      <c r="B356" s="93" t="s">
        <v>214</v>
      </c>
      <c r="C356" s="91"/>
      <c r="D356" s="91">
        <v>250</v>
      </c>
      <c r="E356" s="94">
        <f>0.92*D356</f>
        <v>230</v>
      </c>
      <c r="F356" s="65">
        <v>7.1</v>
      </c>
      <c r="G356" s="66">
        <f t="shared" si="41"/>
        <v>222.9</v>
      </c>
      <c r="H356" s="169">
        <v>154.94999999999999</v>
      </c>
      <c r="I356" s="87">
        <v>0</v>
      </c>
      <c r="J356" s="379">
        <f t="shared" si="42"/>
        <v>100.60555555555555</v>
      </c>
      <c r="K356" s="380"/>
      <c r="L356" s="78">
        <v>250</v>
      </c>
    </row>
    <row r="357" spans="1:12" x14ac:dyDescent="0.25">
      <c r="A357" s="85">
        <v>91</v>
      </c>
      <c r="B357" s="93" t="s">
        <v>215</v>
      </c>
      <c r="C357" s="91"/>
      <c r="D357" s="91" t="s">
        <v>98</v>
      </c>
      <c r="E357" s="94">
        <f>0.92*250*1.4</f>
        <v>322</v>
      </c>
      <c r="F357" s="65">
        <v>239.2</v>
      </c>
      <c r="G357" s="66">
        <f t="shared" si="41"/>
        <v>82.800000000000011</v>
      </c>
      <c r="H357" s="169">
        <f>142.2+564*2*0.15+9</f>
        <v>320.39999999999998</v>
      </c>
      <c r="I357" s="87">
        <v>0</v>
      </c>
      <c r="J357" s="377">
        <f>E357*1/0.67-(H357+I357)</f>
        <v>160.19701492537314</v>
      </c>
      <c r="K357" s="378"/>
      <c r="L357" s="78">
        <v>250</v>
      </c>
    </row>
    <row r="358" spans="1:12" x14ac:dyDescent="0.25">
      <c r="A358" s="85">
        <v>92</v>
      </c>
      <c r="B358" s="93" t="s">
        <v>216</v>
      </c>
      <c r="C358" s="86"/>
      <c r="D358" s="65" t="s">
        <v>51</v>
      </c>
      <c r="E358" s="165">
        <f>0.92*400*1.4</f>
        <v>515.19999999999993</v>
      </c>
      <c r="F358" s="42">
        <v>184.4</v>
      </c>
      <c r="G358" s="66">
        <f t="shared" si="41"/>
        <v>330.79999999999995</v>
      </c>
      <c r="H358" s="149">
        <v>521</v>
      </c>
      <c r="I358" s="87">
        <v>0</v>
      </c>
      <c r="J358" s="377">
        <f>E358*1/0.67-(H358+I358)</f>
        <v>247.95522388059692</v>
      </c>
      <c r="K358" s="378"/>
      <c r="L358" s="78">
        <v>250</v>
      </c>
    </row>
    <row r="359" spans="1:12" x14ac:dyDescent="0.25">
      <c r="A359" s="85">
        <v>93</v>
      </c>
      <c r="B359" s="93" t="s">
        <v>217</v>
      </c>
      <c r="C359" s="91"/>
      <c r="D359" s="91" t="s">
        <v>51</v>
      </c>
      <c r="E359" s="165">
        <f>0.92*400*1.4</f>
        <v>515.19999999999993</v>
      </c>
      <c r="F359" s="65">
        <v>211.5</v>
      </c>
      <c r="G359" s="66">
        <f t="shared" si="41"/>
        <v>303.69999999999993</v>
      </c>
      <c r="H359" s="169">
        <f>34.4+429*4*0.2</f>
        <v>377.6</v>
      </c>
      <c r="I359" s="87">
        <v>0</v>
      </c>
      <c r="J359" s="377">
        <f>E359*1/0.67-(H359+I359)</f>
        <v>391.3552238805969</v>
      </c>
      <c r="K359" s="378"/>
      <c r="L359" s="78">
        <v>250</v>
      </c>
    </row>
    <row r="360" spans="1:12" x14ac:dyDescent="0.25">
      <c r="A360" s="85">
        <v>94</v>
      </c>
      <c r="B360" s="93" t="s">
        <v>218</v>
      </c>
      <c r="C360" s="91"/>
      <c r="D360" s="91" t="s">
        <v>74</v>
      </c>
      <c r="E360" s="165">
        <f>0.92*250*1.4</f>
        <v>322</v>
      </c>
      <c r="F360" s="65">
        <v>245.1</v>
      </c>
      <c r="G360" s="66">
        <f t="shared" si="41"/>
        <v>76.900000000000006</v>
      </c>
      <c r="H360" s="219">
        <v>380</v>
      </c>
      <c r="I360" s="87">
        <v>0</v>
      </c>
      <c r="J360" s="377">
        <f>E360*1/0.67-(H360+I360)</f>
        <v>100.59701492537312</v>
      </c>
      <c r="K360" s="378"/>
      <c r="L360" s="78">
        <v>250</v>
      </c>
    </row>
    <row r="361" spans="1:12" x14ac:dyDescent="0.25">
      <c r="A361" s="85">
        <v>95</v>
      </c>
      <c r="B361" s="93" t="s">
        <v>219</v>
      </c>
      <c r="C361" s="91"/>
      <c r="D361" s="91">
        <v>250</v>
      </c>
      <c r="E361" s="94">
        <f>0.92*D361</f>
        <v>230</v>
      </c>
      <c r="F361" s="65">
        <v>45.8</v>
      </c>
      <c r="G361" s="66">
        <f t="shared" si="41"/>
        <v>184.2</v>
      </c>
      <c r="H361" s="219">
        <v>151.6</v>
      </c>
      <c r="I361" s="87">
        <v>0</v>
      </c>
      <c r="J361" s="377">
        <f t="shared" si="42"/>
        <v>103.95555555555555</v>
      </c>
      <c r="K361" s="378"/>
      <c r="L361" s="78">
        <v>250</v>
      </c>
    </row>
    <row r="362" spans="1:12" x14ac:dyDescent="0.25">
      <c r="A362" s="85">
        <v>96</v>
      </c>
      <c r="B362" s="93" t="s">
        <v>220</v>
      </c>
      <c r="C362" s="91"/>
      <c r="D362" s="91" t="s">
        <v>51</v>
      </c>
      <c r="E362" s="94">
        <f>0.92*400*1.4</f>
        <v>515.19999999999993</v>
      </c>
      <c r="F362" s="65">
        <v>129</v>
      </c>
      <c r="G362" s="66">
        <f t="shared" si="41"/>
        <v>386.19999999999993</v>
      </c>
      <c r="H362" s="219">
        <f>152.34+276*2.5*0.15</f>
        <v>255.84</v>
      </c>
      <c r="I362" s="87">
        <v>0</v>
      </c>
      <c r="J362" s="377">
        <f t="shared" si="42"/>
        <v>316.60444444444431</v>
      </c>
      <c r="K362" s="378"/>
      <c r="L362" s="78">
        <v>250</v>
      </c>
    </row>
    <row r="363" spans="1:12" x14ac:dyDescent="0.25">
      <c r="A363" s="85">
        <v>97</v>
      </c>
      <c r="B363" s="93" t="s">
        <v>221</v>
      </c>
      <c r="C363" s="91"/>
      <c r="D363" s="91">
        <v>100</v>
      </c>
      <c r="E363" s="94">
        <f t="shared" ref="E363:E369" si="43">0.92*D363</f>
        <v>92</v>
      </c>
      <c r="F363" s="65">
        <v>25.3</v>
      </c>
      <c r="G363" s="66">
        <f t="shared" si="41"/>
        <v>66.7</v>
      </c>
      <c r="H363" s="219">
        <v>64.7</v>
      </c>
      <c r="I363" s="87">
        <v>0</v>
      </c>
      <c r="J363" s="377">
        <f t="shared" si="42"/>
        <v>37.522222222222211</v>
      </c>
      <c r="K363" s="378"/>
      <c r="L363" s="78">
        <v>250</v>
      </c>
    </row>
    <row r="364" spans="1:12" x14ac:dyDescent="0.25">
      <c r="A364" s="85">
        <v>98</v>
      </c>
      <c r="B364" s="93" t="s">
        <v>222</v>
      </c>
      <c r="C364" s="91"/>
      <c r="D364" s="91">
        <v>400</v>
      </c>
      <c r="E364" s="94">
        <f t="shared" si="43"/>
        <v>368</v>
      </c>
      <c r="F364" s="65">
        <v>73.400000000000006</v>
      </c>
      <c r="G364" s="66">
        <f t="shared" si="41"/>
        <v>294.60000000000002</v>
      </c>
      <c r="H364" s="169">
        <f>114.9+61*1.45*0.16</f>
        <v>129.05200000000002</v>
      </c>
      <c r="I364" s="87">
        <v>0</v>
      </c>
      <c r="J364" s="377">
        <f t="shared" si="42"/>
        <v>279.83688888888884</v>
      </c>
      <c r="K364" s="378"/>
      <c r="L364" s="78">
        <v>250</v>
      </c>
    </row>
    <row r="365" spans="1:12" x14ac:dyDescent="0.25">
      <c r="A365" s="85">
        <v>99</v>
      </c>
      <c r="B365" s="93" t="s">
        <v>223</v>
      </c>
      <c r="C365" s="86"/>
      <c r="D365" s="65">
        <v>250</v>
      </c>
      <c r="E365" s="94">
        <f t="shared" si="43"/>
        <v>230</v>
      </c>
      <c r="F365" s="65">
        <v>81.3</v>
      </c>
      <c r="G365" s="66">
        <f t="shared" si="41"/>
        <v>148.69999999999999</v>
      </c>
      <c r="H365" s="219">
        <f>111.4+70*1.4*0.15</f>
        <v>126.10000000000001</v>
      </c>
      <c r="I365" s="87">
        <v>0</v>
      </c>
      <c r="J365" s="377">
        <f t="shared" si="42"/>
        <v>129.45555555555552</v>
      </c>
      <c r="K365" s="378"/>
      <c r="L365" s="78">
        <v>250</v>
      </c>
    </row>
    <row r="366" spans="1:12" x14ac:dyDescent="0.25">
      <c r="A366" s="85">
        <v>100</v>
      </c>
      <c r="B366" s="93" t="s">
        <v>224</v>
      </c>
      <c r="C366" s="91"/>
      <c r="D366" s="91" t="s">
        <v>51</v>
      </c>
      <c r="E366" s="94">
        <f>0.92*400*1.4</f>
        <v>515.19999999999993</v>
      </c>
      <c r="F366" s="65">
        <v>248.3</v>
      </c>
      <c r="G366" s="66">
        <f t="shared" si="41"/>
        <v>266.89999999999992</v>
      </c>
      <c r="H366" s="219">
        <f>84+524*2.5*0.2</f>
        <v>346</v>
      </c>
      <c r="I366" s="87">
        <v>0</v>
      </c>
      <c r="J366" s="379">
        <f t="shared" si="42"/>
        <v>226.44444444444434</v>
      </c>
      <c r="K366" s="380"/>
      <c r="L366" s="78">
        <v>250</v>
      </c>
    </row>
    <row r="367" spans="1:12" x14ac:dyDescent="0.25">
      <c r="A367" s="85">
        <v>101</v>
      </c>
      <c r="B367" s="93" t="s">
        <v>225</v>
      </c>
      <c r="C367" s="91"/>
      <c r="D367" s="91" t="s">
        <v>65</v>
      </c>
      <c r="E367" s="65">
        <f>0.92*400*1.4</f>
        <v>515.19999999999993</v>
      </c>
      <c r="F367" s="65">
        <v>238.4</v>
      </c>
      <c r="G367" s="66">
        <f t="shared" si="41"/>
        <v>276.79999999999995</v>
      </c>
      <c r="H367" s="169">
        <f>532.5+144*0.9*0.14</f>
        <v>550.64400000000001</v>
      </c>
      <c r="I367" s="87">
        <v>0</v>
      </c>
      <c r="J367" s="379">
        <f>E367*1/0.67-(H367+I367)</f>
        <v>218.31122388059691</v>
      </c>
      <c r="K367" s="380"/>
      <c r="L367" s="78">
        <v>250</v>
      </c>
    </row>
    <row r="368" spans="1:12" x14ac:dyDescent="0.25">
      <c r="A368" s="85">
        <v>102</v>
      </c>
      <c r="B368" s="93" t="s">
        <v>226</v>
      </c>
      <c r="C368" s="91"/>
      <c r="D368" s="91" t="s">
        <v>51</v>
      </c>
      <c r="E368" s="94">
        <f>0.92*400*1.4</f>
        <v>515.19999999999993</v>
      </c>
      <c r="F368" s="65">
        <v>314.47000000000003</v>
      </c>
      <c r="G368" s="66">
        <f t="shared" si="41"/>
        <v>200.7299999999999</v>
      </c>
      <c r="H368" s="219">
        <f>212+702*2.5*0.2</f>
        <v>563</v>
      </c>
      <c r="I368" s="87">
        <v>0</v>
      </c>
      <c r="J368" s="379">
        <f>E368*1/0.67-(H368+I368)</f>
        <v>205.95522388059692</v>
      </c>
      <c r="K368" s="380"/>
      <c r="L368" s="78">
        <v>250</v>
      </c>
    </row>
    <row r="369" spans="1:12" x14ac:dyDescent="0.25">
      <c r="A369" s="85">
        <v>103</v>
      </c>
      <c r="B369" s="93" t="s">
        <v>227</v>
      </c>
      <c r="C369" s="91"/>
      <c r="D369" s="91">
        <v>100</v>
      </c>
      <c r="E369" s="94">
        <f t="shared" si="43"/>
        <v>92</v>
      </c>
      <c r="F369" s="65">
        <v>23.1</v>
      </c>
      <c r="G369" s="66">
        <f t="shared" si="41"/>
        <v>68.900000000000006</v>
      </c>
      <c r="H369" s="169">
        <f>24.6+28*2.15*0.22+4</f>
        <v>41.844000000000001</v>
      </c>
      <c r="I369" s="87">
        <v>0</v>
      </c>
      <c r="J369" s="379">
        <f t="shared" si="42"/>
        <v>60.378222222222213</v>
      </c>
      <c r="K369" s="380"/>
      <c r="L369" s="78">
        <v>250</v>
      </c>
    </row>
    <row r="370" spans="1:12" x14ac:dyDescent="0.25">
      <c r="A370" s="85">
        <v>104</v>
      </c>
      <c r="B370" s="93" t="s">
        <v>228</v>
      </c>
      <c r="C370" s="91"/>
      <c r="D370" s="91" t="s">
        <v>51</v>
      </c>
      <c r="E370" s="94">
        <f>0.92*400*1.4</f>
        <v>515.19999999999993</v>
      </c>
      <c r="F370" s="65">
        <v>281</v>
      </c>
      <c r="G370" s="66">
        <f t="shared" si="41"/>
        <v>234.19999999999993</v>
      </c>
      <c r="H370" s="219">
        <f>215.6+574*2.5*0.2</f>
        <v>502.6</v>
      </c>
      <c r="I370" s="87">
        <v>0</v>
      </c>
      <c r="J370" s="379">
        <f>E370*1/0.67-(H370+I370)</f>
        <v>266.3552238805969</v>
      </c>
      <c r="K370" s="380"/>
      <c r="L370" s="78">
        <v>250</v>
      </c>
    </row>
    <row r="371" spans="1:12" x14ac:dyDescent="0.25">
      <c r="A371" s="85">
        <v>105</v>
      </c>
      <c r="B371" s="93" t="s">
        <v>229</v>
      </c>
      <c r="C371" s="91"/>
      <c r="D371" s="91" t="s">
        <v>74</v>
      </c>
      <c r="E371" s="94">
        <f>0.92*250*1.4</f>
        <v>322</v>
      </c>
      <c r="F371" s="65">
        <v>167.2</v>
      </c>
      <c r="G371" s="66">
        <f t="shared" si="41"/>
        <v>154.80000000000001</v>
      </c>
      <c r="H371" s="219">
        <f>10+432*2.5*0.2</f>
        <v>226</v>
      </c>
      <c r="I371" s="87">
        <v>0</v>
      </c>
      <c r="J371" s="379">
        <f t="shared" si="42"/>
        <v>131.77777777777777</v>
      </c>
      <c r="K371" s="380"/>
      <c r="L371" s="78">
        <v>250</v>
      </c>
    </row>
    <row r="372" spans="1:12" x14ac:dyDescent="0.25">
      <c r="A372" s="85">
        <v>106</v>
      </c>
      <c r="B372" s="93" t="s">
        <v>230</v>
      </c>
      <c r="C372" s="86"/>
      <c r="D372" s="65" t="s">
        <v>60</v>
      </c>
      <c r="E372" s="94">
        <f>0.92*630*1.4</f>
        <v>811.43999999999994</v>
      </c>
      <c r="F372" s="65">
        <v>177.3</v>
      </c>
      <c r="G372" s="66">
        <f t="shared" si="41"/>
        <v>634.13999999999987</v>
      </c>
      <c r="H372" s="219">
        <v>357</v>
      </c>
      <c r="I372" s="87">
        <v>0</v>
      </c>
      <c r="J372" s="379">
        <f t="shared" si="42"/>
        <v>544.59999999999991</v>
      </c>
      <c r="K372" s="380"/>
      <c r="L372" s="78">
        <v>250</v>
      </c>
    </row>
    <row r="373" spans="1:12" x14ac:dyDescent="0.25">
      <c r="A373" s="85">
        <v>107</v>
      </c>
      <c r="B373" s="93" t="s">
        <v>231</v>
      </c>
      <c r="C373" s="91"/>
      <c r="D373" s="91" t="s">
        <v>60</v>
      </c>
      <c r="E373" s="94">
        <f>0.92*630*1.4</f>
        <v>811.43999999999994</v>
      </c>
      <c r="F373" s="65">
        <v>491.56</v>
      </c>
      <c r="G373" s="66">
        <f t="shared" si="41"/>
        <v>319.87999999999994</v>
      </c>
      <c r="H373" s="169">
        <f>257.9+658*2.5*0.2</f>
        <v>586.9</v>
      </c>
      <c r="I373" s="87">
        <v>0</v>
      </c>
      <c r="J373" s="379">
        <f t="shared" si="42"/>
        <v>314.69999999999993</v>
      </c>
      <c r="K373" s="380"/>
      <c r="L373" s="78">
        <v>250</v>
      </c>
    </row>
    <row r="374" spans="1:12" x14ac:dyDescent="0.25">
      <c r="A374" s="85">
        <v>108</v>
      </c>
      <c r="B374" s="93" t="s">
        <v>232</v>
      </c>
      <c r="C374" s="91"/>
      <c r="D374" s="91">
        <v>250</v>
      </c>
      <c r="E374" s="94">
        <f>0.92*D374</f>
        <v>230</v>
      </c>
      <c r="F374" s="65">
        <v>138.71</v>
      </c>
      <c r="G374" s="66">
        <f t="shared" si="41"/>
        <v>91.289999999999992</v>
      </c>
      <c r="H374" s="169">
        <f>220.47+25*1.5*0.15+2.2</f>
        <v>228.29499999999999</v>
      </c>
      <c r="I374" s="87">
        <v>0</v>
      </c>
      <c r="J374" s="379">
        <f>E374*1/0.67-(H374+I374)</f>
        <v>114.98858208955224</v>
      </c>
      <c r="K374" s="380"/>
      <c r="L374" s="78">
        <v>250</v>
      </c>
    </row>
    <row r="375" spans="1:12" x14ac:dyDescent="0.25">
      <c r="A375" s="85">
        <v>109</v>
      </c>
      <c r="B375" s="93" t="s">
        <v>233</v>
      </c>
      <c r="C375" s="91"/>
      <c r="D375" s="91">
        <v>250</v>
      </c>
      <c r="E375" s="94">
        <f t="shared" ref="E375:E393" si="44">0.92*D375</f>
        <v>230</v>
      </c>
      <c r="F375" s="65">
        <v>32.729999999999997</v>
      </c>
      <c r="G375" s="66">
        <f t="shared" si="41"/>
        <v>197.27</v>
      </c>
      <c r="H375" s="169">
        <f>34.2+103*2*0.14</f>
        <v>63.040000000000006</v>
      </c>
      <c r="I375" s="87">
        <v>0</v>
      </c>
      <c r="J375" s="379">
        <f t="shared" si="42"/>
        <v>192.51555555555552</v>
      </c>
      <c r="K375" s="380"/>
      <c r="L375" s="78">
        <v>250</v>
      </c>
    </row>
    <row r="376" spans="1:12" x14ac:dyDescent="0.25">
      <c r="A376" s="85">
        <v>110</v>
      </c>
      <c r="B376" s="93" t="s">
        <v>234</v>
      </c>
      <c r="C376" s="91"/>
      <c r="D376" s="91">
        <v>250</v>
      </c>
      <c r="E376" s="94">
        <f t="shared" si="44"/>
        <v>230</v>
      </c>
      <c r="F376" s="65">
        <v>76.349999999999994</v>
      </c>
      <c r="G376" s="66">
        <f t="shared" si="41"/>
        <v>153.65</v>
      </c>
      <c r="H376" s="169">
        <v>105.2</v>
      </c>
      <c r="I376" s="87">
        <v>0</v>
      </c>
      <c r="J376" s="379">
        <f t="shared" si="42"/>
        <v>150.35555555555555</v>
      </c>
      <c r="K376" s="380"/>
      <c r="L376" s="78">
        <v>250</v>
      </c>
    </row>
    <row r="377" spans="1:12" x14ac:dyDescent="0.25">
      <c r="A377" s="85">
        <v>111</v>
      </c>
      <c r="B377" s="93" t="s">
        <v>235</v>
      </c>
      <c r="C377" s="91"/>
      <c r="D377" s="91">
        <v>250</v>
      </c>
      <c r="E377" s="94">
        <f t="shared" si="44"/>
        <v>230</v>
      </c>
      <c r="F377" s="65">
        <v>29.2</v>
      </c>
      <c r="G377" s="66">
        <f t="shared" si="41"/>
        <v>200.8</v>
      </c>
      <c r="H377" s="169">
        <f>15+48*2.5*0.17</f>
        <v>35.400000000000006</v>
      </c>
      <c r="I377" s="87">
        <v>0</v>
      </c>
      <c r="J377" s="379">
        <f t="shared" si="42"/>
        <v>220.15555555555554</v>
      </c>
      <c r="K377" s="380"/>
      <c r="L377" s="78">
        <v>250</v>
      </c>
    </row>
    <row r="378" spans="1:12" x14ac:dyDescent="0.25">
      <c r="A378" s="85">
        <v>112</v>
      </c>
      <c r="B378" s="93" t="s">
        <v>236</v>
      </c>
      <c r="C378" s="91"/>
      <c r="D378" s="91">
        <v>400</v>
      </c>
      <c r="E378" s="94">
        <f t="shared" si="44"/>
        <v>368</v>
      </c>
      <c r="F378" s="65">
        <v>142.80000000000001</v>
      </c>
      <c r="G378" s="66">
        <f t="shared" si="41"/>
        <v>225.2</v>
      </c>
      <c r="H378" s="169">
        <v>367.62</v>
      </c>
      <c r="I378" s="87">
        <v>0</v>
      </c>
      <c r="J378" s="377">
        <f>E378*1/0.67-(H378+I378)</f>
        <v>181.63373134328356</v>
      </c>
      <c r="K378" s="378"/>
      <c r="L378" s="78">
        <v>250</v>
      </c>
    </row>
    <row r="379" spans="1:12" x14ac:dyDescent="0.25">
      <c r="A379" s="85">
        <v>113</v>
      </c>
      <c r="B379" s="93" t="s">
        <v>237</v>
      </c>
      <c r="C379" s="86"/>
      <c r="D379" s="65">
        <v>400</v>
      </c>
      <c r="E379" s="94">
        <f t="shared" si="44"/>
        <v>368</v>
      </c>
      <c r="F379" s="65">
        <v>258.60000000000002</v>
      </c>
      <c r="G379" s="66">
        <f t="shared" si="41"/>
        <v>109.39999999999998</v>
      </c>
      <c r="H379" s="165">
        <f>124.04+288*3*0.2</f>
        <v>296.84000000000003</v>
      </c>
      <c r="I379" s="87">
        <v>0</v>
      </c>
      <c r="J379" s="377">
        <f t="shared" si="42"/>
        <v>112.04888888888883</v>
      </c>
      <c r="K379" s="378"/>
      <c r="L379" s="78">
        <v>250</v>
      </c>
    </row>
    <row r="380" spans="1:12" x14ac:dyDescent="0.25">
      <c r="A380" s="85">
        <v>114</v>
      </c>
      <c r="B380" s="93" t="s">
        <v>238</v>
      </c>
      <c r="C380" s="91"/>
      <c r="D380" s="91">
        <v>250</v>
      </c>
      <c r="E380" s="94">
        <f t="shared" si="44"/>
        <v>230</v>
      </c>
      <c r="F380" s="65">
        <v>71.8</v>
      </c>
      <c r="G380" s="66">
        <f t="shared" si="41"/>
        <v>158.19999999999999</v>
      </c>
      <c r="H380" s="169">
        <v>160.30000000000001</v>
      </c>
      <c r="I380" s="87">
        <v>0</v>
      </c>
      <c r="J380" s="377">
        <f t="shared" si="42"/>
        <v>95.255555555555532</v>
      </c>
      <c r="K380" s="378"/>
      <c r="L380" s="78">
        <v>250</v>
      </c>
    </row>
    <row r="381" spans="1:12" x14ac:dyDescent="0.25">
      <c r="A381" s="85">
        <v>115</v>
      </c>
      <c r="B381" s="93" t="s">
        <v>239</v>
      </c>
      <c r="C381" s="91"/>
      <c r="D381" s="92" t="s">
        <v>65</v>
      </c>
      <c r="E381" s="65">
        <f>0.92*400*1.4</f>
        <v>515.19999999999993</v>
      </c>
      <c r="F381" s="65">
        <v>259.89999999999998</v>
      </c>
      <c r="G381" s="66">
        <f t="shared" si="41"/>
        <v>255.29999999999995</v>
      </c>
      <c r="H381" s="169">
        <f>55.9+391*3*0.25</f>
        <v>349.15</v>
      </c>
      <c r="I381" s="149">
        <v>0</v>
      </c>
      <c r="J381" s="377">
        <f t="shared" si="42"/>
        <v>223.29444444444437</v>
      </c>
      <c r="K381" s="378"/>
      <c r="L381" s="78">
        <v>250</v>
      </c>
    </row>
    <row r="382" spans="1:12" x14ac:dyDescent="0.25">
      <c r="A382" s="85">
        <v>116</v>
      </c>
      <c r="B382" s="93" t="s">
        <v>240</v>
      </c>
      <c r="C382" s="91"/>
      <c r="D382" s="211">
        <v>400</v>
      </c>
      <c r="E382" s="94">
        <f t="shared" si="44"/>
        <v>368</v>
      </c>
      <c r="F382" s="65">
        <v>43.1</v>
      </c>
      <c r="G382" s="66">
        <f t="shared" si="41"/>
        <v>324.89999999999998</v>
      </c>
      <c r="H382" s="169">
        <f>44.1+129*0.95*0.14</f>
        <v>61.257000000000005</v>
      </c>
      <c r="I382" s="87">
        <v>1.8</v>
      </c>
      <c r="J382" s="377">
        <f t="shared" si="42"/>
        <v>345.83188888888884</v>
      </c>
      <c r="K382" s="378"/>
      <c r="L382" s="78">
        <v>250</v>
      </c>
    </row>
    <row r="383" spans="1:12" x14ac:dyDescent="0.25">
      <c r="A383" s="85">
        <v>117</v>
      </c>
      <c r="B383" s="93" t="s">
        <v>241</v>
      </c>
      <c r="C383" s="91"/>
      <c r="D383" s="211">
        <v>100</v>
      </c>
      <c r="E383" s="94">
        <f t="shared" si="44"/>
        <v>92</v>
      </c>
      <c r="F383" s="65">
        <v>15.32</v>
      </c>
      <c r="G383" s="66">
        <f t="shared" si="41"/>
        <v>76.680000000000007</v>
      </c>
      <c r="H383" s="169">
        <f>22.6+6*3.07*0.51</f>
        <v>31.994199999999999</v>
      </c>
      <c r="I383" s="87">
        <v>0</v>
      </c>
      <c r="J383" s="377">
        <f t="shared" si="42"/>
        <v>70.228022222222222</v>
      </c>
      <c r="K383" s="378"/>
      <c r="L383" s="78">
        <v>250</v>
      </c>
    </row>
    <row r="384" spans="1:12" x14ac:dyDescent="0.25">
      <c r="A384" s="85">
        <v>118</v>
      </c>
      <c r="B384" s="93" t="s">
        <v>242</v>
      </c>
      <c r="C384" s="91"/>
      <c r="D384" s="213">
        <v>100</v>
      </c>
      <c r="E384" s="94">
        <f t="shared" si="44"/>
        <v>92</v>
      </c>
      <c r="F384" s="65">
        <v>21.2</v>
      </c>
      <c r="G384" s="66">
        <f t="shared" si="41"/>
        <v>70.8</v>
      </c>
      <c r="H384" s="169">
        <f>6.4+23*3*0.25</f>
        <v>23.65</v>
      </c>
      <c r="I384" s="87">
        <v>0</v>
      </c>
      <c r="J384" s="377">
        <f t="shared" si="42"/>
        <v>78.572222222222223</v>
      </c>
      <c r="K384" s="378"/>
      <c r="L384" s="78">
        <v>250</v>
      </c>
    </row>
    <row r="385" spans="1:12" x14ac:dyDescent="0.25">
      <c r="A385" s="85">
        <v>119</v>
      </c>
      <c r="B385" s="93" t="s">
        <v>243</v>
      </c>
      <c r="C385" s="91"/>
      <c r="D385" s="213">
        <v>250</v>
      </c>
      <c r="E385" s="94">
        <f t="shared" si="44"/>
        <v>230</v>
      </c>
      <c r="F385" s="65">
        <v>23.6</v>
      </c>
      <c r="G385" s="66">
        <f t="shared" si="41"/>
        <v>206.4</v>
      </c>
      <c r="H385" s="169">
        <f>5.8+42*2.5*0.2</f>
        <v>26.8</v>
      </c>
      <c r="I385" s="87">
        <v>0</v>
      </c>
      <c r="J385" s="377">
        <f t="shared" si="42"/>
        <v>228.75555555555553</v>
      </c>
      <c r="K385" s="378"/>
      <c r="L385" s="78">
        <v>250</v>
      </c>
    </row>
    <row r="386" spans="1:12" x14ac:dyDescent="0.25">
      <c r="A386" s="85">
        <v>120</v>
      </c>
      <c r="B386" s="93" t="s">
        <v>244</v>
      </c>
      <c r="C386" s="86"/>
      <c r="D386" s="213">
        <v>250</v>
      </c>
      <c r="E386" s="94">
        <f t="shared" si="44"/>
        <v>230</v>
      </c>
      <c r="F386" s="65">
        <v>51.4</v>
      </c>
      <c r="G386" s="66">
        <f t="shared" si="41"/>
        <v>178.6</v>
      </c>
      <c r="H386" s="165">
        <f>78.44+71*1.45*0.16</f>
        <v>94.912000000000006</v>
      </c>
      <c r="I386" s="87">
        <v>0</v>
      </c>
      <c r="J386" s="377">
        <f t="shared" si="42"/>
        <v>160.64355555555554</v>
      </c>
      <c r="K386" s="378"/>
      <c r="L386" s="78">
        <v>250</v>
      </c>
    </row>
    <row r="387" spans="1:12" x14ac:dyDescent="0.25">
      <c r="A387" s="85">
        <v>121</v>
      </c>
      <c r="B387" s="93" t="s">
        <v>245</v>
      </c>
      <c r="C387" s="91"/>
      <c r="D387" s="213">
        <v>400</v>
      </c>
      <c r="E387" s="94">
        <f t="shared" si="44"/>
        <v>368</v>
      </c>
      <c r="F387" s="65">
        <f>(70+63+83)*0.22</f>
        <v>47.52</v>
      </c>
      <c r="G387" s="66">
        <f t="shared" si="41"/>
        <v>320.48</v>
      </c>
      <c r="H387" s="169">
        <f>79.3+63*3*0.16</f>
        <v>109.53999999999999</v>
      </c>
      <c r="I387" s="87">
        <v>0</v>
      </c>
      <c r="J387" s="379">
        <f t="shared" si="42"/>
        <v>299.34888888888884</v>
      </c>
      <c r="K387" s="380"/>
      <c r="L387" s="78">
        <v>250</v>
      </c>
    </row>
    <row r="388" spans="1:12" x14ac:dyDescent="0.25">
      <c r="A388" s="85">
        <v>122</v>
      </c>
      <c r="B388" s="93" t="s">
        <v>246</v>
      </c>
      <c r="C388" s="91"/>
      <c r="D388" s="213">
        <v>160</v>
      </c>
      <c r="E388" s="94">
        <f t="shared" si="44"/>
        <v>147.20000000000002</v>
      </c>
      <c r="F388" s="65">
        <v>53.8</v>
      </c>
      <c r="G388" s="66">
        <f t="shared" si="41"/>
        <v>93.40000000000002</v>
      </c>
      <c r="H388" s="169">
        <f>35.51+59*1.14-0.16+10</f>
        <v>112.60999999999999</v>
      </c>
      <c r="I388" s="97">
        <v>0</v>
      </c>
      <c r="J388" s="377">
        <f>E388*1/0.67-(H388+I388)</f>
        <v>107.09149253731346</v>
      </c>
      <c r="K388" s="378"/>
      <c r="L388" s="78">
        <v>250</v>
      </c>
    </row>
    <row r="389" spans="1:12" x14ac:dyDescent="0.25">
      <c r="A389" s="85">
        <v>123</v>
      </c>
      <c r="B389" s="93" t="s">
        <v>247</v>
      </c>
      <c r="C389" s="91"/>
      <c r="D389" s="213">
        <v>250</v>
      </c>
      <c r="E389" s="94">
        <f t="shared" si="44"/>
        <v>230</v>
      </c>
      <c r="F389" s="65">
        <v>39.119999999999997</v>
      </c>
      <c r="G389" s="66">
        <f t="shared" si="41"/>
        <v>190.88</v>
      </c>
      <c r="H389" s="169">
        <f>49.8+76*1.5*0.2+3</f>
        <v>75.599999999999994</v>
      </c>
      <c r="I389" s="87">
        <v>0</v>
      </c>
      <c r="J389" s="377">
        <f t="shared" si="42"/>
        <v>179.95555555555555</v>
      </c>
      <c r="K389" s="378"/>
      <c r="L389" s="78">
        <v>250</v>
      </c>
    </row>
    <row r="390" spans="1:12" x14ac:dyDescent="0.25">
      <c r="A390" s="85">
        <v>124</v>
      </c>
      <c r="B390" s="89" t="s">
        <v>248</v>
      </c>
      <c r="C390" s="86"/>
      <c r="D390" s="92">
        <v>400</v>
      </c>
      <c r="E390" s="94">
        <f t="shared" si="44"/>
        <v>368</v>
      </c>
      <c r="F390" s="65">
        <v>74.8</v>
      </c>
      <c r="G390" s="66">
        <f t="shared" si="41"/>
        <v>293.2</v>
      </c>
      <c r="H390" s="219">
        <v>227</v>
      </c>
      <c r="I390" s="87">
        <v>0</v>
      </c>
      <c r="J390" s="377">
        <f t="shared" si="42"/>
        <v>181.88888888888886</v>
      </c>
      <c r="K390" s="378"/>
      <c r="L390" s="78">
        <v>250</v>
      </c>
    </row>
    <row r="391" spans="1:12" x14ac:dyDescent="0.25">
      <c r="A391" s="85">
        <v>125</v>
      </c>
      <c r="B391" s="89" t="s">
        <v>249</v>
      </c>
      <c r="C391" s="91"/>
      <c r="D391" s="92">
        <v>400</v>
      </c>
      <c r="E391" s="94">
        <f t="shared" si="44"/>
        <v>368</v>
      </c>
      <c r="F391" s="65">
        <v>93.7</v>
      </c>
      <c r="G391" s="66">
        <f t="shared" si="41"/>
        <v>274.3</v>
      </c>
      <c r="H391" s="219">
        <f>396*2.5*0.2</f>
        <v>198</v>
      </c>
      <c r="I391" s="87">
        <v>0</v>
      </c>
      <c r="J391" s="377">
        <f t="shared" si="42"/>
        <v>210.88888888888886</v>
      </c>
      <c r="K391" s="378"/>
      <c r="L391" s="78">
        <v>250</v>
      </c>
    </row>
    <row r="392" spans="1:12" x14ac:dyDescent="0.25">
      <c r="A392" s="85">
        <v>126</v>
      </c>
      <c r="B392" s="89" t="s">
        <v>250</v>
      </c>
      <c r="C392" s="91"/>
      <c r="D392" s="92">
        <v>400</v>
      </c>
      <c r="E392" s="94">
        <f t="shared" si="44"/>
        <v>368</v>
      </c>
      <c r="F392" s="65">
        <v>53.51</v>
      </c>
      <c r="G392" s="66">
        <f t="shared" si="41"/>
        <v>314.49</v>
      </c>
      <c r="H392" s="169">
        <f>(8+7.8+8+8+8+8+10+8+8)*0.6+76*2.5*0.25</f>
        <v>91.78</v>
      </c>
      <c r="I392" s="87">
        <v>0</v>
      </c>
      <c r="J392" s="377">
        <f t="shared" si="42"/>
        <v>317.10888888888883</v>
      </c>
      <c r="K392" s="378"/>
      <c r="L392" s="78">
        <v>250</v>
      </c>
    </row>
    <row r="393" spans="1:12" ht="15.75" thickBot="1" x14ac:dyDescent="0.3">
      <c r="A393" s="98">
        <v>127</v>
      </c>
      <c r="B393" s="99" t="s">
        <v>251</v>
      </c>
      <c r="C393" s="100"/>
      <c r="D393" s="92">
        <v>400</v>
      </c>
      <c r="E393" s="94">
        <f t="shared" si="44"/>
        <v>368</v>
      </c>
      <c r="F393" s="65">
        <v>33.5</v>
      </c>
      <c r="G393" s="102">
        <f t="shared" si="41"/>
        <v>334.5</v>
      </c>
      <c r="H393" s="169">
        <f>61.9*0.7+77*1.8*0.2</f>
        <v>71.05</v>
      </c>
      <c r="I393" s="87">
        <v>0</v>
      </c>
      <c r="J393" s="385">
        <f t="shared" si="42"/>
        <v>337.83888888888885</v>
      </c>
      <c r="K393" s="386"/>
      <c r="L393" s="78">
        <v>250</v>
      </c>
    </row>
    <row r="394" spans="1:12" ht="15.75" thickBot="1" x14ac:dyDescent="0.3">
      <c r="A394" s="315" t="s">
        <v>292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7"/>
    </row>
    <row r="395" spans="1:12" x14ac:dyDescent="0.25">
      <c r="A395" s="81">
        <v>128</v>
      </c>
      <c r="B395" s="104" t="s">
        <v>252</v>
      </c>
      <c r="C395" s="105"/>
      <c r="D395" s="106">
        <v>160</v>
      </c>
      <c r="E395" s="107">
        <f>0.92*D395</f>
        <v>147.20000000000002</v>
      </c>
      <c r="F395" s="65">
        <v>2.4</v>
      </c>
      <c r="G395" s="83">
        <f t="shared" ref="G395:G400" si="45">E395-F395</f>
        <v>144.80000000000001</v>
      </c>
      <c r="H395" s="75">
        <v>2</v>
      </c>
      <c r="I395" s="84">
        <v>0</v>
      </c>
      <c r="J395" s="318">
        <f t="shared" ref="J395:J399" si="46">E395*1/0.9-(H395+I395)</f>
        <v>161.55555555555557</v>
      </c>
      <c r="K395" s="318"/>
      <c r="L395" s="108">
        <v>250</v>
      </c>
    </row>
    <row r="396" spans="1:12" x14ac:dyDescent="0.25">
      <c r="A396" s="85">
        <v>130</v>
      </c>
      <c r="B396" s="93" t="s">
        <v>253</v>
      </c>
      <c r="C396" s="91"/>
      <c r="D396" s="96">
        <v>250</v>
      </c>
      <c r="E396" s="94">
        <f>0.92*D396</f>
        <v>230</v>
      </c>
      <c r="F396" s="65">
        <v>86.38</v>
      </c>
      <c r="G396" s="66">
        <f t="shared" si="45"/>
        <v>143.62</v>
      </c>
      <c r="H396" s="72">
        <f>109.8+222*1.3*0.15</f>
        <v>153.09</v>
      </c>
      <c r="I396" s="87">
        <v>0</v>
      </c>
      <c r="J396" s="296">
        <f t="shared" si="46"/>
        <v>102.46555555555554</v>
      </c>
      <c r="K396" s="296"/>
      <c r="L396" s="76">
        <v>250</v>
      </c>
    </row>
    <row r="397" spans="1:12" x14ac:dyDescent="0.25">
      <c r="A397" s="85">
        <v>131</v>
      </c>
      <c r="B397" s="93" t="s">
        <v>254</v>
      </c>
      <c r="C397" s="91"/>
      <c r="D397" s="96" t="s">
        <v>255</v>
      </c>
      <c r="E397" s="94">
        <f>0.92*400*1.4</f>
        <v>515.19999999999993</v>
      </c>
      <c r="F397" s="65">
        <v>2</v>
      </c>
      <c r="G397" s="66">
        <f t="shared" si="45"/>
        <v>513.19999999999993</v>
      </c>
      <c r="H397" s="72">
        <v>1120</v>
      </c>
      <c r="I397" s="87">
        <v>0</v>
      </c>
      <c r="J397" s="281">
        <v>0</v>
      </c>
      <c r="K397" s="281"/>
      <c r="L397" s="77" t="s">
        <v>19</v>
      </c>
    </row>
    <row r="398" spans="1:12" x14ac:dyDescent="0.25">
      <c r="A398" s="85">
        <v>132</v>
      </c>
      <c r="B398" s="93" t="s">
        <v>256</v>
      </c>
      <c r="C398" s="91"/>
      <c r="D398" s="91" t="s">
        <v>51</v>
      </c>
      <c r="E398" s="94">
        <f>0.92*400*1.4</f>
        <v>515.19999999999993</v>
      </c>
      <c r="F398" s="65">
        <v>127.15</v>
      </c>
      <c r="G398" s="66">
        <f t="shared" si="45"/>
        <v>388.04999999999995</v>
      </c>
      <c r="H398" s="72">
        <f>135.1+273*2.5*0.2</f>
        <v>271.60000000000002</v>
      </c>
      <c r="I398" s="87">
        <v>0</v>
      </c>
      <c r="J398" s="296">
        <f t="shared" si="46"/>
        <v>300.84444444444432</v>
      </c>
      <c r="K398" s="296"/>
      <c r="L398" s="78">
        <v>250</v>
      </c>
    </row>
    <row r="399" spans="1:12" ht="15.75" thickBot="1" x14ac:dyDescent="0.3">
      <c r="A399" s="85">
        <v>133</v>
      </c>
      <c r="B399" s="89" t="s">
        <v>257</v>
      </c>
      <c r="C399" s="91"/>
      <c r="D399" s="92">
        <v>160</v>
      </c>
      <c r="E399" s="94">
        <f>0.92*D399</f>
        <v>147.20000000000002</v>
      </c>
      <c r="F399" s="65">
        <v>29.2</v>
      </c>
      <c r="G399" s="66">
        <f t="shared" si="45"/>
        <v>118.00000000000001</v>
      </c>
      <c r="H399" s="72">
        <v>130.15</v>
      </c>
      <c r="I399" s="87">
        <v>0</v>
      </c>
      <c r="J399" s="296">
        <f t="shared" si="46"/>
        <v>33.405555555555566</v>
      </c>
      <c r="K399" s="296"/>
      <c r="L399" s="78">
        <v>250</v>
      </c>
    </row>
    <row r="400" spans="1:12" ht="15.75" thickBot="1" x14ac:dyDescent="0.3">
      <c r="A400" s="98">
        <v>134</v>
      </c>
      <c r="B400" s="109" t="s">
        <v>258</v>
      </c>
      <c r="C400" s="100"/>
      <c r="D400" s="100" t="s">
        <v>161</v>
      </c>
      <c r="E400" s="101">
        <f>0.92*180*1.4</f>
        <v>231.83999999999997</v>
      </c>
      <c r="F400" s="65">
        <v>58.82</v>
      </c>
      <c r="G400" s="102">
        <f t="shared" si="45"/>
        <v>173.01999999999998</v>
      </c>
      <c r="H400" s="80">
        <v>293.62</v>
      </c>
      <c r="I400" s="103">
        <v>3</v>
      </c>
      <c r="J400" s="296">
        <f>E400*1/0.67-(H400+I400)</f>
        <v>49.409850746268603</v>
      </c>
      <c r="K400" s="296"/>
      <c r="L400" s="108">
        <v>250</v>
      </c>
    </row>
    <row r="401" spans="1:12" ht="15.75" thickBot="1" x14ac:dyDescent="0.3">
      <c r="A401" s="319" t="s">
        <v>329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</row>
    <row r="402" spans="1:12" x14ac:dyDescent="0.25">
      <c r="A402" s="81">
        <v>135</v>
      </c>
      <c r="B402" s="110" t="s">
        <v>259</v>
      </c>
      <c r="C402" s="105"/>
      <c r="D402" s="111">
        <v>100</v>
      </c>
      <c r="E402" s="107">
        <f>0.92*D402</f>
        <v>92</v>
      </c>
      <c r="F402" s="65">
        <v>31</v>
      </c>
      <c r="G402" s="83">
        <f t="shared" ref="G402:G412" si="47">E402-F402</f>
        <v>61</v>
      </c>
      <c r="H402" s="75">
        <f>10*3.53</f>
        <v>35.299999999999997</v>
      </c>
      <c r="I402" s="84">
        <v>0</v>
      </c>
      <c r="J402" s="318">
        <f>E402*1/0.9-(H402+I402)</f>
        <v>66.922222222222217</v>
      </c>
      <c r="K402" s="318"/>
      <c r="L402" s="76">
        <v>250</v>
      </c>
    </row>
    <row r="403" spans="1:12" x14ac:dyDescent="0.25">
      <c r="A403" s="85">
        <v>136</v>
      </c>
      <c r="B403" s="93" t="s">
        <v>260</v>
      </c>
      <c r="C403" s="91"/>
      <c r="D403" s="96">
        <v>250</v>
      </c>
      <c r="E403" s="94">
        <f t="shared" ref="E403:E412" si="48">0.92*D403</f>
        <v>230</v>
      </c>
      <c r="F403" s="65">
        <v>75.2</v>
      </c>
      <c r="G403" s="66">
        <f t="shared" si="47"/>
        <v>154.80000000000001</v>
      </c>
      <c r="H403" s="72">
        <f>(0.7+1.5+88.96+3+1+8.61+5+6)+37*1.7*0.18</f>
        <v>126.092</v>
      </c>
      <c r="I403" s="87">
        <v>0</v>
      </c>
      <c r="J403" s="296">
        <f t="shared" ref="J403:J412" si="49">E403*1/0.9-(H403+I403)</f>
        <v>129.46355555555556</v>
      </c>
      <c r="K403" s="296"/>
      <c r="L403" s="78">
        <v>250</v>
      </c>
    </row>
    <row r="404" spans="1:12" x14ac:dyDescent="0.25">
      <c r="A404" s="85">
        <v>137</v>
      </c>
      <c r="B404" s="93" t="s">
        <v>261</v>
      </c>
      <c r="C404" s="91"/>
      <c r="D404" s="96">
        <v>250</v>
      </c>
      <c r="E404" s="94">
        <f t="shared" si="48"/>
        <v>230</v>
      </c>
      <c r="F404" s="65">
        <v>21.7</v>
      </c>
      <c r="G404" s="66">
        <f t="shared" si="47"/>
        <v>208.3</v>
      </c>
      <c r="H404" s="72">
        <f>(3+1+10.6+24.2)+104*1*0.14</f>
        <v>53.36</v>
      </c>
      <c r="I404" s="87">
        <v>0</v>
      </c>
      <c r="J404" s="296">
        <f t="shared" si="49"/>
        <v>202.19555555555553</v>
      </c>
      <c r="K404" s="296"/>
      <c r="L404" s="78">
        <v>250</v>
      </c>
    </row>
    <row r="405" spans="1:12" x14ac:dyDescent="0.25">
      <c r="A405" s="85">
        <v>138</v>
      </c>
      <c r="B405" s="93" t="s">
        <v>262</v>
      </c>
      <c r="C405" s="91"/>
      <c r="D405" s="96">
        <v>160</v>
      </c>
      <c r="E405" s="94">
        <f t="shared" si="48"/>
        <v>147.20000000000002</v>
      </c>
      <c r="F405" s="65">
        <v>29</v>
      </c>
      <c r="G405" s="66">
        <f t="shared" si="47"/>
        <v>118.20000000000002</v>
      </c>
      <c r="H405" s="72">
        <f>(12.95+3+0.3+0.7+2.36+2+2+3.7+1+1.5+2.24+3.15+0.42+2+1.8+4.35+0.4+6)+59*1.14*0.16</f>
        <v>60.631599999999999</v>
      </c>
      <c r="I405" s="87">
        <v>0</v>
      </c>
      <c r="J405" s="296">
        <f t="shared" si="49"/>
        <v>102.92395555555558</v>
      </c>
      <c r="K405" s="296"/>
      <c r="L405" s="78">
        <v>250</v>
      </c>
    </row>
    <row r="406" spans="1:12" x14ac:dyDescent="0.25">
      <c r="A406" s="85">
        <v>139</v>
      </c>
      <c r="B406" s="93" t="s">
        <v>263</v>
      </c>
      <c r="C406" s="91"/>
      <c r="D406" s="96">
        <v>250</v>
      </c>
      <c r="E406" s="94">
        <f t="shared" si="48"/>
        <v>230</v>
      </c>
      <c r="F406" s="65">
        <v>116.4</v>
      </c>
      <c r="G406" s="66">
        <f t="shared" si="47"/>
        <v>113.6</v>
      </c>
      <c r="H406" s="72">
        <f>(6.4+45.61+1+1+241.9)+157*0.95*0.13</f>
        <v>315.29950000000002</v>
      </c>
      <c r="I406" s="87">
        <v>0</v>
      </c>
      <c r="J406" s="296">
        <f>E406*1/0.67-(H406+I406)</f>
        <v>27.984082089552203</v>
      </c>
      <c r="K406" s="296"/>
      <c r="L406" s="78">
        <v>250</v>
      </c>
    </row>
    <row r="407" spans="1:12" x14ac:dyDescent="0.25">
      <c r="A407" s="85">
        <v>140</v>
      </c>
      <c r="B407" s="93" t="s">
        <v>264</v>
      </c>
      <c r="C407" s="86"/>
      <c r="D407" s="96">
        <v>400</v>
      </c>
      <c r="E407" s="94">
        <f t="shared" si="48"/>
        <v>368</v>
      </c>
      <c r="F407" s="65">
        <v>35.22</v>
      </c>
      <c r="G407" s="66">
        <f t="shared" si="47"/>
        <v>332.78</v>
      </c>
      <c r="H407" s="66">
        <f>(0.76+0.94+4.53+6.51+17.14+2+2.12+6.6)+7*3.23*0.5</f>
        <v>51.905000000000001</v>
      </c>
      <c r="I407" s="87">
        <v>0</v>
      </c>
      <c r="J407" s="296">
        <f t="shared" si="49"/>
        <v>356.98388888888883</v>
      </c>
      <c r="K407" s="296"/>
      <c r="L407" s="78">
        <v>250</v>
      </c>
    </row>
    <row r="408" spans="1:12" x14ac:dyDescent="0.25">
      <c r="A408" s="85">
        <v>141</v>
      </c>
      <c r="B408" s="93" t="s">
        <v>265</v>
      </c>
      <c r="C408" s="91"/>
      <c r="D408" s="96">
        <v>250</v>
      </c>
      <c r="E408" s="94">
        <f t="shared" si="48"/>
        <v>230</v>
      </c>
      <c r="F408" s="65">
        <v>36.700000000000003</v>
      </c>
      <c r="G408" s="66">
        <f t="shared" si="47"/>
        <v>193.3</v>
      </c>
      <c r="H408" s="72">
        <f>(3.14+14.28+3.8+2+7.85+1+0.4+2+5.5+0.9)+74*1.1*0.16</f>
        <v>53.893999999999998</v>
      </c>
      <c r="I408" s="87">
        <v>0</v>
      </c>
      <c r="J408" s="296">
        <f t="shared" si="49"/>
        <v>201.66155555555554</v>
      </c>
      <c r="K408" s="296"/>
      <c r="L408" s="78">
        <v>250</v>
      </c>
    </row>
    <row r="409" spans="1:12" x14ac:dyDescent="0.25">
      <c r="A409" s="85">
        <v>142</v>
      </c>
      <c r="B409" s="93" t="s">
        <v>266</v>
      </c>
      <c r="C409" s="91"/>
      <c r="D409" s="112">
        <v>250</v>
      </c>
      <c r="E409" s="94">
        <f t="shared" si="48"/>
        <v>230</v>
      </c>
      <c r="F409" s="65">
        <v>15</v>
      </c>
      <c r="G409" s="66">
        <f t="shared" si="47"/>
        <v>215</v>
      </c>
      <c r="H409" s="72">
        <f>15+40*1.31*0.18</f>
        <v>24.432000000000002</v>
      </c>
      <c r="I409" s="87">
        <v>0</v>
      </c>
      <c r="J409" s="296">
        <f t="shared" si="49"/>
        <v>231.12355555555553</v>
      </c>
      <c r="K409" s="296"/>
      <c r="L409" s="78">
        <v>250</v>
      </c>
    </row>
    <row r="410" spans="1:12" x14ac:dyDescent="0.25">
      <c r="A410" s="85">
        <v>143</v>
      </c>
      <c r="B410" s="93" t="s">
        <v>267</v>
      </c>
      <c r="C410" s="91"/>
      <c r="D410" s="96">
        <v>250</v>
      </c>
      <c r="E410" s="94">
        <f t="shared" si="48"/>
        <v>230</v>
      </c>
      <c r="F410" s="65">
        <v>42.9</v>
      </c>
      <c r="G410" s="66">
        <f t="shared" si="47"/>
        <v>187.1</v>
      </c>
      <c r="H410" s="72">
        <f>3.36+133*2.5*0.15</f>
        <v>53.234999999999999</v>
      </c>
      <c r="I410" s="87">
        <v>0</v>
      </c>
      <c r="J410" s="296">
        <f t="shared" si="49"/>
        <v>202.32055555555553</v>
      </c>
      <c r="K410" s="296"/>
      <c r="L410" s="78">
        <v>250</v>
      </c>
    </row>
    <row r="411" spans="1:12" x14ac:dyDescent="0.25">
      <c r="A411" s="85">
        <v>144</v>
      </c>
      <c r="B411" s="93" t="s">
        <v>268</v>
      </c>
      <c r="C411" s="91"/>
      <c r="D411" s="60">
        <v>250</v>
      </c>
      <c r="E411" s="94">
        <f t="shared" si="48"/>
        <v>230</v>
      </c>
      <c r="F411" s="65">
        <v>39.1</v>
      </c>
      <c r="G411" s="66">
        <f t="shared" si="47"/>
        <v>190.9</v>
      </c>
      <c r="H411" s="72">
        <f>(1.2+2+2+5)+118*2.5*0.15</f>
        <v>54.45</v>
      </c>
      <c r="I411" s="87">
        <v>0</v>
      </c>
      <c r="J411" s="296">
        <f t="shared" si="49"/>
        <v>201.10555555555555</v>
      </c>
      <c r="K411" s="296"/>
      <c r="L411" s="78">
        <v>250</v>
      </c>
    </row>
    <row r="412" spans="1:12" ht="15.75" thickBot="1" x14ac:dyDescent="0.3">
      <c r="A412" s="98">
        <v>145</v>
      </c>
      <c r="B412" s="109" t="s">
        <v>269</v>
      </c>
      <c r="C412" s="100"/>
      <c r="D412" s="113">
        <v>250</v>
      </c>
      <c r="E412" s="101">
        <f t="shared" si="48"/>
        <v>230</v>
      </c>
      <c r="F412" s="65">
        <v>23</v>
      </c>
      <c r="G412" s="102">
        <f t="shared" si="47"/>
        <v>207</v>
      </c>
      <c r="H412" s="80">
        <f>(8.3+2.5)+103*2.5*0.14</f>
        <v>46.850000000000009</v>
      </c>
      <c r="I412" s="103">
        <v>0</v>
      </c>
      <c r="J412" s="297">
        <f t="shared" si="49"/>
        <v>208.70555555555552</v>
      </c>
      <c r="K412" s="297"/>
      <c r="L412" s="78">
        <v>250</v>
      </c>
    </row>
    <row r="413" spans="1:12" ht="15.75" thickBot="1" x14ac:dyDescent="0.3">
      <c r="A413" s="300" t="s">
        <v>270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2"/>
    </row>
    <row r="414" spans="1:12" ht="15.75" thickBot="1" x14ac:dyDescent="0.3">
      <c r="A414" s="114">
        <v>146</v>
      </c>
      <c r="B414" s="115" t="s">
        <v>271</v>
      </c>
      <c r="C414" s="116"/>
      <c r="D414" s="117" t="s">
        <v>130</v>
      </c>
      <c r="E414" s="118">
        <f>0.92*320*1.4</f>
        <v>412.16</v>
      </c>
      <c r="F414" s="119">
        <v>66.47</v>
      </c>
      <c r="G414" s="120">
        <f t="shared" ref="G414" si="50">E414-F414</f>
        <v>345.69000000000005</v>
      </c>
      <c r="H414" s="121">
        <v>299</v>
      </c>
      <c r="I414" s="122">
        <v>0</v>
      </c>
      <c r="J414" s="298">
        <f>E414*1/0.9-(H414+I414)</f>
        <v>158.95555555555558</v>
      </c>
      <c r="K414" s="299"/>
      <c r="L414" s="123">
        <v>250</v>
      </c>
    </row>
    <row r="415" spans="1:12" ht="16.5" thickBot="1" x14ac:dyDescent="0.3">
      <c r="A415" s="303" t="s">
        <v>463</v>
      </c>
      <c r="B415" s="304"/>
      <c r="C415" s="304"/>
      <c r="D415" s="304"/>
      <c r="E415" s="304"/>
      <c r="F415" s="304"/>
      <c r="G415" s="304"/>
      <c r="H415" s="304"/>
      <c r="I415" s="304"/>
      <c r="J415" s="304"/>
      <c r="K415" s="304"/>
      <c r="L415" s="290"/>
    </row>
    <row r="416" spans="1:12" ht="15.75" thickBot="1" x14ac:dyDescent="0.3">
      <c r="A416" s="305" t="s">
        <v>465</v>
      </c>
      <c r="B416" s="306"/>
      <c r="C416" s="306"/>
      <c r="D416" s="306"/>
      <c r="E416" s="306"/>
      <c r="F416" s="306"/>
      <c r="G416" s="306"/>
      <c r="H416" s="306"/>
      <c r="I416" s="306"/>
      <c r="J416" s="306"/>
      <c r="K416" s="306"/>
      <c r="L416" s="307"/>
    </row>
    <row r="417" spans="1:12" x14ac:dyDescent="0.25">
      <c r="A417" s="124">
        <v>1</v>
      </c>
      <c r="B417" s="74" t="s">
        <v>759</v>
      </c>
      <c r="C417" s="74"/>
      <c r="D417" s="74" t="s">
        <v>60</v>
      </c>
      <c r="E417" s="75">
        <f>630*0.92*1.4</f>
        <v>811.43999999999994</v>
      </c>
      <c r="F417" s="74">
        <v>107.5</v>
      </c>
      <c r="G417" s="75">
        <f t="shared" ref="G417:G418" si="51">E417-F417</f>
        <v>703.93999999999994</v>
      </c>
      <c r="H417" s="75">
        <v>882.1</v>
      </c>
      <c r="I417" s="74">
        <v>0</v>
      </c>
      <c r="J417" s="311">
        <f>E417*1/0.9-(H417+I417)</f>
        <v>19.499999999999886</v>
      </c>
      <c r="K417" s="311"/>
      <c r="L417" s="125">
        <v>250</v>
      </c>
    </row>
    <row r="418" spans="1:12" ht="15.75" thickBot="1" x14ac:dyDescent="0.3">
      <c r="A418" s="126">
        <v>2</v>
      </c>
      <c r="B418" s="70" t="s">
        <v>760</v>
      </c>
      <c r="C418" s="70"/>
      <c r="D418" s="70">
        <v>160</v>
      </c>
      <c r="E418" s="72">
        <f>D418*0.92</f>
        <v>147.20000000000002</v>
      </c>
      <c r="F418" s="70">
        <v>20</v>
      </c>
      <c r="G418" s="72">
        <f t="shared" si="51"/>
        <v>127.20000000000002</v>
      </c>
      <c r="H418" s="72">
        <v>136</v>
      </c>
      <c r="I418" s="70">
        <v>0</v>
      </c>
      <c r="J418" s="312">
        <f t="shared" ref="J418" si="52">E418*1/0.9-(H418+I418)</f>
        <v>27.555555555555571</v>
      </c>
      <c r="K418" s="312"/>
      <c r="L418" s="127">
        <v>250</v>
      </c>
    </row>
    <row r="419" spans="1:12" ht="15.75" thickBot="1" x14ac:dyDescent="0.3">
      <c r="A419" s="308" t="s">
        <v>466</v>
      </c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10"/>
    </row>
    <row r="420" spans="1:12" x14ac:dyDescent="0.25">
      <c r="A420" s="126">
        <v>3</v>
      </c>
      <c r="B420" s="70" t="s">
        <v>761</v>
      </c>
      <c r="C420" s="70"/>
      <c r="D420" s="70">
        <v>560</v>
      </c>
      <c r="E420" s="72">
        <f t="shared" ref="E420:E424" si="53">D420*0.92</f>
        <v>515.20000000000005</v>
      </c>
      <c r="F420" s="70">
        <v>45</v>
      </c>
      <c r="G420" s="72">
        <f t="shared" ref="G420:G424" si="54">E420-F420</f>
        <v>470.20000000000005</v>
      </c>
      <c r="H420" s="72">
        <v>710</v>
      </c>
      <c r="I420" s="70">
        <v>0</v>
      </c>
      <c r="J420" s="281">
        <v>0</v>
      </c>
      <c r="K420" s="281"/>
      <c r="L420" s="77" t="s">
        <v>19</v>
      </c>
    </row>
    <row r="421" spans="1:12" x14ac:dyDescent="0.25">
      <c r="A421" s="126">
        <v>4</v>
      </c>
      <c r="B421" s="70" t="s">
        <v>762</v>
      </c>
      <c r="C421" s="128"/>
      <c r="D421" s="128">
        <v>1000</v>
      </c>
      <c r="E421" s="72">
        <f t="shared" si="53"/>
        <v>920</v>
      </c>
      <c r="F421" s="128">
        <v>217</v>
      </c>
      <c r="G421" s="72">
        <f t="shared" si="54"/>
        <v>703</v>
      </c>
      <c r="H421" s="44">
        <v>850</v>
      </c>
      <c r="I421" s="70">
        <v>0</v>
      </c>
      <c r="J421" s="282">
        <f t="shared" ref="J421:J424" si="55">E421*1/0.9-(H421+I421)</f>
        <v>172.22222222222217</v>
      </c>
      <c r="K421" s="283"/>
      <c r="L421" s="127">
        <v>250</v>
      </c>
    </row>
    <row r="422" spans="1:12" x14ac:dyDescent="0.25">
      <c r="A422" s="126">
        <v>5</v>
      </c>
      <c r="B422" s="70" t="s">
        <v>763</v>
      </c>
      <c r="C422" s="70"/>
      <c r="D422" s="70">
        <v>1000</v>
      </c>
      <c r="E422" s="72">
        <f t="shared" si="53"/>
        <v>920</v>
      </c>
      <c r="F422" s="70">
        <v>16.2</v>
      </c>
      <c r="G422" s="72">
        <f t="shared" si="54"/>
        <v>903.8</v>
      </c>
      <c r="H422" s="72">
        <v>8</v>
      </c>
      <c r="I422" s="70">
        <v>0</v>
      </c>
      <c r="J422" s="282">
        <f t="shared" si="55"/>
        <v>1014.2222222222222</v>
      </c>
      <c r="K422" s="283"/>
      <c r="L422" s="127">
        <v>250</v>
      </c>
    </row>
    <row r="423" spans="1:12" x14ac:dyDescent="0.25">
      <c r="A423" s="126">
        <v>6</v>
      </c>
      <c r="B423" s="70" t="s">
        <v>764</v>
      </c>
      <c r="C423" s="70"/>
      <c r="D423" s="70">
        <v>400</v>
      </c>
      <c r="E423" s="72">
        <f t="shared" si="53"/>
        <v>368</v>
      </c>
      <c r="F423" s="70">
        <v>21</v>
      </c>
      <c r="G423" s="72">
        <f t="shared" si="54"/>
        <v>347</v>
      </c>
      <c r="H423" s="72">
        <v>32</v>
      </c>
      <c r="I423" s="70">
        <v>0</v>
      </c>
      <c r="J423" s="282">
        <f t="shared" si="55"/>
        <v>376.88888888888886</v>
      </c>
      <c r="K423" s="283"/>
      <c r="L423" s="127">
        <v>250</v>
      </c>
    </row>
    <row r="424" spans="1:12" ht="15.75" thickBot="1" x14ac:dyDescent="0.3">
      <c r="A424" s="126">
        <v>7</v>
      </c>
      <c r="B424" s="70" t="s">
        <v>765</v>
      </c>
      <c r="C424" s="70"/>
      <c r="D424" s="70">
        <v>630</v>
      </c>
      <c r="E424" s="72">
        <f t="shared" si="53"/>
        <v>579.6</v>
      </c>
      <c r="F424" s="70">
        <v>5.5</v>
      </c>
      <c r="G424" s="72">
        <f t="shared" si="54"/>
        <v>574.1</v>
      </c>
      <c r="H424" s="72">
        <v>230</v>
      </c>
      <c r="I424" s="70">
        <v>0</v>
      </c>
      <c r="J424" s="294">
        <f t="shared" si="55"/>
        <v>414</v>
      </c>
      <c r="K424" s="295"/>
      <c r="L424" s="127">
        <v>250</v>
      </c>
    </row>
    <row r="425" spans="1:12" ht="15.75" thickBot="1" x14ac:dyDescent="0.3">
      <c r="A425" s="308" t="s">
        <v>467</v>
      </c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10"/>
    </row>
    <row r="426" spans="1:12" x14ac:dyDescent="0.25">
      <c r="A426" s="126">
        <v>8</v>
      </c>
      <c r="B426" s="70" t="s">
        <v>766</v>
      </c>
      <c r="C426" s="70"/>
      <c r="D426" s="70">
        <v>400</v>
      </c>
      <c r="E426" s="72">
        <f t="shared" ref="E426:E437" si="56">D426*0.92</f>
        <v>368</v>
      </c>
      <c r="F426" s="70">
        <v>112.3</v>
      </c>
      <c r="G426" s="72">
        <f t="shared" ref="G426:G437" si="57">E426-F426</f>
        <v>255.7</v>
      </c>
      <c r="H426" s="72">
        <v>157</v>
      </c>
      <c r="I426" s="210">
        <v>0</v>
      </c>
      <c r="J426" s="313">
        <f t="shared" ref="J426:J437" si="58">E426*1/0.9-(H426+I426)</f>
        <v>251.88888888888886</v>
      </c>
      <c r="K426" s="314"/>
      <c r="L426" s="127">
        <v>250</v>
      </c>
    </row>
    <row r="427" spans="1:12" x14ac:dyDescent="0.25">
      <c r="A427" s="126">
        <v>9</v>
      </c>
      <c r="B427" s="70" t="s">
        <v>767</v>
      </c>
      <c r="C427" s="70"/>
      <c r="D427" s="70">
        <v>400</v>
      </c>
      <c r="E427" s="72">
        <f t="shared" si="56"/>
        <v>368</v>
      </c>
      <c r="F427" s="70">
        <v>327</v>
      </c>
      <c r="G427" s="72">
        <f t="shared" si="57"/>
        <v>41</v>
      </c>
      <c r="H427" s="72">
        <v>323.5</v>
      </c>
      <c r="I427" s="21">
        <v>18</v>
      </c>
      <c r="J427" s="282">
        <f>E427*1/0.67-(H427+I427)</f>
        <v>207.75373134328356</v>
      </c>
      <c r="K427" s="283"/>
      <c r="L427" s="127">
        <v>250</v>
      </c>
    </row>
    <row r="428" spans="1:12" x14ac:dyDescent="0.25">
      <c r="A428" s="126">
        <v>10</v>
      </c>
      <c r="B428" s="70" t="s">
        <v>768</v>
      </c>
      <c r="C428" s="70"/>
      <c r="D428" s="70">
        <v>400</v>
      </c>
      <c r="E428" s="72">
        <f t="shared" si="56"/>
        <v>368</v>
      </c>
      <c r="F428" s="70">
        <v>294.3</v>
      </c>
      <c r="G428" s="72">
        <f t="shared" si="57"/>
        <v>73.699999999999989</v>
      </c>
      <c r="H428" s="72">
        <v>200</v>
      </c>
      <c r="I428" s="21">
        <v>0</v>
      </c>
      <c r="J428" s="282">
        <f t="shared" si="58"/>
        <v>208.88888888888886</v>
      </c>
      <c r="K428" s="283"/>
      <c r="L428" s="127">
        <v>250</v>
      </c>
    </row>
    <row r="429" spans="1:12" x14ac:dyDescent="0.25">
      <c r="A429" s="126">
        <v>11</v>
      </c>
      <c r="B429" s="70" t="s">
        <v>769</v>
      </c>
      <c r="C429" s="70"/>
      <c r="D429" s="70">
        <v>320</v>
      </c>
      <c r="E429" s="72">
        <f t="shared" si="56"/>
        <v>294.40000000000003</v>
      </c>
      <c r="F429" s="70">
        <v>270.5</v>
      </c>
      <c r="G429" s="72">
        <f t="shared" si="57"/>
        <v>23.900000000000034</v>
      </c>
      <c r="H429" s="72">
        <v>91.5</v>
      </c>
      <c r="I429" s="21">
        <v>9</v>
      </c>
      <c r="J429" s="282">
        <f t="shared" si="58"/>
        <v>226.61111111111114</v>
      </c>
      <c r="K429" s="283"/>
      <c r="L429" s="127">
        <v>250</v>
      </c>
    </row>
    <row r="430" spans="1:12" x14ac:dyDescent="0.25">
      <c r="A430" s="126">
        <v>12</v>
      </c>
      <c r="B430" s="70" t="s">
        <v>770</v>
      </c>
      <c r="C430" s="70"/>
      <c r="D430" s="70">
        <v>400</v>
      </c>
      <c r="E430" s="72">
        <f t="shared" si="56"/>
        <v>368</v>
      </c>
      <c r="F430" s="70">
        <v>10.199999999999999</v>
      </c>
      <c r="G430" s="72">
        <f t="shared" si="57"/>
        <v>357.8</v>
      </c>
      <c r="H430" s="72">
        <v>100</v>
      </c>
      <c r="I430" s="210">
        <v>0</v>
      </c>
      <c r="J430" s="282">
        <f t="shared" si="58"/>
        <v>308.88888888888886</v>
      </c>
      <c r="K430" s="283"/>
      <c r="L430" s="127">
        <v>250</v>
      </c>
    </row>
    <row r="431" spans="1:12" x14ac:dyDescent="0.25">
      <c r="A431" s="126">
        <v>13</v>
      </c>
      <c r="B431" s="70" t="s">
        <v>771</v>
      </c>
      <c r="C431" s="70"/>
      <c r="D431" s="70">
        <v>400</v>
      </c>
      <c r="E431" s="72">
        <f t="shared" si="56"/>
        <v>368</v>
      </c>
      <c r="F431" s="70">
        <v>340</v>
      </c>
      <c r="G431" s="72">
        <f t="shared" si="57"/>
        <v>28</v>
      </c>
      <c r="H431" s="72">
        <v>259</v>
      </c>
      <c r="I431" s="210">
        <v>0</v>
      </c>
      <c r="J431" s="282">
        <f>E431*1/0.67-(H431+I431)</f>
        <v>290.25373134328356</v>
      </c>
      <c r="K431" s="283"/>
      <c r="L431" s="127">
        <v>250</v>
      </c>
    </row>
    <row r="432" spans="1:12" x14ac:dyDescent="0.25">
      <c r="A432" s="126">
        <v>14</v>
      </c>
      <c r="B432" s="70" t="s">
        <v>772</v>
      </c>
      <c r="C432" s="70"/>
      <c r="D432" s="70" t="s">
        <v>464</v>
      </c>
      <c r="E432" s="72">
        <f>400*0.92*1.4</f>
        <v>515.19999999999993</v>
      </c>
      <c r="F432" s="70">
        <v>250.4</v>
      </c>
      <c r="G432" s="72">
        <f t="shared" si="57"/>
        <v>264.79999999999995</v>
      </c>
      <c r="H432" s="72">
        <v>400</v>
      </c>
      <c r="I432" s="210">
        <v>0</v>
      </c>
      <c r="J432" s="282">
        <f t="shared" si="58"/>
        <v>172.44444444444434</v>
      </c>
      <c r="K432" s="283"/>
      <c r="L432" s="127">
        <v>250</v>
      </c>
    </row>
    <row r="433" spans="1:12" x14ac:dyDescent="0.25">
      <c r="A433" s="126">
        <v>15</v>
      </c>
      <c r="B433" s="70" t="s">
        <v>773</v>
      </c>
      <c r="C433" s="70"/>
      <c r="D433" s="70">
        <v>250</v>
      </c>
      <c r="E433" s="72">
        <f t="shared" si="56"/>
        <v>230</v>
      </c>
      <c r="F433" s="70">
        <v>97.8</v>
      </c>
      <c r="G433" s="72">
        <f t="shared" si="57"/>
        <v>132.19999999999999</v>
      </c>
      <c r="H433" s="72">
        <v>126</v>
      </c>
      <c r="I433" s="210">
        <v>0</v>
      </c>
      <c r="J433" s="282">
        <f t="shared" si="58"/>
        <v>129.55555555555554</v>
      </c>
      <c r="K433" s="283"/>
      <c r="L433" s="127">
        <v>250</v>
      </c>
    </row>
    <row r="434" spans="1:12" x14ac:dyDescent="0.25">
      <c r="A434" s="126">
        <v>16</v>
      </c>
      <c r="B434" s="70" t="s">
        <v>774</v>
      </c>
      <c r="C434" s="70"/>
      <c r="D434" s="70">
        <v>400</v>
      </c>
      <c r="E434" s="72">
        <f t="shared" si="56"/>
        <v>368</v>
      </c>
      <c r="F434" s="70">
        <v>25.4</v>
      </c>
      <c r="G434" s="72">
        <f t="shared" si="57"/>
        <v>342.6</v>
      </c>
      <c r="H434" s="72">
        <v>80</v>
      </c>
      <c r="I434" s="210">
        <v>0</v>
      </c>
      <c r="J434" s="282">
        <f t="shared" si="58"/>
        <v>328.88888888888886</v>
      </c>
      <c r="K434" s="283"/>
      <c r="L434" s="127">
        <v>250</v>
      </c>
    </row>
    <row r="435" spans="1:12" x14ac:dyDescent="0.25">
      <c r="A435" s="126">
        <v>17</v>
      </c>
      <c r="B435" s="70" t="s">
        <v>775</v>
      </c>
      <c r="C435" s="70"/>
      <c r="D435" s="70">
        <v>160</v>
      </c>
      <c r="E435" s="72">
        <f t="shared" si="56"/>
        <v>147.20000000000002</v>
      </c>
      <c r="F435" s="70">
        <v>34.119999999999997</v>
      </c>
      <c r="G435" s="72">
        <f t="shared" si="57"/>
        <v>113.08000000000001</v>
      </c>
      <c r="H435" s="72">
        <v>160</v>
      </c>
      <c r="I435" s="210">
        <v>0</v>
      </c>
      <c r="J435" s="282">
        <f t="shared" si="58"/>
        <v>3.5555555555555713</v>
      </c>
      <c r="K435" s="283"/>
      <c r="L435" s="127">
        <v>250</v>
      </c>
    </row>
    <row r="436" spans="1:12" x14ac:dyDescent="0.25">
      <c r="A436" s="126">
        <v>18</v>
      </c>
      <c r="B436" s="70" t="s">
        <v>776</v>
      </c>
      <c r="C436" s="70"/>
      <c r="D436" s="70" t="s">
        <v>464</v>
      </c>
      <c r="E436" s="72">
        <f>400*0.92*1.4</f>
        <v>515.19999999999993</v>
      </c>
      <c r="F436" s="70">
        <v>341.4</v>
      </c>
      <c r="G436" s="72">
        <f t="shared" si="57"/>
        <v>173.79999999999995</v>
      </c>
      <c r="H436" s="72">
        <v>387.5</v>
      </c>
      <c r="I436" s="210">
        <v>0</v>
      </c>
      <c r="J436" s="282">
        <f>E436*1/0.67-(H436+I436)</f>
        <v>381.45522388059692</v>
      </c>
      <c r="K436" s="283"/>
      <c r="L436" s="127">
        <v>250</v>
      </c>
    </row>
    <row r="437" spans="1:12" ht="15.75" thickBot="1" x14ac:dyDescent="0.3">
      <c r="A437" s="126">
        <v>19</v>
      </c>
      <c r="B437" s="129" t="s">
        <v>777</v>
      </c>
      <c r="C437" s="129"/>
      <c r="D437" s="129">
        <v>400</v>
      </c>
      <c r="E437" s="130">
        <f t="shared" si="56"/>
        <v>368</v>
      </c>
      <c r="F437" s="129">
        <v>12.9</v>
      </c>
      <c r="G437" s="130">
        <f t="shared" si="57"/>
        <v>355.1</v>
      </c>
      <c r="H437" s="130">
        <v>105</v>
      </c>
      <c r="I437" s="220">
        <v>0</v>
      </c>
      <c r="J437" s="294">
        <f t="shared" si="58"/>
        <v>303.88888888888886</v>
      </c>
      <c r="K437" s="295"/>
      <c r="L437" s="131">
        <v>250</v>
      </c>
    </row>
    <row r="438" spans="1:12" ht="16.5" thickBot="1" x14ac:dyDescent="0.3">
      <c r="A438" s="291" t="s">
        <v>558</v>
      </c>
      <c r="B438" s="292"/>
      <c r="C438" s="292"/>
      <c r="D438" s="292"/>
      <c r="E438" s="292"/>
      <c r="F438" s="292"/>
      <c r="G438" s="292"/>
      <c r="H438" s="292"/>
      <c r="I438" s="292"/>
      <c r="J438" s="292"/>
      <c r="K438" s="292"/>
      <c r="L438" s="293"/>
    </row>
    <row r="439" spans="1:12" x14ac:dyDescent="0.25">
      <c r="A439" s="32">
        <v>1</v>
      </c>
      <c r="B439" s="49" t="s">
        <v>468</v>
      </c>
      <c r="C439" s="49"/>
      <c r="D439" s="6" t="s">
        <v>60</v>
      </c>
      <c r="E439" s="190">
        <v>811.44</v>
      </c>
      <c r="F439" s="190">
        <v>120.06</v>
      </c>
      <c r="G439" s="190">
        <f>E439-F439</f>
        <v>691.38000000000011</v>
      </c>
      <c r="H439" s="228">
        <v>295</v>
      </c>
      <c r="I439" s="229">
        <v>0</v>
      </c>
      <c r="J439" s="280">
        <f t="shared" ref="J439:J447" si="59">E439*1/0.9-(H439+I439)</f>
        <v>606.6</v>
      </c>
      <c r="K439" s="280"/>
      <c r="L439" s="132">
        <v>250</v>
      </c>
    </row>
    <row r="440" spans="1:12" x14ac:dyDescent="0.25">
      <c r="A440" s="38">
        <v>2</v>
      </c>
      <c r="B440" s="50" t="s">
        <v>469</v>
      </c>
      <c r="C440" s="50"/>
      <c r="D440" s="209" t="s">
        <v>403</v>
      </c>
      <c r="E440" s="206">
        <v>1288</v>
      </c>
      <c r="F440" s="206">
        <v>92.64</v>
      </c>
      <c r="G440" s="206">
        <f>E440-F440</f>
        <v>1195.3599999999999</v>
      </c>
      <c r="H440" s="228">
        <v>480</v>
      </c>
      <c r="I440" s="229">
        <v>0</v>
      </c>
      <c r="J440" s="280">
        <f t="shared" si="59"/>
        <v>951.11111111111109</v>
      </c>
      <c r="K440" s="280"/>
      <c r="L440" s="133">
        <v>250</v>
      </c>
    </row>
    <row r="441" spans="1:12" x14ac:dyDescent="0.25">
      <c r="A441" s="38">
        <v>3</v>
      </c>
      <c r="B441" s="50" t="s">
        <v>470</v>
      </c>
      <c r="C441" s="50"/>
      <c r="D441" s="210">
        <v>250</v>
      </c>
      <c r="E441" s="206">
        <f t="shared" ref="E441:E447" si="60">D441*0.92</f>
        <v>230</v>
      </c>
      <c r="F441" s="206">
        <v>36.5</v>
      </c>
      <c r="G441" s="206">
        <f t="shared" ref="G441:G504" si="61">E441-F441</f>
        <v>193.5</v>
      </c>
      <c r="H441" s="228">
        <v>182</v>
      </c>
      <c r="I441" s="229">
        <v>0</v>
      </c>
      <c r="J441" s="280">
        <f t="shared" si="59"/>
        <v>73.555555555555543</v>
      </c>
      <c r="K441" s="280"/>
      <c r="L441" s="133">
        <v>250</v>
      </c>
    </row>
    <row r="442" spans="1:12" x14ac:dyDescent="0.25">
      <c r="A442" s="38">
        <v>4</v>
      </c>
      <c r="B442" s="50" t="s">
        <v>471</v>
      </c>
      <c r="C442" s="50"/>
      <c r="D442" s="210">
        <v>250</v>
      </c>
      <c r="E442" s="206">
        <f t="shared" si="60"/>
        <v>230</v>
      </c>
      <c r="F442" s="206">
        <v>59.54</v>
      </c>
      <c r="G442" s="206">
        <f t="shared" si="61"/>
        <v>170.46</v>
      </c>
      <c r="H442" s="228">
        <v>182</v>
      </c>
      <c r="I442" s="229">
        <v>0</v>
      </c>
      <c r="J442" s="280">
        <f t="shared" si="59"/>
        <v>73.555555555555543</v>
      </c>
      <c r="K442" s="280"/>
      <c r="L442" s="133">
        <v>250</v>
      </c>
    </row>
    <row r="443" spans="1:12" x14ac:dyDescent="0.25">
      <c r="A443" s="38">
        <v>5</v>
      </c>
      <c r="B443" s="50" t="s">
        <v>472</v>
      </c>
      <c r="C443" s="50"/>
      <c r="D443" s="210">
        <v>160</v>
      </c>
      <c r="E443" s="206">
        <f t="shared" si="60"/>
        <v>147.20000000000002</v>
      </c>
      <c r="F443" s="206">
        <v>12.88</v>
      </c>
      <c r="G443" s="206">
        <f t="shared" si="61"/>
        <v>134.32000000000002</v>
      </c>
      <c r="H443" s="228">
        <v>58</v>
      </c>
      <c r="I443" s="229">
        <v>0</v>
      </c>
      <c r="J443" s="280">
        <f t="shared" si="59"/>
        <v>105.55555555555557</v>
      </c>
      <c r="K443" s="280"/>
      <c r="L443" s="133">
        <v>250</v>
      </c>
    </row>
    <row r="444" spans="1:12" x14ac:dyDescent="0.25">
      <c r="A444" s="38">
        <v>6</v>
      </c>
      <c r="B444" s="50" t="s">
        <v>473</v>
      </c>
      <c r="C444" s="50"/>
      <c r="D444" s="210">
        <v>63</v>
      </c>
      <c r="E444" s="206">
        <f t="shared" si="60"/>
        <v>57.96</v>
      </c>
      <c r="F444" s="206">
        <v>2.2000000000000002</v>
      </c>
      <c r="G444" s="206">
        <f t="shared" si="61"/>
        <v>55.76</v>
      </c>
      <c r="H444" s="228">
        <v>16</v>
      </c>
      <c r="I444" s="229">
        <v>0</v>
      </c>
      <c r="J444" s="280">
        <f t="shared" si="59"/>
        <v>48.400000000000006</v>
      </c>
      <c r="K444" s="280"/>
      <c r="L444" s="133">
        <v>250</v>
      </c>
    </row>
    <row r="445" spans="1:12" x14ac:dyDescent="0.25">
      <c r="A445" s="38">
        <v>7</v>
      </c>
      <c r="B445" s="50" t="s">
        <v>474</v>
      </c>
      <c r="C445" s="50"/>
      <c r="D445" s="210">
        <v>250</v>
      </c>
      <c r="E445" s="206">
        <f t="shared" si="60"/>
        <v>230</v>
      </c>
      <c r="F445" s="206">
        <v>20.260000000000002</v>
      </c>
      <c r="G445" s="206">
        <f t="shared" si="61"/>
        <v>209.74</v>
      </c>
      <c r="H445" s="228">
        <v>55</v>
      </c>
      <c r="I445" s="229">
        <v>0</v>
      </c>
      <c r="J445" s="280">
        <f t="shared" si="59"/>
        <v>200.55555555555554</v>
      </c>
      <c r="K445" s="280"/>
      <c r="L445" s="133">
        <v>250</v>
      </c>
    </row>
    <row r="446" spans="1:12" x14ac:dyDescent="0.25">
      <c r="A446" s="38">
        <v>8</v>
      </c>
      <c r="B446" s="50" t="s">
        <v>475</v>
      </c>
      <c r="C446" s="50"/>
      <c r="D446" s="210">
        <v>63</v>
      </c>
      <c r="E446" s="206">
        <f t="shared" si="60"/>
        <v>57.96</v>
      </c>
      <c r="F446" s="206">
        <v>22.78</v>
      </c>
      <c r="G446" s="206">
        <f t="shared" si="61"/>
        <v>35.18</v>
      </c>
      <c r="H446" s="228">
        <v>50</v>
      </c>
      <c r="I446" s="229">
        <v>0</v>
      </c>
      <c r="J446" s="280">
        <f t="shared" si="59"/>
        <v>14.400000000000006</v>
      </c>
      <c r="K446" s="280"/>
      <c r="L446" s="133">
        <v>250</v>
      </c>
    </row>
    <row r="447" spans="1:12" x14ac:dyDescent="0.25">
      <c r="A447" s="38">
        <v>9</v>
      </c>
      <c r="B447" s="50" t="s">
        <v>476</v>
      </c>
      <c r="C447" s="50"/>
      <c r="D447" s="210">
        <v>63</v>
      </c>
      <c r="E447" s="206">
        <f t="shared" si="60"/>
        <v>57.96</v>
      </c>
      <c r="F447" s="206">
        <v>3.1</v>
      </c>
      <c r="G447" s="206">
        <f t="shared" si="61"/>
        <v>54.86</v>
      </c>
      <c r="H447" s="228">
        <v>10</v>
      </c>
      <c r="I447" s="229">
        <v>0</v>
      </c>
      <c r="J447" s="280">
        <f t="shared" si="59"/>
        <v>54.400000000000006</v>
      </c>
      <c r="K447" s="280"/>
      <c r="L447" s="133">
        <v>250</v>
      </c>
    </row>
    <row r="448" spans="1:12" x14ac:dyDescent="0.25">
      <c r="A448" s="38">
        <v>10</v>
      </c>
      <c r="B448" s="50" t="s">
        <v>477</v>
      </c>
      <c r="C448" s="50"/>
      <c r="D448" s="210" t="s">
        <v>478</v>
      </c>
      <c r="E448" s="206">
        <v>322</v>
      </c>
      <c r="F448" s="206">
        <v>88.67</v>
      </c>
      <c r="G448" s="206">
        <f t="shared" si="61"/>
        <v>233.32999999999998</v>
      </c>
      <c r="H448" s="228">
        <v>312.7</v>
      </c>
      <c r="I448" s="229">
        <v>16</v>
      </c>
      <c r="J448" s="280">
        <f>E448*1/0.67-(H448+I448)</f>
        <v>151.89701492537313</v>
      </c>
      <c r="K448" s="279"/>
      <c r="L448" s="133">
        <v>250</v>
      </c>
    </row>
    <row r="449" spans="1:12" x14ac:dyDescent="0.25">
      <c r="A449" s="38">
        <v>11</v>
      </c>
      <c r="B449" s="50" t="s">
        <v>479</v>
      </c>
      <c r="C449" s="50"/>
      <c r="D449" s="210">
        <v>100</v>
      </c>
      <c r="E449" s="206">
        <f t="shared" ref="E449:E466" si="62">D449*0.92</f>
        <v>92</v>
      </c>
      <c r="F449" s="206">
        <v>50.85</v>
      </c>
      <c r="G449" s="206">
        <f t="shared" si="61"/>
        <v>41.15</v>
      </c>
      <c r="H449" s="228">
        <v>82</v>
      </c>
      <c r="I449" s="229">
        <v>0</v>
      </c>
      <c r="J449" s="280">
        <f t="shared" ref="J449:J450" si="63">E449*1/0.9-(H449+I449)</f>
        <v>20.222222222222214</v>
      </c>
      <c r="K449" s="280"/>
      <c r="L449" s="133">
        <v>250</v>
      </c>
    </row>
    <row r="450" spans="1:12" x14ac:dyDescent="0.25">
      <c r="A450" s="38">
        <v>12</v>
      </c>
      <c r="B450" s="50" t="s">
        <v>480</v>
      </c>
      <c r="C450" s="50"/>
      <c r="D450" s="210">
        <v>630</v>
      </c>
      <c r="E450" s="206">
        <f t="shared" si="62"/>
        <v>579.6</v>
      </c>
      <c r="F450" s="206">
        <v>0</v>
      </c>
      <c r="G450" s="206">
        <f t="shared" si="61"/>
        <v>579.6</v>
      </c>
      <c r="H450" s="228">
        <v>0</v>
      </c>
      <c r="I450" s="229">
        <v>0</v>
      </c>
      <c r="J450" s="280">
        <f t="shared" si="63"/>
        <v>644</v>
      </c>
      <c r="K450" s="280"/>
      <c r="L450" s="133">
        <v>250</v>
      </c>
    </row>
    <row r="451" spans="1:12" x14ac:dyDescent="0.25">
      <c r="A451" s="38">
        <v>13</v>
      </c>
      <c r="B451" s="50" t="s">
        <v>481</v>
      </c>
      <c r="C451" s="50"/>
      <c r="D451" s="210">
        <v>250</v>
      </c>
      <c r="E451" s="206">
        <f t="shared" si="62"/>
        <v>230</v>
      </c>
      <c r="F451" s="206">
        <v>77.5</v>
      </c>
      <c r="G451" s="206">
        <f t="shared" si="61"/>
        <v>152.5</v>
      </c>
      <c r="H451" s="228">
        <v>330</v>
      </c>
      <c r="I451" s="229">
        <v>0</v>
      </c>
      <c r="J451" s="280">
        <f>E451*1/0.53-(H451+I451)</f>
        <v>103.96226415094338</v>
      </c>
      <c r="K451" s="279"/>
      <c r="L451" s="133">
        <v>250</v>
      </c>
    </row>
    <row r="452" spans="1:12" x14ac:dyDescent="0.25">
      <c r="A452" s="38">
        <v>14</v>
      </c>
      <c r="B452" s="50" t="s">
        <v>482</v>
      </c>
      <c r="C452" s="50"/>
      <c r="D452" s="210">
        <v>400</v>
      </c>
      <c r="E452" s="206">
        <f t="shared" si="62"/>
        <v>368</v>
      </c>
      <c r="F452" s="206">
        <v>150</v>
      </c>
      <c r="G452" s="206">
        <f t="shared" si="61"/>
        <v>218</v>
      </c>
      <c r="H452" s="228">
        <v>280</v>
      </c>
      <c r="I452" s="229">
        <v>5.0999999999999996</v>
      </c>
      <c r="J452" s="280">
        <f t="shared" ref="J452:J454" si="64">E452*1/0.67-(H452+I452)</f>
        <v>264.15373134328354</v>
      </c>
      <c r="K452" s="279"/>
      <c r="L452" s="133">
        <v>250</v>
      </c>
    </row>
    <row r="453" spans="1:12" x14ac:dyDescent="0.25">
      <c r="A453" s="38">
        <v>15</v>
      </c>
      <c r="B453" s="50" t="s">
        <v>483</v>
      </c>
      <c r="C453" s="50"/>
      <c r="D453" s="210">
        <v>400</v>
      </c>
      <c r="E453" s="206">
        <f t="shared" si="62"/>
        <v>368</v>
      </c>
      <c r="F453" s="206">
        <v>125</v>
      </c>
      <c r="G453" s="206">
        <f t="shared" si="61"/>
        <v>243</v>
      </c>
      <c r="H453" s="228">
        <v>328.5</v>
      </c>
      <c r="I453" s="229">
        <v>15</v>
      </c>
      <c r="J453" s="280">
        <f t="shared" si="64"/>
        <v>205.75373134328356</v>
      </c>
      <c r="K453" s="279"/>
      <c r="L453" s="133">
        <v>250</v>
      </c>
    </row>
    <row r="454" spans="1:12" x14ac:dyDescent="0.25">
      <c r="A454" s="38">
        <v>16</v>
      </c>
      <c r="B454" s="50" t="s">
        <v>484</v>
      </c>
      <c r="C454" s="50"/>
      <c r="D454" s="210">
        <v>315</v>
      </c>
      <c r="E454" s="206">
        <f t="shared" si="62"/>
        <v>289.8</v>
      </c>
      <c r="F454" s="206">
        <v>34.07</v>
      </c>
      <c r="G454" s="206">
        <f t="shared" si="61"/>
        <v>255.73000000000002</v>
      </c>
      <c r="H454" s="228">
        <v>144</v>
      </c>
      <c r="I454" s="229">
        <v>0</v>
      </c>
      <c r="J454" s="280">
        <f t="shared" si="64"/>
        <v>288.53731343283579</v>
      </c>
      <c r="K454" s="279"/>
      <c r="L454" s="133">
        <v>250</v>
      </c>
    </row>
    <row r="455" spans="1:12" x14ac:dyDescent="0.25">
      <c r="A455" s="38">
        <v>17</v>
      </c>
      <c r="B455" s="50" t="s">
        <v>485</v>
      </c>
      <c r="C455" s="50"/>
      <c r="D455" s="210">
        <v>200</v>
      </c>
      <c r="E455" s="206">
        <f t="shared" si="62"/>
        <v>184</v>
      </c>
      <c r="F455" s="206">
        <v>19.45</v>
      </c>
      <c r="G455" s="206">
        <f t="shared" si="61"/>
        <v>164.55</v>
      </c>
      <c r="H455" s="228">
        <v>150</v>
      </c>
      <c r="I455" s="229">
        <v>0</v>
      </c>
      <c r="J455" s="280">
        <f>E455*1/0.67-(H455+I455)</f>
        <v>124.62686567164178</v>
      </c>
      <c r="K455" s="279"/>
      <c r="L455" s="133">
        <v>250</v>
      </c>
    </row>
    <row r="456" spans="1:12" x14ac:dyDescent="0.25">
      <c r="A456" s="38">
        <v>18</v>
      </c>
      <c r="B456" s="50" t="s">
        <v>486</v>
      </c>
      <c r="C456" s="50"/>
      <c r="D456" s="210">
        <v>250</v>
      </c>
      <c r="E456" s="206">
        <f t="shared" si="62"/>
        <v>230</v>
      </c>
      <c r="F456" s="206">
        <v>25.08</v>
      </c>
      <c r="G456" s="206">
        <f t="shared" si="61"/>
        <v>204.92000000000002</v>
      </c>
      <c r="H456" s="228">
        <v>229.5</v>
      </c>
      <c r="I456" s="229">
        <v>8.4</v>
      </c>
      <c r="J456" s="278">
        <f t="shared" ref="J456:J457" si="65">E456*1/0.67-(H456+I456)</f>
        <v>105.38358208955222</v>
      </c>
      <c r="K456" s="279"/>
      <c r="L456" s="133">
        <v>250</v>
      </c>
    </row>
    <row r="457" spans="1:12" x14ac:dyDescent="0.25">
      <c r="A457" s="38">
        <v>19</v>
      </c>
      <c r="B457" s="50" t="s">
        <v>487</v>
      </c>
      <c r="C457" s="50"/>
      <c r="D457" s="210">
        <v>160</v>
      </c>
      <c r="E457" s="206">
        <f t="shared" si="62"/>
        <v>147.20000000000002</v>
      </c>
      <c r="F457" s="206">
        <v>24.58</v>
      </c>
      <c r="G457" s="206">
        <f t="shared" si="61"/>
        <v>122.62000000000002</v>
      </c>
      <c r="H457" s="228">
        <v>138</v>
      </c>
      <c r="I457" s="229">
        <v>0</v>
      </c>
      <c r="J457" s="278">
        <f t="shared" si="65"/>
        <v>81.701492537313442</v>
      </c>
      <c r="K457" s="279"/>
      <c r="L457" s="133">
        <v>250</v>
      </c>
    </row>
    <row r="458" spans="1:12" x14ac:dyDescent="0.25">
      <c r="A458" s="38">
        <v>20</v>
      </c>
      <c r="B458" s="50" t="s">
        <v>488</v>
      </c>
      <c r="C458" s="50"/>
      <c r="D458" s="210">
        <v>320</v>
      </c>
      <c r="E458" s="206">
        <f t="shared" si="62"/>
        <v>294.40000000000003</v>
      </c>
      <c r="F458" s="206">
        <v>23.2</v>
      </c>
      <c r="G458" s="206">
        <f t="shared" si="61"/>
        <v>271.20000000000005</v>
      </c>
      <c r="H458" s="228">
        <v>180</v>
      </c>
      <c r="I458" s="229">
        <v>0</v>
      </c>
      <c r="J458" s="278">
        <f t="shared" ref="J458:J461" si="66">E458*1/0.9-(H458+I458)</f>
        <v>147.11111111111114</v>
      </c>
      <c r="K458" s="279"/>
      <c r="L458" s="133">
        <v>250</v>
      </c>
    </row>
    <row r="459" spans="1:12" x14ac:dyDescent="0.25">
      <c r="A459" s="38">
        <v>21</v>
      </c>
      <c r="B459" s="50" t="s">
        <v>489</v>
      </c>
      <c r="C459" s="50"/>
      <c r="D459" s="210">
        <v>180</v>
      </c>
      <c r="E459" s="206">
        <f t="shared" si="62"/>
        <v>165.6</v>
      </c>
      <c r="F459" s="206">
        <v>8.5</v>
      </c>
      <c r="G459" s="206">
        <f t="shared" si="61"/>
        <v>157.1</v>
      </c>
      <c r="H459" s="228">
        <v>37</v>
      </c>
      <c r="I459" s="229">
        <v>0</v>
      </c>
      <c r="J459" s="278">
        <f t="shared" si="66"/>
        <v>147</v>
      </c>
      <c r="K459" s="279"/>
      <c r="L459" s="133">
        <v>250</v>
      </c>
    </row>
    <row r="460" spans="1:12" x14ac:dyDescent="0.25">
      <c r="A460" s="38">
        <v>22</v>
      </c>
      <c r="B460" s="50" t="s">
        <v>490</v>
      </c>
      <c r="C460" s="50"/>
      <c r="D460" s="210">
        <v>63</v>
      </c>
      <c r="E460" s="206">
        <f t="shared" si="62"/>
        <v>57.96</v>
      </c>
      <c r="F460" s="206">
        <v>2.98</v>
      </c>
      <c r="G460" s="206">
        <f t="shared" si="61"/>
        <v>54.980000000000004</v>
      </c>
      <c r="H460" s="228">
        <v>10</v>
      </c>
      <c r="I460" s="229">
        <v>0</v>
      </c>
      <c r="J460" s="278">
        <f t="shared" si="66"/>
        <v>54.400000000000006</v>
      </c>
      <c r="K460" s="279"/>
      <c r="L460" s="133">
        <v>250</v>
      </c>
    </row>
    <row r="461" spans="1:12" x14ac:dyDescent="0.25">
      <c r="A461" s="38">
        <v>23</v>
      </c>
      <c r="B461" s="50" t="s">
        <v>491</v>
      </c>
      <c r="C461" s="50"/>
      <c r="D461" s="210">
        <v>250</v>
      </c>
      <c r="E461" s="206">
        <f t="shared" si="62"/>
        <v>230</v>
      </c>
      <c r="F461" s="206">
        <v>55.46</v>
      </c>
      <c r="G461" s="206">
        <f t="shared" si="61"/>
        <v>174.54</v>
      </c>
      <c r="H461" s="228">
        <v>242</v>
      </c>
      <c r="I461" s="229">
        <v>0</v>
      </c>
      <c r="J461" s="278">
        <f t="shared" si="66"/>
        <v>13.555555555555543</v>
      </c>
      <c r="K461" s="279"/>
      <c r="L461" s="133">
        <v>250</v>
      </c>
    </row>
    <row r="462" spans="1:12" x14ac:dyDescent="0.25">
      <c r="A462" s="38">
        <v>24</v>
      </c>
      <c r="B462" s="50" t="s">
        <v>492</v>
      </c>
      <c r="C462" s="50"/>
      <c r="D462" s="210">
        <v>250</v>
      </c>
      <c r="E462" s="206">
        <f t="shared" si="62"/>
        <v>230</v>
      </c>
      <c r="F462" s="206">
        <v>68.59</v>
      </c>
      <c r="G462" s="206">
        <f t="shared" si="61"/>
        <v>161.41</v>
      </c>
      <c r="H462" s="228">
        <v>182</v>
      </c>
      <c r="I462" s="229">
        <v>0</v>
      </c>
      <c r="J462" s="278">
        <f t="shared" ref="J462:J464" si="67">E462*1/0.67-(H462+I462)</f>
        <v>161.28358208955223</v>
      </c>
      <c r="K462" s="279"/>
      <c r="L462" s="133">
        <v>250</v>
      </c>
    </row>
    <row r="463" spans="1:12" x14ac:dyDescent="0.25">
      <c r="A463" s="38">
        <v>25</v>
      </c>
      <c r="B463" s="50" t="s">
        <v>493</v>
      </c>
      <c r="C463" s="50"/>
      <c r="D463" s="210">
        <v>250</v>
      </c>
      <c r="E463" s="206">
        <f t="shared" si="62"/>
        <v>230</v>
      </c>
      <c r="F463" s="206">
        <v>51.67</v>
      </c>
      <c r="G463" s="206">
        <f t="shared" si="61"/>
        <v>178.32999999999998</v>
      </c>
      <c r="H463" s="228">
        <v>105</v>
      </c>
      <c r="I463" s="229">
        <v>0</v>
      </c>
      <c r="J463" s="278">
        <f>E463*1/0.9-(H463+I463)</f>
        <v>150.55555555555554</v>
      </c>
      <c r="K463" s="279"/>
      <c r="L463" s="133">
        <v>250</v>
      </c>
    </row>
    <row r="464" spans="1:12" x14ac:dyDescent="0.25">
      <c r="A464" s="38">
        <v>26</v>
      </c>
      <c r="B464" s="50" t="s">
        <v>494</v>
      </c>
      <c r="C464" s="50"/>
      <c r="D464" s="210">
        <v>250</v>
      </c>
      <c r="E464" s="206">
        <f t="shared" si="62"/>
        <v>230</v>
      </c>
      <c r="F464" s="206">
        <v>48.26</v>
      </c>
      <c r="G464" s="206">
        <f t="shared" si="61"/>
        <v>181.74</v>
      </c>
      <c r="H464" s="228">
        <v>160.69999999999999</v>
      </c>
      <c r="I464" s="229">
        <v>0</v>
      </c>
      <c r="J464" s="278">
        <f t="shared" si="67"/>
        <v>182.58358208955224</v>
      </c>
      <c r="K464" s="279"/>
      <c r="L464" s="133">
        <v>250</v>
      </c>
    </row>
    <row r="465" spans="1:12" x14ac:dyDescent="0.25">
      <c r="A465" s="38">
        <v>27</v>
      </c>
      <c r="B465" s="50" t="s">
        <v>495</v>
      </c>
      <c r="C465" s="50"/>
      <c r="D465" s="210">
        <v>63</v>
      </c>
      <c r="E465" s="206">
        <f t="shared" si="62"/>
        <v>57.96</v>
      </c>
      <c r="F465" s="206">
        <v>17.388000000000002</v>
      </c>
      <c r="G465" s="206">
        <f t="shared" si="61"/>
        <v>40.572000000000003</v>
      </c>
      <c r="H465" s="228">
        <v>25</v>
      </c>
      <c r="I465" s="229">
        <v>0</v>
      </c>
      <c r="J465" s="280">
        <f t="shared" ref="J465:J470" si="68">E465*1/0.9-(H465+I465)</f>
        <v>39.400000000000006</v>
      </c>
      <c r="K465" s="280"/>
      <c r="L465" s="133">
        <v>250</v>
      </c>
    </row>
    <row r="466" spans="1:12" x14ac:dyDescent="0.25">
      <c r="A466" s="38">
        <v>28</v>
      </c>
      <c r="B466" s="50" t="s">
        <v>496</v>
      </c>
      <c r="C466" s="50"/>
      <c r="D466" s="210">
        <v>160</v>
      </c>
      <c r="E466" s="206">
        <f t="shared" si="62"/>
        <v>147.20000000000002</v>
      </c>
      <c r="F466" s="206">
        <v>14.98</v>
      </c>
      <c r="G466" s="206">
        <f t="shared" si="61"/>
        <v>132.22000000000003</v>
      </c>
      <c r="H466" s="228">
        <v>121</v>
      </c>
      <c r="I466" s="229">
        <v>0</v>
      </c>
      <c r="J466" s="280">
        <f t="shared" si="68"/>
        <v>42.555555555555571</v>
      </c>
      <c r="K466" s="280"/>
      <c r="L466" s="133">
        <v>250</v>
      </c>
    </row>
    <row r="467" spans="1:12" x14ac:dyDescent="0.25">
      <c r="A467" s="38">
        <v>29</v>
      </c>
      <c r="B467" s="50" t="s">
        <v>497</v>
      </c>
      <c r="C467" s="50"/>
      <c r="D467" s="210" t="s">
        <v>498</v>
      </c>
      <c r="E467" s="206">
        <v>515.20000000000005</v>
      </c>
      <c r="F467" s="206">
        <v>37.58</v>
      </c>
      <c r="G467" s="206">
        <f t="shared" si="61"/>
        <v>477.62000000000006</v>
      </c>
      <c r="H467" s="228">
        <v>172</v>
      </c>
      <c r="I467" s="229">
        <v>0</v>
      </c>
      <c r="J467" s="280">
        <f t="shared" si="68"/>
        <v>400.44444444444446</v>
      </c>
      <c r="K467" s="280"/>
      <c r="L467" s="133">
        <v>250</v>
      </c>
    </row>
    <row r="468" spans="1:12" x14ac:dyDescent="0.25">
      <c r="A468" s="38">
        <v>30</v>
      </c>
      <c r="B468" s="50" t="s">
        <v>499</v>
      </c>
      <c r="C468" s="50"/>
      <c r="D468" s="210">
        <v>250</v>
      </c>
      <c r="E468" s="206">
        <f t="shared" ref="E468:E470" si="69">D468*0.92</f>
        <v>230</v>
      </c>
      <c r="F468" s="225">
        <v>33.590000000000003</v>
      </c>
      <c r="G468" s="206">
        <f t="shared" si="61"/>
        <v>196.41</v>
      </c>
      <c r="H468" s="230">
        <v>121</v>
      </c>
      <c r="I468" s="231">
        <v>0</v>
      </c>
      <c r="J468" s="280">
        <f t="shared" si="68"/>
        <v>134.55555555555554</v>
      </c>
      <c r="K468" s="280"/>
      <c r="L468" s="133">
        <v>250</v>
      </c>
    </row>
    <row r="469" spans="1:12" x14ac:dyDescent="0.25">
      <c r="A469" s="38">
        <v>31</v>
      </c>
      <c r="B469" s="50" t="s">
        <v>500</v>
      </c>
      <c r="C469" s="50"/>
      <c r="D469" s="210">
        <v>100</v>
      </c>
      <c r="E469" s="206">
        <f t="shared" si="69"/>
        <v>92</v>
      </c>
      <c r="F469" s="225">
        <v>18.5</v>
      </c>
      <c r="G469" s="206">
        <f t="shared" si="61"/>
        <v>73.5</v>
      </c>
      <c r="H469" s="230">
        <v>70</v>
      </c>
      <c r="I469" s="231">
        <v>0</v>
      </c>
      <c r="J469" s="280">
        <f t="shared" si="68"/>
        <v>32.222222222222214</v>
      </c>
      <c r="K469" s="280"/>
      <c r="L469" s="133">
        <v>250</v>
      </c>
    </row>
    <row r="470" spans="1:12" x14ac:dyDescent="0.25">
      <c r="A470" s="38">
        <v>32</v>
      </c>
      <c r="B470" s="50" t="s">
        <v>501</v>
      </c>
      <c r="C470" s="50"/>
      <c r="D470" s="210">
        <v>250</v>
      </c>
      <c r="E470" s="206">
        <f t="shared" si="69"/>
        <v>230</v>
      </c>
      <c r="F470" s="225">
        <v>47.62</v>
      </c>
      <c r="G470" s="206">
        <f t="shared" si="61"/>
        <v>182.38</v>
      </c>
      <c r="H470" s="230">
        <v>182</v>
      </c>
      <c r="I470" s="231">
        <v>0</v>
      </c>
      <c r="J470" s="280">
        <f t="shared" si="68"/>
        <v>73.555555555555543</v>
      </c>
      <c r="K470" s="280"/>
      <c r="L470" s="133">
        <v>250</v>
      </c>
    </row>
    <row r="471" spans="1:12" x14ac:dyDescent="0.25">
      <c r="A471" s="38">
        <v>33</v>
      </c>
      <c r="B471" s="50" t="s">
        <v>748</v>
      </c>
      <c r="C471" s="50"/>
      <c r="D471" s="210" t="s">
        <v>478</v>
      </c>
      <c r="E471" s="206">
        <v>322</v>
      </c>
      <c r="F471" s="225">
        <v>165.73</v>
      </c>
      <c r="G471" s="206">
        <f t="shared" si="61"/>
        <v>156.27000000000001</v>
      </c>
      <c r="H471" s="230">
        <v>315</v>
      </c>
      <c r="I471" s="231">
        <v>0</v>
      </c>
      <c r="J471" s="280">
        <f t="shared" ref="J471:J474" si="70">E471*1/0.67-(H471+I471)</f>
        <v>165.59701492537312</v>
      </c>
      <c r="K471" s="279"/>
      <c r="L471" s="133">
        <v>250</v>
      </c>
    </row>
    <row r="472" spans="1:12" x14ac:dyDescent="0.25">
      <c r="A472" s="38">
        <v>34</v>
      </c>
      <c r="B472" s="50" t="s">
        <v>502</v>
      </c>
      <c r="C472" s="50"/>
      <c r="D472" s="210">
        <v>160</v>
      </c>
      <c r="E472" s="206">
        <f t="shared" ref="E472:E502" si="71">D472*0.92</f>
        <v>147.20000000000002</v>
      </c>
      <c r="F472" s="225">
        <v>43.58</v>
      </c>
      <c r="G472" s="206">
        <f t="shared" si="61"/>
        <v>103.62000000000002</v>
      </c>
      <c r="H472" s="230">
        <v>192</v>
      </c>
      <c r="I472" s="231">
        <v>0</v>
      </c>
      <c r="J472" s="278">
        <f t="shared" si="70"/>
        <v>27.701492537313442</v>
      </c>
      <c r="K472" s="279"/>
      <c r="L472" s="133">
        <v>250</v>
      </c>
    </row>
    <row r="473" spans="1:12" x14ac:dyDescent="0.25">
      <c r="A473" s="38">
        <v>35</v>
      </c>
      <c r="B473" s="50" t="s">
        <v>503</v>
      </c>
      <c r="C473" s="50"/>
      <c r="D473" s="210">
        <v>180</v>
      </c>
      <c r="E473" s="206">
        <f t="shared" si="71"/>
        <v>165.6</v>
      </c>
      <c r="F473" s="225">
        <v>41.12</v>
      </c>
      <c r="G473" s="206">
        <f t="shared" si="61"/>
        <v>124.47999999999999</v>
      </c>
      <c r="H473" s="230">
        <v>232.6</v>
      </c>
      <c r="I473" s="231">
        <v>0</v>
      </c>
      <c r="J473" s="280">
        <f t="shared" si="70"/>
        <v>14.564179104477603</v>
      </c>
      <c r="K473" s="279"/>
      <c r="L473" s="133">
        <v>250</v>
      </c>
    </row>
    <row r="474" spans="1:12" x14ac:dyDescent="0.25">
      <c r="A474" s="38">
        <v>36</v>
      </c>
      <c r="B474" s="50" t="s">
        <v>504</v>
      </c>
      <c r="C474" s="50"/>
      <c r="D474" s="210">
        <v>160</v>
      </c>
      <c r="E474" s="206">
        <f t="shared" si="71"/>
        <v>147.20000000000002</v>
      </c>
      <c r="F474" s="225">
        <v>38.9</v>
      </c>
      <c r="G474" s="206">
        <f t="shared" si="61"/>
        <v>108.30000000000001</v>
      </c>
      <c r="H474" s="230">
        <v>104</v>
      </c>
      <c r="I474" s="231">
        <v>0</v>
      </c>
      <c r="J474" s="278">
        <f t="shared" si="70"/>
        <v>115.70149253731344</v>
      </c>
      <c r="K474" s="279"/>
      <c r="L474" s="133">
        <v>250</v>
      </c>
    </row>
    <row r="475" spans="1:12" x14ac:dyDescent="0.25">
      <c r="A475" s="38">
        <v>37</v>
      </c>
      <c r="B475" s="50" t="s">
        <v>505</v>
      </c>
      <c r="C475" s="50"/>
      <c r="D475" s="210">
        <v>250</v>
      </c>
      <c r="E475" s="206">
        <f t="shared" si="71"/>
        <v>230</v>
      </c>
      <c r="F475" s="225">
        <v>12.96</v>
      </c>
      <c r="G475" s="206">
        <f t="shared" si="61"/>
        <v>217.04</v>
      </c>
      <c r="H475" s="230">
        <v>100</v>
      </c>
      <c r="I475" s="231">
        <v>0</v>
      </c>
      <c r="J475" s="280">
        <f t="shared" ref="J475:J478" si="72">E475*1/0.9-(H475+I475)</f>
        <v>155.55555555555554</v>
      </c>
      <c r="K475" s="280"/>
      <c r="L475" s="133">
        <v>250</v>
      </c>
    </row>
    <row r="476" spans="1:12" x14ac:dyDescent="0.25">
      <c r="A476" s="38">
        <v>38</v>
      </c>
      <c r="B476" s="50" t="s">
        <v>506</v>
      </c>
      <c r="C476" s="50"/>
      <c r="D476" s="210">
        <v>250</v>
      </c>
      <c r="E476" s="206">
        <f t="shared" si="71"/>
        <v>230</v>
      </c>
      <c r="F476" s="225">
        <v>8.93</v>
      </c>
      <c r="G476" s="206">
        <f t="shared" si="61"/>
        <v>221.07</v>
      </c>
      <c r="H476" s="230">
        <v>16</v>
      </c>
      <c r="I476" s="231">
        <v>0</v>
      </c>
      <c r="J476" s="280">
        <f t="shared" si="72"/>
        <v>239.55555555555554</v>
      </c>
      <c r="K476" s="280"/>
      <c r="L476" s="133">
        <v>250</v>
      </c>
    </row>
    <row r="477" spans="1:12" x14ac:dyDescent="0.25">
      <c r="A477" s="38">
        <v>39</v>
      </c>
      <c r="B477" s="50" t="s">
        <v>507</v>
      </c>
      <c r="C477" s="50"/>
      <c r="D477" s="210">
        <v>4</v>
      </c>
      <c r="E477" s="206">
        <f t="shared" si="71"/>
        <v>3.68</v>
      </c>
      <c r="F477" s="226">
        <v>1.5</v>
      </c>
      <c r="G477" s="206">
        <f t="shared" si="61"/>
        <v>2.1800000000000002</v>
      </c>
      <c r="H477" s="230">
        <v>2.5</v>
      </c>
      <c r="I477" s="231">
        <v>0</v>
      </c>
      <c r="J477" s="280">
        <f t="shared" si="72"/>
        <v>1.5888888888888886</v>
      </c>
      <c r="K477" s="280"/>
      <c r="L477" s="133">
        <v>250</v>
      </c>
    </row>
    <row r="478" spans="1:12" x14ac:dyDescent="0.25">
      <c r="A478" s="38">
        <v>40</v>
      </c>
      <c r="B478" s="50" t="s">
        <v>508</v>
      </c>
      <c r="C478" s="50"/>
      <c r="D478" s="210">
        <v>160</v>
      </c>
      <c r="E478" s="206">
        <f t="shared" si="71"/>
        <v>147.20000000000002</v>
      </c>
      <c r="F478" s="225">
        <v>60.83</v>
      </c>
      <c r="G478" s="206">
        <f t="shared" si="61"/>
        <v>86.370000000000019</v>
      </c>
      <c r="H478" s="230">
        <v>47</v>
      </c>
      <c r="I478" s="231">
        <v>0</v>
      </c>
      <c r="J478" s="280">
        <f t="shared" si="72"/>
        <v>116.55555555555557</v>
      </c>
      <c r="K478" s="280"/>
      <c r="L478" s="133">
        <v>250</v>
      </c>
    </row>
    <row r="479" spans="1:12" x14ac:dyDescent="0.25">
      <c r="A479" s="38">
        <v>41</v>
      </c>
      <c r="B479" s="50" t="s">
        <v>509</v>
      </c>
      <c r="C479" s="50"/>
      <c r="D479" s="210">
        <v>250</v>
      </c>
      <c r="E479" s="206">
        <f t="shared" si="71"/>
        <v>230</v>
      </c>
      <c r="F479" s="225">
        <v>42.38</v>
      </c>
      <c r="G479" s="206">
        <f t="shared" si="61"/>
        <v>187.62</v>
      </c>
      <c r="H479" s="230">
        <v>131.4</v>
      </c>
      <c r="I479" s="231">
        <v>0</v>
      </c>
      <c r="J479" s="280">
        <f t="shared" ref="J479" si="73">E479*1/0.67-(H479+I479)</f>
        <v>211.88358208955222</v>
      </c>
      <c r="K479" s="279"/>
      <c r="L479" s="133">
        <v>250</v>
      </c>
    </row>
    <row r="480" spans="1:12" x14ac:dyDescent="0.25">
      <c r="A480" s="38">
        <v>42</v>
      </c>
      <c r="B480" s="50" t="s">
        <v>510</v>
      </c>
      <c r="C480" s="50"/>
      <c r="D480" s="210">
        <v>63</v>
      </c>
      <c r="E480" s="206">
        <f t="shared" si="71"/>
        <v>57.96</v>
      </c>
      <c r="F480" s="225">
        <v>1.07</v>
      </c>
      <c r="G480" s="206">
        <f t="shared" si="61"/>
        <v>56.89</v>
      </c>
      <c r="H480" s="230">
        <v>30</v>
      </c>
      <c r="I480" s="231">
        <v>0</v>
      </c>
      <c r="J480" s="280">
        <f t="shared" ref="J480:J482" si="74">E480*1/0.9-(H480+I480)</f>
        <v>34.400000000000006</v>
      </c>
      <c r="K480" s="280"/>
      <c r="L480" s="133">
        <v>250</v>
      </c>
    </row>
    <row r="481" spans="1:12" x14ac:dyDescent="0.25">
      <c r="A481" s="38">
        <v>43</v>
      </c>
      <c r="B481" s="50" t="s">
        <v>511</v>
      </c>
      <c r="C481" s="50"/>
      <c r="D481" s="210">
        <v>400</v>
      </c>
      <c r="E481" s="206">
        <f t="shared" si="71"/>
        <v>368</v>
      </c>
      <c r="F481" s="225">
        <v>22.98</v>
      </c>
      <c r="G481" s="206">
        <f t="shared" si="61"/>
        <v>345.02</v>
      </c>
      <c r="H481" s="230">
        <v>129</v>
      </c>
      <c r="I481" s="231">
        <v>0</v>
      </c>
      <c r="J481" s="278">
        <f t="shared" si="74"/>
        <v>279.88888888888886</v>
      </c>
      <c r="K481" s="279"/>
      <c r="L481" s="133">
        <v>250</v>
      </c>
    </row>
    <row r="482" spans="1:12" x14ac:dyDescent="0.25">
      <c r="A482" s="38">
        <v>44</v>
      </c>
      <c r="B482" s="50" t="s">
        <v>512</v>
      </c>
      <c r="C482" s="50"/>
      <c r="D482" s="210">
        <v>100</v>
      </c>
      <c r="E482" s="206">
        <f t="shared" si="71"/>
        <v>92</v>
      </c>
      <c r="F482" s="225">
        <v>12</v>
      </c>
      <c r="G482" s="206">
        <f t="shared" si="61"/>
        <v>80</v>
      </c>
      <c r="H482" s="230">
        <v>35</v>
      </c>
      <c r="I482" s="231">
        <v>0</v>
      </c>
      <c r="J482" s="280">
        <f t="shared" si="74"/>
        <v>67.222222222222214</v>
      </c>
      <c r="K482" s="280"/>
      <c r="L482" s="133">
        <v>250</v>
      </c>
    </row>
    <row r="483" spans="1:12" x14ac:dyDescent="0.25">
      <c r="A483" s="38">
        <v>45</v>
      </c>
      <c r="B483" s="50" t="s">
        <v>513</v>
      </c>
      <c r="C483" s="50"/>
      <c r="D483" s="210">
        <v>160</v>
      </c>
      <c r="E483" s="206">
        <f t="shared" si="71"/>
        <v>147.20000000000002</v>
      </c>
      <c r="F483" s="225">
        <v>18.399999999999999</v>
      </c>
      <c r="G483" s="206">
        <f t="shared" si="61"/>
        <v>128.80000000000001</v>
      </c>
      <c r="H483" s="230">
        <v>52.3</v>
      </c>
      <c r="I483" s="231">
        <v>0</v>
      </c>
      <c r="J483" s="278">
        <f>E483*1/0.9-(H483+I483)</f>
        <v>111.25555555555557</v>
      </c>
      <c r="K483" s="279"/>
      <c r="L483" s="133">
        <v>250</v>
      </c>
    </row>
    <row r="484" spans="1:12" x14ac:dyDescent="0.25">
      <c r="A484" s="38">
        <v>46</v>
      </c>
      <c r="B484" s="50" t="s">
        <v>514</v>
      </c>
      <c r="C484" s="50"/>
      <c r="D484" s="210">
        <v>250</v>
      </c>
      <c r="E484" s="206">
        <f t="shared" si="71"/>
        <v>230</v>
      </c>
      <c r="F484" s="225">
        <v>47.9</v>
      </c>
      <c r="G484" s="206">
        <f t="shared" si="61"/>
        <v>182.1</v>
      </c>
      <c r="H484" s="230">
        <v>92</v>
      </c>
      <c r="I484" s="231">
        <v>0</v>
      </c>
      <c r="J484" s="280">
        <f>E484*1/0.9-(H484+I484)</f>
        <v>163.55555555555554</v>
      </c>
      <c r="K484" s="279"/>
      <c r="L484" s="133">
        <v>250</v>
      </c>
    </row>
    <row r="485" spans="1:12" x14ac:dyDescent="0.25">
      <c r="A485" s="38">
        <v>47</v>
      </c>
      <c r="B485" s="50" t="s">
        <v>515</v>
      </c>
      <c r="C485" s="50"/>
      <c r="D485" s="210">
        <v>320</v>
      </c>
      <c r="E485" s="206">
        <f t="shared" si="71"/>
        <v>294.40000000000003</v>
      </c>
      <c r="F485" s="225">
        <v>14.18</v>
      </c>
      <c r="G485" s="206">
        <f t="shared" si="61"/>
        <v>280.22000000000003</v>
      </c>
      <c r="H485" s="230">
        <v>121</v>
      </c>
      <c r="I485" s="231">
        <v>0</v>
      </c>
      <c r="J485" s="280">
        <f t="shared" ref="J485:J486" si="75">E485*1/0.9-(H485+I485)</f>
        <v>206.11111111111114</v>
      </c>
      <c r="K485" s="280"/>
      <c r="L485" s="133">
        <v>250</v>
      </c>
    </row>
    <row r="486" spans="1:12" x14ac:dyDescent="0.25">
      <c r="A486" s="38">
        <v>48</v>
      </c>
      <c r="B486" s="50" t="s">
        <v>516</v>
      </c>
      <c r="C486" s="50"/>
      <c r="D486" s="210">
        <v>250</v>
      </c>
      <c r="E486" s="206">
        <f t="shared" si="71"/>
        <v>230</v>
      </c>
      <c r="F486" s="225">
        <v>12.6</v>
      </c>
      <c r="G486" s="206">
        <f t="shared" si="61"/>
        <v>217.4</v>
      </c>
      <c r="H486" s="230">
        <v>70</v>
      </c>
      <c r="I486" s="231">
        <v>0</v>
      </c>
      <c r="J486" s="280">
        <f t="shared" si="75"/>
        <v>185.55555555555554</v>
      </c>
      <c r="K486" s="280"/>
      <c r="L486" s="133">
        <v>250</v>
      </c>
    </row>
    <row r="487" spans="1:12" x14ac:dyDescent="0.25">
      <c r="A487" s="38">
        <v>49</v>
      </c>
      <c r="B487" s="50" t="s">
        <v>517</v>
      </c>
      <c r="C487" s="50"/>
      <c r="D487" s="210">
        <v>100</v>
      </c>
      <c r="E487" s="206">
        <f t="shared" si="71"/>
        <v>92</v>
      </c>
      <c r="F487" s="225">
        <v>52.32</v>
      </c>
      <c r="G487" s="206">
        <f t="shared" si="61"/>
        <v>39.68</v>
      </c>
      <c r="H487" s="230">
        <v>121</v>
      </c>
      <c r="I487" s="231">
        <v>0</v>
      </c>
      <c r="J487" s="281">
        <v>0</v>
      </c>
      <c r="K487" s="281"/>
      <c r="L487" s="134" t="s">
        <v>19</v>
      </c>
    </row>
    <row r="488" spans="1:12" x14ac:dyDescent="0.25">
      <c r="A488" s="38">
        <v>50</v>
      </c>
      <c r="B488" s="50" t="s">
        <v>518</v>
      </c>
      <c r="C488" s="50"/>
      <c r="D488" s="210">
        <v>400</v>
      </c>
      <c r="E488" s="206">
        <f t="shared" si="71"/>
        <v>368</v>
      </c>
      <c r="F488" s="225">
        <v>82.75</v>
      </c>
      <c r="G488" s="206">
        <f t="shared" si="61"/>
        <v>285.25</v>
      </c>
      <c r="H488" s="230">
        <v>242</v>
      </c>
      <c r="I488" s="231">
        <v>0</v>
      </c>
      <c r="J488" s="280">
        <f t="shared" ref="J488:J490" si="76">E488*1/0.67-(H488+I488)</f>
        <v>307.25373134328356</v>
      </c>
      <c r="K488" s="279"/>
      <c r="L488" s="133">
        <v>250</v>
      </c>
    </row>
    <row r="489" spans="1:12" x14ac:dyDescent="0.25">
      <c r="A489" s="38">
        <v>51</v>
      </c>
      <c r="B489" s="50" t="s">
        <v>519</v>
      </c>
      <c r="C489" s="50"/>
      <c r="D489" s="210">
        <v>250</v>
      </c>
      <c r="E489" s="206">
        <f t="shared" si="71"/>
        <v>230</v>
      </c>
      <c r="F489" s="225">
        <v>42.18</v>
      </c>
      <c r="G489" s="206">
        <f t="shared" si="61"/>
        <v>187.82</v>
      </c>
      <c r="H489" s="230">
        <v>244.8</v>
      </c>
      <c r="I489" s="231">
        <v>0</v>
      </c>
      <c r="J489" s="280">
        <f t="shared" si="76"/>
        <v>98.483582089552215</v>
      </c>
      <c r="K489" s="279"/>
      <c r="L489" s="133">
        <v>250</v>
      </c>
    </row>
    <row r="490" spans="1:12" x14ac:dyDescent="0.25">
      <c r="A490" s="38">
        <v>52</v>
      </c>
      <c r="B490" s="50" t="s">
        <v>520</v>
      </c>
      <c r="C490" s="50"/>
      <c r="D490" s="210">
        <v>250</v>
      </c>
      <c r="E490" s="206">
        <f t="shared" si="71"/>
        <v>230</v>
      </c>
      <c r="F490" s="225">
        <v>60.64</v>
      </c>
      <c r="G490" s="206">
        <f t="shared" si="61"/>
        <v>169.36</v>
      </c>
      <c r="H490" s="230">
        <v>122</v>
      </c>
      <c r="I490" s="231">
        <v>0</v>
      </c>
      <c r="J490" s="280">
        <f t="shared" si="76"/>
        <v>221.28358208955223</v>
      </c>
      <c r="K490" s="279"/>
      <c r="L490" s="133">
        <v>250</v>
      </c>
    </row>
    <row r="491" spans="1:12" x14ac:dyDescent="0.25">
      <c r="A491" s="38">
        <v>53</v>
      </c>
      <c r="B491" s="50" t="s">
        <v>521</v>
      </c>
      <c r="C491" s="50"/>
      <c r="D491" s="210">
        <v>320</v>
      </c>
      <c r="E491" s="206">
        <f t="shared" si="71"/>
        <v>294.40000000000003</v>
      </c>
      <c r="F491" s="225">
        <v>17.600000000000001</v>
      </c>
      <c r="G491" s="206">
        <f t="shared" si="61"/>
        <v>276.8</v>
      </c>
      <c r="H491" s="230">
        <v>45</v>
      </c>
      <c r="I491" s="231">
        <v>0</v>
      </c>
      <c r="J491" s="280">
        <f t="shared" ref="J491" si="77">E491*1/0.9-(H491+I491)</f>
        <v>282.11111111111114</v>
      </c>
      <c r="K491" s="280"/>
      <c r="L491" s="133">
        <v>250</v>
      </c>
    </row>
    <row r="492" spans="1:12" x14ac:dyDescent="0.25">
      <c r="A492" s="38">
        <v>54</v>
      </c>
      <c r="B492" s="50" t="s">
        <v>522</v>
      </c>
      <c r="C492" s="50"/>
      <c r="D492" s="210">
        <v>250</v>
      </c>
      <c r="E492" s="206">
        <f t="shared" si="71"/>
        <v>230</v>
      </c>
      <c r="F492" s="225">
        <v>18.559999999999999</v>
      </c>
      <c r="G492" s="206">
        <f t="shared" si="61"/>
        <v>211.44</v>
      </c>
      <c r="H492" s="230">
        <v>70</v>
      </c>
      <c r="I492" s="231">
        <v>0</v>
      </c>
      <c r="J492" s="280">
        <f>E492*1/0.9-(H492+I492)</f>
        <v>185.55555555555554</v>
      </c>
      <c r="K492" s="279"/>
      <c r="L492" s="133">
        <v>250</v>
      </c>
    </row>
    <row r="493" spans="1:12" x14ac:dyDescent="0.25">
      <c r="A493" s="38">
        <v>55</v>
      </c>
      <c r="B493" s="50" t="s">
        <v>523</v>
      </c>
      <c r="C493" s="50"/>
      <c r="D493" s="210">
        <v>400</v>
      </c>
      <c r="E493" s="206">
        <f t="shared" si="71"/>
        <v>368</v>
      </c>
      <c r="F493" s="225">
        <v>93.26</v>
      </c>
      <c r="G493" s="206">
        <f t="shared" si="61"/>
        <v>274.74</v>
      </c>
      <c r="H493" s="230">
        <v>364</v>
      </c>
      <c r="I493" s="231">
        <v>3</v>
      </c>
      <c r="J493" s="280">
        <f>E493*1/0.53-(H493+I493)</f>
        <v>327.33962264150944</v>
      </c>
      <c r="K493" s="279"/>
      <c r="L493" s="133">
        <v>250</v>
      </c>
    </row>
    <row r="494" spans="1:12" x14ac:dyDescent="0.25">
      <c r="A494" s="38">
        <v>56</v>
      </c>
      <c r="B494" s="50" t="s">
        <v>524</v>
      </c>
      <c r="C494" s="50"/>
      <c r="D494" s="210">
        <v>400</v>
      </c>
      <c r="E494" s="206">
        <f t="shared" si="71"/>
        <v>368</v>
      </c>
      <c r="F494" s="225">
        <v>43.95</v>
      </c>
      <c r="G494" s="206">
        <f t="shared" si="61"/>
        <v>324.05</v>
      </c>
      <c r="H494" s="230">
        <v>121</v>
      </c>
      <c r="I494" s="231">
        <v>0</v>
      </c>
      <c r="J494" s="280">
        <f t="shared" ref="J494" si="78">E494*1/0.9-(H494+I494)</f>
        <v>287.88888888888886</v>
      </c>
      <c r="K494" s="280"/>
      <c r="L494" s="133">
        <v>250</v>
      </c>
    </row>
    <row r="495" spans="1:12" x14ac:dyDescent="0.25">
      <c r="A495" s="38">
        <v>57</v>
      </c>
      <c r="B495" s="50" t="s">
        <v>525</v>
      </c>
      <c r="C495" s="50"/>
      <c r="D495" s="210">
        <v>160</v>
      </c>
      <c r="E495" s="206">
        <f t="shared" si="71"/>
        <v>147.20000000000002</v>
      </c>
      <c r="F495" s="225">
        <v>21.89</v>
      </c>
      <c r="G495" s="206">
        <f t="shared" si="61"/>
        <v>125.31000000000002</v>
      </c>
      <c r="H495" s="230">
        <v>121</v>
      </c>
      <c r="I495" s="231">
        <v>3</v>
      </c>
      <c r="J495" s="280">
        <f t="shared" ref="J495:J496" si="79">E495*1/0.67-(H495+I495)</f>
        <v>95.701492537313442</v>
      </c>
      <c r="K495" s="279"/>
      <c r="L495" s="133">
        <v>250</v>
      </c>
    </row>
    <row r="496" spans="1:12" x14ac:dyDescent="0.25">
      <c r="A496" s="38">
        <v>58</v>
      </c>
      <c r="B496" s="50" t="s">
        <v>526</v>
      </c>
      <c r="C496" s="50"/>
      <c r="D496" s="210">
        <v>160</v>
      </c>
      <c r="E496" s="206">
        <f t="shared" si="71"/>
        <v>147.20000000000002</v>
      </c>
      <c r="F496" s="225">
        <v>51.52</v>
      </c>
      <c r="G496" s="206">
        <f t="shared" si="61"/>
        <v>95.68</v>
      </c>
      <c r="H496" s="230">
        <v>105</v>
      </c>
      <c r="I496" s="231">
        <v>0</v>
      </c>
      <c r="J496" s="280">
        <f t="shared" si="79"/>
        <v>114.70149253731344</v>
      </c>
      <c r="K496" s="279"/>
      <c r="L496" s="133">
        <v>250</v>
      </c>
    </row>
    <row r="497" spans="1:12" x14ac:dyDescent="0.25">
      <c r="A497" s="38">
        <v>59</v>
      </c>
      <c r="B497" s="50" t="s">
        <v>527</v>
      </c>
      <c r="C497" s="50"/>
      <c r="D497" s="210">
        <v>160</v>
      </c>
      <c r="E497" s="206">
        <f t="shared" si="71"/>
        <v>147.20000000000002</v>
      </c>
      <c r="F497" s="225">
        <v>3.97</v>
      </c>
      <c r="G497" s="206">
        <f t="shared" si="61"/>
        <v>143.23000000000002</v>
      </c>
      <c r="H497" s="230">
        <v>60</v>
      </c>
      <c r="I497" s="231">
        <v>0</v>
      </c>
      <c r="J497" s="280">
        <f t="shared" ref="J497:J502" si="80">E497*1/0.9-(H497+I497)</f>
        <v>103.55555555555557</v>
      </c>
      <c r="K497" s="280"/>
      <c r="L497" s="133">
        <v>250</v>
      </c>
    </row>
    <row r="498" spans="1:12" x14ac:dyDescent="0.25">
      <c r="A498" s="38">
        <v>60</v>
      </c>
      <c r="B498" s="50" t="s">
        <v>528</v>
      </c>
      <c r="C498" s="50"/>
      <c r="D498" s="210">
        <v>250</v>
      </c>
      <c r="E498" s="206">
        <f t="shared" si="71"/>
        <v>230</v>
      </c>
      <c r="F498" s="225">
        <v>30.77</v>
      </c>
      <c r="G498" s="206">
        <f t="shared" si="61"/>
        <v>199.23</v>
      </c>
      <c r="H498" s="230">
        <v>182</v>
      </c>
      <c r="I498" s="231">
        <v>0</v>
      </c>
      <c r="J498" s="280">
        <f t="shared" si="80"/>
        <v>73.555555555555543</v>
      </c>
      <c r="K498" s="280"/>
      <c r="L498" s="133">
        <v>250</v>
      </c>
    </row>
    <row r="499" spans="1:12" x14ac:dyDescent="0.25">
      <c r="A499" s="38">
        <v>61</v>
      </c>
      <c r="B499" s="50" t="s">
        <v>529</v>
      </c>
      <c r="C499" s="50"/>
      <c r="D499" s="210">
        <v>160</v>
      </c>
      <c r="E499" s="206">
        <f t="shared" si="71"/>
        <v>147.20000000000002</v>
      </c>
      <c r="F499" s="225">
        <v>14.72</v>
      </c>
      <c r="G499" s="206">
        <f t="shared" si="61"/>
        <v>132.48000000000002</v>
      </c>
      <c r="H499" s="230">
        <v>35</v>
      </c>
      <c r="I499" s="231">
        <v>0</v>
      </c>
      <c r="J499" s="278">
        <f t="shared" si="80"/>
        <v>128.55555555555557</v>
      </c>
      <c r="K499" s="279"/>
      <c r="L499" s="133">
        <v>250</v>
      </c>
    </row>
    <row r="500" spans="1:12" x14ac:dyDescent="0.25">
      <c r="A500" s="38">
        <v>62</v>
      </c>
      <c r="B500" s="50" t="s">
        <v>530</v>
      </c>
      <c r="C500" s="50"/>
      <c r="D500" s="210">
        <v>250</v>
      </c>
      <c r="E500" s="206">
        <f t="shared" si="71"/>
        <v>230</v>
      </c>
      <c r="F500" s="225">
        <v>32.93</v>
      </c>
      <c r="G500" s="206">
        <f t="shared" si="61"/>
        <v>197.07</v>
      </c>
      <c r="H500" s="230">
        <v>97</v>
      </c>
      <c r="I500" s="231">
        <v>0</v>
      </c>
      <c r="J500" s="278">
        <f t="shared" si="80"/>
        <v>158.55555555555554</v>
      </c>
      <c r="K500" s="279"/>
      <c r="L500" s="133">
        <v>250</v>
      </c>
    </row>
    <row r="501" spans="1:12" x14ac:dyDescent="0.25">
      <c r="A501" s="38">
        <v>63</v>
      </c>
      <c r="B501" s="50" t="s">
        <v>531</v>
      </c>
      <c r="C501" s="50"/>
      <c r="D501" s="210">
        <v>400</v>
      </c>
      <c r="E501" s="206">
        <f t="shared" si="71"/>
        <v>368</v>
      </c>
      <c r="F501" s="225">
        <v>123.7</v>
      </c>
      <c r="G501" s="206">
        <f t="shared" si="61"/>
        <v>244.3</v>
      </c>
      <c r="H501" s="230">
        <v>320</v>
      </c>
      <c r="I501" s="231">
        <v>0</v>
      </c>
      <c r="J501" s="280">
        <f t="shared" si="80"/>
        <v>88.888888888888857</v>
      </c>
      <c r="K501" s="280"/>
      <c r="L501" s="133">
        <v>250</v>
      </c>
    </row>
    <row r="502" spans="1:12" x14ac:dyDescent="0.25">
      <c r="A502" s="38">
        <v>64</v>
      </c>
      <c r="B502" s="50" t="s">
        <v>532</v>
      </c>
      <c r="C502" s="50"/>
      <c r="D502" s="210">
        <v>250</v>
      </c>
      <c r="E502" s="206">
        <f t="shared" si="71"/>
        <v>230</v>
      </c>
      <c r="F502" s="225">
        <v>146.87</v>
      </c>
      <c r="G502" s="206">
        <f t="shared" si="61"/>
        <v>83.13</v>
      </c>
      <c r="H502" s="230">
        <v>160</v>
      </c>
      <c r="I502" s="231">
        <v>0</v>
      </c>
      <c r="J502" s="280">
        <f t="shared" si="80"/>
        <v>95.555555555555543</v>
      </c>
      <c r="K502" s="280"/>
      <c r="L502" s="133">
        <v>250</v>
      </c>
    </row>
    <row r="503" spans="1:12" x14ac:dyDescent="0.25">
      <c r="A503" s="38">
        <v>65</v>
      </c>
      <c r="B503" s="50" t="s">
        <v>533</v>
      </c>
      <c r="C503" s="50"/>
      <c r="D503" s="210" t="s">
        <v>498</v>
      </c>
      <c r="E503" s="206">
        <v>515.20000000000005</v>
      </c>
      <c r="F503" s="225">
        <v>79.680000000000007</v>
      </c>
      <c r="G503" s="206">
        <f t="shared" si="61"/>
        <v>435.52000000000004</v>
      </c>
      <c r="H503" s="230">
        <v>278</v>
      </c>
      <c r="I503" s="231">
        <v>0</v>
      </c>
      <c r="J503" s="278">
        <f>E503*1/0.67-(H503+I503)</f>
        <v>490.95522388059703</v>
      </c>
      <c r="K503" s="279"/>
      <c r="L503" s="133">
        <v>250</v>
      </c>
    </row>
    <row r="504" spans="1:12" x14ac:dyDescent="0.25">
      <c r="A504" s="38">
        <v>66</v>
      </c>
      <c r="B504" s="50" t="s">
        <v>534</v>
      </c>
      <c r="C504" s="50"/>
      <c r="D504" s="210">
        <v>400</v>
      </c>
      <c r="E504" s="206">
        <f t="shared" ref="E504:E521" si="81">D504*0.92</f>
        <v>368</v>
      </c>
      <c r="F504" s="225">
        <v>24.12</v>
      </c>
      <c r="G504" s="206">
        <f t="shared" si="61"/>
        <v>343.88</v>
      </c>
      <c r="H504" s="230">
        <v>36</v>
      </c>
      <c r="I504" s="231">
        <v>0</v>
      </c>
      <c r="J504" s="280">
        <f t="shared" ref="J504:J505" si="82">E504*1/0.9-(H504+I504)</f>
        <v>372.88888888888886</v>
      </c>
      <c r="K504" s="280"/>
      <c r="L504" s="133">
        <v>250</v>
      </c>
    </row>
    <row r="505" spans="1:12" x14ac:dyDescent="0.25">
      <c r="A505" s="38">
        <v>67</v>
      </c>
      <c r="B505" s="50" t="s">
        <v>535</v>
      </c>
      <c r="C505" s="50"/>
      <c r="D505" s="210">
        <v>160</v>
      </c>
      <c r="E505" s="206">
        <f t="shared" si="81"/>
        <v>147.20000000000002</v>
      </c>
      <c r="F505" s="225">
        <v>45.59</v>
      </c>
      <c r="G505" s="206">
        <f t="shared" ref="G505:G525" si="83">E505-F505</f>
        <v>101.61000000000001</v>
      </c>
      <c r="H505" s="230">
        <v>91</v>
      </c>
      <c r="I505" s="231">
        <v>0</v>
      </c>
      <c r="J505" s="280">
        <f t="shared" si="82"/>
        <v>72.555555555555571</v>
      </c>
      <c r="K505" s="280"/>
      <c r="L505" s="133">
        <v>250</v>
      </c>
    </row>
    <row r="506" spans="1:12" x14ac:dyDescent="0.25">
      <c r="A506" s="38">
        <v>68</v>
      </c>
      <c r="B506" s="50" t="s">
        <v>536</v>
      </c>
      <c r="C506" s="50"/>
      <c r="D506" s="210">
        <v>250</v>
      </c>
      <c r="E506" s="206">
        <f t="shared" si="81"/>
        <v>230</v>
      </c>
      <c r="F506" s="225">
        <v>55.51</v>
      </c>
      <c r="G506" s="206">
        <f t="shared" si="83"/>
        <v>174.49</v>
      </c>
      <c r="H506" s="230">
        <v>189.3</v>
      </c>
      <c r="I506" s="231">
        <v>0</v>
      </c>
      <c r="J506" s="278">
        <f>E506*1/0.67-(H506+I506)</f>
        <v>153.98358208955221</v>
      </c>
      <c r="K506" s="279"/>
      <c r="L506" s="133">
        <v>250</v>
      </c>
    </row>
    <row r="507" spans="1:12" x14ac:dyDescent="0.25">
      <c r="A507" s="38">
        <v>69</v>
      </c>
      <c r="B507" s="50" t="s">
        <v>537</v>
      </c>
      <c r="C507" s="50"/>
      <c r="D507" s="210">
        <v>250</v>
      </c>
      <c r="E507" s="206">
        <f t="shared" si="81"/>
        <v>230</v>
      </c>
      <c r="F507" s="225">
        <v>18.170000000000002</v>
      </c>
      <c r="G507" s="206">
        <f t="shared" si="83"/>
        <v>211.82999999999998</v>
      </c>
      <c r="H507" s="230">
        <v>43</v>
      </c>
      <c r="I507" s="231">
        <v>0</v>
      </c>
      <c r="J507" s="278">
        <f t="shared" ref="J507:J518" si="84">E507*1/0.9-(H507+I507)</f>
        <v>212.55555555555554</v>
      </c>
      <c r="K507" s="279"/>
      <c r="L507" s="133">
        <v>250</v>
      </c>
    </row>
    <row r="508" spans="1:12" x14ac:dyDescent="0.25">
      <c r="A508" s="38">
        <v>70</v>
      </c>
      <c r="B508" s="50" t="s">
        <v>538</v>
      </c>
      <c r="C508" s="50"/>
      <c r="D508" s="210">
        <v>100</v>
      </c>
      <c r="E508" s="206">
        <f t="shared" si="81"/>
        <v>92</v>
      </c>
      <c r="F508" s="225">
        <v>17.579999999999998</v>
      </c>
      <c r="G508" s="206">
        <f t="shared" si="83"/>
        <v>74.42</v>
      </c>
      <c r="H508" s="230">
        <v>30</v>
      </c>
      <c r="I508" s="231">
        <v>0</v>
      </c>
      <c r="J508" s="278">
        <f t="shared" si="84"/>
        <v>72.222222222222214</v>
      </c>
      <c r="K508" s="279"/>
      <c r="L508" s="133">
        <v>250</v>
      </c>
    </row>
    <row r="509" spans="1:12" x14ac:dyDescent="0.25">
      <c r="A509" s="38">
        <v>71</v>
      </c>
      <c r="B509" s="50" t="s">
        <v>539</v>
      </c>
      <c r="C509" s="50"/>
      <c r="D509" s="210">
        <v>160</v>
      </c>
      <c r="E509" s="206">
        <f t="shared" si="81"/>
        <v>147.20000000000002</v>
      </c>
      <c r="F509" s="225">
        <v>0.17</v>
      </c>
      <c r="G509" s="206">
        <f t="shared" si="83"/>
        <v>147.03000000000003</v>
      </c>
      <c r="H509" s="230">
        <v>40</v>
      </c>
      <c r="I509" s="231">
        <v>0</v>
      </c>
      <c r="J509" s="278">
        <f t="shared" si="84"/>
        <v>123.55555555555557</v>
      </c>
      <c r="K509" s="279"/>
      <c r="L509" s="133">
        <v>250</v>
      </c>
    </row>
    <row r="510" spans="1:12" x14ac:dyDescent="0.25">
      <c r="A510" s="38">
        <v>72</v>
      </c>
      <c r="B510" s="50" t="s">
        <v>540</v>
      </c>
      <c r="C510" s="50"/>
      <c r="D510" s="210">
        <v>160</v>
      </c>
      <c r="E510" s="206">
        <f t="shared" si="81"/>
        <v>147.20000000000002</v>
      </c>
      <c r="F510" s="225">
        <v>3.77</v>
      </c>
      <c r="G510" s="206">
        <f t="shared" si="83"/>
        <v>143.43</v>
      </c>
      <c r="H510" s="230">
        <v>120</v>
      </c>
      <c r="I510" s="231">
        <v>0</v>
      </c>
      <c r="J510" s="278">
        <f t="shared" si="84"/>
        <v>43.555555555555571</v>
      </c>
      <c r="K510" s="279"/>
      <c r="L510" s="133">
        <v>250</v>
      </c>
    </row>
    <row r="511" spans="1:12" x14ac:dyDescent="0.25">
      <c r="A511" s="38">
        <v>73</v>
      </c>
      <c r="B511" s="50" t="s">
        <v>541</v>
      </c>
      <c r="C511" s="50"/>
      <c r="D511" s="210">
        <v>160</v>
      </c>
      <c r="E511" s="206">
        <f t="shared" si="81"/>
        <v>147.20000000000002</v>
      </c>
      <c r="F511" s="225">
        <v>6.8</v>
      </c>
      <c r="G511" s="206">
        <f t="shared" si="83"/>
        <v>140.4</v>
      </c>
      <c r="H511" s="230">
        <v>35</v>
      </c>
      <c r="I511" s="231">
        <v>0</v>
      </c>
      <c r="J511" s="278">
        <f t="shared" si="84"/>
        <v>128.55555555555557</v>
      </c>
      <c r="K511" s="279"/>
      <c r="L511" s="133">
        <v>250</v>
      </c>
    </row>
    <row r="512" spans="1:12" x14ac:dyDescent="0.25">
      <c r="A512" s="38">
        <v>74</v>
      </c>
      <c r="B512" s="50" t="s">
        <v>542</v>
      </c>
      <c r="C512" s="50"/>
      <c r="D512" s="210">
        <v>100</v>
      </c>
      <c r="E512" s="206">
        <f t="shared" si="81"/>
        <v>92</v>
      </c>
      <c r="F512" s="225">
        <v>16.95</v>
      </c>
      <c r="G512" s="206">
        <f t="shared" si="83"/>
        <v>75.05</v>
      </c>
      <c r="H512" s="230">
        <v>20</v>
      </c>
      <c r="I512" s="231">
        <v>0</v>
      </c>
      <c r="J512" s="278">
        <f t="shared" si="84"/>
        <v>82.222222222222214</v>
      </c>
      <c r="K512" s="279"/>
      <c r="L512" s="133">
        <v>250</v>
      </c>
    </row>
    <row r="513" spans="1:12" x14ac:dyDescent="0.25">
      <c r="A513" s="38">
        <v>75</v>
      </c>
      <c r="B513" s="50" t="s">
        <v>543</v>
      </c>
      <c r="C513" s="50"/>
      <c r="D513" s="210">
        <v>250</v>
      </c>
      <c r="E513" s="206">
        <f t="shared" si="81"/>
        <v>230</v>
      </c>
      <c r="F513" s="225">
        <v>28.1</v>
      </c>
      <c r="G513" s="206">
        <f t="shared" si="83"/>
        <v>201.9</v>
      </c>
      <c r="H513" s="230">
        <v>240</v>
      </c>
      <c r="I513" s="231">
        <v>0</v>
      </c>
      <c r="J513" s="278">
        <f t="shared" si="84"/>
        <v>15.555555555555543</v>
      </c>
      <c r="K513" s="279"/>
      <c r="L513" s="133">
        <v>250</v>
      </c>
    </row>
    <row r="514" spans="1:12" x14ac:dyDescent="0.25">
      <c r="A514" s="38">
        <v>76</v>
      </c>
      <c r="B514" s="50" t="s">
        <v>544</v>
      </c>
      <c r="C514" s="50"/>
      <c r="D514" s="210">
        <v>400</v>
      </c>
      <c r="E514" s="206">
        <f t="shared" si="81"/>
        <v>368</v>
      </c>
      <c r="F514" s="225">
        <v>47.16</v>
      </c>
      <c r="G514" s="206">
        <f t="shared" si="83"/>
        <v>320.84000000000003</v>
      </c>
      <c r="H514" s="230">
        <v>135</v>
      </c>
      <c r="I514" s="231">
        <v>0</v>
      </c>
      <c r="J514" s="278">
        <f t="shared" si="84"/>
        <v>273.88888888888886</v>
      </c>
      <c r="K514" s="279"/>
      <c r="L514" s="133">
        <v>250</v>
      </c>
    </row>
    <row r="515" spans="1:12" x14ac:dyDescent="0.25">
      <c r="A515" s="38">
        <v>77</v>
      </c>
      <c r="B515" s="50" t="s">
        <v>545</v>
      </c>
      <c r="C515" s="50"/>
      <c r="D515" s="210">
        <v>630</v>
      </c>
      <c r="E515" s="206">
        <f t="shared" si="81"/>
        <v>579.6</v>
      </c>
      <c r="F515" s="225">
        <v>23.84</v>
      </c>
      <c r="G515" s="206">
        <f t="shared" si="83"/>
        <v>555.76</v>
      </c>
      <c r="H515" s="230">
        <v>530</v>
      </c>
      <c r="I515" s="231">
        <v>0</v>
      </c>
      <c r="J515" s="278">
        <f t="shared" si="84"/>
        <v>114</v>
      </c>
      <c r="K515" s="279"/>
      <c r="L515" s="133">
        <v>250</v>
      </c>
    </row>
    <row r="516" spans="1:12" x14ac:dyDescent="0.25">
      <c r="A516" s="38">
        <v>78</v>
      </c>
      <c r="B516" s="50" t="s">
        <v>546</v>
      </c>
      <c r="C516" s="50"/>
      <c r="D516" s="210">
        <v>160</v>
      </c>
      <c r="E516" s="206">
        <f t="shared" si="81"/>
        <v>147.20000000000002</v>
      </c>
      <c r="F516" s="225">
        <v>13.23</v>
      </c>
      <c r="G516" s="206">
        <f t="shared" si="83"/>
        <v>133.97000000000003</v>
      </c>
      <c r="H516" s="230">
        <v>120</v>
      </c>
      <c r="I516" s="231">
        <v>0</v>
      </c>
      <c r="J516" s="278">
        <f t="shared" si="84"/>
        <v>43.555555555555571</v>
      </c>
      <c r="K516" s="279"/>
      <c r="L516" s="133">
        <v>250</v>
      </c>
    </row>
    <row r="517" spans="1:12" x14ac:dyDescent="0.25">
      <c r="A517" s="38">
        <v>79</v>
      </c>
      <c r="B517" s="50" t="s">
        <v>547</v>
      </c>
      <c r="C517" s="50"/>
      <c r="D517" s="210">
        <v>63</v>
      </c>
      <c r="E517" s="206">
        <f t="shared" si="81"/>
        <v>57.96</v>
      </c>
      <c r="F517" s="225">
        <v>1.35</v>
      </c>
      <c r="G517" s="206">
        <f t="shared" si="83"/>
        <v>56.61</v>
      </c>
      <c r="H517" s="230">
        <v>50</v>
      </c>
      <c r="I517" s="231">
        <v>0</v>
      </c>
      <c r="J517" s="278">
        <f t="shared" si="84"/>
        <v>14.400000000000006</v>
      </c>
      <c r="K517" s="279"/>
      <c r="L517" s="133">
        <v>250</v>
      </c>
    </row>
    <row r="518" spans="1:12" x14ac:dyDescent="0.25">
      <c r="A518" s="38">
        <v>80</v>
      </c>
      <c r="B518" s="50" t="s">
        <v>548</v>
      </c>
      <c r="C518" s="50"/>
      <c r="D518" s="210">
        <v>250</v>
      </c>
      <c r="E518" s="206">
        <f t="shared" si="81"/>
        <v>230</v>
      </c>
      <c r="F518" s="225">
        <v>69.05</v>
      </c>
      <c r="G518" s="206">
        <f t="shared" si="83"/>
        <v>160.94999999999999</v>
      </c>
      <c r="H518" s="230">
        <v>255</v>
      </c>
      <c r="I518" s="231">
        <v>0</v>
      </c>
      <c r="J518" s="278">
        <f t="shared" si="84"/>
        <v>0.55555555555554292</v>
      </c>
      <c r="K518" s="279"/>
      <c r="L518" s="133">
        <v>250</v>
      </c>
    </row>
    <row r="519" spans="1:12" x14ac:dyDescent="0.25">
      <c r="A519" s="38">
        <v>81</v>
      </c>
      <c r="B519" s="50" t="s">
        <v>549</v>
      </c>
      <c r="C519" s="50"/>
      <c r="D519" s="210">
        <v>63</v>
      </c>
      <c r="E519" s="206">
        <f t="shared" si="81"/>
        <v>57.96</v>
      </c>
      <c r="F519" s="225">
        <v>34.369999999999997</v>
      </c>
      <c r="G519" s="206">
        <f t="shared" si="83"/>
        <v>23.590000000000003</v>
      </c>
      <c r="H519" s="230">
        <v>79</v>
      </c>
      <c r="I519" s="231">
        <v>0</v>
      </c>
      <c r="J519" s="278">
        <f t="shared" ref="J519" si="85">E519*1/0.67-(H519+I519)</f>
        <v>7.5074626865671661</v>
      </c>
      <c r="K519" s="279"/>
      <c r="L519" s="133">
        <v>250</v>
      </c>
    </row>
    <row r="520" spans="1:12" x14ac:dyDescent="0.25">
      <c r="A520" s="38">
        <v>82</v>
      </c>
      <c r="B520" s="50" t="s">
        <v>550</v>
      </c>
      <c r="C520" s="50"/>
      <c r="D520" s="210">
        <v>100</v>
      </c>
      <c r="E520" s="206">
        <f t="shared" si="81"/>
        <v>92</v>
      </c>
      <c r="F520" s="225">
        <v>9.9700000000000006</v>
      </c>
      <c r="G520" s="206">
        <f t="shared" si="83"/>
        <v>82.03</v>
      </c>
      <c r="H520" s="230">
        <v>42</v>
      </c>
      <c r="I520" s="231">
        <v>0</v>
      </c>
      <c r="J520" s="278">
        <f t="shared" ref="J520:J525" si="86">E520*1/0.9-(H520+I520)</f>
        <v>60.222222222222214</v>
      </c>
      <c r="K520" s="279"/>
      <c r="L520" s="133">
        <v>250</v>
      </c>
    </row>
    <row r="521" spans="1:12" x14ac:dyDescent="0.25">
      <c r="A521" s="38">
        <v>83</v>
      </c>
      <c r="B521" s="50" t="s">
        <v>551</v>
      </c>
      <c r="C521" s="50"/>
      <c r="D521" s="210">
        <v>400</v>
      </c>
      <c r="E521" s="206">
        <f t="shared" si="81"/>
        <v>368</v>
      </c>
      <c r="F521" s="225">
        <v>48.38</v>
      </c>
      <c r="G521" s="206">
        <f t="shared" si="83"/>
        <v>319.62</v>
      </c>
      <c r="H521" s="230">
        <v>177</v>
      </c>
      <c r="I521" s="231">
        <v>0</v>
      </c>
      <c r="J521" s="278">
        <f t="shared" si="86"/>
        <v>231.88888888888886</v>
      </c>
      <c r="K521" s="279"/>
      <c r="L521" s="133">
        <v>250</v>
      </c>
    </row>
    <row r="522" spans="1:12" x14ac:dyDescent="0.25">
      <c r="A522" s="38">
        <v>84</v>
      </c>
      <c r="B522" s="50" t="s">
        <v>552</v>
      </c>
      <c r="C522" s="50"/>
      <c r="D522" s="210" t="s">
        <v>553</v>
      </c>
      <c r="E522" s="206">
        <v>231.84</v>
      </c>
      <c r="F522" s="225">
        <v>168.73</v>
      </c>
      <c r="G522" s="206">
        <f t="shared" si="83"/>
        <v>63.110000000000014</v>
      </c>
      <c r="H522" s="230">
        <v>525</v>
      </c>
      <c r="I522" s="231">
        <v>0</v>
      </c>
      <c r="J522" s="281">
        <v>0</v>
      </c>
      <c r="K522" s="281"/>
      <c r="L522" s="134" t="s">
        <v>19</v>
      </c>
    </row>
    <row r="523" spans="1:12" x14ac:dyDescent="0.25">
      <c r="A523" s="38">
        <v>85</v>
      </c>
      <c r="B523" s="50" t="s">
        <v>554</v>
      </c>
      <c r="C523" s="50"/>
      <c r="D523" s="210">
        <v>100</v>
      </c>
      <c r="E523" s="206">
        <f t="shared" ref="E523:E524" si="87">D523*0.92</f>
        <v>92</v>
      </c>
      <c r="F523" s="225">
        <v>42.34</v>
      </c>
      <c r="G523" s="206">
        <f t="shared" si="83"/>
        <v>49.66</v>
      </c>
      <c r="H523" s="230">
        <v>50</v>
      </c>
      <c r="I523" s="231">
        <v>0</v>
      </c>
      <c r="J523" s="278">
        <f t="shared" si="86"/>
        <v>52.222222222222214</v>
      </c>
      <c r="K523" s="279"/>
      <c r="L523" s="133">
        <v>250</v>
      </c>
    </row>
    <row r="524" spans="1:12" x14ac:dyDescent="0.25">
      <c r="A524" s="38">
        <v>86</v>
      </c>
      <c r="B524" s="50" t="s">
        <v>555</v>
      </c>
      <c r="C524" s="50"/>
      <c r="D524" s="210">
        <v>250</v>
      </c>
      <c r="E524" s="206">
        <f t="shared" si="87"/>
        <v>230</v>
      </c>
      <c r="F524" s="225">
        <v>21.72</v>
      </c>
      <c r="G524" s="206">
        <f t="shared" si="83"/>
        <v>208.28</v>
      </c>
      <c r="H524" s="230">
        <v>25</v>
      </c>
      <c r="I524" s="231">
        <v>0</v>
      </c>
      <c r="J524" s="278">
        <f t="shared" si="86"/>
        <v>230.55555555555554</v>
      </c>
      <c r="K524" s="279"/>
      <c r="L524" s="133">
        <v>250</v>
      </c>
    </row>
    <row r="525" spans="1:12" ht="15.75" thickBot="1" x14ac:dyDescent="0.3">
      <c r="A525" s="38">
        <v>87</v>
      </c>
      <c r="B525" s="50" t="s">
        <v>556</v>
      </c>
      <c r="C525" s="50"/>
      <c r="D525" s="220" t="s">
        <v>557</v>
      </c>
      <c r="E525" s="224">
        <v>811.44</v>
      </c>
      <c r="F525" s="227">
        <v>59.72</v>
      </c>
      <c r="G525" s="224">
        <f t="shared" si="83"/>
        <v>751.72</v>
      </c>
      <c r="H525" s="232">
        <v>480</v>
      </c>
      <c r="I525" s="233">
        <v>0</v>
      </c>
      <c r="J525" s="276">
        <f t="shared" si="86"/>
        <v>421.6</v>
      </c>
      <c r="K525" s="277"/>
      <c r="L525" s="135">
        <v>250</v>
      </c>
    </row>
    <row r="526" spans="1:12" ht="16.5" thickBot="1" x14ac:dyDescent="0.3">
      <c r="A526" s="288" t="s">
        <v>559</v>
      </c>
      <c r="B526" s="289"/>
      <c r="C526" s="289"/>
      <c r="D526" s="289"/>
      <c r="E526" s="289"/>
      <c r="F526" s="289"/>
      <c r="G526" s="289"/>
      <c r="H526" s="289"/>
      <c r="I526" s="289"/>
      <c r="J526" s="289"/>
      <c r="K526" s="289"/>
      <c r="L526" s="290"/>
    </row>
    <row r="527" spans="1:12" ht="18" customHeight="1" x14ac:dyDescent="0.25">
      <c r="A527" s="173">
        <v>1</v>
      </c>
      <c r="B527" s="245" t="s">
        <v>560</v>
      </c>
      <c r="C527" s="246"/>
      <c r="D527" s="173">
        <v>250</v>
      </c>
      <c r="E527" s="223">
        <v>230</v>
      </c>
      <c r="F527" s="4">
        <v>17.139600000000002</v>
      </c>
      <c r="G527" s="234">
        <f>E527-F527</f>
        <v>212.8604</v>
      </c>
      <c r="H527" s="234">
        <v>177</v>
      </c>
      <c r="I527" s="173"/>
      <c r="J527" s="343">
        <f>E527*1/0.9-(H527+I527)</f>
        <v>78.555555555555543</v>
      </c>
      <c r="K527" s="343"/>
      <c r="L527" s="135">
        <v>250</v>
      </c>
    </row>
    <row r="528" spans="1:12" x14ac:dyDescent="0.25">
      <c r="A528" s="173">
        <v>2</v>
      </c>
      <c r="B528" s="245" t="s">
        <v>561</v>
      </c>
      <c r="C528" s="245"/>
      <c r="D528" s="247">
        <v>630</v>
      </c>
      <c r="E528" s="223">
        <v>579.6</v>
      </c>
      <c r="F528" s="4">
        <v>66.230800000000002</v>
      </c>
      <c r="G528" s="234">
        <f t="shared" ref="G528:G598" si="88">E528-F528</f>
        <v>513.36919999999998</v>
      </c>
      <c r="H528" s="234">
        <v>565</v>
      </c>
      <c r="I528" s="173"/>
      <c r="J528" s="343">
        <f t="shared" ref="J528:J570" si="89">E528*1/0.9-(H528+I528)</f>
        <v>79</v>
      </c>
      <c r="K528" s="343"/>
      <c r="L528" s="135">
        <v>250</v>
      </c>
    </row>
    <row r="529" spans="1:12" x14ac:dyDescent="0.25">
      <c r="A529" s="173">
        <v>3</v>
      </c>
      <c r="B529" s="245" t="s">
        <v>562</v>
      </c>
      <c r="C529" s="245"/>
      <c r="D529" s="247" t="s">
        <v>99</v>
      </c>
      <c r="E529" s="223">
        <v>515.19999999999993</v>
      </c>
      <c r="F529" s="4">
        <v>151.08240000000001</v>
      </c>
      <c r="G529" s="234">
        <f t="shared" si="88"/>
        <v>364.11759999999992</v>
      </c>
      <c r="H529" s="234">
        <v>2016.48</v>
      </c>
      <c r="I529" s="173"/>
      <c r="J529" s="383">
        <v>0</v>
      </c>
      <c r="K529" s="384"/>
      <c r="L529" s="134" t="s">
        <v>19</v>
      </c>
    </row>
    <row r="530" spans="1:12" x14ac:dyDescent="0.25">
      <c r="A530" s="173">
        <v>4</v>
      </c>
      <c r="B530" s="245" t="s">
        <v>563</v>
      </c>
      <c r="C530" s="245"/>
      <c r="D530" s="173">
        <v>320</v>
      </c>
      <c r="E530" s="223">
        <v>294.40000000000003</v>
      </c>
      <c r="F530" s="4">
        <v>91.411199999999994</v>
      </c>
      <c r="G530" s="234">
        <f t="shared" si="88"/>
        <v>202.98880000000003</v>
      </c>
      <c r="H530" s="234">
        <v>810</v>
      </c>
      <c r="I530" s="173"/>
      <c r="J530" s="383">
        <v>0</v>
      </c>
      <c r="K530" s="384"/>
      <c r="L530" s="134" t="s">
        <v>19</v>
      </c>
    </row>
    <row r="531" spans="1:12" x14ac:dyDescent="0.25">
      <c r="A531" s="173">
        <v>5</v>
      </c>
      <c r="B531" s="245" t="s">
        <v>564</v>
      </c>
      <c r="C531" s="245"/>
      <c r="D531" s="173">
        <v>400</v>
      </c>
      <c r="E531" s="223">
        <v>368</v>
      </c>
      <c r="F531" s="4">
        <v>95.854799999999997</v>
      </c>
      <c r="G531" s="234">
        <f t="shared" si="88"/>
        <v>272.14519999999999</v>
      </c>
      <c r="H531" s="234">
        <v>877.82</v>
      </c>
      <c r="I531" s="173"/>
      <c r="J531" s="383">
        <v>0</v>
      </c>
      <c r="K531" s="384"/>
      <c r="L531" s="134" t="s">
        <v>19</v>
      </c>
    </row>
    <row r="532" spans="1:12" x14ac:dyDescent="0.25">
      <c r="A532" s="173">
        <v>6</v>
      </c>
      <c r="B532" s="245" t="s">
        <v>565</v>
      </c>
      <c r="C532" s="245"/>
      <c r="D532" s="173">
        <v>630</v>
      </c>
      <c r="E532" s="223">
        <v>579.6</v>
      </c>
      <c r="F532" s="4">
        <v>135.2124</v>
      </c>
      <c r="G532" s="234">
        <f t="shared" si="88"/>
        <v>444.38760000000002</v>
      </c>
      <c r="H532" s="234">
        <v>1040.46</v>
      </c>
      <c r="I532" s="173"/>
      <c r="J532" s="383">
        <v>0</v>
      </c>
      <c r="K532" s="384"/>
      <c r="L532" s="134" t="s">
        <v>19</v>
      </c>
    </row>
    <row r="533" spans="1:12" x14ac:dyDescent="0.25">
      <c r="A533" s="173">
        <v>7</v>
      </c>
      <c r="B533" s="245" t="s">
        <v>566</v>
      </c>
      <c r="C533" s="245"/>
      <c r="D533" s="173">
        <v>630</v>
      </c>
      <c r="E533" s="223">
        <v>579.6</v>
      </c>
      <c r="F533" s="4">
        <v>56.708799999999997</v>
      </c>
      <c r="G533" s="234">
        <f t="shared" si="88"/>
        <v>522.89120000000003</v>
      </c>
      <c r="H533" s="234">
        <v>619</v>
      </c>
      <c r="I533" s="173"/>
      <c r="J533" s="343">
        <f t="shared" si="89"/>
        <v>25</v>
      </c>
      <c r="K533" s="343"/>
      <c r="L533" s="135">
        <v>250</v>
      </c>
    </row>
    <row r="534" spans="1:12" x14ac:dyDescent="0.25">
      <c r="A534" s="173">
        <v>8</v>
      </c>
      <c r="B534" s="245" t="s">
        <v>567</v>
      </c>
      <c r="C534" s="245"/>
      <c r="D534" s="173" t="s">
        <v>51</v>
      </c>
      <c r="E534" s="223">
        <v>515.19999999999993</v>
      </c>
      <c r="F534" s="4">
        <v>149.81280000000001</v>
      </c>
      <c r="G534" s="234">
        <f t="shared" si="88"/>
        <v>365.38719999999989</v>
      </c>
      <c r="H534" s="234">
        <v>1611</v>
      </c>
      <c r="I534" s="173">
        <v>6</v>
      </c>
      <c r="J534" s="383">
        <v>0</v>
      </c>
      <c r="K534" s="384"/>
      <c r="L534" s="134" t="s">
        <v>19</v>
      </c>
    </row>
    <row r="535" spans="1:12" x14ac:dyDescent="0.25">
      <c r="A535" s="173">
        <v>9</v>
      </c>
      <c r="B535" s="245" t="s">
        <v>781</v>
      </c>
      <c r="C535" s="245"/>
      <c r="D535" s="173" t="s">
        <v>51</v>
      </c>
      <c r="E535" s="223">
        <v>515.19999999999993</v>
      </c>
      <c r="F535" s="4">
        <v>0</v>
      </c>
      <c r="G535" s="234">
        <f t="shared" si="88"/>
        <v>515.19999999999993</v>
      </c>
      <c r="H535" s="234">
        <v>312</v>
      </c>
      <c r="I535" s="173"/>
      <c r="J535" s="343">
        <f>E535*1/0.9-(H535+I535)</f>
        <v>260.44444444444434</v>
      </c>
      <c r="K535" s="343"/>
      <c r="L535" s="135">
        <v>250</v>
      </c>
    </row>
    <row r="536" spans="1:12" x14ac:dyDescent="0.25">
      <c r="A536" s="173">
        <v>10</v>
      </c>
      <c r="B536" s="245" t="s">
        <v>568</v>
      </c>
      <c r="C536" s="245"/>
      <c r="D536" s="173">
        <v>320</v>
      </c>
      <c r="E536" s="223">
        <v>294.40000000000003</v>
      </c>
      <c r="F536" s="4">
        <v>84.216800000000006</v>
      </c>
      <c r="G536" s="234">
        <f t="shared" si="88"/>
        <v>210.18320000000003</v>
      </c>
      <c r="H536" s="234">
        <v>443.1</v>
      </c>
      <c r="I536" s="173"/>
      <c r="J536" s="383">
        <v>0</v>
      </c>
      <c r="K536" s="384"/>
      <c r="L536" s="134" t="s">
        <v>19</v>
      </c>
    </row>
    <row r="537" spans="1:12" x14ac:dyDescent="0.25">
      <c r="A537" s="173">
        <v>11</v>
      </c>
      <c r="B537" s="245" t="s">
        <v>569</v>
      </c>
      <c r="C537" s="245"/>
      <c r="D537" s="173">
        <v>400</v>
      </c>
      <c r="E537" s="223">
        <v>368</v>
      </c>
      <c r="F537" s="4">
        <v>59.247999999999998</v>
      </c>
      <c r="G537" s="234">
        <f t="shared" si="88"/>
        <v>308.75200000000001</v>
      </c>
      <c r="H537" s="234">
        <v>735.39</v>
      </c>
      <c r="I537" s="173"/>
      <c r="J537" s="383">
        <v>0</v>
      </c>
      <c r="K537" s="384"/>
      <c r="L537" s="134" t="s">
        <v>19</v>
      </c>
    </row>
    <row r="538" spans="1:12" x14ac:dyDescent="0.25">
      <c r="A538" s="173">
        <v>12</v>
      </c>
      <c r="B538" s="245" t="s">
        <v>570</v>
      </c>
      <c r="C538" s="245"/>
      <c r="D538" s="173">
        <v>400</v>
      </c>
      <c r="E538" s="223">
        <v>368</v>
      </c>
      <c r="F538" s="4">
        <v>121.24679999999999</v>
      </c>
      <c r="G538" s="234">
        <f t="shared" si="88"/>
        <v>246.75319999999999</v>
      </c>
      <c r="H538" s="234">
        <v>470.91</v>
      </c>
      <c r="I538" s="173"/>
      <c r="J538" s="383">
        <v>0</v>
      </c>
      <c r="K538" s="384"/>
      <c r="L538" s="134" t="s">
        <v>19</v>
      </c>
    </row>
    <row r="539" spans="1:12" x14ac:dyDescent="0.25">
      <c r="A539" s="173">
        <v>13</v>
      </c>
      <c r="B539" s="245" t="s">
        <v>571</v>
      </c>
      <c r="C539" s="245"/>
      <c r="D539" s="173">
        <v>630</v>
      </c>
      <c r="E539" s="223">
        <v>579.6</v>
      </c>
      <c r="F539" s="4">
        <v>105.38</v>
      </c>
      <c r="G539" s="234">
        <f t="shared" si="88"/>
        <v>474.22</v>
      </c>
      <c r="H539" s="234">
        <v>555</v>
      </c>
      <c r="I539" s="173"/>
      <c r="J539" s="343">
        <f t="shared" si="89"/>
        <v>89</v>
      </c>
      <c r="K539" s="343"/>
      <c r="L539" s="135">
        <v>250</v>
      </c>
    </row>
    <row r="540" spans="1:12" x14ac:dyDescent="0.25">
      <c r="A540" s="173">
        <v>14</v>
      </c>
      <c r="B540" s="245" t="s">
        <v>782</v>
      </c>
      <c r="C540" s="245"/>
      <c r="D540" s="247" t="s">
        <v>576</v>
      </c>
      <c r="E540" s="223">
        <v>412.16</v>
      </c>
      <c r="F540" s="4">
        <v>0</v>
      </c>
      <c r="G540" s="234">
        <f t="shared" si="88"/>
        <v>412.16</v>
      </c>
      <c r="H540" s="234">
        <v>500</v>
      </c>
      <c r="I540" s="173"/>
      <c r="J540" s="383">
        <v>0</v>
      </c>
      <c r="K540" s="384"/>
      <c r="L540" s="134" t="s">
        <v>19</v>
      </c>
    </row>
    <row r="541" spans="1:12" x14ac:dyDescent="0.25">
      <c r="A541" s="173">
        <v>15</v>
      </c>
      <c r="B541" s="245" t="s">
        <v>783</v>
      </c>
      <c r="C541" s="245"/>
      <c r="D541" s="173" t="s">
        <v>403</v>
      </c>
      <c r="E541" s="223">
        <v>1288</v>
      </c>
      <c r="F541" s="4">
        <v>0</v>
      </c>
      <c r="G541" s="234">
        <f t="shared" si="88"/>
        <v>1288</v>
      </c>
      <c r="H541" s="234">
        <v>1400</v>
      </c>
      <c r="I541" s="173"/>
      <c r="J541" s="343">
        <f>E541*1/0.9-(H541+I541)</f>
        <v>31.111111111111086</v>
      </c>
      <c r="K541" s="343"/>
      <c r="L541" s="135">
        <v>250</v>
      </c>
    </row>
    <row r="542" spans="1:12" x14ac:dyDescent="0.25">
      <c r="A542" s="173">
        <v>16</v>
      </c>
      <c r="B542" s="245" t="s">
        <v>572</v>
      </c>
      <c r="C542" s="245"/>
      <c r="D542" s="173" t="s">
        <v>60</v>
      </c>
      <c r="E542" s="223">
        <v>811.43999999999994</v>
      </c>
      <c r="F542" s="4">
        <v>165.89</v>
      </c>
      <c r="G542" s="234">
        <f t="shared" si="88"/>
        <v>645.54999999999995</v>
      </c>
      <c r="H542" s="234">
        <v>1040.75</v>
      </c>
      <c r="I542" s="173"/>
      <c r="J542" s="383">
        <v>0</v>
      </c>
      <c r="K542" s="384"/>
      <c r="L542" s="134" t="s">
        <v>19</v>
      </c>
    </row>
    <row r="543" spans="1:12" x14ac:dyDescent="0.25">
      <c r="A543" s="173">
        <v>17</v>
      </c>
      <c r="B543" s="245" t="s">
        <v>573</v>
      </c>
      <c r="C543" s="245"/>
      <c r="D543" s="247" t="s">
        <v>574</v>
      </c>
      <c r="E543" s="223">
        <v>412.16</v>
      </c>
      <c r="F543" s="4">
        <v>289.26</v>
      </c>
      <c r="G543" s="234">
        <f t="shared" si="88"/>
        <v>122.90000000000003</v>
      </c>
      <c r="H543" s="234">
        <v>1091.5999999999999</v>
      </c>
      <c r="I543" s="173"/>
      <c r="J543" s="383">
        <v>0</v>
      </c>
      <c r="K543" s="384"/>
      <c r="L543" s="134" t="s">
        <v>19</v>
      </c>
    </row>
    <row r="544" spans="1:12" x14ac:dyDescent="0.25">
      <c r="A544" s="173">
        <v>18</v>
      </c>
      <c r="B544" s="245" t="s">
        <v>575</v>
      </c>
      <c r="C544" s="245"/>
      <c r="D544" s="247" t="s">
        <v>576</v>
      </c>
      <c r="E544" s="223">
        <v>412.16</v>
      </c>
      <c r="F544" s="4">
        <v>71.94</v>
      </c>
      <c r="G544" s="234">
        <f t="shared" si="88"/>
        <v>340.22</v>
      </c>
      <c r="H544" s="234">
        <v>1318.2</v>
      </c>
      <c r="I544" s="173"/>
      <c r="J544" s="383">
        <v>0</v>
      </c>
      <c r="K544" s="384"/>
      <c r="L544" s="134" t="s">
        <v>19</v>
      </c>
    </row>
    <row r="545" spans="1:12" x14ac:dyDescent="0.25">
      <c r="A545" s="173">
        <v>19</v>
      </c>
      <c r="B545" s="245" t="s">
        <v>577</v>
      </c>
      <c r="C545" s="245"/>
      <c r="D545" s="173">
        <v>400</v>
      </c>
      <c r="E545" s="223">
        <v>368</v>
      </c>
      <c r="F545" s="4">
        <v>187.27</v>
      </c>
      <c r="G545" s="234">
        <f t="shared" si="88"/>
        <v>180.73</v>
      </c>
      <c r="H545" s="234">
        <v>1327.6</v>
      </c>
      <c r="I545" s="173"/>
      <c r="J545" s="383">
        <v>0</v>
      </c>
      <c r="K545" s="384"/>
      <c r="L545" s="134" t="s">
        <v>19</v>
      </c>
    </row>
    <row r="546" spans="1:12" x14ac:dyDescent="0.25">
      <c r="A546" s="173">
        <v>20</v>
      </c>
      <c r="B546" s="245" t="s">
        <v>578</v>
      </c>
      <c r="C546" s="245"/>
      <c r="D546" s="173">
        <v>320</v>
      </c>
      <c r="E546" s="223">
        <v>412.16</v>
      </c>
      <c r="F546" s="4">
        <v>113.41759999999999</v>
      </c>
      <c r="G546" s="234">
        <f t="shared" si="88"/>
        <v>298.74240000000003</v>
      </c>
      <c r="H546" s="234">
        <v>1361.5</v>
      </c>
      <c r="I546" s="173"/>
      <c r="J546" s="383">
        <v>0</v>
      </c>
      <c r="K546" s="384"/>
      <c r="L546" s="134" t="s">
        <v>19</v>
      </c>
    </row>
    <row r="547" spans="1:12" x14ac:dyDescent="0.25">
      <c r="A547" s="173">
        <v>21</v>
      </c>
      <c r="B547" s="245" t="s">
        <v>579</v>
      </c>
      <c r="C547" s="245"/>
      <c r="D547" s="247" t="s">
        <v>580</v>
      </c>
      <c r="E547" s="223">
        <v>412.16</v>
      </c>
      <c r="F547" s="4">
        <v>115.1104</v>
      </c>
      <c r="G547" s="234">
        <f t="shared" si="88"/>
        <v>297.04960000000005</v>
      </c>
      <c r="H547" s="158">
        <v>1487.2</v>
      </c>
      <c r="I547" s="248"/>
      <c r="J547" s="383">
        <v>0</v>
      </c>
      <c r="K547" s="384"/>
      <c r="L547" s="134" t="s">
        <v>19</v>
      </c>
    </row>
    <row r="548" spans="1:12" x14ac:dyDescent="0.25">
      <c r="A548" s="173">
        <v>22</v>
      </c>
      <c r="B548" s="245" t="s">
        <v>581</v>
      </c>
      <c r="C548" s="245"/>
      <c r="D548" s="173" t="s">
        <v>51</v>
      </c>
      <c r="E548" s="223">
        <v>515.19999999999993</v>
      </c>
      <c r="F548" s="4">
        <v>160.18119999999999</v>
      </c>
      <c r="G548" s="234">
        <f t="shared" si="88"/>
        <v>355.01879999999994</v>
      </c>
      <c r="H548" s="158">
        <v>637.20000000000005</v>
      </c>
      <c r="I548" s="248"/>
      <c r="J548" s="383">
        <v>0</v>
      </c>
      <c r="K548" s="384"/>
      <c r="L548" s="134" t="s">
        <v>19</v>
      </c>
    </row>
    <row r="549" spans="1:12" x14ac:dyDescent="0.25">
      <c r="A549" s="173">
        <v>23</v>
      </c>
      <c r="B549" s="245" t="s">
        <v>582</v>
      </c>
      <c r="C549" s="245"/>
      <c r="D549" s="173" t="s">
        <v>51</v>
      </c>
      <c r="E549" s="223">
        <v>515.19999999999993</v>
      </c>
      <c r="F549" s="4">
        <v>145.37</v>
      </c>
      <c r="G549" s="234">
        <f t="shared" si="88"/>
        <v>369.82999999999993</v>
      </c>
      <c r="H549" s="158">
        <v>581.67999999999995</v>
      </c>
      <c r="I549" s="248"/>
      <c r="J549" s="383">
        <v>0</v>
      </c>
      <c r="K549" s="384"/>
      <c r="L549" s="134" t="s">
        <v>19</v>
      </c>
    </row>
    <row r="550" spans="1:12" x14ac:dyDescent="0.25">
      <c r="A550" s="173">
        <v>24</v>
      </c>
      <c r="B550" s="245" t="s">
        <v>583</v>
      </c>
      <c r="C550" s="245"/>
      <c r="D550" s="173" t="s">
        <v>108</v>
      </c>
      <c r="E550" s="223">
        <v>412.16</v>
      </c>
      <c r="F550" s="4">
        <v>189.38200000000001</v>
      </c>
      <c r="G550" s="234">
        <f t="shared" si="88"/>
        <v>222.77800000000002</v>
      </c>
      <c r="H550" s="158">
        <v>529.95000000000005</v>
      </c>
      <c r="I550" s="248"/>
      <c r="J550" s="383">
        <v>0</v>
      </c>
      <c r="K550" s="384"/>
      <c r="L550" s="134" t="s">
        <v>19</v>
      </c>
    </row>
    <row r="551" spans="1:12" x14ac:dyDescent="0.25">
      <c r="A551" s="173">
        <v>25</v>
      </c>
      <c r="B551" s="245" t="s">
        <v>584</v>
      </c>
      <c r="C551" s="245"/>
      <c r="D551" s="173" t="s">
        <v>60</v>
      </c>
      <c r="E551" s="223">
        <v>811.43999999999994</v>
      </c>
      <c r="F551" s="4">
        <v>190.44</v>
      </c>
      <c r="G551" s="234">
        <f t="shared" si="88"/>
        <v>621</v>
      </c>
      <c r="H551" s="158">
        <v>902.95</v>
      </c>
      <c r="I551" s="248"/>
      <c r="J551" s="383">
        <v>0</v>
      </c>
      <c r="K551" s="384"/>
      <c r="L551" s="134" t="s">
        <v>19</v>
      </c>
    </row>
    <row r="552" spans="1:12" x14ac:dyDescent="0.25">
      <c r="A552" s="173">
        <v>26</v>
      </c>
      <c r="B552" s="245" t="s">
        <v>784</v>
      </c>
      <c r="C552" s="245"/>
      <c r="D552" s="173">
        <v>160</v>
      </c>
      <c r="E552" s="223">
        <v>147.19999999999999</v>
      </c>
      <c r="F552" s="4">
        <v>0</v>
      </c>
      <c r="G552" s="234">
        <f t="shared" si="88"/>
        <v>147.19999999999999</v>
      </c>
      <c r="H552" s="158">
        <v>110</v>
      </c>
      <c r="I552" s="248"/>
      <c r="J552" s="343">
        <f>E552*1/0.9-(H552+I552)</f>
        <v>53.555555555555543</v>
      </c>
      <c r="K552" s="343"/>
      <c r="L552" s="135">
        <v>250</v>
      </c>
    </row>
    <row r="553" spans="1:12" x14ac:dyDescent="0.25">
      <c r="A553" s="173">
        <v>27</v>
      </c>
      <c r="B553" s="245" t="s">
        <v>785</v>
      </c>
      <c r="C553" s="245"/>
      <c r="D553" s="173" t="s">
        <v>51</v>
      </c>
      <c r="E553" s="223">
        <v>515.20000000000005</v>
      </c>
      <c r="F553" s="4">
        <v>0</v>
      </c>
      <c r="G553" s="234">
        <f t="shared" si="88"/>
        <v>515.20000000000005</v>
      </c>
      <c r="H553" s="158">
        <v>222.5</v>
      </c>
      <c r="I553" s="248"/>
      <c r="J553" s="343">
        <f>E553*1/0.9-(H553+I553)</f>
        <v>349.94444444444446</v>
      </c>
      <c r="K553" s="343"/>
      <c r="L553" s="135">
        <v>250</v>
      </c>
    </row>
    <row r="554" spans="1:12" x14ac:dyDescent="0.25">
      <c r="A554" s="173">
        <v>28</v>
      </c>
      <c r="B554" s="245" t="s">
        <v>585</v>
      </c>
      <c r="C554" s="245"/>
      <c r="D554" s="173" t="s">
        <v>60</v>
      </c>
      <c r="E554" s="223">
        <v>811.43999999999994</v>
      </c>
      <c r="F554" s="4">
        <v>540.64</v>
      </c>
      <c r="G554" s="234">
        <f t="shared" si="88"/>
        <v>270.79999999999995</v>
      </c>
      <c r="H554" s="158">
        <v>1292.5</v>
      </c>
      <c r="I554" s="248"/>
      <c r="J554" s="383">
        <v>0</v>
      </c>
      <c r="K554" s="384"/>
      <c r="L554" s="134" t="s">
        <v>19</v>
      </c>
    </row>
    <row r="555" spans="1:12" x14ac:dyDescent="0.25">
      <c r="A555" s="173">
        <v>29</v>
      </c>
      <c r="B555" s="245" t="s">
        <v>586</v>
      </c>
      <c r="C555" s="245"/>
      <c r="D555" s="173" t="s">
        <v>403</v>
      </c>
      <c r="E555" s="223">
        <v>1288</v>
      </c>
      <c r="F555" s="4">
        <v>883.53</v>
      </c>
      <c r="G555" s="234">
        <f t="shared" si="88"/>
        <v>404.47</v>
      </c>
      <c r="H555" s="158">
        <v>1433.5</v>
      </c>
      <c r="I555" s="248"/>
      <c r="J555" s="383">
        <v>0</v>
      </c>
      <c r="K555" s="384"/>
      <c r="L555" s="134" t="s">
        <v>19</v>
      </c>
    </row>
    <row r="556" spans="1:12" x14ac:dyDescent="0.25">
      <c r="A556" s="173">
        <v>30</v>
      </c>
      <c r="B556" s="245" t="s">
        <v>587</v>
      </c>
      <c r="C556" s="245"/>
      <c r="D556" s="173" t="s">
        <v>403</v>
      </c>
      <c r="E556" s="223">
        <v>1288</v>
      </c>
      <c r="F556" s="4">
        <v>416.01</v>
      </c>
      <c r="G556" s="234">
        <f t="shared" si="88"/>
        <v>871.99</v>
      </c>
      <c r="H556" s="158">
        <v>1680.7</v>
      </c>
      <c r="I556" s="248"/>
      <c r="J556" s="383">
        <v>0</v>
      </c>
      <c r="K556" s="384"/>
      <c r="L556" s="134" t="s">
        <v>19</v>
      </c>
    </row>
    <row r="557" spans="1:12" x14ac:dyDescent="0.25">
      <c r="A557" s="173">
        <v>31</v>
      </c>
      <c r="B557" s="245" t="s">
        <v>588</v>
      </c>
      <c r="C557" s="245"/>
      <c r="D557" s="173" t="s">
        <v>60</v>
      </c>
      <c r="E557" s="223">
        <v>811.43999999999994</v>
      </c>
      <c r="F557" s="4">
        <v>245.83</v>
      </c>
      <c r="G557" s="234">
        <f t="shared" si="88"/>
        <v>565.6099999999999</v>
      </c>
      <c r="H557" s="158">
        <v>1185.8</v>
      </c>
      <c r="I557" s="248"/>
      <c r="J557" s="383">
        <v>0</v>
      </c>
      <c r="K557" s="384"/>
      <c r="L557" s="134" t="s">
        <v>19</v>
      </c>
    </row>
    <row r="558" spans="1:12" x14ac:dyDescent="0.25">
      <c r="A558" s="173">
        <v>32</v>
      </c>
      <c r="B558" s="245" t="s">
        <v>589</v>
      </c>
      <c r="C558" s="245"/>
      <c r="D558" s="247" t="s">
        <v>580</v>
      </c>
      <c r="E558" s="223">
        <v>412.16</v>
      </c>
      <c r="F558" s="4">
        <v>184.73</v>
      </c>
      <c r="G558" s="234">
        <f t="shared" si="88"/>
        <v>227.43000000000004</v>
      </c>
      <c r="H558" s="158">
        <v>489.5</v>
      </c>
      <c r="I558" s="248"/>
      <c r="J558" s="383">
        <v>0</v>
      </c>
      <c r="K558" s="384"/>
      <c r="L558" s="134" t="s">
        <v>19</v>
      </c>
    </row>
    <row r="559" spans="1:12" x14ac:dyDescent="0.25">
      <c r="A559" s="173">
        <v>33</v>
      </c>
      <c r="B559" s="245" t="s">
        <v>590</v>
      </c>
      <c r="C559" s="245"/>
      <c r="D559" s="173" t="s">
        <v>60</v>
      </c>
      <c r="E559" s="223">
        <v>811.43999999999994</v>
      </c>
      <c r="F559" s="4">
        <v>161.45099999999999</v>
      </c>
      <c r="G559" s="234">
        <f t="shared" si="88"/>
        <v>649.98899999999992</v>
      </c>
      <c r="H559" s="158">
        <v>434</v>
      </c>
      <c r="I559" s="248"/>
      <c r="J559" s="343">
        <f t="shared" si="89"/>
        <v>467.59999999999991</v>
      </c>
      <c r="K559" s="343"/>
      <c r="L559" s="135">
        <v>250</v>
      </c>
    </row>
    <row r="560" spans="1:12" x14ac:dyDescent="0.25">
      <c r="A560" s="173">
        <v>34</v>
      </c>
      <c r="B560" s="245" t="s">
        <v>591</v>
      </c>
      <c r="C560" s="245"/>
      <c r="D560" s="173" t="s">
        <v>60</v>
      </c>
      <c r="E560" s="223">
        <v>811.43999999999994</v>
      </c>
      <c r="F560" s="4">
        <v>647.28</v>
      </c>
      <c r="G560" s="234">
        <f t="shared" si="88"/>
        <v>164.15999999999997</v>
      </c>
      <c r="H560" s="158">
        <v>1420.5</v>
      </c>
      <c r="I560" s="248"/>
      <c r="J560" s="383">
        <v>0</v>
      </c>
      <c r="K560" s="384"/>
      <c r="L560" s="134" t="s">
        <v>19</v>
      </c>
    </row>
    <row r="561" spans="1:12" x14ac:dyDescent="0.25">
      <c r="A561" s="173">
        <v>35</v>
      </c>
      <c r="B561" s="245" t="s">
        <v>592</v>
      </c>
      <c r="C561" s="245"/>
      <c r="D561" s="173" t="s">
        <v>60</v>
      </c>
      <c r="E561" s="223">
        <v>811.43999999999994</v>
      </c>
      <c r="F561" s="4">
        <v>455.28</v>
      </c>
      <c r="G561" s="234">
        <f t="shared" si="88"/>
        <v>356.15999999999997</v>
      </c>
      <c r="H561" s="158">
        <v>1399.4</v>
      </c>
      <c r="I561" s="248"/>
      <c r="J561" s="383">
        <v>0</v>
      </c>
      <c r="K561" s="384"/>
      <c r="L561" s="134" t="s">
        <v>19</v>
      </c>
    </row>
    <row r="562" spans="1:12" x14ac:dyDescent="0.25">
      <c r="A562" s="173">
        <v>36</v>
      </c>
      <c r="B562" s="245" t="s">
        <v>593</v>
      </c>
      <c r="C562" s="245"/>
      <c r="D562" s="173" t="s">
        <v>60</v>
      </c>
      <c r="E562" s="223">
        <v>811.43999999999994</v>
      </c>
      <c r="F562" s="4">
        <v>393.64</v>
      </c>
      <c r="G562" s="234">
        <f t="shared" si="88"/>
        <v>417.79999999999995</v>
      </c>
      <c r="H562" s="158">
        <v>1214.8</v>
      </c>
      <c r="I562" s="248"/>
      <c r="J562" s="383">
        <v>0</v>
      </c>
      <c r="K562" s="384"/>
      <c r="L562" s="134" t="s">
        <v>19</v>
      </c>
    </row>
    <row r="563" spans="1:12" x14ac:dyDescent="0.25">
      <c r="A563" s="173">
        <v>37</v>
      </c>
      <c r="B563" s="245" t="s">
        <v>594</v>
      </c>
      <c r="C563" s="245"/>
      <c r="D563" s="173" t="s">
        <v>51</v>
      </c>
      <c r="E563" s="223">
        <v>515.19999999999993</v>
      </c>
      <c r="F563" s="4">
        <v>245.87899999999999</v>
      </c>
      <c r="G563" s="234">
        <f t="shared" si="88"/>
        <v>269.32099999999991</v>
      </c>
      <c r="H563" s="249">
        <v>1393.17</v>
      </c>
      <c r="I563" s="249"/>
      <c r="J563" s="383">
        <v>0</v>
      </c>
      <c r="K563" s="384"/>
      <c r="L563" s="134" t="s">
        <v>19</v>
      </c>
    </row>
    <row r="564" spans="1:12" x14ac:dyDescent="0.25">
      <c r="A564" s="173">
        <v>38</v>
      </c>
      <c r="B564" s="245" t="s">
        <v>595</v>
      </c>
      <c r="C564" s="245"/>
      <c r="D564" s="173" t="s">
        <v>60</v>
      </c>
      <c r="E564" s="223">
        <v>811.43999999999994</v>
      </c>
      <c r="F564" s="4">
        <v>470.34</v>
      </c>
      <c r="G564" s="234">
        <f t="shared" si="88"/>
        <v>341.09999999999997</v>
      </c>
      <c r="H564" s="249">
        <v>529.79999999999995</v>
      </c>
      <c r="I564" s="249"/>
      <c r="J564" s="343">
        <f t="shared" si="89"/>
        <v>371.79999999999995</v>
      </c>
      <c r="K564" s="343"/>
      <c r="L564" s="135">
        <v>250</v>
      </c>
    </row>
    <row r="565" spans="1:12" x14ac:dyDescent="0.25">
      <c r="A565" s="173">
        <v>39</v>
      </c>
      <c r="B565" s="245" t="s">
        <v>596</v>
      </c>
      <c r="C565" s="245"/>
      <c r="D565" s="173" t="s">
        <v>60</v>
      </c>
      <c r="E565" s="223">
        <v>811.43999999999994</v>
      </c>
      <c r="F565" s="4">
        <v>239.32</v>
      </c>
      <c r="G565" s="234">
        <f t="shared" si="88"/>
        <v>572.11999999999989</v>
      </c>
      <c r="H565" s="249">
        <v>701</v>
      </c>
      <c r="I565" s="249"/>
      <c r="J565" s="343">
        <f t="shared" si="89"/>
        <v>200.59999999999991</v>
      </c>
      <c r="K565" s="343"/>
      <c r="L565" s="135">
        <v>250</v>
      </c>
    </row>
    <row r="566" spans="1:12" x14ac:dyDescent="0.25">
      <c r="A566" s="173">
        <v>40</v>
      </c>
      <c r="B566" s="245" t="s">
        <v>749</v>
      </c>
      <c r="C566" s="245"/>
      <c r="D566" s="173" t="s">
        <v>403</v>
      </c>
      <c r="E566" s="223">
        <v>1288</v>
      </c>
      <c r="F566" s="4">
        <v>78.292000000000002</v>
      </c>
      <c r="G566" s="234">
        <f t="shared" si="88"/>
        <v>1209.7080000000001</v>
      </c>
      <c r="H566" s="249">
        <v>1380</v>
      </c>
      <c r="I566" s="249">
        <v>3.2</v>
      </c>
      <c r="J566" s="343">
        <f t="shared" si="89"/>
        <v>47.91111111111104</v>
      </c>
      <c r="K566" s="343"/>
      <c r="L566" s="135">
        <v>250</v>
      </c>
    </row>
    <row r="567" spans="1:12" x14ac:dyDescent="0.25">
      <c r="A567" s="173">
        <v>41</v>
      </c>
      <c r="B567" s="245" t="s">
        <v>597</v>
      </c>
      <c r="C567" s="245"/>
      <c r="D567" s="173" t="s">
        <v>60</v>
      </c>
      <c r="E567" s="223">
        <v>811.43999999999994</v>
      </c>
      <c r="F567" s="4">
        <v>76.176000000000002</v>
      </c>
      <c r="G567" s="234">
        <f t="shared" si="88"/>
        <v>735.2639999999999</v>
      </c>
      <c r="H567" s="249">
        <v>780</v>
      </c>
      <c r="I567" s="249"/>
      <c r="J567" s="343">
        <f t="shared" si="89"/>
        <v>121.59999999999991</v>
      </c>
      <c r="K567" s="343"/>
      <c r="L567" s="135">
        <v>250</v>
      </c>
    </row>
    <row r="568" spans="1:12" x14ac:dyDescent="0.25">
      <c r="A568" s="173">
        <v>42</v>
      </c>
      <c r="B568" s="245" t="s">
        <v>750</v>
      </c>
      <c r="C568" s="245"/>
      <c r="D568" s="173">
        <v>160</v>
      </c>
      <c r="E568" s="223">
        <v>147.19999999999999</v>
      </c>
      <c r="F568" s="4">
        <v>55.015999999999998</v>
      </c>
      <c r="G568" s="234">
        <f t="shared" si="88"/>
        <v>92.183999999999997</v>
      </c>
      <c r="H568" s="249">
        <v>130</v>
      </c>
      <c r="I568" s="249"/>
      <c r="J568" s="343">
        <f t="shared" si="89"/>
        <v>33.555555555555543</v>
      </c>
      <c r="K568" s="343"/>
      <c r="L568" s="135">
        <v>250</v>
      </c>
    </row>
    <row r="569" spans="1:12" x14ac:dyDescent="0.25">
      <c r="A569" s="173">
        <v>43</v>
      </c>
      <c r="B569" s="245" t="s">
        <v>598</v>
      </c>
      <c r="C569" s="245"/>
      <c r="D569" s="173" t="s">
        <v>403</v>
      </c>
      <c r="E569" s="223">
        <v>1288</v>
      </c>
      <c r="F569" s="4">
        <v>702.72</v>
      </c>
      <c r="G569" s="234">
        <f t="shared" si="88"/>
        <v>585.28</v>
      </c>
      <c r="H569" s="249">
        <v>1338.53</v>
      </c>
      <c r="I569" s="249"/>
      <c r="J569" s="343">
        <f t="shared" si="89"/>
        <v>92.581111111111113</v>
      </c>
      <c r="K569" s="343"/>
      <c r="L569" s="135">
        <v>250</v>
      </c>
    </row>
    <row r="570" spans="1:12" x14ac:dyDescent="0.25">
      <c r="A570" s="173">
        <v>44</v>
      </c>
      <c r="B570" s="245" t="s">
        <v>599</v>
      </c>
      <c r="C570" s="245"/>
      <c r="D570" s="173" t="s">
        <v>60</v>
      </c>
      <c r="E570" s="223">
        <v>811.43999999999994</v>
      </c>
      <c r="F570" s="4">
        <v>322.48</v>
      </c>
      <c r="G570" s="234">
        <f t="shared" si="88"/>
        <v>488.95999999999992</v>
      </c>
      <c r="H570" s="249">
        <v>510</v>
      </c>
      <c r="I570" s="249"/>
      <c r="J570" s="343">
        <f t="shared" si="89"/>
        <v>391.59999999999991</v>
      </c>
      <c r="K570" s="343"/>
      <c r="L570" s="135">
        <v>250</v>
      </c>
    </row>
    <row r="571" spans="1:12" x14ac:dyDescent="0.25">
      <c r="A571" s="173">
        <v>45</v>
      </c>
      <c r="B571" s="245" t="s">
        <v>600</v>
      </c>
      <c r="C571" s="245"/>
      <c r="D571" s="173" t="s">
        <v>51</v>
      </c>
      <c r="E571" s="223">
        <v>515.19999999999993</v>
      </c>
      <c r="F571" s="4">
        <v>295.61</v>
      </c>
      <c r="G571" s="234">
        <f t="shared" si="88"/>
        <v>219.58999999999992</v>
      </c>
      <c r="H571" s="249">
        <v>754</v>
      </c>
      <c r="I571" s="249"/>
      <c r="J571" s="383">
        <v>0</v>
      </c>
      <c r="K571" s="384"/>
      <c r="L571" s="134" t="s">
        <v>19</v>
      </c>
    </row>
    <row r="572" spans="1:12" x14ac:dyDescent="0.25">
      <c r="A572" s="173">
        <v>46</v>
      </c>
      <c r="B572" s="245" t="s">
        <v>601</v>
      </c>
      <c r="C572" s="245"/>
      <c r="D572" s="247" t="s">
        <v>602</v>
      </c>
      <c r="E572" s="223">
        <v>412.16</v>
      </c>
      <c r="F572" s="4">
        <v>133.94</v>
      </c>
      <c r="G572" s="234">
        <f t="shared" si="88"/>
        <v>278.22000000000003</v>
      </c>
      <c r="H572" s="249">
        <v>951.81</v>
      </c>
      <c r="I572" s="249">
        <v>8</v>
      </c>
      <c r="J572" s="383">
        <v>0</v>
      </c>
      <c r="K572" s="384"/>
      <c r="L572" s="134" t="s">
        <v>19</v>
      </c>
    </row>
    <row r="573" spans="1:12" x14ac:dyDescent="0.25">
      <c r="A573" s="173">
        <v>47</v>
      </c>
      <c r="B573" s="245" t="s">
        <v>603</v>
      </c>
      <c r="C573" s="245"/>
      <c r="D573" s="249">
        <v>630</v>
      </c>
      <c r="E573" s="223">
        <v>579.6</v>
      </c>
      <c r="F573" s="4">
        <v>258.79000000000002</v>
      </c>
      <c r="G573" s="234">
        <f t="shared" si="88"/>
        <v>320.81</v>
      </c>
      <c r="H573" s="249">
        <v>814.47</v>
      </c>
      <c r="I573" s="249"/>
      <c r="J573" s="383">
        <v>0</v>
      </c>
      <c r="K573" s="384"/>
      <c r="L573" s="134" t="s">
        <v>19</v>
      </c>
    </row>
    <row r="574" spans="1:12" x14ac:dyDescent="0.25">
      <c r="A574" s="173">
        <v>48</v>
      </c>
      <c r="B574" s="245" t="s">
        <v>604</v>
      </c>
      <c r="C574" s="245"/>
      <c r="D574" s="173" t="s">
        <v>51</v>
      </c>
      <c r="E574" s="223">
        <v>515.19999999999993</v>
      </c>
      <c r="F574" s="4">
        <v>134.58000000000001</v>
      </c>
      <c r="G574" s="234">
        <f t="shared" si="88"/>
        <v>380.61999999999989</v>
      </c>
      <c r="H574" s="249">
        <v>905.4</v>
      </c>
      <c r="I574" s="249"/>
      <c r="J574" s="383">
        <v>0</v>
      </c>
      <c r="K574" s="384"/>
      <c r="L574" s="134" t="s">
        <v>19</v>
      </c>
    </row>
    <row r="575" spans="1:12" x14ac:dyDescent="0.25">
      <c r="A575" s="173">
        <v>49</v>
      </c>
      <c r="B575" s="245" t="s">
        <v>605</v>
      </c>
      <c r="C575" s="245"/>
      <c r="D575" s="173" t="s">
        <v>51</v>
      </c>
      <c r="E575" s="223">
        <v>515.19999999999993</v>
      </c>
      <c r="F575" s="4">
        <v>156.37</v>
      </c>
      <c r="G575" s="234">
        <f t="shared" si="88"/>
        <v>358.82999999999993</v>
      </c>
      <c r="H575" s="249">
        <v>820.58</v>
      </c>
      <c r="I575" s="249"/>
      <c r="J575" s="383">
        <v>0</v>
      </c>
      <c r="K575" s="384"/>
      <c r="L575" s="134" t="s">
        <v>19</v>
      </c>
    </row>
    <row r="576" spans="1:12" x14ac:dyDescent="0.25">
      <c r="A576" s="173">
        <v>50</v>
      </c>
      <c r="B576" s="245" t="s">
        <v>606</v>
      </c>
      <c r="C576" s="245"/>
      <c r="D576" s="173" t="s">
        <v>51</v>
      </c>
      <c r="E576" s="223">
        <v>515.19999999999993</v>
      </c>
      <c r="F576" s="4">
        <v>268.94</v>
      </c>
      <c r="G576" s="234">
        <f t="shared" si="88"/>
        <v>246.25999999999993</v>
      </c>
      <c r="H576" s="249">
        <v>1100.5999999999999</v>
      </c>
      <c r="I576" s="249"/>
      <c r="J576" s="383">
        <v>0</v>
      </c>
      <c r="K576" s="384"/>
      <c r="L576" s="134" t="s">
        <v>19</v>
      </c>
    </row>
    <row r="577" spans="1:12" x14ac:dyDescent="0.25">
      <c r="A577" s="173">
        <v>51</v>
      </c>
      <c r="B577" s="245" t="s">
        <v>607</v>
      </c>
      <c r="C577" s="245"/>
      <c r="D577" s="249">
        <v>400</v>
      </c>
      <c r="E577" s="223">
        <v>368</v>
      </c>
      <c r="F577" s="4">
        <v>90.56</v>
      </c>
      <c r="G577" s="234">
        <f t="shared" si="88"/>
        <v>277.44</v>
      </c>
      <c r="H577" s="249">
        <v>731.1</v>
      </c>
      <c r="I577" s="249"/>
      <c r="J577" s="383">
        <v>0</v>
      </c>
      <c r="K577" s="384"/>
      <c r="L577" s="134" t="s">
        <v>19</v>
      </c>
    </row>
    <row r="578" spans="1:12" x14ac:dyDescent="0.25">
      <c r="A578" s="173">
        <v>52</v>
      </c>
      <c r="B578" s="245" t="s">
        <v>608</v>
      </c>
      <c r="C578" s="245"/>
      <c r="D578" s="173" t="s">
        <v>60</v>
      </c>
      <c r="E578" s="223">
        <v>811.43999999999994</v>
      </c>
      <c r="F578" s="4">
        <v>208.64</v>
      </c>
      <c r="G578" s="234">
        <f t="shared" si="88"/>
        <v>602.79999999999995</v>
      </c>
      <c r="H578" s="249">
        <v>1873.4</v>
      </c>
      <c r="I578" s="249"/>
      <c r="J578" s="383">
        <v>0</v>
      </c>
      <c r="K578" s="384"/>
      <c r="L578" s="134" t="s">
        <v>19</v>
      </c>
    </row>
    <row r="579" spans="1:12" x14ac:dyDescent="0.25">
      <c r="A579" s="173">
        <v>53</v>
      </c>
      <c r="B579" s="245" t="s">
        <v>786</v>
      </c>
      <c r="C579" s="245"/>
      <c r="D579" s="247" t="s">
        <v>787</v>
      </c>
      <c r="E579" s="223">
        <v>515.20000000000005</v>
      </c>
      <c r="F579" s="4">
        <v>0</v>
      </c>
      <c r="G579" s="234">
        <f t="shared" si="88"/>
        <v>515.20000000000005</v>
      </c>
      <c r="H579" s="249">
        <v>353.6</v>
      </c>
      <c r="I579" s="249"/>
      <c r="J579" s="343">
        <f>E579*1/0.9-(H579+I579)</f>
        <v>218.84444444444443</v>
      </c>
      <c r="K579" s="343"/>
      <c r="L579" s="135">
        <v>250</v>
      </c>
    </row>
    <row r="580" spans="1:12" x14ac:dyDescent="0.25">
      <c r="A580" s="173">
        <v>54</v>
      </c>
      <c r="B580" s="245" t="s">
        <v>609</v>
      </c>
      <c r="C580" s="245"/>
      <c r="D580" s="173" t="s">
        <v>51</v>
      </c>
      <c r="E580" s="223">
        <v>515.19999999999993</v>
      </c>
      <c r="F580" s="4">
        <v>169.28</v>
      </c>
      <c r="G580" s="234">
        <f t="shared" si="88"/>
        <v>345.91999999999996</v>
      </c>
      <c r="H580" s="249">
        <v>666.2</v>
      </c>
      <c r="I580" s="249"/>
      <c r="J580" s="383">
        <v>0</v>
      </c>
      <c r="K580" s="384"/>
      <c r="L580" s="134" t="s">
        <v>19</v>
      </c>
    </row>
    <row r="581" spans="1:12" x14ac:dyDescent="0.25">
      <c r="A581" s="173">
        <v>55</v>
      </c>
      <c r="B581" s="245" t="s">
        <v>610</v>
      </c>
      <c r="C581" s="245"/>
      <c r="D581" s="249">
        <v>630</v>
      </c>
      <c r="E581" s="223">
        <v>579.6</v>
      </c>
      <c r="F581" s="4">
        <v>160.18</v>
      </c>
      <c r="G581" s="234">
        <f t="shared" si="88"/>
        <v>419.42</v>
      </c>
      <c r="H581" s="249">
        <v>705.4</v>
      </c>
      <c r="I581" s="249"/>
      <c r="J581" s="383">
        <v>0</v>
      </c>
      <c r="K581" s="384"/>
      <c r="L581" s="134" t="s">
        <v>19</v>
      </c>
    </row>
    <row r="582" spans="1:12" x14ac:dyDescent="0.25">
      <c r="A582" s="173">
        <v>56</v>
      </c>
      <c r="B582" s="245" t="s">
        <v>611</v>
      </c>
      <c r="C582" s="245"/>
      <c r="D582" s="173" t="s">
        <v>51</v>
      </c>
      <c r="E582" s="223">
        <v>515.19999999999993</v>
      </c>
      <c r="F582" s="4">
        <v>397.6</v>
      </c>
      <c r="G582" s="234">
        <f t="shared" si="88"/>
        <v>117.59999999999991</v>
      </c>
      <c r="H582" s="249">
        <v>927.5</v>
      </c>
      <c r="I582" s="249"/>
      <c r="J582" s="383">
        <v>0</v>
      </c>
      <c r="K582" s="384"/>
      <c r="L582" s="134" t="s">
        <v>19</v>
      </c>
    </row>
    <row r="583" spans="1:12" x14ac:dyDescent="0.25">
      <c r="A583" s="173">
        <v>57</v>
      </c>
      <c r="B583" s="245" t="s">
        <v>612</v>
      </c>
      <c r="C583" s="245"/>
      <c r="D583" s="247" t="s">
        <v>580</v>
      </c>
      <c r="E583" s="223">
        <v>412.16</v>
      </c>
      <c r="F583" s="4">
        <v>234.03</v>
      </c>
      <c r="G583" s="234">
        <f t="shared" si="88"/>
        <v>178.13000000000002</v>
      </c>
      <c r="H583" s="249">
        <v>987</v>
      </c>
      <c r="I583" s="249">
        <v>10</v>
      </c>
      <c r="J583" s="383">
        <v>0</v>
      </c>
      <c r="K583" s="384"/>
      <c r="L583" s="134" t="s">
        <v>19</v>
      </c>
    </row>
    <row r="584" spans="1:12" x14ac:dyDescent="0.25">
      <c r="A584" s="173">
        <v>58</v>
      </c>
      <c r="B584" s="245" t="s">
        <v>613</v>
      </c>
      <c r="C584" s="245"/>
      <c r="D584" s="249">
        <v>630</v>
      </c>
      <c r="E584" s="223">
        <v>579.6</v>
      </c>
      <c r="F584" s="4">
        <v>304.07</v>
      </c>
      <c r="G584" s="234">
        <f t="shared" si="88"/>
        <v>275.53000000000003</v>
      </c>
      <c r="H584" s="249">
        <v>1060.8499999999999</v>
      </c>
      <c r="I584" s="249"/>
      <c r="J584" s="383">
        <v>0</v>
      </c>
      <c r="K584" s="384"/>
      <c r="L584" s="134" t="s">
        <v>19</v>
      </c>
    </row>
    <row r="585" spans="1:12" x14ac:dyDescent="0.25">
      <c r="A585" s="173">
        <v>59</v>
      </c>
      <c r="B585" s="245" t="s">
        <v>614</v>
      </c>
      <c r="C585" s="245"/>
      <c r="D585" s="249">
        <v>400</v>
      </c>
      <c r="E585" s="223">
        <v>368</v>
      </c>
      <c r="F585" s="4">
        <v>107.92</v>
      </c>
      <c r="G585" s="234">
        <f t="shared" si="88"/>
        <v>260.08</v>
      </c>
      <c r="H585" s="249">
        <v>594.53</v>
      </c>
      <c r="I585" s="249">
        <v>16</v>
      </c>
      <c r="J585" s="383">
        <v>0</v>
      </c>
      <c r="K585" s="384"/>
      <c r="L585" s="134" t="s">
        <v>19</v>
      </c>
    </row>
    <row r="586" spans="1:12" x14ac:dyDescent="0.25">
      <c r="A586" s="173">
        <v>60</v>
      </c>
      <c r="B586" s="245" t="s">
        <v>615</v>
      </c>
      <c r="C586" s="245"/>
      <c r="D586" s="249">
        <v>400</v>
      </c>
      <c r="E586" s="223">
        <v>368</v>
      </c>
      <c r="F586" s="4">
        <v>89.93</v>
      </c>
      <c r="G586" s="234">
        <f t="shared" si="88"/>
        <v>278.07</v>
      </c>
      <c r="H586" s="249">
        <v>614.20000000000005</v>
      </c>
      <c r="I586" s="249">
        <v>1.5</v>
      </c>
      <c r="J586" s="383">
        <v>0</v>
      </c>
      <c r="K586" s="384"/>
      <c r="L586" s="134" t="s">
        <v>19</v>
      </c>
    </row>
    <row r="587" spans="1:12" x14ac:dyDescent="0.25">
      <c r="A587" s="173">
        <v>61</v>
      </c>
      <c r="B587" s="245" t="s">
        <v>616</v>
      </c>
      <c r="C587" s="245"/>
      <c r="D587" s="249">
        <v>400</v>
      </c>
      <c r="E587" s="223">
        <v>368</v>
      </c>
      <c r="F587" s="4">
        <v>145.16</v>
      </c>
      <c r="G587" s="234">
        <f t="shared" si="88"/>
        <v>222.84</v>
      </c>
      <c r="H587" s="249">
        <v>1030.2</v>
      </c>
      <c r="I587" s="249"/>
      <c r="J587" s="383">
        <v>0</v>
      </c>
      <c r="K587" s="384"/>
      <c r="L587" s="134" t="s">
        <v>19</v>
      </c>
    </row>
    <row r="588" spans="1:12" x14ac:dyDescent="0.25">
      <c r="A588" s="173">
        <v>62</v>
      </c>
      <c r="B588" s="245" t="s">
        <v>788</v>
      </c>
      <c r="C588" s="245"/>
      <c r="D588" s="173" t="s">
        <v>108</v>
      </c>
      <c r="E588" s="223">
        <v>412.16</v>
      </c>
      <c r="F588" s="4">
        <v>0</v>
      </c>
      <c r="G588" s="234">
        <f t="shared" si="88"/>
        <v>412.16</v>
      </c>
      <c r="H588" s="249">
        <v>195</v>
      </c>
      <c r="I588" s="249"/>
      <c r="J588" s="343">
        <f>E588*1/0.9-(H588+I588)</f>
        <v>262.95555555555558</v>
      </c>
      <c r="K588" s="343"/>
      <c r="L588" s="135">
        <v>250</v>
      </c>
    </row>
    <row r="589" spans="1:12" x14ac:dyDescent="0.25">
      <c r="A589" s="173">
        <v>63</v>
      </c>
      <c r="B589" s="245" t="s">
        <v>617</v>
      </c>
      <c r="C589" s="245"/>
      <c r="D589" s="173" t="s">
        <v>51</v>
      </c>
      <c r="E589" s="223">
        <v>515.19999999999993</v>
      </c>
      <c r="F589" s="4">
        <v>148.755</v>
      </c>
      <c r="G589" s="234">
        <f t="shared" si="88"/>
        <v>366.44499999999994</v>
      </c>
      <c r="H589" s="249">
        <v>711</v>
      </c>
      <c r="I589" s="249"/>
      <c r="J589" s="383">
        <v>0</v>
      </c>
      <c r="K589" s="384"/>
      <c r="L589" s="134" t="s">
        <v>19</v>
      </c>
    </row>
    <row r="590" spans="1:12" x14ac:dyDescent="0.25">
      <c r="A590" s="173">
        <v>64</v>
      </c>
      <c r="B590" s="245" t="s">
        <v>618</v>
      </c>
      <c r="C590" s="245"/>
      <c r="D590" s="247" t="s">
        <v>102</v>
      </c>
      <c r="E590" s="223">
        <v>721.28</v>
      </c>
      <c r="F590" s="4">
        <v>214.77</v>
      </c>
      <c r="G590" s="234">
        <f t="shared" si="88"/>
        <v>506.51</v>
      </c>
      <c r="H590" s="249">
        <v>1384.41</v>
      </c>
      <c r="I590" s="249"/>
      <c r="J590" s="383">
        <v>0</v>
      </c>
      <c r="K590" s="384"/>
      <c r="L590" s="134" t="s">
        <v>19</v>
      </c>
    </row>
    <row r="591" spans="1:12" x14ac:dyDescent="0.25">
      <c r="A591" s="173">
        <v>65</v>
      </c>
      <c r="B591" s="245" t="s">
        <v>619</v>
      </c>
      <c r="C591" s="245"/>
      <c r="D591" s="249">
        <v>400</v>
      </c>
      <c r="E591" s="223">
        <v>368</v>
      </c>
      <c r="F591" s="4">
        <v>65.38</v>
      </c>
      <c r="G591" s="234">
        <f t="shared" si="88"/>
        <v>302.62</v>
      </c>
      <c r="H591" s="249">
        <v>1297.2</v>
      </c>
      <c r="I591" s="249"/>
      <c r="J591" s="383">
        <v>0</v>
      </c>
      <c r="K591" s="384"/>
      <c r="L591" s="134" t="s">
        <v>19</v>
      </c>
    </row>
    <row r="592" spans="1:12" x14ac:dyDescent="0.25">
      <c r="A592" s="173">
        <v>66</v>
      </c>
      <c r="B592" s="245" t="s">
        <v>620</v>
      </c>
      <c r="C592" s="245"/>
      <c r="D592" s="173" t="s">
        <v>51</v>
      </c>
      <c r="E592" s="223">
        <v>515.19999999999993</v>
      </c>
      <c r="F592" s="4">
        <v>330.94</v>
      </c>
      <c r="G592" s="234">
        <f t="shared" si="88"/>
        <v>184.25999999999993</v>
      </c>
      <c r="H592" s="249">
        <v>1639.6</v>
      </c>
      <c r="I592" s="249"/>
      <c r="J592" s="383">
        <v>0</v>
      </c>
      <c r="K592" s="384"/>
      <c r="L592" s="134" t="s">
        <v>19</v>
      </c>
    </row>
    <row r="593" spans="1:12" x14ac:dyDescent="0.25">
      <c r="A593" s="173">
        <v>67</v>
      </c>
      <c r="B593" s="245" t="s">
        <v>621</v>
      </c>
      <c r="C593" s="245"/>
      <c r="D593" s="249">
        <v>400</v>
      </c>
      <c r="E593" s="223">
        <v>368</v>
      </c>
      <c r="F593" s="4">
        <v>101.78</v>
      </c>
      <c r="G593" s="234">
        <f t="shared" si="88"/>
        <v>266.22000000000003</v>
      </c>
      <c r="H593" s="249">
        <v>445.81</v>
      </c>
      <c r="I593" s="249"/>
      <c r="J593" s="383">
        <v>0</v>
      </c>
      <c r="K593" s="384"/>
      <c r="L593" s="134" t="s">
        <v>19</v>
      </c>
    </row>
    <row r="594" spans="1:12" x14ac:dyDescent="0.25">
      <c r="A594" s="173">
        <v>68</v>
      </c>
      <c r="B594" s="245" t="s">
        <v>622</v>
      </c>
      <c r="C594" s="245"/>
      <c r="D594" s="249">
        <v>320</v>
      </c>
      <c r="E594" s="223">
        <v>294.40000000000003</v>
      </c>
      <c r="F594" s="4">
        <v>109.19</v>
      </c>
      <c r="G594" s="234">
        <f t="shared" si="88"/>
        <v>185.21000000000004</v>
      </c>
      <c r="H594" s="249">
        <v>819</v>
      </c>
      <c r="I594" s="249"/>
      <c r="J594" s="383">
        <v>0</v>
      </c>
      <c r="K594" s="384"/>
      <c r="L594" s="134" t="s">
        <v>19</v>
      </c>
    </row>
    <row r="595" spans="1:12" x14ac:dyDescent="0.25">
      <c r="A595" s="173">
        <v>69</v>
      </c>
      <c r="B595" s="245" t="s">
        <v>623</v>
      </c>
      <c r="C595" s="245"/>
      <c r="D595" s="247" t="s">
        <v>99</v>
      </c>
      <c r="E595" s="223">
        <v>515.19999999999993</v>
      </c>
      <c r="F595" s="4">
        <v>240.17</v>
      </c>
      <c r="G595" s="234">
        <f t="shared" si="88"/>
        <v>275.02999999999997</v>
      </c>
      <c r="H595" s="249">
        <v>1216.92</v>
      </c>
      <c r="I595" s="249"/>
      <c r="J595" s="383">
        <v>0</v>
      </c>
      <c r="K595" s="384"/>
      <c r="L595" s="134" t="s">
        <v>19</v>
      </c>
    </row>
    <row r="596" spans="1:12" x14ac:dyDescent="0.25">
      <c r="A596" s="173">
        <v>70</v>
      </c>
      <c r="B596" s="245" t="s">
        <v>624</v>
      </c>
      <c r="C596" s="245"/>
      <c r="D596" s="249">
        <v>400</v>
      </c>
      <c r="E596" s="223">
        <v>368</v>
      </c>
      <c r="F596" s="4">
        <v>121.25</v>
      </c>
      <c r="G596" s="234">
        <f t="shared" si="88"/>
        <v>246.75</v>
      </c>
      <c r="H596" s="249">
        <v>1078.3</v>
      </c>
      <c r="I596" s="249"/>
      <c r="J596" s="383">
        <v>0</v>
      </c>
      <c r="K596" s="384"/>
      <c r="L596" s="134" t="s">
        <v>19</v>
      </c>
    </row>
    <row r="597" spans="1:12" x14ac:dyDescent="0.25">
      <c r="A597" s="173">
        <v>71</v>
      </c>
      <c r="B597" s="245" t="s">
        <v>625</v>
      </c>
      <c r="C597" s="245"/>
      <c r="D597" s="249">
        <v>250</v>
      </c>
      <c r="E597" s="223">
        <v>230</v>
      </c>
      <c r="F597" s="4">
        <v>104.95</v>
      </c>
      <c r="G597" s="234">
        <f t="shared" si="88"/>
        <v>125.05</v>
      </c>
      <c r="H597" s="249">
        <v>553.16999999999996</v>
      </c>
      <c r="I597" s="249"/>
      <c r="J597" s="383">
        <v>0</v>
      </c>
      <c r="K597" s="384"/>
      <c r="L597" s="134" t="s">
        <v>19</v>
      </c>
    </row>
    <row r="598" spans="1:12" x14ac:dyDescent="0.25">
      <c r="A598" s="173">
        <v>72</v>
      </c>
      <c r="B598" s="245" t="s">
        <v>626</v>
      </c>
      <c r="C598" s="245"/>
      <c r="D598" s="173" t="s">
        <v>74</v>
      </c>
      <c r="E598" s="223">
        <v>322</v>
      </c>
      <c r="F598" s="4">
        <v>253.49700000000001</v>
      </c>
      <c r="G598" s="234">
        <f t="shared" si="88"/>
        <v>68.502999999999986</v>
      </c>
      <c r="H598" s="249">
        <v>480</v>
      </c>
      <c r="I598" s="249"/>
      <c r="J598" s="383">
        <v>0</v>
      </c>
      <c r="K598" s="384"/>
      <c r="L598" s="134" t="s">
        <v>19</v>
      </c>
    </row>
    <row r="599" spans="1:12" x14ac:dyDescent="0.25">
      <c r="A599" s="173">
        <v>73</v>
      </c>
      <c r="B599" s="245" t="s">
        <v>627</v>
      </c>
      <c r="C599" s="245"/>
      <c r="D599" s="173" t="s">
        <v>60</v>
      </c>
      <c r="E599" s="223">
        <v>811.43999999999994</v>
      </c>
      <c r="F599" s="4">
        <v>354.64</v>
      </c>
      <c r="G599" s="234">
        <f t="shared" ref="G599:G662" si="90">E599-F599</f>
        <v>456.79999999999995</v>
      </c>
      <c r="H599" s="249">
        <v>1248.56</v>
      </c>
      <c r="I599" s="249"/>
      <c r="J599" s="383">
        <v>0</v>
      </c>
      <c r="K599" s="384"/>
      <c r="L599" s="134" t="s">
        <v>19</v>
      </c>
    </row>
    <row r="600" spans="1:12" x14ac:dyDescent="0.25">
      <c r="A600" s="173">
        <v>74</v>
      </c>
      <c r="B600" s="245" t="s">
        <v>628</v>
      </c>
      <c r="C600" s="245"/>
      <c r="D600" s="249">
        <v>250</v>
      </c>
      <c r="E600" s="223">
        <v>230</v>
      </c>
      <c r="F600" s="4">
        <v>124.41</v>
      </c>
      <c r="G600" s="234">
        <f t="shared" si="90"/>
        <v>105.59</v>
      </c>
      <c r="H600" s="249">
        <v>454</v>
      </c>
      <c r="I600" s="249"/>
      <c r="J600" s="383">
        <v>0</v>
      </c>
      <c r="K600" s="384"/>
      <c r="L600" s="134" t="s">
        <v>19</v>
      </c>
    </row>
    <row r="601" spans="1:12" x14ac:dyDescent="0.25">
      <c r="A601" s="173">
        <v>75</v>
      </c>
      <c r="B601" s="245" t="s">
        <v>629</v>
      </c>
      <c r="C601" s="245"/>
      <c r="D601" s="173" t="s">
        <v>51</v>
      </c>
      <c r="E601" s="223">
        <v>515.19999999999993</v>
      </c>
      <c r="F601" s="4">
        <v>266.62</v>
      </c>
      <c r="G601" s="234">
        <f t="shared" si="90"/>
        <v>248.57999999999993</v>
      </c>
      <c r="H601" s="249">
        <v>877.59</v>
      </c>
      <c r="I601" s="249"/>
      <c r="J601" s="383">
        <v>0</v>
      </c>
      <c r="K601" s="384"/>
      <c r="L601" s="134" t="s">
        <v>19</v>
      </c>
    </row>
    <row r="602" spans="1:12" x14ac:dyDescent="0.25">
      <c r="A602" s="173">
        <v>76</v>
      </c>
      <c r="B602" s="245" t="s">
        <v>630</v>
      </c>
      <c r="C602" s="245"/>
      <c r="D602" s="249">
        <v>400</v>
      </c>
      <c r="E602" s="223">
        <v>368</v>
      </c>
      <c r="F602" s="4">
        <v>107.92</v>
      </c>
      <c r="G602" s="234">
        <f t="shared" si="90"/>
        <v>260.08</v>
      </c>
      <c r="H602" s="249">
        <v>818</v>
      </c>
      <c r="I602" s="249">
        <v>7</v>
      </c>
      <c r="J602" s="383">
        <v>0</v>
      </c>
      <c r="K602" s="384"/>
      <c r="L602" s="134" t="s">
        <v>19</v>
      </c>
    </row>
    <row r="603" spans="1:12" x14ac:dyDescent="0.25">
      <c r="A603" s="173">
        <v>77</v>
      </c>
      <c r="B603" s="245" t="s">
        <v>631</v>
      </c>
      <c r="C603" s="245"/>
      <c r="D603" s="249">
        <v>560</v>
      </c>
      <c r="E603" s="223">
        <v>515.20000000000005</v>
      </c>
      <c r="F603" s="4">
        <v>0</v>
      </c>
      <c r="G603" s="234">
        <f t="shared" si="90"/>
        <v>515.20000000000005</v>
      </c>
      <c r="H603" s="249">
        <v>400</v>
      </c>
      <c r="I603" s="249"/>
      <c r="J603" s="343">
        <f t="shared" ref="J603:J651" si="91">E603*1/0.9-(H603+I603)</f>
        <v>172.44444444444446</v>
      </c>
      <c r="K603" s="343"/>
      <c r="L603" s="135">
        <v>250</v>
      </c>
    </row>
    <row r="604" spans="1:12" x14ac:dyDescent="0.25">
      <c r="A604" s="173">
        <v>78</v>
      </c>
      <c r="B604" s="245" t="s">
        <v>632</v>
      </c>
      <c r="C604" s="245"/>
      <c r="D604" s="247" t="s">
        <v>65</v>
      </c>
      <c r="E604" s="223">
        <v>515.19999999999993</v>
      </c>
      <c r="F604" s="4">
        <v>116.59</v>
      </c>
      <c r="G604" s="234">
        <f t="shared" si="90"/>
        <v>398.6099999999999</v>
      </c>
      <c r="H604" s="249">
        <v>680.3</v>
      </c>
      <c r="I604" s="249"/>
      <c r="J604" s="383">
        <v>0</v>
      </c>
      <c r="K604" s="384"/>
      <c r="L604" s="134" t="s">
        <v>19</v>
      </c>
    </row>
    <row r="605" spans="1:12" x14ac:dyDescent="0.25">
      <c r="A605" s="173">
        <v>79</v>
      </c>
      <c r="B605" s="245" t="s">
        <v>633</v>
      </c>
      <c r="C605" s="245"/>
      <c r="D605" s="173" t="s">
        <v>74</v>
      </c>
      <c r="E605" s="223">
        <v>322</v>
      </c>
      <c r="F605" s="4">
        <v>130.77000000000001</v>
      </c>
      <c r="G605" s="234">
        <f t="shared" si="90"/>
        <v>191.23</v>
      </c>
      <c r="H605" s="249">
        <v>1235.1300000000001</v>
      </c>
      <c r="I605" s="249"/>
      <c r="J605" s="383">
        <v>0</v>
      </c>
      <c r="K605" s="384"/>
      <c r="L605" s="134" t="s">
        <v>19</v>
      </c>
    </row>
    <row r="606" spans="1:12" x14ac:dyDescent="0.25">
      <c r="A606" s="173">
        <v>80</v>
      </c>
      <c r="B606" s="245" t="s">
        <v>634</v>
      </c>
      <c r="C606" s="245"/>
      <c r="D606" s="173" t="s">
        <v>60</v>
      </c>
      <c r="E606" s="223">
        <v>811.43999999999994</v>
      </c>
      <c r="F606" s="4">
        <v>366.91</v>
      </c>
      <c r="G606" s="234">
        <f t="shared" si="90"/>
        <v>444.52999999999992</v>
      </c>
      <c r="H606" s="249">
        <v>1035.05</v>
      </c>
      <c r="I606" s="249">
        <v>10</v>
      </c>
      <c r="J606" s="383">
        <v>0</v>
      </c>
      <c r="K606" s="384"/>
      <c r="L606" s="134" t="s">
        <v>19</v>
      </c>
    </row>
    <row r="607" spans="1:12" x14ac:dyDescent="0.25">
      <c r="A607" s="173">
        <v>81</v>
      </c>
      <c r="B607" s="245" t="s">
        <v>635</v>
      </c>
      <c r="C607" s="245"/>
      <c r="D607" s="173" t="s">
        <v>60</v>
      </c>
      <c r="E607" s="223">
        <v>811.43999999999994</v>
      </c>
      <c r="F607" s="4">
        <v>215.41</v>
      </c>
      <c r="G607" s="234">
        <f t="shared" si="90"/>
        <v>596.03</v>
      </c>
      <c r="H607" s="249">
        <v>384.75</v>
      </c>
      <c r="I607" s="249"/>
      <c r="J607" s="343">
        <f t="shared" si="91"/>
        <v>516.84999999999991</v>
      </c>
      <c r="K607" s="343"/>
      <c r="L607" s="135">
        <v>250</v>
      </c>
    </row>
    <row r="608" spans="1:12" x14ac:dyDescent="0.25">
      <c r="A608" s="173">
        <v>82</v>
      </c>
      <c r="B608" s="245" t="s">
        <v>636</v>
      </c>
      <c r="C608" s="245"/>
      <c r="D608" s="173" t="s">
        <v>60</v>
      </c>
      <c r="E608" s="223">
        <v>811.43999999999994</v>
      </c>
      <c r="F608" s="4">
        <v>231.7</v>
      </c>
      <c r="G608" s="234">
        <f t="shared" si="90"/>
        <v>579.74</v>
      </c>
      <c r="H608" s="249">
        <v>1855.38</v>
      </c>
      <c r="I608" s="249"/>
      <c r="J608" s="383">
        <v>0</v>
      </c>
      <c r="K608" s="384"/>
      <c r="L608" s="134" t="s">
        <v>19</v>
      </c>
    </row>
    <row r="609" spans="1:12" x14ac:dyDescent="0.25">
      <c r="A609" s="173">
        <v>83</v>
      </c>
      <c r="B609" s="245" t="s">
        <v>637</v>
      </c>
      <c r="C609" s="245"/>
      <c r="D609" s="173">
        <v>320</v>
      </c>
      <c r="E609" s="223">
        <v>294.40000000000003</v>
      </c>
      <c r="F609" s="4">
        <v>22.43</v>
      </c>
      <c r="G609" s="234">
        <f t="shared" si="90"/>
        <v>271.97000000000003</v>
      </c>
      <c r="H609" s="249">
        <v>126</v>
      </c>
      <c r="I609" s="249">
        <v>100</v>
      </c>
      <c r="J609" s="343">
        <f t="shared" si="91"/>
        <v>101.11111111111114</v>
      </c>
      <c r="K609" s="343"/>
      <c r="L609" s="135">
        <v>250</v>
      </c>
    </row>
    <row r="610" spans="1:12" x14ac:dyDescent="0.25">
      <c r="A610" s="173">
        <v>84</v>
      </c>
      <c r="B610" s="245" t="s">
        <v>638</v>
      </c>
      <c r="C610" s="245"/>
      <c r="D610" s="247" t="s">
        <v>99</v>
      </c>
      <c r="E610" s="223">
        <v>515.19999999999993</v>
      </c>
      <c r="F610" s="4">
        <v>372.839</v>
      </c>
      <c r="G610" s="234">
        <f t="shared" si="90"/>
        <v>142.36099999999993</v>
      </c>
      <c r="H610" s="249">
        <v>1007.5</v>
      </c>
      <c r="I610" s="249"/>
      <c r="J610" s="383">
        <v>0</v>
      </c>
      <c r="K610" s="384"/>
      <c r="L610" s="134" t="s">
        <v>19</v>
      </c>
    </row>
    <row r="611" spans="1:12" x14ac:dyDescent="0.25">
      <c r="A611" s="173">
        <v>85</v>
      </c>
      <c r="B611" s="245" t="s">
        <v>639</v>
      </c>
      <c r="C611" s="245"/>
      <c r="D611" s="173" t="s">
        <v>51</v>
      </c>
      <c r="E611" s="223">
        <v>515.19999999999993</v>
      </c>
      <c r="F611" s="4">
        <v>463.83</v>
      </c>
      <c r="G611" s="234">
        <f t="shared" si="90"/>
        <v>51.369999999999948</v>
      </c>
      <c r="H611" s="249">
        <v>1074.71</v>
      </c>
      <c r="I611" s="249"/>
      <c r="J611" s="383">
        <v>0</v>
      </c>
      <c r="K611" s="384"/>
      <c r="L611" s="134" t="s">
        <v>19</v>
      </c>
    </row>
    <row r="612" spans="1:12" x14ac:dyDescent="0.25">
      <c r="A612" s="173">
        <v>86</v>
      </c>
      <c r="B612" s="245" t="s">
        <v>640</v>
      </c>
      <c r="C612" s="245"/>
      <c r="D612" s="173" t="s">
        <v>51</v>
      </c>
      <c r="E612" s="223">
        <v>515.19999999999993</v>
      </c>
      <c r="F612" s="4">
        <v>261.95999999999998</v>
      </c>
      <c r="G612" s="234">
        <f t="shared" si="90"/>
        <v>253.23999999999995</v>
      </c>
      <c r="H612" s="249">
        <v>929.05</v>
      </c>
      <c r="I612" s="249"/>
      <c r="J612" s="383">
        <v>0</v>
      </c>
      <c r="K612" s="384"/>
      <c r="L612" s="134" t="s">
        <v>19</v>
      </c>
    </row>
    <row r="613" spans="1:12" x14ac:dyDescent="0.25">
      <c r="A613" s="173">
        <v>87</v>
      </c>
      <c r="B613" s="245" t="s">
        <v>641</v>
      </c>
      <c r="C613" s="245"/>
      <c r="D613" s="173" t="s">
        <v>51</v>
      </c>
      <c r="E613" s="223">
        <v>515.19999999999993</v>
      </c>
      <c r="F613" s="4">
        <v>253.5</v>
      </c>
      <c r="G613" s="234">
        <f t="shared" si="90"/>
        <v>261.69999999999993</v>
      </c>
      <c r="H613" s="249">
        <v>767.5</v>
      </c>
      <c r="I613" s="249"/>
      <c r="J613" s="383">
        <v>0</v>
      </c>
      <c r="K613" s="384"/>
      <c r="L613" s="134" t="s">
        <v>19</v>
      </c>
    </row>
    <row r="614" spans="1:12" x14ac:dyDescent="0.25">
      <c r="A614" s="173">
        <v>88</v>
      </c>
      <c r="B614" s="245" t="s">
        <v>642</v>
      </c>
      <c r="C614" s="245"/>
      <c r="D614" s="173" t="s">
        <v>51</v>
      </c>
      <c r="E614" s="223">
        <v>515.19999999999993</v>
      </c>
      <c r="F614" s="4">
        <v>443.94</v>
      </c>
      <c r="G614" s="234">
        <f t="shared" si="90"/>
        <v>71.259999999999934</v>
      </c>
      <c r="H614" s="249">
        <v>890.5</v>
      </c>
      <c r="I614" s="249"/>
      <c r="J614" s="383">
        <v>0</v>
      </c>
      <c r="K614" s="384"/>
      <c r="L614" s="134" t="s">
        <v>19</v>
      </c>
    </row>
    <row r="615" spans="1:12" x14ac:dyDescent="0.25">
      <c r="A615" s="173">
        <v>89</v>
      </c>
      <c r="B615" s="245" t="s">
        <v>643</v>
      </c>
      <c r="C615" s="245"/>
      <c r="D615" s="247" t="s">
        <v>644</v>
      </c>
      <c r="E615" s="223">
        <v>412.16</v>
      </c>
      <c r="F615" s="4">
        <v>284.81</v>
      </c>
      <c r="G615" s="234">
        <f t="shared" si="90"/>
        <v>127.35000000000002</v>
      </c>
      <c r="H615" s="249">
        <v>960.33</v>
      </c>
      <c r="I615" s="249"/>
      <c r="J615" s="383">
        <v>0</v>
      </c>
      <c r="K615" s="384"/>
      <c r="L615" s="134" t="s">
        <v>19</v>
      </c>
    </row>
    <row r="616" spans="1:12" x14ac:dyDescent="0.25">
      <c r="A616" s="173">
        <v>90</v>
      </c>
      <c r="B616" s="245" t="s">
        <v>645</v>
      </c>
      <c r="C616" s="245"/>
      <c r="D616" s="173" t="s">
        <v>51</v>
      </c>
      <c r="E616" s="223">
        <v>515.19999999999993</v>
      </c>
      <c r="F616" s="4">
        <v>241.86</v>
      </c>
      <c r="G616" s="234">
        <f t="shared" si="90"/>
        <v>273.33999999999992</v>
      </c>
      <c r="H616" s="249">
        <v>567</v>
      </c>
      <c r="I616" s="249"/>
      <c r="J616" s="343">
        <f t="shared" si="91"/>
        <v>5.4444444444443434</v>
      </c>
      <c r="K616" s="343"/>
      <c r="L616" s="135">
        <v>250</v>
      </c>
    </row>
    <row r="617" spans="1:12" x14ac:dyDescent="0.25">
      <c r="A617" s="173">
        <v>91</v>
      </c>
      <c r="B617" s="245" t="s">
        <v>646</v>
      </c>
      <c r="C617" s="245"/>
      <c r="D617" s="173" t="s">
        <v>60</v>
      </c>
      <c r="E617" s="223">
        <v>811.43999999999994</v>
      </c>
      <c r="F617" s="4">
        <v>78.72</v>
      </c>
      <c r="G617" s="234">
        <f t="shared" si="90"/>
        <v>732.71999999999991</v>
      </c>
      <c r="H617" s="249">
        <v>868</v>
      </c>
      <c r="I617" s="249">
        <v>30</v>
      </c>
      <c r="J617" s="343">
        <f t="shared" si="91"/>
        <v>3.5999999999999091</v>
      </c>
      <c r="K617" s="343"/>
      <c r="L617" s="135">
        <v>250</v>
      </c>
    </row>
    <row r="618" spans="1:12" x14ac:dyDescent="0.25">
      <c r="A618" s="173">
        <v>92</v>
      </c>
      <c r="B618" s="245" t="s">
        <v>647</v>
      </c>
      <c r="C618" s="245"/>
      <c r="D618" s="173">
        <v>200</v>
      </c>
      <c r="E618" s="223">
        <v>184</v>
      </c>
      <c r="F618" s="4">
        <v>100.51</v>
      </c>
      <c r="G618" s="234">
        <f t="shared" si="90"/>
        <v>83.49</v>
      </c>
      <c r="H618" s="249">
        <v>527.4</v>
      </c>
      <c r="I618" s="249"/>
      <c r="J618" s="383">
        <v>0</v>
      </c>
      <c r="K618" s="384"/>
      <c r="L618" s="134" t="s">
        <v>19</v>
      </c>
    </row>
    <row r="619" spans="1:12" x14ac:dyDescent="0.25">
      <c r="A619" s="173">
        <v>93</v>
      </c>
      <c r="B619" s="250" t="s">
        <v>648</v>
      </c>
      <c r="C619" s="250"/>
      <c r="D619" s="173" t="s">
        <v>60</v>
      </c>
      <c r="E619" s="223">
        <v>811.43999999999994</v>
      </c>
      <c r="F619" s="4">
        <v>147.27000000000001</v>
      </c>
      <c r="G619" s="234">
        <f t="shared" si="90"/>
        <v>664.17</v>
      </c>
      <c r="H619" s="249">
        <v>1737.73</v>
      </c>
      <c r="I619" s="249"/>
      <c r="J619" s="383">
        <v>0</v>
      </c>
      <c r="K619" s="384"/>
      <c r="L619" s="134" t="s">
        <v>19</v>
      </c>
    </row>
    <row r="620" spans="1:12" x14ac:dyDescent="0.25">
      <c r="A620" s="173">
        <v>94</v>
      </c>
      <c r="B620" s="250" t="s">
        <v>649</v>
      </c>
      <c r="C620" s="250"/>
      <c r="D620" s="173">
        <v>320</v>
      </c>
      <c r="E620" s="223">
        <v>294.40000000000003</v>
      </c>
      <c r="F620" s="4">
        <v>107.92</v>
      </c>
      <c r="G620" s="234">
        <f t="shared" si="90"/>
        <v>186.48000000000002</v>
      </c>
      <c r="H620" s="249">
        <v>1236.74</v>
      </c>
      <c r="I620" s="249"/>
      <c r="J620" s="383">
        <v>0</v>
      </c>
      <c r="K620" s="384"/>
      <c r="L620" s="134" t="s">
        <v>19</v>
      </c>
    </row>
    <row r="621" spans="1:12" x14ac:dyDescent="0.25">
      <c r="A621" s="173">
        <v>95</v>
      </c>
      <c r="B621" s="250" t="s">
        <v>650</v>
      </c>
      <c r="C621" s="250"/>
      <c r="D621" s="173">
        <v>400</v>
      </c>
      <c r="E621" s="223">
        <v>368</v>
      </c>
      <c r="F621" s="4">
        <v>118.496</v>
      </c>
      <c r="G621" s="234">
        <f t="shared" si="90"/>
        <v>249.50400000000002</v>
      </c>
      <c r="H621" s="249">
        <v>215</v>
      </c>
      <c r="I621" s="249"/>
      <c r="J621" s="343">
        <f t="shared" si="91"/>
        <v>193.88888888888886</v>
      </c>
      <c r="K621" s="343"/>
      <c r="L621" s="135">
        <v>250</v>
      </c>
    </row>
    <row r="622" spans="1:12" x14ac:dyDescent="0.25">
      <c r="A622" s="173">
        <v>96</v>
      </c>
      <c r="B622" s="250" t="s">
        <v>651</v>
      </c>
      <c r="C622" s="250"/>
      <c r="D622" s="247" t="s">
        <v>99</v>
      </c>
      <c r="E622" s="223">
        <v>515.19999999999993</v>
      </c>
      <c r="F622" s="4">
        <v>179.01400000000001</v>
      </c>
      <c r="G622" s="234">
        <f t="shared" si="90"/>
        <v>336.18599999999992</v>
      </c>
      <c r="H622" s="249">
        <v>472.3</v>
      </c>
      <c r="I622" s="249"/>
      <c r="J622" s="343">
        <f t="shared" si="91"/>
        <v>100.14444444444433</v>
      </c>
      <c r="K622" s="343"/>
      <c r="L622" s="135">
        <v>250</v>
      </c>
    </row>
    <row r="623" spans="1:12" x14ac:dyDescent="0.25">
      <c r="A623" s="173">
        <v>97</v>
      </c>
      <c r="B623" s="245" t="s">
        <v>652</v>
      </c>
      <c r="C623" s="245"/>
      <c r="D623" s="173">
        <v>400</v>
      </c>
      <c r="E623" s="223">
        <v>368</v>
      </c>
      <c r="F623" s="4">
        <v>119.98</v>
      </c>
      <c r="G623" s="234">
        <f t="shared" si="90"/>
        <v>248.01999999999998</v>
      </c>
      <c r="H623" s="249">
        <v>392.7</v>
      </c>
      <c r="I623" s="249"/>
      <c r="J623" s="343">
        <f t="shared" si="91"/>
        <v>16.188888888888869</v>
      </c>
      <c r="K623" s="343"/>
      <c r="L623" s="135">
        <v>250</v>
      </c>
    </row>
    <row r="624" spans="1:12" x14ac:dyDescent="0.25">
      <c r="A624" s="173">
        <v>98</v>
      </c>
      <c r="B624" s="250" t="s">
        <v>653</v>
      </c>
      <c r="C624" s="250"/>
      <c r="D624" s="173">
        <v>400</v>
      </c>
      <c r="E624" s="223">
        <v>368</v>
      </c>
      <c r="F624" s="4">
        <v>40.630000000000003</v>
      </c>
      <c r="G624" s="234">
        <f t="shared" si="90"/>
        <v>327.37</v>
      </c>
      <c r="H624" s="249">
        <v>588.58000000000004</v>
      </c>
      <c r="I624" s="249"/>
      <c r="J624" s="383">
        <v>0</v>
      </c>
      <c r="K624" s="384"/>
      <c r="L624" s="134" t="s">
        <v>19</v>
      </c>
    </row>
    <row r="625" spans="1:12" x14ac:dyDescent="0.25">
      <c r="A625" s="173">
        <v>99</v>
      </c>
      <c r="B625" s="250" t="s">
        <v>654</v>
      </c>
      <c r="C625" s="250"/>
      <c r="D625" s="173" t="s">
        <v>51</v>
      </c>
      <c r="E625" s="223">
        <v>515.19999999999993</v>
      </c>
      <c r="F625" s="4">
        <v>69.83</v>
      </c>
      <c r="G625" s="234">
        <f t="shared" si="90"/>
        <v>445.36999999999995</v>
      </c>
      <c r="H625" s="249">
        <v>447</v>
      </c>
      <c r="I625" s="249"/>
      <c r="J625" s="343">
        <f t="shared" si="91"/>
        <v>125.44444444444434</v>
      </c>
      <c r="K625" s="343"/>
      <c r="L625" s="135">
        <v>250</v>
      </c>
    </row>
    <row r="626" spans="1:12" x14ac:dyDescent="0.25">
      <c r="A626" s="173">
        <v>100</v>
      </c>
      <c r="B626" s="250" t="s">
        <v>655</v>
      </c>
      <c r="C626" s="250"/>
      <c r="D626" s="173">
        <v>630</v>
      </c>
      <c r="E626" s="223">
        <v>579.6</v>
      </c>
      <c r="F626" s="4">
        <v>281.00400000000002</v>
      </c>
      <c r="G626" s="234">
        <f t="shared" si="90"/>
        <v>298.596</v>
      </c>
      <c r="H626" s="249">
        <v>2006.13</v>
      </c>
      <c r="I626" s="249"/>
      <c r="J626" s="383">
        <v>0</v>
      </c>
      <c r="K626" s="384"/>
      <c r="L626" s="134" t="s">
        <v>19</v>
      </c>
    </row>
    <row r="627" spans="1:12" x14ac:dyDescent="0.25">
      <c r="A627" s="173">
        <v>101</v>
      </c>
      <c r="B627" s="250" t="s">
        <v>656</v>
      </c>
      <c r="C627" s="250"/>
      <c r="D627" s="173">
        <v>630</v>
      </c>
      <c r="E627" s="223">
        <v>579.6</v>
      </c>
      <c r="F627" s="4">
        <v>82.52</v>
      </c>
      <c r="G627" s="234">
        <f t="shared" si="90"/>
        <v>497.08000000000004</v>
      </c>
      <c r="H627" s="249">
        <v>463</v>
      </c>
      <c r="I627" s="249"/>
      <c r="J627" s="343">
        <f t="shared" si="91"/>
        <v>181</v>
      </c>
      <c r="K627" s="343"/>
      <c r="L627" s="135">
        <v>250</v>
      </c>
    </row>
    <row r="628" spans="1:12" x14ac:dyDescent="0.25">
      <c r="A628" s="173">
        <v>102</v>
      </c>
      <c r="B628" s="245" t="s">
        <v>657</v>
      </c>
      <c r="C628" s="245"/>
      <c r="D628" s="173">
        <v>250</v>
      </c>
      <c r="E628" s="223">
        <v>230</v>
      </c>
      <c r="F628" s="4">
        <v>81.89</v>
      </c>
      <c r="G628" s="234">
        <f t="shared" si="90"/>
        <v>148.11000000000001</v>
      </c>
      <c r="H628" s="249">
        <v>297.44</v>
      </c>
      <c r="I628" s="249"/>
      <c r="J628" s="383">
        <v>0</v>
      </c>
      <c r="K628" s="384"/>
      <c r="L628" s="134" t="s">
        <v>19</v>
      </c>
    </row>
    <row r="629" spans="1:12" x14ac:dyDescent="0.25">
      <c r="A629" s="173">
        <v>103</v>
      </c>
      <c r="B629" s="250" t="s">
        <v>658</v>
      </c>
      <c r="C629" s="250"/>
      <c r="D629" s="173">
        <v>630</v>
      </c>
      <c r="E629" s="223">
        <v>579.6</v>
      </c>
      <c r="F629" s="4">
        <v>196.79</v>
      </c>
      <c r="G629" s="234">
        <f t="shared" si="90"/>
        <v>382.81000000000006</v>
      </c>
      <c r="H629" s="249">
        <v>1917.55</v>
      </c>
      <c r="I629" s="249">
        <v>5</v>
      </c>
      <c r="J629" s="383">
        <v>0</v>
      </c>
      <c r="K629" s="384"/>
      <c r="L629" s="134" t="s">
        <v>19</v>
      </c>
    </row>
    <row r="630" spans="1:12" x14ac:dyDescent="0.25">
      <c r="A630" s="173">
        <v>104</v>
      </c>
      <c r="B630" s="250" t="s">
        <v>659</v>
      </c>
      <c r="C630" s="250"/>
      <c r="D630" s="173" t="s">
        <v>60</v>
      </c>
      <c r="E630" s="223">
        <v>811.43999999999994</v>
      </c>
      <c r="F630" s="4">
        <v>332.21</v>
      </c>
      <c r="G630" s="234">
        <f t="shared" si="90"/>
        <v>479.22999999999996</v>
      </c>
      <c r="H630" s="249">
        <v>1138</v>
      </c>
      <c r="I630" s="249"/>
      <c r="J630" s="383">
        <v>0</v>
      </c>
      <c r="K630" s="384"/>
      <c r="L630" s="134" t="s">
        <v>19</v>
      </c>
    </row>
    <row r="631" spans="1:12" x14ac:dyDescent="0.25">
      <c r="A631" s="173">
        <v>105</v>
      </c>
      <c r="B631" s="250" t="s">
        <v>660</v>
      </c>
      <c r="C631" s="250"/>
      <c r="D631" s="173">
        <v>250</v>
      </c>
      <c r="E631" s="223">
        <v>230</v>
      </c>
      <c r="F631" s="4">
        <v>82.52</v>
      </c>
      <c r="G631" s="234">
        <f t="shared" si="90"/>
        <v>147.48000000000002</v>
      </c>
      <c r="H631" s="251">
        <v>405</v>
      </c>
      <c r="I631" s="249"/>
      <c r="J631" s="383">
        <v>0</v>
      </c>
      <c r="K631" s="384"/>
      <c r="L631" s="134" t="s">
        <v>19</v>
      </c>
    </row>
    <row r="632" spans="1:12" x14ac:dyDescent="0.25">
      <c r="A632" s="173">
        <v>106</v>
      </c>
      <c r="B632" s="250" t="s">
        <v>661</v>
      </c>
      <c r="C632" s="250"/>
      <c r="D632" s="173" t="s">
        <v>51</v>
      </c>
      <c r="E632" s="223">
        <v>515.19999999999993</v>
      </c>
      <c r="F632" s="4">
        <v>165.04</v>
      </c>
      <c r="G632" s="234">
        <f t="shared" si="90"/>
        <v>350.15999999999997</v>
      </c>
      <c r="H632" s="249">
        <v>1861.73</v>
      </c>
      <c r="I632" s="249"/>
      <c r="J632" s="383">
        <v>0</v>
      </c>
      <c r="K632" s="384"/>
      <c r="L632" s="134" t="s">
        <v>19</v>
      </c>
    </row>
    <row r="633" spans="1:12" x14ac:dyDescent="0.25">
      <c r="A633" s="173">
        <v>107</v>
      </c>
      <c r="B633" s="250" t="s">
        <v>662</v>
      </c>
      <c r="C633" s="250"/>
      <c r="D633" s="173">
        <v>400</v>
      </c>
      <c r="E633" s="223">
        <v>368</v>
      </c>
      <c r="F633" s="4">
        <v>97.34</v>
      </c>
      <c r="G633" s="234">
        <f t="shared" si="90"/>
        <v>270.65999999999997</v>
      </c>
      <c r="H633" s="249">
        <v>454.74</v>
      </c>
      <c r="I633" s="249"/>
      <c r="J633" s="383">
        <v>0</v>
      </c>
      <c r="K633" s="384"/>
      <c r="L633" s="134" t="s">
        <v>19</v>
      </c>
    </row>
    <row r="634" spans="1:12" x14ac:dyDescent="0.25">
      <c r="A634" s="173">
        <v>108</v>
      </c>
      <c r="B634" s="250" t="s">
        <v>663</v>
      </c>
      <c r="C634" s="250"/>
      <c r="D634" s="173">
        <v>630</v>
      </c>
      <c r="E634" s="223">
        <v>579.6</v>
      </c>
      <c r="F634" s="4">
        <v>167.38</v>
      </c>
      <c r="G634" s="234">
        <f t="shared" si="90"/>
        <v>412.22</v>
      </c>
      <c r="H634" s="249">
        <v>790</v>
      </c>
      <c r="I634" s="249"/>
      <c r="J634" s="383">
        <v>0</v>
      </c>
      <c r="K634" s="384"/>
      <c r="L634" s="134" t="s">
        <v>19</v>
      </c>
    </row>
    <row r="635" spans="1:12" x14ac:dyDescent="0.25">
      <c r="A635" s="173">
        <v>109</v>
      </c>
      <c r="B635" s="250" t="s">
        <v>664</v>
      </c>
      <c r="C635" s="250"/>
      <c r="D635" s="173" t="s">
        <v>60</v>
      </c>
      <c r="E635" s="223">
        <v>811.43999999999994</v>
      </c>
      <c r="F635" s="4">
        <v>203.136</v>
      </c>
      <c r="G635" s="234">
        <f t="shared" si="90"/>
        <v>608.30399999999997</v>
      </c>
      <c r="H635" s="249">
        <v>1624.2</v>
      </c>
      <c r="I635" s="249">
        <v>10</v>
      </c>
      <c r="J635" s="383">
        <v>0</v>
      </c>
      <c r="K635" s="384"/>
      <c r="L635" s="134" t="s">
        <v>19</v>
      </c>
    </row>
    <row r="636" spans="1:12" x14ac:dyDescent="0.25">
      <c r="A636" s="173">
        <v>110</v>
      </c>
      <c r="B636" s="250" t="s">
        <v>665</v>
      </c>
      <c r="C636" s="250"/>
      <c r="D636" s="173">
        <v>400</v>
      </c>
      <c r="E636" s="223">
        <v>368</v>
      </c>
      <c r="F636" s="4">
        <v>90.99</v>
      </c>
      <c r="G636" s="234">
        <f t="shared" si="90"/>
        <v>277.01</v>
      </c>
      <c r="H636" s="249">
        <v>2003.2</v>
      </c>
      <c r="I636" s="249"/>
      <c r="J636" s="383">
        <v>0</v>
      </c>
      <c r="K636" s="384"/>
      <c r="L636" s="134" t="s">
        <v>19</v>
      </c>
    </row>
    <row r="637" spans="1:12" x14ac:dyDescent="0.25">
      <c r="A637" s="173">
        <v>111</v>
      </c>
      <c r="B637" s="250" t="s">
        <v>666</v>
      </c>
      <c r="C637" s="250"/>
      <c r="D637" s="173">
        <v>400</v>
      </c>
      <c r="E637" s="223">
        <v>368</v>
      </c>
      <c r="F637" s="4">
        <v>78.290000000000006</v>
      </c>
      <c r="G637" s="234">
        <f t="shared" si="90"/>
        <v>289.70999999999998</v>
      </c>
      <c r="H637" s="249">
        <v>1768.6</v>
      </c>
      <c r="I637" s="249">
        <v>8.6</v>
      </c>
      <c r="J637" s="383">
        <v>0</v>
      </c>
      <c r="K637" s="384"/>
      <c r="L637" s="134" t="s">
        <v>19</v>
      </c>
    </row>
    <row r="638" spans="1:12" x14ac:dyDescent="0.25">
      <c r="A638" s="173">
        <v>112</v>
      </c>
      <c r="B638" s="250" t="s">
        <v>667</v>
      </c>
      <c r="C638" s="250"/>
      <c r="D638" s="173">
        <v>320</v>
      </c>
      <c r="E638" s="223">
        <v>294.40000000000003</v>
      </c>
      <c r="F638" s="4">
        <v>95.22</v>
      </c>
      <c r="G638" s="234">
        <f t="shared" si="90"/>
        <v>199.18000000000004</v>
      </c>
      <c r="H638" s="249">
        <v>1081.5999999999999</v>
      </c>
      <c r="I638" s="249"/>
      <c r="J638" s="383">
        <v>0</v>
      </c>
      <c r="K638" s="384"/>
      <c r="L638" s="134" t="s">
        <v>19</v>
      </c>
    </row>
    <row r="639" spans="1:12" x14ac:dyDescent="0.25">
      <c r="A639" s="173">
        <v>113</v>
      </c>
      <c r="B639" s="250" t="s">
        <v>668</v>
      </c>
      <c r="C639" s="250"/>
      <c r="D639" s="173">
        <v>250</v>
      </c>
      <c r="E639" s="223">
        <v>230</v>
      </c>
      <c r="F639" s="4">
        <v>78.292000000000002</v>
      </c>
      <c r="G639" s="234">
        <f t="shared" si="90"/>
        <v>151.708</v>
      </c>
      <c r="H639" s="249">
        <v>651.5</v>
      </c>
      <c r="I639" s="249"/>
      <c r="J639" s="383">
        <v>0</v>
      </c>
      <c r="K639" s="384"/>
      <c r="L639" s="134" t="s">
        <v>19</v>
      </c>
    </row>
    <row r="640" spans="1:12" x14ac:dyDescent="0.25">
      <c r="A640" s="173">
        <v>114</v>
      </c>
      <c r="B640" s="245" t="s">
        <v>669</v>
      </c>
      <c r="C640" s="245"/>
      <c r="D640" s="173">
        <v>560</v>
      </c>
      <c r="E640" s="223">
        <v>515.20000000000005</v>
      </c>
      <c r="F640" s="4">
        <v>87.813999999999993</v>
      </c>
      <c r="G640" s="234">
        <f t="shared" si="90"/>
        <v>427.38600000000008</v>
      </c>
      <c r="H640" s="249">
        <v>610</v>
      </c>
      <c r="I640" s="249"/>
      <c r="J640" s="383">
        <v>0</v>
      </c>
      <c r="K640" s="384"/>
      <c r="L640" s="134" t="s">
        <v>19</v>
      </c>
    </row>
    <row r="641" spans="1:12" x14ac:dyDescent="0.25">
      <c r="A641" s="173">
        <v>115</v>
      </c>
      <c r="B641" s="245" t="s">
        <v>670</v>
      </c>
      <c r="C641" s="245"/>
      <c r="D641" s="173">
        <v>630</v>
      </c>
      <c r="E641" s="223">
        <v>579.6</v>
      </c>
      <c r="F641" s="4">
        <v>124.84399999999999</v>
      </c>
      <c r="G641" s="234">
        <f t="shared" si="90"/>
        <v>454.75600000000003</v>
      </c>
      <c r="H641" s="249">
        <v>708.3</v>
      </c>
      <c r="I641" s="249"/>
      <c r="J641" s="383">
        <v>0</v>
      </c>
      <c r="K641" s="384"/>
      <c r="L641" s="134" t="s">
        <v>19</v>
      </c>
    </row>
    <row r="642" spans="1:12" x14ac:dyDescent="0.25">
      <c r="A642" s="173">
        <v>116</v>
      </c>
      <c r="B642" s="245" t="s">
        <v>671</v>
      </c>
      <c r="C642" s="245"/>
      <c r="D642" s="173">
        <v>400</v>
      </c>
      <c r="E642" s="223">
        <v>368</v>
      </c>
      <c r="F642" s="4">
        <v>82.524000000000001</v>
      </c>
      <c r="G642" s="234">
        <f t="shared" si="90"/>
        <v>285.476</v>
      </c>
      <c r="H642" s="249">
        <v>850.8</v>
      </c>
      <c r="I642" s="249"/>
      <c r="J642" s="383">
        <v>0</v>
      </c>
      <c r="K642" s="384"/>
      <c r="L642" s="134" t="s">
        <v>19</v>
      </c>
    </row>
    <row r="643" spans="1:12" x14ac:dyDescent="0.25">
      <c r="A643" s="173">
        <v>117</v>
      </c>
      <c r="B643" s="245" t="s">
        <v>672</v>
      </c>
      <c r="C643" s="245"/>
      <c r="D643" s="173">
        <v>630</v>
      </c>
      <c r="E643" s="223">
        <v>579.6</v>
      </c>
      <c r="F643" s="4">
        <v>95.22</v>
      </c>
      <c r="G643" s="234">
        <f t="shared" si="90"/>
        <v>484.38</v>
      </c>
      <c r="H643" s="249">
        <v>472.68</v>
      </c>
      <c r="I643" s="249"/>
      <c r="J643" s="343">
        <f t="shared" si="91"/>
        <v>171.32</v>
      </c>
      <c r="K643" s="343"/>
      <c r="L643" s="135">
        <v>250</v>
      </c>
    </row>
    <row r="644" spans="1:12" x14ac:dyDescent="0.25">
      <c r="A644" s="173">
        <v>118</v>
      </c>
      <c r="B644" s="245" t="s">
        <v>673</v>
      </c>
      <c r="C644" s="245"/>
      <c r="D644" s="173">
        <v>400</v>
      </c>
      <c r="E644" s="223">
        <v>368</v>
      </c>
      <c r="F644" s="4">
        <v>55.015999999999998</v>
      </c>
      <c r="G644" s="234">
        <f t="shared" si="90"/>
        <v>312.98399999999998</v>
      </c>
      <c r="H644" s="249">
        <v>532</v>
      </c>
      <c r="I644" s="249"/>
      <c r="J644" s="383">
        <v>0</v>
      </c>
      <c r="K644" s="384"/>
      <c r="L644" s="134" t="s">
        <v>19</v>
      </c>
    </row>
    <row r="645" spans="1:12" x14ac:dyDescent="0.25">
      <c r="A645" s="173">
        <v>119</v>
      </c>
      <c r="B645" s="245" t="s">
        <v>674</v>
      </c>
      <c r="C645" s="245"/>
      <c r="D645" s="173">
        <v>630</v>
      </c>
      <c r="E645" s="223">
        <v>579.6</v>
      </c>
      <c r="F645" s="4">
        <v>88.872</v>
      </c>
      <c r="G645" s="234">
        <f t="shared" si="90"/>
        <v>490.72800000000001</v>
      </c>
      <c r="H645" s="249">
        <v>509</v>
      </c>
      <c r="I645" s="249"/>
      <c r="J645" s="343">
        <f t="shared" si="91"/>
        <v>135</v>
      </c>
      <c r="K645" s="343"/>
      <c r="L645" s="135">
        <v>250</v>
      </c>
    </row>
    <row r="646" spans="1:12" x14ac:dyDescent="0.25">
      <c r="A646" s="173">
        <v>120</v>
      </c>
      <c r="B646" s="250" t="s">
        <v>675</v>
      </c>
      <c r="C646" s="250"/>
      <c r="D646" s="247" t="s">
        <v>403</v>
      </c>
      <c r="E646" s="223">
        <v>1288</v>
      </c>
      <c r="F646" s="4">
        <v>296.24</v>
      </c>
      <c r="G646" s="234">
        <f t="shared" si="90"/>
        <v>991.76</v>
      </c>
      <c r="H646" s="249">
        <v>2505.6999999999998</v>
      </c>
      <c r="I646" s="249"/>
      <c r="J646" s="383">
        <v>0</v>
      </c>
      <c r="K646" s="384"/>
      <c r="L646" s="134" t="s">
        <v>19</v>
      </c>
    </row>
    <row r="647" spans="1:12" x14ac:dyDescent="0.25">
      <c r="A647" s="173">
        <v>121</v>
      </c>
      <c r="B647" s="250" t="s">
        <v>676</v>
      </c>
      <c r="C647" s="250"/>
      <c r="D647" s="173" t="s">
        <v>403</v>
      </c>
      <c r="E647" s="223">
        <v>1288</v>
      </c>
      <c r="F647" s="4">
        <v>634.79999999999995</v>
      </c>
      <c r="G647" s="234">
        <f t="shared" si="90"/>
        <v>653.20000000000005</v>
      </c>
      <c r="H647" s="249">
        <v>1183.49</v>
      </c>
      <c r="I647" s="249"/>
      <c r="J647" s="343">
        <f t="shared" si="91"/>
        <v>247.62111111111108</v>
      </c>
      <c r="K647" s="343"/>
      <c r="L647" s="135">
        <v>250</v>
      </c>
    </row>
    <row r="648" spans="1:12" x14ac:dyDescent="0.25">
      <c r="A648" s="173">
        <v>122</v>
      </c>
      <c r="B648" s="252" t="s">
        <v>677</v>
      </c>
      <c r="C648" s="252"/>
      <c r="D648" s="173" t="s">
        <v>60</v>
      </c>
      <c r="E648" s="223">
        <v>811.43999999999994</v>
      </c>
      <c r="F648" s="4">
        <v>184.09</v>
      </c>
      <c r="G648" s="234">
        <f t="shared" si="90"/>
        <v>627.34999999999991</v>
      </c>
      <c r="H648" s="249">
        <v>983.5</v>
      </c>
      <c r="I648" s="249"/>
      <c r="J648" s="383">
        <v>0</v>
      </c>
      <c r="K648" s="384"/>
      <c r="L648" s="134" t="s">
        <v>19</v>
      </c>
    </row>
    <row r="649" spans="1:12" x14ac:dyDescent="0.25">
      <c r="A649" s="173">
        <v>123</v>
      </c>
      <c r="B649" s="252" t="s">
        <v>678</v>
      </c>
      <c r="C649" s="252"/>
      <c r="D649" s="247" t="s">
        <v>65</v>
      </c>
      <c r="E649" s="223">
        <v>515.19999999999993</v>
      </c>
      <c r="F649" s="4">
        <v>190.44</v>
      </c>
      <c r="G649" s="234">
        <f t="shared" si="90"/>
        <v>324.75999999999993</v>
      </c>
      <c r="H649" s="249">
        <v>1029.2</v>
      </c>
      <c r="I649" s="249"/>
      <c r="J649" s="383">
        <v>0</v>
      </c>
      <c r="K649" s="384"/>
      <c r="L649" s="134" t="s">
        <v>19</v>
      </c>
    </row>
    <row r="650" spans="1:12" x14ac:dyDescent="0.25">
      <c r="A650" s="173">
        <v>124</v>
      </c>
      <c r="B650" s="252" t="s">
        <v>679</v>
      </c>
      <c r="C650" s="252"/>
      <c r="D650" s="173" t="s">
        <v>60</v>
      </c>
      <c r="E650" s="223">
        <v>811.43999999999994</v>
      </c>
      <c r="F650" s="4">
        <v>219.006</v>
      </c>
      <c r="G650" s="234">
        <f t="shared" si="90"/>
        <v>592.43399999999997</v>
      </c>
      <c r="H650" s="249">
        <v>1300.9000000000001</v>
      </c>
      <c r="I650" s="249"/>
      <c r="J650" s="383">
        <v>0</v>
      </c>
      <c r="K650" s="384"/>
      <c r="L650" s="134" t="s">
        <v>19</v>
      </c>
    </row>
    <row r="651" spans="1:12" x14ac:dyDescent="0.25">
      <c r="A651" s="173">
        <v>125</v>
      </c>
      <c r="B651" s="252" t="s">
        <v>680</v>
      </c>
      <c r="C651" s="252"/>
      <c r="D651" s="173" t="s">
        <v>60</v>
      </c>
      <c r="E651" s="223">
        <v>811.43999999999994</v>
      </c>
      <c r="F651" s="4">
        <v>187.27</v>
      </c>
      <c r="G651" s="234">
        <f t="shared" si="90"/>
        <v>624.16999999999996</v>
      </c>
      <c r="H651" s="249">
        <v>865</v>
      </c>
      <c r="I651" s="249"/>
      <c r="J651" s="343">
        <f t="shared" si="91"/>
        <v>36.599999999999909</v>
      </c>
      <c r="K651" s="343"/>
      <c r="L651" s="135">
        <v>250</v>
      </c>
    </row>
    <row r="652" spans="1:12" x14ac:dyDescent="0.25">
      <c r="A652" s="173">
        <v>126</v>
      </c>
      <c r="B652" s="252" t="s">
        <v>681</v>
      </c>
      <c r="C652" s="252"/>
      <c r="D652" s="173" t="s">
        <v>51</v>
      </c>
      <c r="E652" s="223">
        <v>515.19999999999993</v>
      </c>
      <c r="F652" s="4">
        <v>209.48</v>
      </c>
      <c r="G652" s="234">
        <f t="shared" si="90"/>
        <v>305.71999999999991</v>
      </c>
      <c r="H652" s="249">
        <v>1156</v>
      </c>
      <c r="I652" s="249"/>
      <c r="J652" s="383">
        <v>0</v>
      </c>
      <c r="K652" s="384"/>
      <c r="L652" s="134" t="s">
        <v>19</v>
      </c>
    </row>
    <row r="653" spans="1:12" x14ac:dyDescent="0.25">
      <c r="A653" s="173">
        <v>127</v>
      </c>
      <c r="B653" s="252" t="s">
        <v>682</v>
      </c>
      <c r="C653" s="252"/>
      <c r="D653" s="173" t="s">
        <v>60</v>
      </c>
      <c r="E653" s="223">
        <v>811.43999999999994</v>
      </c>
      <c r="F653" s="4">
        <v>173.51</v>
      </c>
      <c r="G653" s="234">
        <f t="shared" si="90"/>
        <v>637.92999999999995</v>
      </c>
      <c r="H653" s="249">
        <v>901.8</v>
      </c>
      <c r="I653" s="249"/>
      <c r="J653" s="383">
        <v>0</v>
      </c>
      <c r="K653" s="384"/>
      <c r="L653" s="134" t="s">
        <v>19</v>
      </c>
    </row>
    <row r="654" spans="1:12" x14ac:dyDescent="0.25">
      <c r="A654" s="173">
        <v>128</v>
      </c>
      <c r="B654" s="252" t="s">
        <v>683</v>
      </c>
      <c r="C654" s="252"/>
      <c r="D654" s="173" t="s">
        <v>60</v>
      </c>
      <c r="E654" s="223">
        <v>811.43999999999994</v>
      </c>
      <c r="F654" s="4">
        <v>96.91</v>
      </c>
      <c r="G654" s="234">
        <f t="shared" si="90"/>
        <v>714.53</v>
      </c>
      <c r="H654" s="249">
        <v>1100</v>
      </c>
      <c r="I654" s="249"/>
      <c r="J654" s="383">
        <v>0</v>
      </c>
      <c r="K654" s="384"/>
      <c r="L654" s="134" t="s">
        <v>19</v>
      </c>
    </row>
    <row r="655" spans="1:12" x14ac:dyDescent="0.25">
      <c r="A655" s="173">
        <v>129</v>
      </c>
      <c r="B655" s="252" t="s">
        <v>789</v>
      </c>
      <c r="C655" s="252"/>
      <c r="D655" s="173">
        <v>400</v>
      </c>
      <c r="E655" s="223">
        <v>368</v>
      </c>
      <c r="F655" s="4">
        <v>52.9</v>
      </c>
      <c r="G655" s="234">
        <f t="shared" si="90"/>
        <v>315.10000000000002</v>
      </c>
      <c r="H655" s="249">
        <v>108.69</v>
      </c>
      <c r="I655" s="249"/>
      <c r="J655" s="343">
        <f>E655*1/0.9-(H655+I655)</f>
        <v>300.19888888888886</v>
      </c>
      <c r="K655" s="343"/>
      <c r="L655" s="135">
        <v>250</v>
      </c>
    </row>
    <row r="656" spans="1:12" x14ac:dyDescent="0.25">
      <c r="A656" s="173">
        <v>130</v>
      </c>
      <c r="B656" s="245" t="s">
        <v>684</v>
      </c>
      <c r="C656" s="245"/>
      <c r="D656" s="173" t="s">
        <v>60</v>
      </c>
      <c r="E656" s="223">
        <v>811.43999999999994</v>
      </c>
      <c r="F656" s="4">
        <v>223.66</v>
      </c>
      <c r="G656" s="234">
        <f t="shared" si="90"/>
        <v>587.78</v>
      </c>
      <c r="H656" s="249">
        <v>895.93</v>
      </c>
      <c r="I656" s="249"/>
      <c r="J656" s="343">
        <f t="shared" ref="J656:J721" si="92">E656*1/0.9-(H656+I656)</f>
        <v>5.6699999999999591</v>
      </c>
      <c r="K656" s="343"/>
      <c r="L656" s="135">
        <v>250</v>
      </c>
    </row>
    <row r="657" spans="1:12" x14ac:dyDescent="0.25">
      <c r="A657" s="173">
        <v>131</v>
      </c>
      <c r="B657" s="250" t="s">
        <v>685</v>
      </c>
      <c r="C657" s="250"/>
      <c r="D657" s="173">
        <v>630</v>
      </c>
      <c r="E657" s="223">
        <v>579.6</v>
      </c>
      <c r="F657" s="4">
        <v>349.99</v>
      </c>
      <c r="G657" s="234">
        <f t="shared" si="90"/>
        <v>229.61</v>
      </c>
      <c r="H657" s="249">
        <v>762.4</v>
      </c>
      <c r="I657" s="249"/>
      <c r="J657" s="383">
        <v>0</v>
      </c>
      <c r="K657" s="384"/>
      <c r="L657" s="134" t="s">
        <v>19</v>
      </c>
    </row>
    <row r="658" spans="1:12" x14ac:dyDescent="0.25">
      <c r="A658" s="173">
        <v>132</v>
      </c>
      <c r="B658" s="250" t="s">
        <v>686</v>
      </c>
      <c r="C658" s="250"/>
      <c r="D658" s="247" t="s">
        <v>687</v>
      </c>
      <c r="E658" s="223">
        <v>231.83999999999997</v>
      </c>
      <c r="F658" s="4">
        <v>214.35</v>
      </c>
      <c r="G658" s="234">
        <f t="shared" si="90"/>
        <v>17.489999999999981</v>
      </c>
      <c r="H658" s="249">
        <v>510.4</v>
      </c>
      <c r="I658" s="249"/>
      <c r="J658" s="383">
        <v>0</v>
      </c>
      <c r="K658" s="384"/>
      <c r="L658" s="134" t="s">
        <v>19</v>
      </c>
    </row>
    <row r="659" spans="1:12" x14ac:dyDescent="0.25">
      <c r="A659" s="173">
        <v>133</v>
      </c>
      <c r="B659" s="250" t="s">
        <v>688</v>
      </c>
      <c r="C659" s="250"/>
      <c r="D659" s="173" t="s">
        <v>60</v>
      </c>
      <c r="E659" s="223">
        <v>811.43999999999994</v>
      </c>
      <c r="F659" s="4">
        <v>211.06</v>
      </c>
      <c r="G659" s="234">
        <f t="shared" si="90"/>
        <v>600.37999999999988</v>
      </c>
      <c r="H659" s="249">
        <v>936</v>
      </c>
      <c r="I659" s="249"/>
      <c r="J659" s="383">
        <v>0</v>
      </c>
      <c r="K659" s="384"/>
      <c r="L659" s="134" t="s">
        <v>19</v>
      </c>
    </row>
    <row r="660" spans="1:12" x14ac:dyDescent="0.25">
      <c r="A660" s="173">
        <v>134</v>
      </c>
      <c r="B660" s="250" t="s">
        <v>689</v>
      </c>
      <c r="C660" s="250"/>
      <c r="D660" s="173" t="s">
        <v>74</v>
      </c>
      <c r="E660" s="223">
        <v>322</v>
      </c>
      <c r="F660" s="4">
        <v>77.02</v>
      </c>
      <c r="G660" s="234">
        <f t="shared" si="90"/>
        <v>244.98000000000002</v>
      </c>
      <c r="H660" s="249">
        <v>322</v>
      </c>
      <c r="I660" s="249"/>
      <c r="J660" s="343">
        <f t="shared" si="92"/>
        <v>35.777777777777771</v>
      </c>
      <c r="K660" s="343"/>
      <c r="L660" s="135">
        <v>250</v>
      </c>
    </row>
    <row r="661" spans="1:12" x14ac:dyDescent="0.25">
      <c r="A661" s="173">
        <v>135</v>
      </c>
      <c r="B661" s="250" t="s">
        <v>690</v>
      </c>
      <c r="C661" s="250"/>
      <c r="D661" s="173" t="s">
        <v>74</v>
      </c>
      <c r="E661" s="223">
        <v>322</v>
      </c>
      <c r="F661" s="4">
        <v>31.32</v>
      </c>
      <c r="G661" s="234">
        <f t="shared" si="90"/>
        <v>290.68</v>
      </c>
      <c r="H661" s="249">
        <v>180.9</v>
      </c>
      <c r="I661" s="249"/>
      <c r="J661" s="343">
        <f t="shared" si="92"/>
        <v>176.87777777777777</v>
      </c>
      <c r="K661" s="343"/>
      <c r="L661" s="135">
        <v>250</v>
      </c>
    </row>
    <row r="662" spans="1:12" x14ac:dyDescent="0.25">
      <c r="A662" s="173">
        <v>136</v>
      </c>
      <c r="B662" s="250" t="s">
        <v>691</v>
      </c>
      <c r="C662" s="250"/>
      <c r="D662" s="247" t="s">
        <v>51</v>
      </c>
      <c r="E662" s="223">
        <v>515.19999999999993</v>
      </c>
      <c r="F662" s="4">
        <v>70.67</v>
      </c>
      <c r="G662" s="234">
        <f t="shared" si="90"/>
        <v>444.52999999999992</v>
      </c>
      <c r="H662" s="249">
        <v>445.5</v>
      </c>
      <c r="I662" s="249"/>
      <c r="J662" s="343">
        <f t="shared" si="92"/>
        <v>126.94444444444434</v>
      </c>
      <c r="K662" s="343"/>
      <c r="L662" s="135">
        <v>250</v>
      </c>
    </row>
    <row r="663" spans="1:12" x14ac:dyDescent="0.25">
      <c r="A663" s="173">
        <v>137</v>
      </c>
      <c r="B663" s="250" t="s">
        <v>692</v>
      </c>
      <c r="C663" s="250"/>
      <c r="D663" s="173" t="s">
        <v>51</v>
      </c>
      <c r="E663" s="223">
        <v>515.19999999999993</v>
      </c>
      <c r="F663" s="4">
        <v>206.94499999999999</v>
      </c>
      <c r="G663" s="234">
        <f t="shared" ref="G663:G727" si="93">E663-F663</f>
        <v>308.25499999999994</v>
      </c>
      <c r="H663" s="249">
        <v>904.8</v>
      </c>
      <c r="I663" s="249"/>
      <c r="J663" s="383">
        <v>0</v>
      </c>
      <c r="K663" s="384"/>
      <c r="L663" s="134" t="s">
        <v>19</v>
      </c>
    </row>
    <row r="664" spans="1:12" x14ac:dyDescent="0.25">
      <c r="A664" s="173">
        <v>138</v>
      </c>
      <c r="B664" s="245" t="s">
        <v>693</v>
      </c>
      <c r="C664" s="245"/>
      <c r="D664" s="173">
        <v>400</v>
      </c>
      <c r="E664" s="234">
        <v>368</v>
      </c>
      <c r="F664" s="173">
        <v>153.41</v>
      </c>
      <c r="G664" s="234">
        <f t="shared" si="93"/>
        <v>214.59</v>
      </c>
      <c r="H664" s="249">
        <v>472.5</v>
      </c>
      <c r="I664" s="249"/>
      <c r="J664" s="383">
        <v>0</v>
      </c>
      <c r="K664" s="384"/>
      <c r="L664" s="134" t="s">
        <v>19</v>
      </c>
    </row>
    <row r="665" spans="1:12" x14ac:dyDescent="0.25">
      <c r="A665" s="173">
        <v>139</v>
      </c>
      <c r="B665" s="245" t="s">
        <v>694</v>
      </c>
      <c r="C665" s="245"/>
      <c r="D665" s="173" t="s">
        <v>60</v>
      </c>
      <c r="E665" s="223">
        <v>811.43999999999994</v>
      </c>
      <c r="F665" s="4">
        <v>137.54</v>
      </c>
      <c r="G665" s="234">
        <f t="shared" si="93"/>
        <v>673.9</v>
      </c>
      <c r="H665" s="249">
        <v>1857.57</v>
      </c>
      <c r="I665" s="249"/>
      <c r="J665" s="383">
        <v>0</v>
      </c>
      <c r="K665" s="384"/>
      <c r="L665" s="134" t="s">
        <v>19</v>
      </c>
    </row>
    <row r="666" spans="1:12" x14ac:dyDescent="0.25">
      <c r="A666" s="173">
        <v>140</v>
      </c>
      <c r="B666" s="245" t="s">
        <v>695</v>
      </c>
      <c r="C666" s="245"/>
      <c r="D666" s="247">
        <v>400</v>
      </c>
      <c r="E666" s="223">
        <v>368</v>
      </c>
      <c r="F666" s="4">
        <v>88.87</v>
      </c>
      <c r="G666" s="234">
        <f t="shared" si="93"/>
        <v>279.13</v>
      </c>
      <c r="H666" s="249">
        <v>695</v>
      </c>
      <c r="I666" s="249"/>
      <c r="J666" s="383">
        <v>0</v>
      </c>
      <c r="K666" s="384"/>
      <c r="L666" s="134" t="s">
        <v>19</v>
      </c>
    </row>
    <row r="667" spans="1:12" x14ac:dyDescent="0.25">
      <c r="A667" s="173">
        <v>141</v>
      </c>
      <c r="B667" s="245" t="s">
        <v>696</v>
      </c>
      <c r="C667" s="245"/>
      <c r="D667" s="173" t="s">
        <v>60</v>
      </c>
      <c r="E667" s="223">
        <v>811.43999999999994</v>
      </c>
      <c r="F667" s="4">
        <v>102.63</v>
      </c>
      <c r="G667" s="234">
        <f t="shared" si="93"/>
        <v>708.81</v>
      </c>
      <c r="H667" s="249">
        <v>1318.8</v>
      </c>
      <c r="I667" s="249"/>
      <c r="J667" s="383">
        <v>0</v>
      </c>
      <c r="K667" s="384"/>
      <c r="L667" s="134" t="s">
        <v>19</v>
      </c>
    </row>
    <row r="668" spans="1:12" x14ac:dyDescent="0.25">
      <c r="A668" s="173">
        <v>142</v>
      </c>
      <c r="B668" s="245" t="s">
        <v>697</v>
      </c>
      <c r="C668" s="245"/>
      <c r="D668" s="173">
        <v>315</v>
      </c>
      <c r="E668" s="223">
        <v>289.8</v>
      </c>
      <c r="F668" s="4">
        <v>68.349999999999994</v>
      </c>
      <c r="G668" s="234">
        <f t="shared" si="93"/>
        <v>221.45000000000002</v>
      </c>
      <c r="H668" s="249">
        <v>354.7</v>
      </c>
      <c r="I668" s="249"/>
      <c r="J668" s="383">
        <v>0</v>
      </c>
      <c r="K668" s="384"/>
      <c r="L668" s="134" t="s">
        <v>19</v>
      </c>
    </row>
    <row r="669" spans="1:12" x14ac:dyDescent="0.25">
      <c r="A669" s="173">
        <v>143</v>
      </c>
      <c r="B669" s="245" t="s">
        <v>698</v>
      </c>
      <c r="C669" s="245"/>
      <c r="D669" s="247" t="s">
        <v>50</v>
      </c>
      <c r="E669" s="223">
        <v>412.16</v>
      </c>
      <c r="F669" s="4">
        <v>97.34</v>
      </c>
      <c r="G669" s="234">
        <f t="shared" si="93"/>
        <v>314.82000000000005</v>
      </c>
      <c r="H669" s="249">
        <v>651.5</v>
      </c>
      <c r="I669" s="249"/>
      <c r="J669" s="383">
        <v>0</v>
      </c>
      <c r="K669" s="384"/>
      <c r="L669" s="134" t="s">
        <v>19</v>
      </c>
    </row>
    <row r="670" spans="1:12" x14ac:dyDescent="0.25">
      <c r="A670" s="173">
        <v>144</v>
      </c>
      <c r="B670" s="245" t="s">
        <v>699</v>
      </c>
      <c r="C670" s="245"/>
      <c r="D670" s="247">
        <v>630</v>
      </c>
      <c r="E670" s="223">
        <v>579.6</v>
      </c>
      <c r="F670" s="4">
        <v>38.090000000000003</v>
      </c>
      <c r="G670" s="234">
        <f t="shared" si="93"/>
        <v>541.51</v>
      </c>
      <c r="H670" s="249">
        <v>790.8</v>
      </c>
      <c r="I670" s="249">
        <v>15</v>
      </c>
      <c r="J670" s="383">
        <v>0</v>
      </c>
      <c r="K670" s="384"/>
      <c r="L670" s="134" t="s">
        <v>19</v>
      </c>
    </row>
    <row r="671" spans="1:12" x14ac:dyDescent="0.25">
      <c r="A671" s="173">
        <v>145</v>
      </c>
      <c r="B671" s="245" t="s">
        <v>700</v>
      </c>
      <c r="C671" s="245"/>
      <c r="D671" s="247" t="s">
        <v>65</v>
      </c>
      <c r="E671" s="223">
        <v>515.20000000000005</v>
      </c>
      <c r="F671" s="4">
        <v>110.032</v>
      </c>
      <c r="G671" s="234">
        <f t="shared" si="93"/>
        <v>405.16800000000006</v>
      </c>
      <c r="H671" s="249">
        <v>820.74</v>
      </c>
      <c r="I671" s="249"/>
      <c r="J671" s="383">
        <v>0</v>
      </c>
      <c r="K671" s="384"/>
      <c r="L671" s="134" t="s">
        <v>19</v>
      </c>
    </row>
    <row r="672" spans="1:12" x14ac:dyDescent="0.25">
      <c r="A672" s="173">
        <v>146</v>
      </c>
      <c r="B672" s="245" t="s">
        <v>701</v>
      </c>
      <c r="C672" s="245"/>
      <c r="D672" s="173" t="s">
        <v>60</v>
      </c>
      <c r="E672" s="223">
        <v>811.44</v>
      </c>
      <c r="F672" s="4">
        <v>78.292000000000002</v>
      </c>
      <c r="G672" s="234">
        <f t="shared" si="93"/>
        <v>733.14800000000002</v>
      </c>
      <c r="H672" s="249">
        <v>761.42</v>
      </c>
      <c r="I672" s="249"/>
      <c r="J672" s="343">
        <f t="shared" si="92"/>
        <v>140.18000000000006</v>
      </c>
      <c r="K672" s="343"/>
      <c r="L672" s="135">
        <v>250</v>
      </c>
    </row>
    <row r="673" spans="1:12" x14ac:dyDescent="0.25">
      <c r="A673" s="173">
        <v>147</v>
      </c>
      <c r="B673" s="245" t="s">
        <v>702</v>
      </c>
      <c r="C673" s="245"/>
      <c r="D673" s="173" t="s">
        <v>51</v>
      </c>
      <c r="E673" s="223">
        <v>515.19999999999993</v>
      </c>
      <c r="F673" s="4">
        <v>165.048</v>
      </c>
      <c r="G673" s="234">
        <f t="shared" si="93"/>
        <v>350.15199999999993</v>
      </c>
      <c r="H673" s="249">
        <v>1392.48</v>
      </c>
      <c r="I673" s="249"/>
      <c r="J673" s="383">
        <v>0</v>
      </c>
      <c r="K673" s="384"/>
      <c r="L673" s="134" t="s">
        <v>19</v>
      </c>
    </row>
    <row r="674" spans="1:12" x14ac:dyDescent="0.25">
      <c r="A674" s="173">
        <v>148</v>
      </c>
      <c r="B674" s="245" t="s">
        <v>790</v>
      </c>
      <c r="C674" s="245"/>
      <c r="D674" s="173">
        <v>630</v>
      </c>
      <c r="E674" s="223">
        <v>579.6</v>
      </c>
      <c r="F674" s="4">
        <v>48.67</v>
      </c>
      <c r="G674" s="234">
        <f t="shared" si="93"/>
        <v>530.93000000000006</v>
      </c>
      <c r="H674" s="249">
        <v>560</v>
      </c>
      <c r="I674" s="249"/>
      <c r="J674" s="343">
        <f>E674*1/0.9-(H674+I674)</f>
        <v>84</v>
      </c>
      <c r="K674" s="343"/>
      <c r="L674" s="135">
        <v>250</v>
      </c>
    </row>
    <row r="675" spans="1:12" x14ac:dyDescent="0.25">
      <c r="A675" s="173">
        <v>149</v>
      </c>
      <c r="B675" s="245" t="s">
        <v>791</v>
      </c>
      <c r="C675" s="245"/>
      <c r="D675" s="173">
        <v>1600</v>
      </c>
      <c r="E675" s="223">
        <v>1472</v>
      </c>
      <c r="F675" s="4">
        <v>38.090000000000003</v>
      </c>
      <c r="G675" s="234">
        <f t="shared" si="93"/>
        <v>1433.91</v>
      </c>
      <c r="H675" s="249">
        <v>1500</v>
      </c>
      <c r="I675" s="249"/>
      <c r="J675" s="343">
        <f>E675*1/0.9-(H675+I675)</f>
        <v>135.55555555555543</v>
      </c>
      <c r="K675" s="343"/>
      <c r="L675" s="135">
        <v>250</v>
      </c>
    </row>
    <row r="676" spans="1:12" x14ac:dyDescent="0.25">
      <c r="A676" s="173">
        <v>150</v>
      </c>
      <c r="B676" s="245" t="s">
        <v>703</v>
      </c>
      <c r="C676" s="245"/>
      <c r="D676" s="173" t="s">
        <v>60</v>
      </c>
      <c r="E676" s="223">
        <v>811.43999999999994</v>
      </c>
      <c r="F676" s="4">
        <v>173.512</v>
      </c>
      <c r="G676" s="234">
        <f t="shared" si="93"/>
        <v>637.92799999999988</v>
      </c>
      <c r="H676" s="249">
        <v>1512.71</v>
      </c>
      <c r="I676" s="249"/>
      <c r="J676" s="383">
        <v>0</v>
      </c>
      <c r="K676" s="384"/>
      <c r="L676" s="134" t="s">
        <v>19</v>
      </c>
    </row>
    <row r="677" spans="1:12" x14ac:dyDescent="0.25">
      <c r="A677" s="173">
        <v>151</v>
      </c>
      <c r="B677" s="245" t="s">
        <v>704</v>
      </c>
      <c r="C677" s="245"/>
      <c r="D677" s="173">
        <v>315</v>
      </c>
      <c r="E677" s="223">
        <v>289.8</v>
      </c>
      <c r="F677" s="4">
        <v>49.73</v>
      </c>
      <c r="G677" s="234">
        <f t="shared" si="93"/>
        <v>240.07000000000002</v>
      </c>
      <c r="H677" s="249">
        <v>759.375</v>
      </c>
      <c r="I677" s="249"/>
      <c r="J677" s="383">
        <v>0</v>
      </c>
      <c r="K677" s="384"/>
      <c r="L677" s="134" t="s">
        <v>19</v>
      </c>
    </row>
    <row r="678" spans="1:12" x14ac:dyDescent="0.25">
      <c r="A678" s="173">
        <v>152</v>
      </c>
      <c r="B678" s="245" t="s">
        <v>705</v>
      </c>
      <c r="C678" s="245"/>
      <c r="D678" s="173">
        <v>315</v>
      </c>
      <c r="E678" s="223">
        <v>289.8</v>
      </c>
      <c r="F678" s="4">
        <v>42.32</v>
      </c>
      <c r="G678" s="234">
        <f t="shared" si="93"/>
        <v>247.48000000000002</v>
      </c>
      <c r="H678" s="249">
        <v>368</v>
      </c>
      <c r="I678" s="249"/>
      <c r="J678" s="383">
        <v>0</v>
      </c>
      <c r="K678" s="384"/>
      <c r="L678" s="134" t="s">
        <v>19</v>
      </c>
    </row>
    <row r="679" spans="1:12" x14ac:dyDescent="0.25">
      <c r="A679" s="173">
        <v>153</v>
      </c>
      <c r="B679" s="245" t="s">
        <v>792</v>
      </c>
      <c r="C679" s="245"/>
      <c r="D679" s="173" t="s">
        <v>706</v>
      </c>
      <c r="E679" s="223">
        <v>257.60000000000002</v>
      </c>
      <c r="F679" s="4">
        <v>66.653999999999996</v>
      </c>
      <c r="G679" s="234">
        <f t="shared" si="93"/>
        <v>190.94600000000003</v>
      </c>
      <c r="H679" s="249">
        <v>347.8</v>
      </c>
      <c r="I679" s="249"/>
      <c r="J679" s="383">
        <v>0</v>
      </c>
      <c r="K679" s="384"/>
      <c r="L679" s="134" t="s">
        <v>19</v>
      </c>
    </row>
    <row r="680" spans="1:12" x14ac:dyDescent="0.25">
      <c r="A680" s="173">
        <v>154</v>
      </c>
      <c r="B680" s="253" t="s">
        <v>751</v>
      </c>
      <c r="C680" s="253"/>
      <c r="D680" s="173" t="s">
        <v>60</v>
      </c>
      <c r="E680" s="223">
        <v>811.44</v>
      </c>
      <c r="F680" s="4">
        <v>71.94</v>
      </c>
      <c r="G680" s="234">
        <f t="shared" si="93"/>
        <v>739.5</v>
      </c>
      <c r="H680" s="173">
        <v>360</v>
      </c>
      <c r="I680" s="249"/>
      <c r="J680" s="343">
        <f t="shared" si="92"/>
        <v>541.6</v>
      </c>
      <c r="K680" s="343"/>
      <c r="L680" s="135">
        <v>250</v>
      </c>
    </row>
    <row r="681" spans="1:12" x14ac:dyDescent="0.25">
      <c r="A681" s="173">
        <v>155</v>
      </c>
      <c r="B681" s="245" t="s">
        <v>707</v>
      </c>
      <c r="C681" s="245"/>
      <c r="D681" s="247" t="s">
        <v>99</v>
      </c>
      <c r="E681" s="223">
        <v>515.19999999999993</v>
      </c>
      <c r="F681" s="4">
        <v>101.57</v>
      </c>
      <c r="G681" s="234">
        <f t="shared" si="93"/>
        <v>413.62999999999994</v>
      </c>
      <c r="H681" s="249">
        <v>514.08000000000004</v>
      </c>
      <c r="I681" s="249"/>
      <c r="J681" s="343">
        <f t="shared" si="92"/>
        <v>58.364444444444302</v>
      </c>
      <c r="K681" s="343"/>
      <c r="L681" s="135">
        <v>250</v>
      </c>
    </row>
    <row r="682" spans="1:12" x14ac:dyDescent="0.25">
      <c r="A682" s="173">
        <v>156</v>
      </c>
      <c r="B682" s="245" t="s">
        <v>708</v>
      </c>
      <c r="C682" s="245"/>
      <c r="D682" s="173" t="s">
        <v>51</v>
      </c>
      <c r="E682" s="223">
        <v>515.19999999999993</v>
      </c>
      <c r="F682" s="4">
        <v>84.64</v>
      </c>
      <c r="G682" s="234">
        <f t="shared" si="93"/>
        <v>430.55999999999995</v>
      </c>
      <c r="H682" s="249">
        <v>795.9</v>
      </c>
      <c r="I682" s="249"/>
      <c r="J682" s="383">
        <v>0</v>
      </c>
      <c r="K682" s="384"/>
      <c r="L682" s="134" t="s">
        <v>19</v>
      </c>
    </row>
    <row r="683" spans="1:12" x14ac:dyDescent="0.25">
      <c r="A683" s="173">
        <v>157</v>
      </c>
      <c r="B683" s="245" t="s">
        <v>709</v>
      </c>
      <c r="C683" s="245"/>
      <c r="D683" s="173" t="s">
        <v>51</v>
      </c>
      <c r="E683" s="223">
        <v>515.19999999999993</v>
      </c>
      <c r="F683" s="4">
        <v>97.34</v>
      </c>
      <c r="G683" s="234">
        <f t="shared" si="93"/>
        <v>417.8599999999999</v>
      </c>
      <c r="H683" s="249">
        <v>819</v>
      </c>
      <c r="I683" s="249"/>
      <c r="J683" s="383">
        <v>0</v>
      </c>
      <c r="K683" s="384"/>
      <c r="L683" s="134" t="s">
        <v>19</v>
      </c>
    </row>
    <row r="684" spans="1:12" x14ac:dyDescent="0.25">
      <c r="A684" s="173">
        <v>158</v>
      </c>
      <c r="B684" s="245" t="s">
        <v>710</v>
      </c>
      <c r="C684" s="245"/>
      <c r="D684" s="173" t="s">
        <v>51</v>
      </c>
      <c r="E684" s="223">
        <v>515.19999999999993</v>
      </c>
      <c r="F684" s="4">
        <v>160.82</v>
      </c>
      <c r="G684" s="234">
        <f t="shared" si="93"/>
        <v>354.37999999999994</v>
      </c>
      <c r="H684" s="249">
        <v>1211.3</v>
      </c>
      <c r="I684" s="249"/>
      <c r="J684" s="383">
        <v>0</v>
      </c>
      <c r="K684" s="384"/>
      <c r="L684" s="134" t="s">
        <v>19</v>
      </c>
    </row>
    <row r="685" spans="1:12" x14ac:dyDescent="0.25">
      <c r="A685" s="173">
        <v>159</v>
      </c>
      <c r="B685" s="245" t="s">
        <v>711</v>
      </c>
      <c r="C685" s="245"/>
      <c r="D685" s="173" t="s">
        <v>60</v>
      </c>
      <c r="E685" s="223">
        <v>811.43999999999994</v>
      </c>
      <c r="F685" s="4">
        <v>76.176000000000002</v>
      </c>
      <c r="G685" s="234">
        <f t="shared" si="93"/>
        <v>735.2639999999999</v>
      </c>
      <c r="H685" s="249">
        <v>903.5</v>
      </c>
      <c r="I685" s="249"/>
      <c r="J685" s="383">
        <v>0</v>
      </c>
      <c r="K685" s="384"/>
      <c r="L685" s="134" t="s">
        <v>19</v>
      </c>
    </row>
    <row r="686" spans="1:12" x14ac:dyDescent="0.25">
      <c r="A686" s="173">
        <v>160</v>
      </c>
      <c r="B686" s="245" t="s">
        <v>712</v>
      </c>
      <c r="C686" s="245"/>
      <c r="D686" s="173" t="s">
        <v>51</v>
      </c>
      <c r="E686" s="223">
        <v>515.19999999999993</v>
      </c>
      <c r="F686" s="4">
        <v>84.64</v>
      </c>
      <c r="G686" s="234">
        <f t="shared" si="93"/>
        <v>430.55999999999995</v>
      </c>
      <c r="H686" s="249">
        <v>2119.96</v>
      </c>
      <c r="I686" s="249">
        <v>47.4</v>
      </c>
      <c r="J686" s="383">
        <v>0</v>
      </c>
      <c r="K686" s="384"/>
      <c r="L686" s="134" t="s">
        <v>19</v>
      </c>
    </row>
    <row r="687" spans="1:12" x14ac:dyDescent="0.25">
      <c r="A687" s="173">
        <v>161</v>
      </c>
      <c r="B687" s="245" t="s">
        <v>713</v>
      </c>
      <c r="C687" s="245"/>
      <c r="D687" s="173" t="s">
        <v>51</v>
      </c>
      <c r="E687" s="223">
        <v>515.19999999999993</v>
      </c>
      <c r="F687" s="4">
        <v>42.32</v>
      </c>
      <c r="G687" s="234">
        <f t="shared" si="93"/>
        <v>472.87999999999994</v>
      </c>
      <c r="H687" s="249">
        <v>495.9</v>
      </c>
      <c r="I687" s="249"/>
      <c r="J687" s="343">
        <f t="shared" si="92"/>
        <v>76.544444444444366</v>
      </c>
      <c r="K687" s="343"/>
      <c r="L687" s="135">
        <v>250</v>
      </c>
    </row>
    <row r="688" spans="1:12" x14ac:dyDescent="0.25">
      <c r="A688" s="173">
        <v>162</v>
      </c>
      <c r="B688" s="245" t="s">
        <v>714</v>
      </c>
      <c r="C688" s="245"/>
      <c r="D688" s="173">
        <v>250</v>
      </c>
      <c r="E688" s="223">
        <v>230</v>
      </c>
      <c r="F688" s="4">
        <v>10.58</v>
      </c>
      <c r="G688" s="234">
        <f t="shared" si="93"/>
        <v>219.42</v>
      </c>
      <c r="H688" s="249">
        <v>175</v>
      </c>
      <c r="I688" s="249"/>
      <c r="J688" s="343">
        <f t="shared" si="92"/>
        <v>80.555555555555543</v>
      </c>
      <c r="K688" s="343"/>
      <c r="L688" s="135">
        <v>250</v>
      </c>
    </row>
    <row r="689" spans="1:12" x14ac:dyDescent="0.25">
      <c r="A689" s="173">
        <v>163</v>
      </c>
      <c r="B689" s="245" t="s">
        <v>715</v>
      </c>
      <c r="C689" s="245"/>
      <c r="D689" s="173">
        <v>630</v>
      </c>
      <c r="E689" s="223">
        <v>579.6</v>
      </c>
      <c r="F689" s="4">
        <v>21.16</v>
      </c>
      <c r="G689" s="234">
        <f t="shared" si="93"/>
        <v>558.44000000000005</v>
      </c>
      <c r="H689" s="249">
        <v>1654.4</v>
      </c>
      <c r="I689" s="249">
        <v>33.799999999999997</v>
      </c>
      <c r="J689" s="383">
        <v>0</v>
      </c>
      <c r="K689" s="384"/>
      <c r="L689" s="134" t="s">
        <v>19</v>
      </c>
    </row>
    <row r="690" spans="1:12" x14ac:dyDescent="0.25">
      <c r="A690" s="173">
        <v>164</v>
      </c>
      <c r="B690" s="245" t="s">
        <v>716</v>
      </c>
      <c r="C690" s="245"/>
      <c r="D690" s="247" t="s">
        <v>101</v>
      </c>
      <c r="E690" s="223">
        <v>322</v>
      </c>
      <c r="F690" s="4">
        <v>107.92</v>
      </c>
      <c r="G690" s="234">
        <f t="shared" si="93"/>
        <v>214.07999999999998</v>
      </c>
      <c r="H690" s="249">
        <v>1505.1</v>
      </c>
      <c r="I690" s="249"/>
      <c r="J690" s="383">
        <v>0</v>
      </c>
      <c r="K690" s="384"/>
      <c r="L690" s="134" t="s">
        <v>19</v>
      </c>
    </row>
    <row r="691" spans="1:12" x14ac:dyDescent="0.25">
      <c r="A691" s="173">
        <v>165</v>
      </c>
      <c r="B691" s="245" t="s">
        <v>717</v>
      </c>
      <c r="C691" s="245"/>
      <c r="D691" s="173" t="s">
        <v>74</v>
      </c>
      <c r="E691" s="223">
        <v>322</v>
      </c>
      <c r="F691" s="4">
        <v>74.06</v>
      </c>
      <c r="G691" s="234">
        <f t="shared" si="93"/>
        <v>247.94</v>
      </c>
      <c r="H691" s="249">
        <v>955.6</v>
      </c>
      <c r="I691" s="249"/>
      <c r="J691" s="383">
        <v>0</v>
      </c>
      <c r="K691" s="384"/>
      <c r="L691" s="134" t="s">
        <v>19</v>
      </c>
    </row>
    <row r="692" spans="1:12" x14ac:dyDescent="0.25">
      <c r="A692" s="173">
        <v>166</v>
      </c>
      <c r="B692" s="245" t="s">
        <v>718</v>
      </c>
      <c r="C692" s="245"/>
      <c r="D692" s="173">
        <v>400</v>
      </c>
      <c r="E692" s="223">
        <v>368</v>
      </c>
      <c r="F692" s="4">
        <v>31.74</v>
      </c>
      <c r="G692" s="234">
        <f t="shared" si="93"/>
        <v>336.26</v>
      </c>
      <c r="H692" s="249">
        <v>533.5</v>
      </c>
      <c r="I692" s="249"/>
      <c r="J692" s="383">
        <v>0</v>
      </c>
      <c r="K692" s="384"/>
      <c r="L692" s="134" t="s">
        <v>19</v>
      </c>
    </row>
    <row r="693" spans="1:12" x14ac:dyDescent="0.25">
      <c r="A693" s="173">
        <v>167</v>
      </c>
      <c r="B693" s="245" t="s">
        <v>719</v>
      </c>
      <c r="C693" s="245"/>
      <c r="D693" s="173" t="s">
        <v>51</v>
      </c>
      <c r="E693" s="223">
        <v>515.19999999999993</v>
      </c>
      <c r="F693" s="4">
        <v>86.76</v>
      </c>
      <c r="G693" s="234">
        <f t="shared" si="93"/>
        <v>428.43999999999994</v>
      </c>
      <c r="H693" s="249">
        <v>712.94</v>
      </c>
      <c r="I693" s="249">
        <v>10</v>
      </c>
      <c r="J693" s="383">
        <v>0</v>
      </c>
      <c r="K693" s="384"/>
      <c r="L693" s="134" t="s">
        <v>19</v>
      </c>
    </row>
    <row r="694" spans="1:12" x14ac:dyDescent="0.25">
      <c r="A694" s="173">
        <v>168</v>
      </c>
      <c r="B694" s="245" t="s">
        <v>720</v>
      </c>
      <c r="C694" s="245"/>
      <c r="D694" s="173">
        <v>250</v>
      </c>
      <c r="E694" s="223">
        <v>230</v>
      </c>
      <c r="F694" s="4">
        <v>10.58</v>
      </c>
      <c r="G694" s="234">
        <f t="shared" si="93"/>
        <v>219.42</v>
      </c>
      <c r="H694" s="249">
        <v>340.06</v>
      </c>
      <c r="I694" s="249"/>
      <c r="J694" s="383">
        <v>0</v>
      </c>
      <c r="K694" s="384"/>
      <c r="L694" s="134" t="s">
        <v>19</v>
      </c>
    </row>
    <row r="695" spans="1:12" x14ac:dyDescent="0.25">
      <c r="A695" s="173">
        <v>169</v>
      </c>
      <c r="B695" s="245" t="s">
        <v>752</v>
      </c>
      <c r="C695" s="245"/>
      <c r="D695" s="173">
        <v>250</v>
      </c>
      <c r="E695" s="223">
        <v>230</v>
      </c>
      <c r="F695" s="4">
        <v>38.090000000000003</v>
      </c>
      <c r="G695" s="234">
        <f t="shared" si="93"/>
        <v>191.91</v>
      </c>
      <c r="H695" s="249">
        <v>200</v>
      </c>
      <c r="I695" s="249"/>
      <c r="J695" s="343">
        <f t="shared" si="92"/>
        <v>55.555555555555543</v>
      </c>
      <c r="K695" s="343"/>
      <c r="L695" s="135">
        <v>250</v>
      </c>
    </row>
    <row r="696" spans="1:12" x14ac:dyDescent="0.25">
      <c r="A696" s="173">
        <v>170</v>
      </c>
      <c r="B696" s="245" t="s">
        <v>793</v>
      </c>
      <c r="C696" s="245"/>
      <c r="D696" s="173">
        <v>250</v>
      </c>
      <c r="E696" s="223">
        <v>230</v>
      </c>
      <c r="F696" s="4">
        <v>38.090000000000003</v>
      </c>
      <c r="G696" s="234">
        <f t="shared" si="93"/>
        <v>191.91</v>
      </c>
      <c r="H696" s="249">
        <v>140</v>
      </c>
      <c r="I696" s="249"/>
      <c r="J696" s="343">
        <f>E696*1/0.9-(H696+I696)</f>
        <v>115.55555555555554</v>
      </c>
      <c r="K696" s="343"/>
      <c r="L696" s="135">
        <v>250</v>
      </c>
    </row>
    <row r="697" spans="1:12" x14ac:dyDescent="0.25">
      <c r="A697" s="173">
        <v>171</v>
      </c>
      <c r="B697" s="245" t="s">
        <v>721</v>
      </c>
      <c r="C697" s="245"/>
      <c r="D697" s="173">
        <v>200</v>
      </c>
      <c r="E697" s="223">
        <v>184</v>
      </c>
      <c r="F697" s="4">
        <v>55.015999999999998</v>
      </c>
      <c r="G697" s="234">
        <f t="shared" si="93"/>
        <v>128.98400000000001</v>
      </c>
      <c r="H697" s="249">
        <v>184</v>
      </c>
      <c r="I697" s="249"/>
      <c r="J697" s="343">
        <f t="shared" si="92"/>
        <v>20.444444444444429</v>
      </c>
      <c r="K697" s="343"/>
      <c r="L697" s="135">
        <v>250</v>
      </c>
    </row>
    <row r="698" spans="1:12" ht="30" x14ac:dyDescent="0.25">
      <c r="A698" s="173">
        <v>172</v>
      </c>
      <c r="B698" s="245" t="s">
        <v>722</v>
      </c>
      <c r="C698" s="245"/>
      <c r="D698" s="254" t="s">
        <v>723</v>
      </c>
      <c r="E698" s="223">
        <v>811.44</v>
      </c>
      <c r="F698" s="4">
        <v>465.52</v>
      </c>
      <c r="G698" s="234">
        <f t="shared" si="93"/>
        <v>345.92000000000007</v>
      </c>
      <c r="H698" s="173">
        <v>814.46</v>
      </c>
      <c r="I698" s="173"/>
      <c r="J698" s="343">
        <f t="shared" si="92"/>
        <v>87.139999999999986</v>
      </c>
      <c r="K698" s="343"/>
      <c r="L698" s="135">
        <v>250</v>
      </c>
    </row>
    <row r="699" spans="1:12" x14ac:dyDescent="0.25">
      <c r="A699" s="173">
        <v>173</v>
      </c>
      <c r="B699" s="245" t="s">
        <v>724</v>
      </c>
      <c r="C699" s="245"/>
      <c r="D699" s="173">
        <v>180</v>
      </c>
      <c r="E699" s="223">
        <v>165.6</v>
      </c>
      <c r="F699" s="4">
        <v>95.22</v>
      </c>
      <c r="G699" s="234">
        <f t="shared" si="93"/>
        <v>70.38</v>
      </c>
      <c r="H699" s="249">
        <v>208</v>
      </c>
      <c r="I699" s="249"/>
      <c r="J699" s="383">
        <v>0</v>
      </c>
      <c r="K699" s="384"/>
      <c r="L699" s="134" t="s">
        <v>19</v>
      </c>
    </row>
    <row r="700" spans="1:12" x14ac:dyDescent="0.25">
      <c r="A700" s="173">
        <v>174</v>
      </c>
      <c r="B700" s="245" t="s">
        <v>725</v>
      </c>
      <c r="C700" s="245"/>
      <c r="D700" s="173" t="s">
        <v>51</v>
      </c>
      <c r="E700" s="223">
        <v>515.19999999999993</v>
      </c>
      <c r="F700" s="4">
        <v>270.85000000000002</v>
      </c>
      <c r="G700" s="234">
        <f t="shared" si="93"/>
        <v>244.34999999999991</v>
      </c>
      <c r="H700" s="249">
        <v>602.29999999999995</v>
      </c>
      <c r="I700" s="249"/>
      <c r="J700" s="383">
        <v>0</v>
      </c>
      <c r="K700" s="384"/>
      <c r="L700" s="134" t="s">
        <v>19</v>
      </c>
    </row>
    <row r="701" spans="1:12" x14ac:dyDescent="0.25">
      <c r="A701" s="173">
        <v>175</v>
      </c>
      <c r="B701" s="245" t="s">
        <v>753</v>
      </c>
      <c r="C701" s="245"/>
      <c r="D701" s="173">
        <v>25</v>
      </c>
      <c r="E701" s="223">
        <v>23</v>
      </c>
      <c r="F701" s="4">
        <v>0</v>
      </c>
      <c r="G701" s="234">
        <f t="shared" si="93"/>
        <v>23</v>
      </c>
      <c r="H701" s="249">
        <v>20</v>
      </c>
      <c r="I701" s="249"/>
      <c r="J701" s="343">
        <f t="shared" si="92"/>
        <v>5.5555555555555536</v>
      </c>
      <c r="K701" s="343"/>
      <c r="L701" s="135">
        <v>250</v>
      </c>
    </row>
    <row r="702" spans="1:12" x14ac:dyDescent="0.25">
      <c r="A702" s="173">
        <v>176</v>
      </c>
      <c r="B702" s="245" t="s">
        <v>754</v>
      </c>
      <c r="C702" s="245"/>
      <c r="D702" s="173">
        <v>40</v>
      </c>
      <c r="E702" s="223">
        <v>36.799999999999997</v>
      </c>
      <c r="F702" s="4">
        <v>0</v>
      </c>
      <c r="G702" s="234">
        <f t="shared" si="93"/>
        <v>36.799999999999997</v>
      </c>
      <c r="H702" s="249">
        <v>35</v>
      </c>
      <c r="I702" s="249"/>
      <c r="J702" s="343">
        <f t="shared" si="92"/>
        <v>5.8888888888888857</v>
      </c>
      <c r="K702" s="343"/>
      <c r="L702" s="135">
        <v>250</v>
      </c>
    </row>
    <row r="703" spans="1:12" x14ac:dyDescent="0.25">
      <c r="A703" s="173">
        <v>177</v>
      </c>
      <c r="B703" s="245" t="s">
        <v>755</v>
      </c>
      <c r="C703" s="245"/>
      <c r="D703" s="173">
        <v>160</v>
      </c>
      <c r="E703" s="223">
        <v>147.19999999999999</v>
      </c>
      <c r="F703" s="4">
        <v>0</v>
      </c>
      <c r="G703" s="234">
        <f t="shared" si="93"/>
        <v>147.19999999999999</v>
      </c>
      <c r="H703" s="249">
        <v>90</v>
      </c>
      <c r="I703" s="249"/>
      <c r="J703" s="343">
        <f t="shared" si="92"/>
        <v>73.555555555555543</v>
      </c>
      <c r="K703" s="343"/>
      <c r="L703" s="135">
        <v>250</v>
      </c>
    </row>
    <row r="704" spans="1:12" x14ac:dyDescent="0.25">
      <c r="A704" s="173">
        <v>178</v>
      </c>
      <c r="B704" s="245" t="s">
        <v>756</v>
      </c>
      <c r="C704" s="245"/>
      <c r="D704" s="173">
        <v>50</v>
      </c>
      <c r="E704" s="223">
        <v>46</v>
      </c>
      <c r="F704" s="4">
        <v>0</v>
      </c>
      <c r="G704" s="234">
        <f t="shared" si="93"/>
        <v>46</v>
      </c>
      <c r="H704" s="249">
        <v>20</v>
      </c>
      <c r="I704" s="249"/>
      <c r="J704" s="343">
        <f t="shared" si="92"/>
        <v>31.111111111111107</v>
      </c>
      <c r="K704" s="343"/>
      <c r="L704" s="135">
        <v>250</v>
      </c>
    </row>
    <row r="705" spans="1:12" x14ac:dyDescent="0.25">
      <c r="A705" s="173">
        <v>179</v>
      </c>
      <c r="B705" s="245" t="s">
        <v>757</v>
      </c>
      <c r="C705" s="245"/>
      <c r="D705" s="173">
        <v>630</v>
      </c>
      <c r="E705" s="223">
        <v>579.6</v>
      </c>
      <c r="F705" s="4">
        <v>529.6</v>
      </c>
      <c r="G705" s="234">
        <f t="shared" si="93"/>
        <v>50</v>
      </c>
      <c r="H705" s="249">
        <v>92</v>
      </c>
      <c r="I705" s="249"/>
      <c r="J705" s="343">
        <f t="shared" si="92"/>
        <v>552</v>
      </c>
      <c r="K705" s="343"/>
      <c r="L705" s="135">
        <v>250</v>
      </c>
    </row>
    <row r="706" spans="1:12" x14ac:dyDescent="0.25">
      <c r="A706" s="173">
        <v>180</v>
      </c>
      <c r="B706" s="245" t="s">
        <v>726</v>
      </c>
      <c r="C706" s="245"/>
      <c r="D706" s="173">
        <v>400</v>
      </c>
      <c r="E706" s="223">
        <v>368</v>
      </c>
      <c r="F706" s="4">
        <v>9.5220000000000002</v>
      </c>
      <c r="G706" s="234">
        <f>E706-F706</f>
        <v>358.47800000000001</v>
      </c>
      <c r="H706" s="249">
        <v>212</v>
      </c>
      <c r="I706" s="249"/>
      <c r="J706" s="343">
        <f>E706*1/0.9-(H706+I706)</f>
        <v>196.88888888888886</v>
      </c>
      <c r="K706" s="343"/>
      <c r="L706" s="135">
        <v>250</v>
      </c>
    </row>
    <row r="707" spans="1:12" x14ac:dyDescent="0.25">
      <c r="A707" s="173">
        <v>181</v>
      </c>
      <c r="B707" s="245" t="s">
        <v>758</v>
      </c>
      <c r="C707" s="245"/>
      <c r="D707" s="173">
        <v>63</v>
      </c>
      <c r="E707" s="223">
        <v>57.96</v>
      </c>
      <c r="F707" s="4">
        <v>0</v>
      </c>
      <c r="G707" s="234">
        <f t="shared" si="93"/>
        <v>57.96</v>
      </c>
      <c r="H707" s="249">
        <v>50</v>
      </c>
      <c r="I707" s="249"/>
      <c r="J707" s="343">
        <f t="shared" si="92"/>
        <v>14.400000000000006</v>
      </c>
      <c r="K707" s="343"/>
      <c r="L707" s="135">
        <v>250</v>
      </c>
    </row>
    <row r="708" spans="1:12" x14ac:dyDescent="0.25">
      <c r="A708" s="173">
        <v>182</v>
      </c>
      <c r="B708" s="255" t="s">
        <v>727</v>
      </c>
      <c r="C708" s="255"/>
      <c r="D708" s="173">
        <v>100</v>
      </c>
      <c r="E708" s="173">
        <v>92</v>
      </c>
      <c r="F708" s="173">
        <v>62</v>
      </c>
      <c r="G708" s="234">
        <f t="shared" si="93"/>
        <v>30</v>
      </c>
      <c r="H708" s="173">
        <v>75</v>
      </c>
      <c r="I708" s="256"/>
      <c r="J708" s="343">
        <f t="shared" si="92"/>
        <v>27.222222222222214</v>
      </c>
      <c r="K708" s="343"/>
      <c r="L708" s="135">
        <v>250</v>
      </c>
    </row>
    <row r="709" spans="1:12" x14ac:dyDescent="0.25">
      <c r="A709" s="173">
        <v>183</v>
      </c>
      <c r="B709" s="255" t="s">
        <v>794</v>
      </c>
      <c r="C709" s="255"/>
      <c r="D709" s="173">
        <v>100</v>
      </c>
      <c r="E709" s="173">
        <v>92</v>
      </c>
      <c r="F709" s="173">
        <v>0</v>
      </c>
      <c r="G709" s="234">
        <f t="shared" si="93"/>
        <v>92</v>
      </c>
      <c r="H709" s="173">
        <v>75</v>
      </c>
      <c r="I709" s="256"/>
      <c r="J709" s="343">
        <f>E709*1/0.9-(H709+I709)</f>
        <v>27.222222222222214</v>
      </c>
      <c r="K709" s="343"/>
      <c r="L709" s="135">
        <v>250</v>
      </c>
    </row>
    <row r="710" spans="1:12" x14ac:dyDescent="0.25">
      <c r="A710" s="173">
        <v>184</v>
      </c>
      <c r="B710" s="245" t="s">
        <v>728</v>
      </c>
      <c r="C710" s="245"/>
      <c r="D710" s="173">
        <v>1000</v>
      </c>
      <c r="E710" s="234">
        <v>920</v>
      </c>
      <c r="F710" s="257">
        <v>0</v>
      </c>
      <c r="G710" s="234">
        <f t="shared" si="93"/>
        <v>920</v>
      </c>
      <c r="H710" s="173">
        <v>650</v>
      </c>
      <c r="I710" s="234"/>
      <c r="J710" s="343">
        <f t="shared" si="92"/>
        <v>372.22222222222217</v>
      </c>
      <c r="K710" s="343"/>
      <c r="L710" s="135">
        <v>250</v>
      </c>
    </row>
    <row r="711" spans="1:12" x14ac:dyDescent="0.25">
      <c r="A711" s="173">
        <v>185</v>
      </c>
      <c r="B711" s="245" t="s">
        <v>729</v>
      </c>
      <c r="C711" s="245"/>
      <c r="D711" s="173">
        <v>1000</v>
      </c>
      <c r="E711" s="234">
        <v>920</v>
      </c>
      <c r="F711" s="257">
        <v>0</v>
      </c>
      <c r="G711" s="234">
        <f t="shared" si="93"/>
        <v>920</v>
      </c>
      <c r="H711" s="173">
        <v>800</v>
      </c>
      <c r="I711" s="234"/>
      <c r="J711" s="343">
        <f t="shared" si="92"/>
        <v>222.22222222222217</v>
      </c>
      <c r="K711" s="343"/>
      <c r="L711" s="135">
        <v>250</v>
      </c>
    </row>
    <row r="712" spans="1:12" x14ac:dyDescent="0.25">
      <c r="A712" s="173">
        <v>186</v>
      </c>
      <c r="B712" s="245" t="s">
        <v>730</v>
      </c>
      <c r="C712" s="245"/>
      <c r="D712" s="173">
        <v>1000</v>
      </c>
      <c r="E712" s="234">
        <v>920</v>
      </c>
      <c r="F712" s="257">
        <v>0</v>
      </c>
      <c r="G712" s="234">
        <f t="shared" si="93"/>
        <v>920</v>
      </c>
      <c r="H712" s="173">
        <v>550</v>
      </c>
      <c r="I712" s="234"/>
      <c r="J712" s="343">
        <f t="shared" si="92"/>
        <v>472.22222222222217</v>
      </c>
      <c r="K712" s="343"/>
      <c r="L712" s="135">
        <v>250</v>
      </c>
    </row>
    <row r="713" spans="1:12" x14ac:dyDescent="0.25">
      <c r="A713" s="173">
        <v>187</v>
      </c>
      <c r="B713" s="245" t="s">
        <v>731</v>
      </c>
      <c r="C713" s="245"/>
      <c r="D713" s="173">
        <v>1000</v>
      </c>
      <c r="E713" s="234">
        <v>920</v>
      </c>
      <c r="F713" s="257">
        <v>0</v>
      </c>
      <c r="G713" s="234">
        <f t="shared" si="93"/>
        <v>920</v>
      </c>
      <c r="H713" s="173">
        <v>650</v>
      </c>
      <c r="I713" s="234"/>
      <c r="J713" s="343">
        <f t="shared" si="92"/>
        <v>372.22222222222217</v>
      </c>
      <c r="K713" s="343"/>
      <c r="L713" s="135">
        <v>250</v>
      </c>
    </row>
    <row r="714" spans="1:12" x14ac:dyDescent="0.25">
      <c r="A714" s="173">
        <v>188</v>
      </c>
      <c r="B714" s="245" t="s">
        <v>732</v>
      </c>
      <c r="C714" s="245"/>
      <c r="D714" s="173">
        <v>630</v>
      </c>
      <c r="E714" s="234">
        <v>579.6</v>
      </c>
      <c r="F714" s="257">
        <v>0</v>
      </c>
      <c r="G714" s="234">
        <f t="shared" si="93"/>
        <v>579.6</v>
      </c>
      <c r="H714" s="173">
        <v>200</v>
      </c>
      <c r="I714" s="234"/>
      <c r="J714" s="343">
        <f t="shared" si="92"/>
        <v>444</v>
      </c>
      <c r="K714" s="343"/>
      <c r="L714" s="135">
        <v>250</v>
      </c>
    </row>
    <row r="715" spans="1:12" x14ac:dyDescent="0.25">
      <c r="A715" s="173">
        <v>189</v>
      </c>
      <c r="B715" s="245" t="s">
        <v>733</v>
      </c>
      <c r="C715" s="245"/>
      <c r="D715" s="249">
        <v>250</v>
      </c>
      <c r="E715" s="234">
        <v>230</v>
      </c>
      <c r="F715" s="257">
        <v>0</v>
      </c>
      <c r="G715" s="234">
        <f t="shared" si="93"/>
        <v>230</v>
      </c>
      <c r="H715" s="173">
        <v>142</v>
      </c>
      <c r="I715" s="234"/>
      <c r="J715" s="343">
        <f t="shared" si="92"/>
        <v>113.55555555555554</v>
      </c>
      <c r="K715" s="343"/>
      <c r="L715" s="135">
        <v>250</v>
      </c>
    </row>
    <row r="716" spans="1:12" x14ac:dyDescent="0.25">
      <c r="A716" s="173">
        <v>190</v>
      </c>
      <c r="B716" s="245" t="s">
        <v>734</v>
      </c>
      <c r="C716" s="245"/>
      <c r="D716" s="249">
        <v>630</v>
      </c>
      <c r="E716" s="223">
        <v>579.6</v>
      </c>
      <c r="F716" s="257">
        <v>0</v>
      </c>
      <c r="G716" s="234">
        <f t="shared" si="93"/>
        <v>579.6</v>
      </c>
      <c r="H716" s="249">
        <v>340</v>
      </c>
      <c r="I716" s="249"/>
      <c r="J716" s="343">
        <f t="shared" si="92"/>
        <v>304</v>
      </c>
      <c r="K716" s="343"/>
      <c r="L716" s="135">
        <v>250</v>
      </c>
    </row>
    <row r="717" spans="1:12" x14ac:dyDescent="0.25">
      <c r="A717" s="173">
        <v>191</v>
      </c>
      <c r="B717" s="245" t="s">
        <v>735</v>
      </c>
      <c r="C717" s="245"/>
      <c r="D717" s="249">
        <v>630</v>
      </c>
      <c r="E717" s="223">
        <v>579.6</v>
      </c>
      <c r="F717" s="257">
        <v>0</v>
      </c>
      <c r="G717" s="234">
        <f t="shared" si="93"/>
        <v>579.6</v>
      </c>
      <c r="H717" s="173">
        <v>340</v>
      </c>
      <c r="I717" s="249"/>
      <c r="J717" s="343">
        <f t="shared" si="92"/>
        <v>304</v>
      </c>
      <c r="K717" s="343"/>
      <c r="L717" s="135">
        <v>250</v>
      </c>
    </row>
    <row r="718" spans="1:12" x14ac:dyDescent="0.25">
      <c r="A718" s="173">
        <v>192</v>
      </c>
      <c r="B718" s="245" t="s">
        <v>736</v>
      </c>
      <c r="C718" s="245"/>
      <c r="D718" s="249">
        <v>630</v>
      </c>
      <c r="E718" s="223">
        <v>579.6</v>
      </c>
      <c r="F718" s="257">
        <v>0</v>
      </c>
      <c r="G718" s="234">
        <f t="shared" si="93"/>
        <v>579.6</v>
      </c>
      <c r="H718" s="173">
        <v>340</v>
      </c>
      <c r="I718" s="249"/>
      <c r="J718" s="343">
        <f t="shared" si="92"/>
        <v>304</v>
      </c>
      <c r="K718" s="343"/>
      <c r="L718" s="135">
        <v>250</v>
      </c>
    </row>
    <row r="719" spans="1:12" x14ac:dyDescent="0.25">
      <c r="A719" s="173">
        <v>193</v>
      </c>
      <c r="B719" s="245" t="s">
        <v>737</v>
      </c>
      <c r="C719" s="245"/>
      <c r="D719" s="249">
        <v>400</v>
      </c>
      <c r="E719" s="223">
        <v>368</v>
      </c>
      <c r="F719" s="257">
        <v>0</v>
      </c>
      <c r="G719" s="234">
        <f t="shared" si="93"/>
        <v>368</v>
      </c>
      <c r="H719" s="173">
        <v>340</v>
      </c>
      <c r="I719" s="249"/>
      <c r="J719" s="343">
        <f t="shared" si="92"/>
        <v>68.888888888888857</v>
      </c>
      <c r="K719" s="343"/>
      <c r="L719" s="135">
        <v>250</v>
      </c>
    </row>
    <row r="720" spans="1:12" x14ac:dyDescent="0.25">
      <c r="A720" s="173">
        <v>194</v>
      </c>
      <c r="B720" s="245" t="s">
        <v>738</v>
      </c>
      <c r="C720" s="245"/>
      <c r="D720" s="173">
        <v>630</v>
      </c>
      <c r="E720" s="223">
        <v>533.23</v>
      </c>
      <c r="F720" s="257">
        <v>0</v>
      </c>
      <c r="G720" s="234">
        <f t="shared" si="93"/>
        <v>533.23</v>
      </c>
      <c r="H720" s="173">
        <v>340</v>
      </c>
      <c r="I720" s="249"/>
      <c r="J720" s="343">
        <f t="shared" si="92"/>
        <v>252.47777777777776</v>
      </c>
      <c r="K720" s="343"/>
      <c r="L720" s="135">
        <v>250</v>
      </c>
    </row>
    <row r="721" spans="1:12" x14ac:dyDescent="0.25">
      <c r="A721" s="173">
        <v>195</v>
      </c>
      <c r="B721" s="245" t="s">
        <v>744</v>
      </c>
      <c r="C721" s="245"/>
      <c r="D721" s="249">
        <v>250</v>
      </c>
      <c r="E721" s="223">
        <v>230</v>
      </c>
      <c r="F721" s="257">
        <v>0</v>
      </c>
      <c r="G721" s="234">
        <f>E721-F721</f>
        <v>230</v>
      </c>
      <c r="H721" s="249">
        <v>145</v>
      </c>
      <c r="I721" s="249"/>
      <c r="J721" s="343">
        <f t="shared" si="92"/>
        <v>110.55555555555554</v>
      </c>
      <c r="K721" s="343"/>
      <c r="L721" s="135">
        <v>250</v>
      </c>
    </row>
    <row r="722" spans="1:12" x14ac:dyDescent="0.25">
      <c r="A722" s="173">
        <v>196</v>
      </c>
      <c r="B722" s="245" t="s">
        <v>740</v>
      </c>
      <c r="C722" s="245"/>
      <c r="D722" s="249">
        <v>400</v>
      </c>
      <c r="E722" s="223">
        <v>368</v>
      </c>
      <c r="F722" s="257">
        <v>0</v>
      </c>
      <c r="G722" s="234">
        <f>E722-F722</f>
        <v>368</v>
      </c>
      <c r="H722" s="249">
        <v>450</v>
      </c>
      <c r="I722" s="249"/>
      <c r="J722" s="383">
        <v>0</v>
      </c>
      <c r="K722" s="384"/>
      <c r="L722" s="134" t="s">
        <v>19</v>
      </c>
    </row>
    <row r="723" spans="1:12" x14ac:dyDescent="0.25">
      <c r="A723" s="173">
        <v>197</v>
      </c>
      <c r="B723" s="245" t="s">
        <v>741</v>
      </c>
      <c r="C723" s="245"/>
      <c r="D723" s="249">
        <v>400</v>
      </c>
      <c r="E723" s="223">
        <v>368</v>
      </c>
      <c r="F723" s="257">
        <v>0</v>
      </c>
      <c r="G723" s="234">
        <f t="shared" si="93"/>
        <v>368</v>
      </c>
      <c r="H723" s="249">
        <v>390</v>
      </c>
      <c r="I723" s="249"/>
      <c r="J723" s="343">
        <f t="shared" ref="J723:J730" si="94">E723*1/0.9-(H723+I723)</f>
        <v>18.888888888888857</v>
      </c>
      <c r="K723" s="343"/>
      <c r="L723" s="135">
        <v>250</v>
      </c>
    </row>
    <row r="724" spans="1:12" x14ac:dyDescent="0.25">
      <c r="A724" s="173">
        <v>198</v>
      </c>
      <c r="B724" s="245" t="s">
        <v>741</v>
      </c>
      <c r="C724" s="245"/>
      <c r="D724" s="249">
        <v>400</v>
      </c>
      <c r="E724" s="223">
        <v>368</v>
      </c>
      <c r="F724" s="257">
        <v>0</v>
      </c>
      <c r="G724" s="234">
        <f t="shared" si="93"/>
        <v>368</v>
      </c>
      <c r="H724" s="249">
        <v>390</v>
      </c>
      <c r="I724" s="249"/>
      <c r="J724" s="343">
        <f t="shared" si="94"/>
        <v>18.888888888888857</v>
      </c>
      <c r="K724" s="343"/>
      <c r="L724" s="135">
        <v>250</v>
      </c>
    </row>
    <row r="725" spans="1:12" x14ac:dyDescent="0.25">
      <c r="A725" s="173">
        <v>199</v>
      </c>
      <c r="B725" s="245" t="s">
        <v>742</v>
      </c>
      <c r="C725" s="245"/>
      <c r="D725" s="249">
        <v>100</v>
      </c>
      <c r="E725" s="223">
        <v>92</v>
      </c>
      <c r="F725" s="257">
        <v>0</v>
      </c>
      <c r="G725" s="234">
        <f t="shared" si="93"/>
        <v>92</v>
      </c>
      <c r="H725" s="173">
        <v>30</v>
      </c>
      <c r="I725" s="249"/>
      <c r="J725" s="343">
        <f t="shared" si="94"/>
        <v>72.222222222222214</v>
      </c>
      <c r="K725" s="343"/>
      <c r="L725" s="135">
        <v>250</v>
      </c>
    </row>
    <row r="726" spans="1:12" x14ac:dyDescent="0.25">
      <c r="A726" s="173">
        <v>200</v>
      </c>
      <c r="B726" s="245" t="s">
        <v>739</v>
      </c>
      <c r="C726" s="245"/>
      <c r="D726" s="249">
        <v>630</v>
      </c>
      <c r="E726" s="223">
        <v>579.6</v>
      </c>
      <c r="F726" s="257">
        <v>0</v>
      </c>
      <c r="G726" s="234">
        <f>E726-F726</f>
        <v>579.6</v>
      </c>
      <c r="H726" s="173">
        <v>340</v>
      </c>
      <c r="I726" s="249"/>
      <c r="J726" s="343">
        <f t="shared" si="94"/>
        <v>304</v>
      </c>
      <c r="K726" s="343"/>
      <c r="L726" s="135">
        <v>250</v>
      </c>
    </row>
    <row r="727" spans="1:12" x14ac:dyDescent="0.25">
      <c r="A727" s="173">
        <v>201</v>
      </c>
      <c r="B727" s="245" t="s">
        <v>743</v>
      </c>
      <c r="C727" s="245"/>
      <c r="D727" s="249">
        <v>250</v>
      </c>
      <c r="E727" s="223">
        <v>230</v>
      </c>
      <c r="F727" s="257">
        <v>0</v>
      </c>
      <c r="G727" s="234">
        <f t="shared" si="93"/>
        <v>230</v>
      </c>
      <c r="H727" s="249">
        <v>250</v>
      </c>
      <c r="I727" s="249"/>
      <c r="J727" s="343">
        <f t="shared" si="94"/>
        <v>5.5555555555555429</v>
      </c>
      <c r="K727" s="343"/>
      <c r="L727" s="135">
        <v>250</v>
      </c>
    </row>
    <row r="728" spans="1:12" x14ac:dyDescent="0.25">
      <c r="A728" s="173">
        <v>202</v>
      </c>
      <c r="B728" s="245" t="s">
        <v>745</v>
      </c>
      <c r="C728" s="245"/>
      <c r="D728" s="249">
        <v>160</v>
      </c>
      <c r="E728" s="223">
        <v>147.19999999999999</v>
      </c>
      <c r="F728" s="257">
        <v>132.19999999999999</v>
      </c>
      <c r="G728" s="234">
        <f t="shared" ref="G728:G730" si="95">E728-F728</f>
        <v>15</v>
      </c>
      <c r="H728" s="249">
        <v>147.19999999999999</v>
      </c>
      <c r="I728" s="249"/>
      <c r="J728" s="343">
        <f t="shared" si="94"/>
        <v>16.355555555555554</v>
      </c>
      <c r="K728" s="343"/>
      <c r="L728" s="135">
        <v>250</v>
      </c>
    </row>
    <row r="729" spans="1:12" x14ac:dyDescent="0.25">
      <c r="A729" s="173">
        <v>203</v>
      </c>
      <c r="B729" s="245" t="s">
        <v>746</v>
      </c>
      <c r="C729" s="245"/>
      <c r="D729" s="249">
        <v>100</v>
      </c>
      <c r="E729" s="223">
        <v>92</v>
      </c>
      <c r="F729" s="257">
        <v>57</v>
      </c>
      <c r="G729" s="234">
        <f t="shared" si="95"/>
        <v>35</v>
      </c>
      <c r="H729" s="249">
        <v>115</v>
      </c>
      <c r="I729" s="249"/>
      <c r="J729" s="383">
        <v>0</v>
      </c>
      <c r="K729" s="384"/>
      <c r="L729" s="134" t="s">
        <v>19</v>
      </c>
    </row>
    <row r="730" spans="1:12" x14ac:dyDescent="0.25">
      <c r="A730" s="173">
        <v>204</v>
      </c>
      <c r="B730" s="254" t="s">
        <v>747</v>
      </c>
      <c r="C730" s="254"/>
      <c r="D730" s="173">
        <v>400</v>
      </c>
      <c r="E730" s="223">
        <v>368</v>
      </c>
      <c r="F730" s="4">
        <v>0</v>
      </c>
      <c r="G730" s="234">
        <f t="shared" si="95"/>
        <v>368</v>
      </c>
      <c r="H730" s="173">
        <v>175</v>
      </c>
      <c r="I730" s="249"/>
      <c r="J730" s="343">
        <f t="shared" si="94"/>
        <v>233.88888888888886</v>
      </c>
      <c r="K730" s="343"/>
      <c r="L730" s="135">
        <v>250</v>
      </c>
    </row>
    <row r="731" spans="1:12" x14ac:dyDescent="0.25">
      <c r="A731" s="269"/>
      <c r="B731" s="270"/>
      <c r="C731" s="270"/>
      <c r="D731" s="269"/>
      <c r="E731" s="267"/>
      <c r="F731" s="266"/>
      <c r="G731" s="271"/>
      <c r="H731" s="269"/>
      <c r="I731" s="272"/>
      <c r="J731" s="267"/>
      <c r="K731" s="267"/>
      <c r="L731" s="273"/>
    </row>
    <row r="732" spans="1:12" x14ac:dyDescent="0.25">
      <c r="A732" s="269"/>
      <c r="B732" s="270"/>
      <c r="C732" s="270"/>
      <c r="D732" s="269"/>
      <c r="E732" s="267"/>
      <c r="F732" s="266"/>
      <c r="G732" s="271"/>
      <c r="H732" s="269"/>
      <c r="I732" s="272"/>
      <c r="J732" s="267"/>
      <c r="K732" s="267"/>
      <c r="L732" s="273"/>
    </row>
    <row r="735" spans="1:12" ht="29.25" customHeight="1" x14ac:dyDescent="0.25">
      <c r="B735" s="389" t="s">
        <v>795</v>
      </c>
      <c r="C735" s="389"/>
      <c r="D735" s="389"/>
      <c r="I735" s="390" t="s">
        <v>796</v>
      </c>
      <c r="J735" s="390"/>
      <c r="K735" s="390"/>
    </row>
  </sheetData>
  <mergeCells count="740">
    <mergeCell ref="B735:D735"/>
    <mergeCell ref="I735:K735"/>
    <mergeCell ref="J725:K725"/>
    <mergeCell ref="J726:K726"/>
    <mergeCell ref="J727:K727"/>
    <mergeCell ref="J728:K728"/>
    <mergeCell ref="J729:K729"/>
    <mergeCell ref="J730:K730"/>
    <mergeCell ref="J716:K716"/>
    <mergeCell ref="J717:K717"/>
    <mergeCell ref="J718:K718"/>
    <mergeCell ref="J719:K719"/>
    <mergeCell ref="J720:K720"/>
    <mergeCell ref="J721:K721"/>
    <mergeCell ref="J722:K722"/>
    <mergeCell ref="J723:K723"/>
    <mergeCell ref="J724:K724"/>
    <mergeCell ref="J707:K707"/>
    <mergeCell ref="J708:K708"/>
    <mergeCell ref="J709:K709"/>
    <mergeCell ref="J710:K710"/>
    <mergeCell ref="J711:K711"/>
    <mergeCell ref="J712:K712"/>
    <mergeCell ref="J713:K713"/>
    <mergeCell ref="J714:K714"/>
    <mergeCell ref="J715:K715"/>
    <mergeCell ref="J698:K698"/>
    <mergeCell ref="J699:K699"/>
    <mergeCell ref="J700:K700"/>
    <mergeCell ref="J701:K701"/>
    <mergeCell ref="J702:K702"/>
    <mergeCell ref="J703:K703"/>
    <mergeCell ref="J704:K704"/>
    <mergeCell ref="J705:K705"/>
    <mergeCell ref="J706:K706"/>
    <mergeCell ref="J689:K689"/>
    <mergeCell ref="J690:K690"/>
    <mergeCell ref="J691:K691"/>
    <mergeCell ref="J692:K692"/>
    <mergeCell ref="J693:K693"/>
    <mergeCell ref="J694:K694"/>
    <mergeCell ref="J695:K695"/>
    <mergeCell ref="J696:K696"/>
    <mergeCell ref="J697:K697"/>
    <mergeCell ref="J680:K680"/>
    <mergeCell ref="J681:K681"/>
    <mergeCell ref="J682:K682"/>
    <mergeCell ref="J683:K683"/>
    <mergeCell ref="J684:K684"/>
    <mergeCell ref="J685:K685"/>
    <mergeCell ref="J686:K686"/>
    <mergeCell ref="J687:K687"/>
    <mergeCell ref="J688:K688"/>
    <mergeCell ref="J671:K671"/>
    <mergeCell ref="J672:K672"/>
    <mergeCell ref="J673:K673"/>
    <mergeCell ref="J674:K674"/>
    <mergeCell ref="J675:K675"/>
    <mergeCell ref="J676:K676"/>
    <mergeCell ref="J677:K677"/>
    <mergeCell ref="J678:K678"/>
    <mergeCell ref="J679:K679"/>
    <mergeCell ref="J662:K662"/>
    <mergeCell ref="J663:K663"/>
    <mergeCell ref="J664:K664"/>
    <mergeCell ref="J665:K665"/>
    <mergeCell ref="J666:K666"/>
    <mergeCell ref="J667:K667"/>
    <mergeCell ref="J668:K668"/>
    <mergeCell ref="J669:K669"/>
    <mergeCell ref="J670:K670"/>
    <mergeCell ref="J653:K653"/>
    <mergeCell ref="J654:K654"/>
    <mergeCell ref="J655:K655"/>
    <mergeCell ref="J656:K656"/>
    <mergeCell ref="J657:K657"/>
    <mergeCell ref="J658:K658"/>
    <mergeCell ref="J659:K659"/>
    <mergeCell ref="J660:K660"/>
    <mergeCell ref="J661:K661"/>
    <mergeCell ref="J644:K644"/>
    <mergeCell ref="J645:K645"/>
    <mergeCell ref="J646:K646"/>
    <mergeCell ref="J647:K647"/>
    <mergeCell ref="J648:K648"/>
    <mergeCell ref="J649:K649"/>
    <mergeCell ref="J650:K650"/>
    <mergeCell ref="J651:K651"/>
    <mergeCell ref="J652:K652"/>
    <mergeCell ref="J635:K635"/>
    <mergeCell ref="J636:K636"/>
    <mergeCell ref="J637:K637"/>
    <mergeCell ref="J638:K638"/>
    <mergeCell ref="J639:K639"/>
    <mergeCell ref="J640:K640"/>
    <mergeCell ref="J641:K641"/>
    <mergeCell ref="J642:K642"/>
    <mergeCell ref="J643:K643"/>
    <mergeCell ref="J626:K626"/>
    <mergeCell ref="J627:K627"/>
    <mergeCell ref="J628:K628"/>
    <mergeCell ref="J629:K629"/>
    <mergeCell ref="J630:K630"/>
    <mergeCell ref="J631:K631"/>
    <mergeCell ref="J632:K632"/>
    <mergeCell ref="J633:K633"/>
    <mergeCell ref="J634:K634"/>
    <mergeCell ref="J617:K617"/>
    <mergeCell ref="J618:K618"/>
    <mergeCell ref="J619:K619"/>
    <mergeCell ref="J620:K620"/>
    <mergeCell ref="J621:K621"/>
    <mergeCell ref="J622:K622"/>
    <mergeCell ref="J623:K623"/>
    <mergeCell ref="J624:K624"/>
    <mergeCell ref="J625:K625"/>
    <mergeCell ref="J608:K608"/>
    <mergeCell ref="J609:K609"/>
    <mergeCell ref="J610:K610"/>
    <mergeCell ref="J611:K611"/>
    <mergeCell ref="J612:K612"/>
    <mergeCell ref="J613:K613"/>
    <mergeCell ref="J614:K614"/>
    <mergeCell ref="J615:K615"/>
    <mergeCell ref="J616:K616"/>
    <mergeCell ref="J599:K599"/>
    <mergeCell ref="J600:K600"/>
    <mergeCell ref="J601:K601"/>
    <mergeCell ref="J602:K602"/>
    <mergeCell ref="J603:K603"/>
    <mergeCell ref="J604:K604"/>
    <mergeCell ref="J605:K605"/>
    <mergeCell ref="J606:K606"/>
    <mergeCell ref="J607:K607"/>
    <mergeCell ref="J590:K590"/>
    <mergeCell ref="J591:K591"/>
    <mergeCell ref="J592:K592"/>
    <mergeCell ref="J593:K593"/>
    <mergeCell ref="J594:K594"/>
    <mergeCell ref="J595:K595"/>
    <mergeCell ref="J596:K596"/>
    <mergeCell ref="J597:K597"/>
    <mergeCell ref="J598:K598"/>
    <mergeCell ref="J581:K581"/>
    <mergeCell ref="J582:K582"/>
    <mergeCell ref="J583:K583"/>
    <mergeCell ref="J584:K584"/>
    <mergeCell ref="J585:K585"/>
    <mergeCell ref="J586:K586"/>
    <mergeCell ref="J587:K587"/>
    <mergeCell ref="J588:K588"/>
    <mergeCell ref="J589:K589"/>
    <mergeCell ref="J572:K572"/>
    <mergeCell ref="J573:K573"/>
    <mergeCell ref="J574:K574"/>
    <mergeCell ref="J575:K575"/>
    <mergeCell ref="J576:K576"/>
    <mergeCell ref="J577:K577"/>
    <mergeCell ref="J578:K578"/>
    <mergeCell ref="J579:K579"/>
    <mergeCell ref="J580:K580"/>
    <mergeCell ref="J563:K563"/>
    <mergeCell ref="J564:K564"/>
    <mergeCell ref="J565:K565"/>
    <mergeCell ref="J566:K566"/>
    <mergeCell ref="J567:K567"/>
    <mergeCell ref="J568:K568"/>
    <mergeCell ref="J569:K569"/>
    <mergeCell ref="J570:K570"/>
    <mergeCell ref="J571:K571"/>
    <mergeCell ref="J554:K554"/>
    <mergeCell ref="J555:K555"/>
    <mergeCell ref="J556:K556"/>
    <mergeCell ref="J557:K557"/>
    <mergeCell ref="J558:K558"/>
    <mergeCell ref="J559:K559"/>
    <mergeCell ref="J560:K560"/>
    <mergeCell ref="J561:K561"/>
    <mergeCell ref="J562:K562"/>
    <mergeCell ref="J545:K545"/>
    <mergeCell ref="J546:K546"/>
    <mergeCell ref="J547:K547"/>
    <mergeCell ref="J548:K548"/>
    <mergeCell ref="J549:K549"/>
    <mergeCell ref="J550:K550"/>
    <mergeCell ref="J551:K551"/>
    <mergeCell ref="J552:K552"/>
    <mergeCell ref="J553:K553"/>
    <mergeCell ref="J536:K536"/>
    <mergeCell ref="J537:K537"/>
    <mergeCell ref="J538:K538"/>
    <mergeCell ref="J539:K539"/>
    <mergeCell ref="J540:K540"/>
    <mergeCell ref="J541:K541"/>
    <mergeCell ref="J542:K542"/>
    <mergeCell ref="J543:K543"/>
    <mergeCell ref="J544:K544"/>
    <mergeCell ref="J527:K527"/>
    <mergeCell ref="J528:K528"/>
    <mergeCell ref="J529:K529"/>
    <mergeCell ref="J530:K530"/>
    <mergeCell ref="J531:K531"/>
    <mergeCell ref="J532:K532"/>
    <mergeCell ref="J533:K533"/>
    <mergeCell ref="J534:K534"/>
    <mergeCell ref="J535:K535"/>
    <mergeCell ref="P10:R10"/>
    <mergeCell ref="W10:X10"/>
    <mergeCell ref="J371:K371"/>
    <mergeCell ref="J372:K372"/>
    <mergeCell ref="J373:K373"/>
    <mergeCell ref="J374:K374"/>
    <mergeCell ref="J375:K375"/>
    <mergeCell ref="J376:K376"/>
    <mergeCell ref="J377:K377"/>
    <mergeCell ref="J362:K362"/>
    <mergeCell ref="J363:K363"/>
    <mergeCell ref="J364:K364"/>
    <mergeCell ref="J365:K365"/>
    <mergeCell ref="J366:K366"/>
    <mergeCell ref="J367:K367"/>
    <mergeCell ref="J368:K368"/>
    <mergeCell ref="J369:K369"/>
    <mergeCell ref="J370:K370"/>
    <mergeCell ref="J353:K353"/>
    <mergeCell ref="J354:K354"/>
    <mergeCell ref="J355:K355"/>
    <mergeCell ref="J356:K356"/>
    <mergeCell ref="J357:K357"/>
    <mergeCell ref="J358:K358"/>
    <mergeCell ref="J378:K378"/>
    <mergeCell ref="J379:K379"/>
    <mergeCell ref="J389:K389"/>
    <mergeCell ref="J390:K390"/>
    <mergeCell ref="J391:K391"/>
    <mergeCell ref="J392:K392"/>
    <mergeCell ref="J393:K393"/>
    <mergeCell ref="J380:K380"/>
    <mergeCell ref="J381:K381"/>
    <mergeCell ref="J382:K382"/>
    <mergeCell ref="J383:K383"/>
    <mergeCell ref="J384:K384"/>
    <mergeCell ref="J385:K385"/>
    <mergeCell ref="J386:K386"/>
    <mergeCell ref="J387:K387"/>
    <mergeCell ref="J388:K388"/>
    <mergeCell ref="J359:K359"/>
    <mergeCell ref="J360:K360"/>
    <mergeCell ref="J361:K361"/>
    <mergeCell ref="J344:K344"/>
    <mergeCell ref="J345:K345"/>
    <mergeCell ref="J346:K346"/>
    <mergeCell ref="J347:K347"/>
    <mergeCell ref="J348:K348"/>
    <mergeCell ref="J349:K349"/>
    <mergeCell ref="J350:K350"/>
    <mergeCell ref="J351:K351"/>
    <mergeCell ref="J352:K352"/>
    <mergeCell ref="J335:K335"/>
    <mergeCell ref="J336:K336"/>
    <mergeCell ref="J337:K337"/>
    <mergeCell ref="J338:K338"/>
    <mergeCell ref="J339:K339"/>
    <mergeCell ref="J340:K340"/>
    <mergeCell ref="J341:K341"/>
    <mergeCell ref="J342:K342"/>
    <mergeCell ref="J343:K343"/>
    <mergeCell ref="J326:K326"/>
    <mergeCell ref="J327:K327"/>
    <mergeCell ref="J328:K328"/>
    <mergeCell ref="J329:K329"/>
    <mergeCell ref="J330:K330"/>
    <mergeCell ref="J331:K331"/>
    <mergeCell ref="J332:K332"/>
    <mergeCell ref="J333:K333"/>
    <mergeCell ref="J334:K334"/>
    <mergeCell ref="J317:K317"/>
    <mergeCell ref="J318:K318"/>
    <mergeCell ref="J319:K319"/>
    <mergeCell ref="J320:K320"/>
    <mergeCell ref="J321:K321"/>
    <mergeCell ref="J322:K322"/>
    <mergeCell ref="J323:K323"/>
    <mergeCell ref="J324:K324"/>
    <mergeCell ref="J325:K325"/>
    <mergeCell ref="J308:K308"/>
    <mergeCell ref="J309:K309"/>
    <mergeCell ref="J310:K310"/>
    <mergeCell ref="J311:K311"/>
    <mergeCell ref="J312:K312"/>
    <mergeCell ref="J313:K313"/>
    <mergeCell ref="J314:K314"/>
    <mergeCell ref="J315:K315"/>
    <mergeCell ref="J316:K316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307:K307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98:K298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89:K289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80:K280"/>
    <mergeCell ref="J243:K243"/>
    <mergeCell ref="J244:K244"/>
    <mergeCell ref="J268:K268"/>
    <mergeCell ref="J269:K269"/>
    <mergeCell ref="J270:K270"/>
    <mergeCell ref="J271:K271"/>
    <mergeCell ref="J260:K260"/>
    <mergeCell ref="J261:K261"/>
    <mergeCell ref="J262:K262"/>
    <mergeCell ref="J263:K263"/>
    <mergeCell ref="J264:K264"/>
    <mergeCell ref="A265:L265"/>
    <mergeCell ref="A266:L266"/>
    <mergeCell ref="A254:L254"/>
    <mergeCell ref="J218:K218"/>
    <mergeCell ref="J219:K219"/>
    <mergeCell ref="J220:K220"/>
    <mergeCell ref="J221:K221"/>
    <mergeCell ref="J222:K222"/>
    <mergeCell ref="J267:K267"/>
    <mergeCell ref="J255:K255"/>
    <mergeCell ref="J256:K256"/>
    <mergeCell ref="J257:K257"/>
    <mergeCell ref="J258:K258"/>
    <mergeCell ref="J259:K259"/>
    <mergeCell ref="J250:K250"/>
    <mergeCell ref="J251:K251"/>
    <mergeCell ref="J252:K252"/>
    <mergeCell ref="J253:K253"/>
    <mergeCell ref="A224:L224"/>
    <mergeCell ref="J245:K245"/>
    <mergeCell ref="J246:K246"/>
    <mergeCell ref="J247:K247"/>
    <mergeCell ref="J248:K248"/>
    <mergeCell ref="J249:K249"/>
    <mergeCell ref="J240:K240"/>
    <mergeCell ref="J241:K241"/>
    <mergeCell ref="J242:K242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35:K235"/>
    <mergeCell ref="J236:K236"/>
    <mergeCell ref="J237:K237"/>
    <mergeCell ref="J238:K238"/>
    <mergeCell ref="J239:K239"/>
    <mergeCell ref="J230:K230"/>
    <mergeCell ref="J231:K231"/>
    <mergeCell ref="J232:K232"/>
    <mergeCell ref="J233:K233"/>
    <mergeCell ref="J234:K234"/>
    <mergeCell ref="J228:K228"/>
    <mergeCell ref="J229:K229"/>
    <mergeCell ref="A154:L154"/>
    <mergeCell ref="A223:L223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25:K225"/>
    <mergeCell ref="J226:K226"/>
    <mergeCell ref="J227:K227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94:K194"/>
    <mergeCell ref="J195:K195"/>
    <mergeCell ref="J196:K196"/>
    <mergeCell ref="J197:K197"/>
    <mergeCell ref="J198:K198"/>
    <mergeCell ref="J199:K199"/>
    <mergeCell ref="A131:L131"/>
    <mergeCell ref="J132:K132"/>
    <mergeCell ref="J188:K188"/>
    <mergeCell ref="J189:K189"/>
    <mergeCell ref="J190:K190"/>
    <mergeCell ref="J191:K191"/>
    <mergeCell ref="J192:K192"/>
    <mergeCell ref="J193:K193"/>
    <mergeCell ref="J155:K155"/>
    <mergeCell ref="J167:K167"/>
    <mergeCell ref="J168:K168"/>
    <mergeCell ref="J169:K169"/>
    <mergeCell ref="J170:K170"/>
    <mergeCell ref="J171:K171"/>
    <mergeCell ref="J187:K187"/>
    <mergeCell ref="J133:K133"/>
    <mergeCell ref="J134:K134"/>
    <mergeCell ref="J135:K135"/>
    <mergeCell ref="J141:K141"/>
    <mergeCell ref="J142:K142"/>
    <mergeCell ref="J143:K143"/>
    <mergeCell ref="J144:K144"/>
    <mergeCell ref="J145:K145"/>
    <mergeCell ref="J146:K146"/>
    <mergeCell ref="J127:K127"/>
    <mergeCell ref="J128:K128"/>
    <mergeCell ref="J129:K129"/>
    <mergeCell ref="J130:K130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21:K121"/>
    <mergeCell ref="J112:K112"/>
    <mergeCell ref="J113:K113"/>
    <mergeCell ref="J114:K114"/>
    <mergeCell ref="J115:K115"/>
    <mergeCell ref="J116:K116"/>
    <mergeCell ref="J107:K107"/>
    <mergeCell ref="J108:K108"/>
    <mergeCell ref="J109:K109"/>
    <mergeCell ref="J110:K110"/>
    <mergeCell ref="J111:K111"/>
    <mergeCell ref="J102:K102"/>
    <mergeCell ref="J103:K103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J92:K92"/>
    <mergeCell ref="J93:K93"/>
    <mergeCell ref="J94:K94"/>
    <mergeCell ref="J95:K95"/>
    <mergeCell ref="J96:K96"/>
    <mergeCell ref="J87:K87"/>
    <mergeCell ref="J88:K88"/>
    <mergeCell ref="J89:K89"/>
    <mergeCell ref="J90:K90"/>
    <mergeCell ref="J91:K91"/>
    <mergeCell ref="J81:K81"/>
    <mergeCell ref="J82:K82"/>
    <mergeCell ref="J84:K84"/>
    <mergeCell ref="J85:K85"/>
    <mergeCell ref="A86:L86"/>
    <mergeCell ref="J83:K83"/>
    <mergeCell ref="J76:K76"/>
    <mergeCell ref="J77:K77"/>
    <mergeCell ref="J78:K78"/>
    <mergeCell ref="J79:K79"/>
    <mergeCell ref="J80:K80"/>
    <mergeCell ref="J71:K71"/>
    <mergeCell ref="J72:K72"/>
    <mergeCell ref="J73:K73"/>
    <mergeCell ref="J74:K74"/>
    <mergeCell ref="J75:K75"/>
    <mergeCell ref="J66:K66"/>
    <mergeCell ref="J67:K67"/>
    <mergeCell ref="J68:K68"/>
    <mergeCell ref="J69:K69"/>
    <mergeCell ref="J70:K70"/>
    <mergeCell ref="J61:K61"/>
    <mergeCell ref="J62:K62"/>
    <mergeCell ref="J63:K63"/>
    <mergeCell ref="J64:K64"/>
    <mergeCell ref="J65:K65"/>
    <mergeCell ref="J56:K56"/>
    <mergeCell ref="J57:K57"/>
    <mergeCell ref="J58:K58"/>
    <mergeCell ref="J59:K59"/>
    <mergeCell ref="J60:K60"/>
    <mergeCell ref="J51:K51"/>
    <mergeCell ref="J52:K52"/>
    <mergeCell ref="J53:K53"/>
    <mergeCell ref="J54:K54"/>
    <mergeCell ref="J55:K55"/>
    <mergeCell ref="J46:K46"/>
    <mergeCell ref="J47:K47"/>
    <mergeCell ref="J48:K48"/>
    <mergeCell ref="J49:K49"/>
    <mergeCell ref="J50:K50"/>
    <mergeCell ref="J41:K41"/>
    <mergeCell ref="J42:K42"/>
    <mergeCell ref="J43:K43"/>
    <mergeCell ref="J44:K44"/>
    <mergeCell ref="J45:K45"/>
    <mergeCell ref="A40:L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28:K28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16:K16"/>
    <mergeCell ref="H6:I6"/>
    <mergeCell ref="J6:K7"/>
    <mergeCell ref="L6:L7"/>
    <mergeCell ref="A8:L8"/>
    <mergeCell ref="J9:K9"/>
    <mergeCell ref="J10:K10"/>
    <mergeCell ref="J11:K11"/>
    <mergeCell ref="J12:K12"/>
    <mergeCell ref="J13:K13"/>
    <mergeCell ref="J14:K14"/>
    <mergeCell ref="J15:K15"/>
    <mergeCell ref="A2:K2"/>
    <mergeCell ref="A3:K3"/>
    <mergeCell ref="A4:K4"/>
    <mergeCell ref="A6:A7"/>
    <mergeCell ref="B6:B7"/>
    <mergeCell ref="C6:C7"/>
    <mergeCell ref="D6:D7"/>
    <mergeCell ref="E6:E7"/>
    <mergeCell ref="F6:F7"/>
    <mergeCell ref="G6:G7"/>
    <mergeCell ref="A394:L394"/>
    <mergeCell ref="J402:K402"/>
    <mergeCell ref="J403:K403"/>
    <mergeCell ref="J404:K404"/>
    <mergeCell ref="J405:K405"/>
    <mergeCell ref="J406:K406"/>
    <mergeCell ref="J407:K407"/>
    <mergeCell ref="A401:L401"/>
    <mergeCell ref="J395:K395"/>
    <mergeCell ref="J396:K396"/>
    <mergeCell ref="J397:K397"/>
    <mergeCell ref="J398:K398"/>
    <mergeCell ref="J399:K399"/>
    <mergeCell ref="J400:K400"/>
    <mergeCell ref="J432:K432"/>
    <mergeCell ref="J433:K433"/>
    <mergeCell ref="J408:K408"/>
    <mergeCell ref="J409:K409"/>
    <mergeCell ref="J410:K410"/>
    <mergeCell ref="J411:K411"/>
    <mergeCell ref="J412:K412"/>
    <mergeCell ref="J414:K414"/>
    <mergeCell ref="A413:L413"/>
    <mergeCell ref="A415:L415"/>
    <mergeCell ref="A416:L416"/>
    <mergeCell ref="A419:L419"/>
    <mergeCell ref="A425:L425"/>
    <mergeCell ref="J417:K417"/>
    <mergeCell ref="J418:K418"/>
    <mergeCell ref="J420:K420"/>
    <mergeCell ref="J421:K421"/>
    <mergeCell ref="J422:K422"/>
    <mergeCell ref="J423:K423"/>
    <mergeCell ref="J424:K424"/>
    <mergeCell ref="J426:K426"/>
    <mergeCell ref="J427:K427"/>
    <mergeCell ref="J428:K428"/>
    <mergeCell ref="J429:K429"/>
    <mergeCell ref="J434:K434"/>
    <mergeCell ref="J447:K447"/>
    <mergeCell ref="J448:K448"/>
    <mergeCell ref="J449:K449"/>
    <mergeCell ref="J441:K441"/>
    <mergeCell ref="J442:K442"/>
    <mergeCell ref="J443:K443"/>
    <mergeCell ref="J444:K444"/>
    <mergeCell ref="J445:K445"/>
    <mergeCell ref="J446:K446"/>
    <mergeCell ref="A438:L438"/>
    <mergeCell ref="J439:K439"/>
    <mergeCell ref="J440:K440"/>
    <mergeCell ref="J435:K435"/>
    <mergeCell ref="J436:K436"/>
    <mergeCell ref="J437:K437"/>
    <mergeCell ref="J470:K470"/>
    <mergeCell ref="J465:K465"/>
    <mergeCell ref="J466:K466"/>
    <mergeCell ref="J467:K467"/>
    <mergeCell ref="J477:K477"/>
    <mergeCell ref="J471:K471"/>
    <mergeCell ref="J472:K472"/>
    <mergeCell ref="J473:K473"/>
    <mergeCell ref="J474:K474"/>
    <mergeCell ref="J475:K475"/>
    <mergeCell ref="J476:K476"/>
    <mergeCell ref="J468:K468"/>
    <mergeCell ref="J469:K469"/>
    <mergeCell ref="J136:K136"/>
    <mergeCell ref="J137:K137"/>
    <mergeCell ref="J138:K138"/>
    <mergeCell ref="J139:K139"/>
    <mergeCell ref="J140:K140"/>
    <mergeCell ref="A526:L526"/>
    <mergeCell ref="J495:K495"/>
    <mergeCell ref="J496:K496"/>
    <mergeCell ref="J497:K497"/>
    <mergeCell ref="J498:K498"/>
    <mergeCell ref="J499:K499"/>
    <mergeCell ref="J500:K500"/>
    <mergeCell ref="J489:K489"/>
    <mergeCell ref="J490:K490"/>
    <mergeCell ref="J491:K491"/>
    <mergeCell ref="J492:K492"/>
    <mergeCell ref="J493:K493"/>
    <mergeCell ref="J494:K494"/>
    <mergeCell ref="J520:K520"/>
    <mergeCell ref="J521:K521"/>
    <mergeCell ref="J522:K522"/>
    <mergeCell ref="J523:K523"/>
    <mergeCell ref="J524:K524"/>
    <mergeCell ref="J513:K513"/>
    <mergeCell ref="J460:K460"/>
    <mergeCell ref="J461:K461"/>
    <mergeCell ref="J462:K462"/>
    <mergeCell ref="J463:K463"/>
    <mergeCell ref="J464:K464"/>
    <mergeCell ref="J430:K430"/>
    <mergeCell ref="J431:K431"/>
    <mergeCell ref="J147:K147"/>
    <mergeCell ref="J148:K148"/>
    <mergeCell ref="J149:K149"/>
    <mergeCell ref="J150:K150"/>
    <mergeCell ref="J151:K151"/>
    <mergeCell ref="J152:K152"/>
    <mergeCell ref="J153:K153"/>
    <mergeCell ref="J459:K459"/>
    <mergeCell ref="J453:K453"/>
    <mergeCell ref="J454:K454"/>
    <mergeCell ref="J455:K455"/>
    <mergeCell ref="J456:K456"/>
    <mergeCell ref="J457:K457"/>
    <mergeCell ref="J458:K458"/>
    <mergeCell ref="J450:K450"/>
    <mergeCell ref="J451:K451"/>
    <mergeCell ref="J452:K452"/>
    <mergeCell ref="J478:K478"/>
    <mergeCell ref="J479:K479"/>
    <mergeCell ref="J480:K480"/>
    <mergeCell ref="J481:K481"/>
    <mergeCell ref="J482:K482"/>
    <mergeCell ref="J486:K486"/>
    <mergeCell ref="J487:K487"/>
    <mergeCell ref="J488:K488"/>
    <mergeCell ref="J483:K483"/>
    <mergeCell ref="J484:K484"/>
    <mergeCell ref="J485:K485"/>
    <mergeCell ref="J525:K525"/>
    <mergeCell ref="J519:K519"/>
    <mergeCell ref="J507:K507"/>
    <mergeCell ref="J508:K508"/>
    <mergeCell ref="J509:K509"/>
    <mergeCell ref="J510:K510"/>
    <mergeCell ref="J511:K511"/>
    <mergeCell ref="J512:K512"/>
    <mergeCell ref="J501:K501"/>
    <mergeCell ref="J502:K502"/>
    <mergeCell ref="J503:K503"/>
    <mergeCell ref="J504:K504"/>
    <mergeCell ref="J505:K505"/>
    <mergeCell ref="J506:K506"/>
    <mergeCell ref="J514:K514"/>
    <mergeCell ref="J515:K515"/>
    <mergeCell ref="J516:K516"/>
    <mergeCell ref="J517:K517"/>
    <mergeCell ref="J518:K518"/>
  </mergeCells>
  <pageMargins left="0.31496062992125984" right="0.31496062992125984" top="0.35433070866141736" bottom="0.35433070866141736" header="0" footer="0"/>
  <pageSetup paperSize="9" scale="80" orientation="landscape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opLeftCell="A10" zoomScale="80" zoomScaleNormal="80" workbookViewId="0">
      <selection activeCell="D34" sqref="D34:F34"/>
    </sheetView>
  </sheetViews>
  <sheetFormatPr defaultRowHeight="15" x14ac:dyDescent="0.25"/>
  <cols>
    <col min="1" max="1" width="7" customWidth="1"/>
    <col min="2" max="2" width="33" customWidth="1"/>
    <col min="3" max="3" width="9.140625" customWidth="1"/>
    <col min="4" max="4" width="18.5703125" customWidth="1"/>
    <col min="5" max="5" width="13.85546875" customWidth="1"/>
    <col min="6" max="6" width="15.5703125" customWidth="1"/>
    <col min="7" max="7" width="13.5703125" customWidth="1"/>
    <col min="8" max="8" width="12.42578125" customWidth="1"/>
    <col min="9" max="9" width="13.7109375" customWidth="1"/>
    <col min="10" max="10" width="15" customWidth="1"/>
    <col min="11" max="11" width="5.140625" customWidth="1"/>
    <col min="12" max="12" width="12.5703125" customWidth="1"/>
  </cols>
  <sheetData>
    <row r="2" spans="1:12" ht="15.75" thickBot="1" x14ac:dyDescent="0.3"/>
    <row r="3" spans="1:12" x14ac:dyDescent="0.25">
      <c r="A3" s="325" t="s">
        <v>2</v>
      </c>
      <c r="B3" s="327" t="s">
        <v>3</v>
      </c>
      <c r="C3" s="329" t="s">
        <v>4</v>
      </c>
      <c r="D3" s="327" t="s">
        <v>5</v>
      </c>
      <c r="E3" s="327" t="s">
        <v>6</v>
      </c>
      <c r="F3" s="331" t="s">
        <v>7</v>
      </c>
      <c r="G3" s="327" t="s">
        <v>8</v>
      </c>
      <c r="H3" s="327" t="s">
        <v>9</v>
      </c>
      <c r="I3" s="327"/>
      <c r="J3" s="327" t="s">
        <v>10</v>
      </c>
      <c r="K3" s="327"/>
      <c r="L3" s="334" t="s">
        <v>11</v>
      </c>
    </row>
    <row r="4" spans="1:12" ht="120.75" thickBot="1" x14ac:dyDescent="0.3">
      <c r="A4" s="326"/>
      <c r="B4" s="328"/>
      <c r="C4" s="330"/>
      <c r="D4" s="328"/>
      <c r="E4" s="328"/>
      <c r="F4" s="332"/>
      <c r="G4" s="328"/>
      <c r="H4" s="264" t="s">
        <v>12</v>
      </c>
      <c r="I4" s="264" t="s">
        <v>13</v>
      </c>
      <c r="J4" s="328"/>
      <c r="K4" s="328"/>
      <c r="L4" s="335"/>
    </row>
    <row r="5" spans="1:12" ht="16.5" thickBot="1" x14ac:dyDescent="0.3">
      <c r="A5" s="336" t="s">
        <v>14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8"/>
    </row>
    <row r="6" spans="1:12" x14ac:dyDescent="0.25">
      <c r="A6" s="1">
        <v>1</v>
      </c>
      <c r="B6" s="13" t="s">
        <v>15</v>
      </c>
      <c r="C6" s="2"/>
      <c r="D6" s="2" t="s">
        <v>16</v>
      </c>
      <c r="E6" s="262">
        <v>32200</v>
      </c>
      <c r="F6" s="262">
        <v>30560</v>
      </c>
      <c r="G6" s="262">
        <f>E6-F6</f>
        <v>1640</v>
      </c>
      <c r="H6" s="239">
        <v>51369</v>
      </c>
      <c r="I6" s="238">
        <v>0</v>
      </c>
      <c r="J6" s="333">
        <f t="shared" ref="J6:J23" si="0">E6*1/0.81-(H6+I6)</f>
        <v>-11615.913580246917</v>
      </c>
      <c r="K6" s="333"/>
      <c r="L6" s="16" t="s">
        <v>19</v>
      </c>
    </row>
    <row r="7" spans="1:12" ht="30" x14ac:dyDescent="0.25">
      <c r="A7" s="3">
        <v>2</v>
      </c>
      <c r="B7" s="8" t="s">
        <v>17</v>
      </c>
      <c r="C7" s="4"/>
      <c r="D7" s="5" t="s">
        <v>18</v>
      </c>
      <c r="E7" s="258">
        <v>41216</v>
      </c>
      <c r="F7" s="258">
        <v>15030</v>
      </c>
      <c r="G7" s="258">
        <f>E7-F7</f>
        <v>26186</v>
      </c>
      <c r="H7" s="242">
        <v>58706</v>
      </c>
      <c r="I7" s="263">
        <v>400</v>
      </c>
      <c r="J7" s="333">
        <f t="shared" si="0"/>
        <v>-8222.0493827160535</v>
      </c>
      <c r="K7" s="333"/>
      <c r="L7" s="16" t="s">
        <v>19</v>
      </c>
    </row>
    <row r="8" spans="1:12" x14ac:dyDescent="0.25">
      <c r="A8" s="3">
        <v>3</v>
      </c>
      <c r="B8" s="8" t="s">
        <v>20</v>
      </c>
      <c r="C8" s="4"/>
      <c r="D8" s="4" t="s">
        <v>21</v>
      </c>
      <c r="E8" s="258">
        <v>41216</v>
      </c>
      <c r="F8" s="258">
        <v>5120</v>
      </c>
      <c r="G8" s="258">
        <f t="shared" ref="G8:G22" si="1">E8-F8</f>
        <v>36096</v>
      </c>
      <c r="H8" s="242">
        <v>26738</v>
      </c>
      <c r="I8" s="263">
        <v>75</v>
      </c>
      <c r="J8" s="333">
        <f t="shared" si="0"/>
        <v>24070.950617283946</v>
      </c>
      <c r="K8" s="333"/>
      <c r="L8" s="17">
        <v>250</v>
      </c>
    </row>
    <row r="9" spans="1:12" x14ac:dyDescent="0.25">
      <c r="A9" s="3">
        <v>4</v>
      </c>
      <c r="B9" s="8" t="s">
        <v>22</v>
      </c>
      <c r="C9" s="4"/>
      <c r="D9" s="4">
        <v>16000</v>
      </c>
      <c r="E9" s="258">
        <v>14720</v>
      </c>
      <c r="F9" s="65">
        <v>2340</v>
      </c>
      <c r="G9" s="258">
        <f t="shared" si="1"/>
        <v>12380</v>
      </c>
      <c r="H9" s="241">
        <v>2600</v>
      </c>
      <c r="I9" s="263">
        <v>0</v>
      </c>
      <c r="J9" s="333">
        <f t="shared" si="0"/>
        <v>15572.839506172837</v>
      </c>
      <c r="K9" s="333"/>
      <c r="L9" s="17">
        <v>250</v>
      </c>
    </row>
    <row r="10" spans="1:12" x14ac:dyDescent="0.25">
      <c r="A10" s="3">
        <v>5</v>
      </c>
      <c r="B10" s="8" t="s">
        <v>23</v>
      </c>
      <c r="C10" s="4"/>
      <c r="D10" s="4">
        <v>32000</v>
      </c>
      <c r="E10" s="258">
        <f>32000*0.92</f>
        <v>29440</v>
      </c>
      <c r="F10" s="258">
        <v>1570</v>
      </c>
      <c r="G10" s="258">
        <f t="shared" si="1"/>
        <v>27870</v>
      </c>
      <c r="H10" s="240">
        <v>70778</v>
      </c>
      <c r="I10" s="263">
        <v>0</v>
      </c>
      <c r="J10" s="333">
        <f t="shared" si="0"/>
        <v>-34432.320987654326</v>
      </c>
      <c r="K10" s="333"/>
      <c r="L10" s="16" t="s">
        <v>19</v>
      </c>
    </row>
    <row r="11" spans="1:12" x14ac:dyDescent="0.25">
      <c r="A11" s="3">
        <v>6</v>
      </c>
      <c r="B11" s="8" t="s">
        <v>24</v>
      </c>
      <c r="C11" s="4"/>
      <c r="D11" s="4" t="s">
        <v>25</v>
      </c>
      <c r="E11" s="258">
        <v>41216</v>
      </c>
      <c r="F11" s="258">
        <v>4820</v>
      </c>
      <c r="G11" s="258">
        <f t="shared" si="1"/>
        <v>36396</v>
      </c>
      <c r="H11" s="242">
        <v>39240</v>
      </c>
      <c r="I11" s="263">
        <v>0</v>
      </c>
      <c r="J11" s="333">
        <f t="shared" si="0"/>
        <v>11643.950617283946</v>
      </c>
      <c r="K11" s="333"/>
      <c r="L11" s="17">
        <v>250</v>
      </c>
    </row>
    <row r="12" spans="1:12" x14ac:dyDescent="0.25">
      <c r="A12" s="3">
        <v>7</v>
      </c>
      <c r="B12" s="8" t="s">
        <v>26</v>
      </c>
      <c r="C12" s="4"/>
      <c r="D12" s="4" t="s">
        <v>27</v>
      </c>
      <c r="E12" s="258">
        <v>20608</v>
      </c>
      <c r="F12" s="258">
        <v>1280</v>
      </c>
      <c r="G12" s="258">
        <f t="shared" si="1"/>
        <v>19328</v>
      </c>
      <c r="H12" s="241">
        <v>2170</v>
      </c>
      <c r="I12" s="263">
        <v>0</v>
      </c>
      <c r="J12" s="333">
        <f t="shared" si="0"/>
        <v>23271.975308641973</v>
      </c>
      <c r="K12" s="333"/>
      <c r="L12" s="17">
        <v>250</v>
      </c>
    </row>
    <row r="13" spans="1:12" x14ac:dyDescent="0.25">
      <c r="A13" s="3">
        <v>8</v>
      </c>
      <c r="B13" s="8" t="s">
        <v>28</v>
      </c>
      <c r="C13" s="4"/>
      <c r="D13" s="4" t="s">
        <v>29</v>
      </c>
      <c r="E13" s="258">
        <v>77280</v>
      </c>
      <c r="F13" s="261">
        <v>13286</v>
      </c>
      <c r="G13" s="262">
        <f t="shared" si="1"/>
        <v>63994</v>
      </c>
      <c r="H13" s="268">
        <v>23800</v>
      </c>
      <c r="I13" s="263">
        <v>0</v>
      </c>
      <c r="J13" s="333">
        <f t="shared" si="0"/>
        <v>71607.407407407401</v>
      </c>
      <c r="K13" s="333"/>
      <c r="L13" s="17">
        <v>250</v>
      </c>
    </row>
    <row r="14" spans="1:12" x14ac:dyDescent="0.25">
      <c r="A14" s="3">
        <v>9</v>
      </c>
      <c r="B14" s="8" t="s">
        <v>30</v>
      </c>
      <c r="C14" s="4"/>
      <c r="D14" s="4" t="s">
        <v>31</v>
      </c>
      <c r="E14" s="258">
        <v>8114.4</v>
      </c>
      <c r="F14" s="206">
        <v>2070</v>
      </c>
      <c r="G14" s="258">
        <f t="shared" si="1"/>
        <v>6044.4</v>
      </c>
      <c r="H14" s="228">
        <v>7340</v>
      </c>
      <c r="I14" s="263">
        <v>828.22</v>
      </c>
      <c r="J14" s="333">
        <f t="shared" si="0"/>
        <v>1849.5577777777771</v>
      </c>
      <c r="K14" s="333"/>
      <c r="L14" s="17">
        <v>250</v>
      </c>
    </row>
    <row r="15" spans="1:12" x14ac:dyDescent="0.25">
      <c r="A15" s="3">
        <v>10</v>
      </c>
      <c r="B15" s="8" t="s">
        <v>32</v>
      </c>
      <c r="C15" s="4"/>
      <c r="D15" s="4" t="s">
        <v>33</v>
      </c>
      <c r="E15" s="258">
        <v>5152</v>
      </c>
      <c r="F15" s="258">
        <v>820</v>
      </c>
      <c r="G15" s="258">
        <f t="shared" si="1"/>
        <v>4332</v>
      </c>
      <c r="H15" s="241">
        <v>3840</v>
      </c>
      <c r="I15" s="263">
        <v>0</v>
      </c>
      <c r="J15" s="333">
        <f t="shared" si="0"/>
        <v>2520.4938271604933</v>
      </c>
      <c r="K15" s="333"/>
      <c r="L15" s="17">
        <v>250</v>
      </c>
    </row>
    <row r="16" spans="1:12" x14ac:dyDescent="0.25">
      <c r="A16" s="3">
        <v>11</v>
      </c>
      <c r="B16" s="8" t="s">
        <v>34</v>
      </c>
      <c r="C16" s="4"/>
      <c r="D16" s="4" t="s">
        <v>31</v>
      </c>
      <c r="E16" s="258">
        <v>8114.4</v>
      </c>
      <c r="F16" s="258">
        <v>4350</v>
      </c>
      <c r="G16" s="258">
        <f t="shared" si="1"/>
        <v>3764.3999999999996</v>
      </c>
      <c r="H16" s="241">
        <v>3680</v>
      </c>
      <c r="I16" s="263">
        <v>0</v>
      </c>
      <c r="J16" s="333">
        <f t="shared" si="0"/>
        <v>6337.7777777777774</v>
      </c>
      <c r="K16" s="333"/>
      <c r="L16" s="17">
        <v>250</v>
      </c>
    </row>
    <row r="17" spans="1:12" x14ac:dyDescent="0.25">
      <c r="A17" s="3">
        <v>12</v>
      </c>
      <c r="B17" s="8" t="s">
        <v>35</v>
      </c>
      <c r="C17" s="4"/>
      <c r="D17" s="4" t="s">
        <v>33</v>
      </c>
      <c r="E17" s="258">
        <v>5152</v>
      </c>
      <c r="F17" s="258">
        <v>63</v>
      </c>
      <c r="G17" s="258">
        <f t="shared" si="1"/>
        <v>5089</v>
      </c>
      <c r="H17" s="241">
        <v>1500</v>
      </c>
      <c r="I17" s="263">
        <v>0</v>
      </c>
      <c r="J17" s="333">
        <f t="shared" si="0"/>
        <v>4860.4938271604933</v>
      </c>
      <c r="K17" s="333"/>
      <c r="L17" s="17">
        <v>250</v>
      </c>
    </row>
    <row r="18" spans="1:12" x14ac:dyDescent="0.25">
      <c r="A18" s="3">
        <v>13</v>
      </c>
      <c r="B18" s="8" t="s">
        <v>36</v>
      </c>
      <c r="C18" s="4"/>
      <c r="D18" s="4" t="s">
        <v>37</v>
      </c>
      <c r="E18" s="258">
        <v>7212.8</v>
      </c>
      <c r="F18" s="258">
        <v>4720</v>
      </c>
      <c r="G18" s="258">
        <f t="shared" si="1"/>
        <v>2492.8000000000002</v>
      </c>
      <c r="H18" s="241">
        <v>261</v>
      </c>
      <c r="I18" s="263">
        <v>0</v>
      </c>
      <c r="J18" s="333">
        <f t="shared" si="0"/>
        <v>8643.691358024691</v>
      </c>
      <c r="K18" s="333"/>
      <c r="L18" s="17">
        <v>250</v>
      </c>
    </row>
    <row r="19" spans="1:12" x14ac:dyDescent="0.25">
      <c r="A19" s="3">
        <v>14</v>
      </c>
      <c r="B19" s="8" t="s">
        <v>38</v>
      </c>
      <c r="C19" s="4"/>
      <c r="D19" s="5" t="s">
        <v>797</v>
      </c>
      <c r="E19" s="265">
        <v>5152</v>
      </c>
      <c r="F19" s="265">
        <v>1660</v>
      </c>
      <c r="G19" s="258">
        <f t="shared" si="1"/>
        <v>3492</v>
      </c>
      <c r="H19" s="242">
        <v>10738</v>
      </c>
      <c r="I19" s="263">
        <v>0</v>
      </c>
      <c r="J19" s="333">
        <f t="shared" si="0"/>
        <v>-4377.5061728395067</v>
      </c>
      <c r="K19" s="333"/>
      <c r="L19" s="16" t="s">
        <v>19</v>
      </c>
    </row>
    <row r="20" spans="1:12" x14ac:dyDescent="0.25">
      <c r="A20" s="3">
        <v>15</v>
      </c>
      <c r="B20" s="8" t="s">
        <v>280</v>
      </c>
      <c r="C20" s="4"/>
      <c r="D20" s="4" t="s">
        <v>39</v>
      </c>
      <c r="E20" s="258">
        <v>12880</v>
      </c>
      <c r="F20" s="258">
        <v>5940</v>
      </c>
      <c r="G20" s="258">
        <f t="shared" si="1"/>
        <v>6940</v>
      </c>
      <c r="H20" s="241">
        <v>1590</v>
      </c>
      <c r="I20" s="263">
        <v>280</v>
      </c>
      <c r="J20" s="333">
        <f t="shared" si="0"/>
        <v>14031.234567901234</v>
      </c>
      <c r="K20" s="333"/>
      <c r="L20" s="17">
        <v>250</v>
      </c>
    </row>
    <row r="21" spans="1:12" x14ac:dyDescent="0.25">
      <c r="A21" s="3">
        <v>16</v>
      </c>
      <c r="B21" s="8" t="s">
        <v>40</v>
      </c>
      <c r="C21" s="4"/>
      <c r="D21" s="4" t="s">
        <v>41</v>
      </c>
      <c r="E21" s="258">
        <v>20608</v>
      </c>
      <c r="F21" s="258">
        <v>10600</v>
      </c>
      <c r="G21" s="258">
        <f t="shared" si="1"/>
        <v>10008</v>
      </c>
      <c r="H21" s="241">
        <v>9102</v>
      </c>
      <c r="I21" s="263">
        <v>0</v>
      </c>
      <c r="J21" s="341">
        <f t="shared" si="0"/>
        <v>16339.975308641973</v>
      </c>
      <c r="K21" s="342"/>
      <c r="L21" s="17">
        <v>250</v>
      </c>
    </row>
    <row r="22" spans="1:12" x14ac:dyDescent="0.25">
      <c r="A22" s="3">
        <v>17</v>
      </c>
      <c r="B22" s="8" t="s">
        <v>42</v>
      </c>
      <c r="C22" s="4"/>
      <c r="D22" s="4" t="s">
        <v>33</v>
      </c>
      <c r="E22" s="258">
        <v>5152</v>
      </c>
      <c r="F22" s="258">
        <v>420</v>
      </c>
      <c r="G22" s="258">
        <f t="shared" si="1"/>
        <v>4732</v>
      </c>
      <c r="H22" s="241">
        <v>3600</v>
      </c>
      <c r="I22" s="263">
        <v>0</v>
      </c>
      <c r="J22" s="333">
        <f t="shared" si="0"/>
        <v>2760.4938271604933</v>
      </c>
      <c r="K22" s="333"/>
      <c r="L22" s="17">
        <v>250</v>
      </c>
    </row>
    <row r="23" spans="1:12" x14ac:dyDescent="0.25">
      <c r="A23" s="3">
        <v>18</v>
      </c>
      <c r="B23" s="9" t="s">
        <v>272</v>
      </c>
      <c r="C23" s="5"/>
      <c r="D23" s="5" t="s">
        <v>43</v>
      </c>
      <c r="E23" s="20">
        <v>4121.6000000000004</v>
      </c>
      <c r="F23" s="65">
        <v>714</v>
      </c>
      <c r="G23" s="20">
        <f>E23-F23</f>
        <v>3407.6000000000004</v>
      </c>
      <c r="H23" s="244">
        <f>3780</f>
        <v>3780</v>
      </c>
      <c r="I23" s="235">
        <v>0</v>
      </c>
      <c r="J23" s="341">
        <f t="shared" si="0"/>
        <v>1308.3950617283954</v>
      </c>
      <c r="K23" s="342"/>
      <c r="L23" s="17">
        <v>250</v>
      </c>
    </row>
    <row r="24" spans="1:12" x14ac:dyDescent="0.25">
      <c r="A24" s="3">
        <v>19</v>
      </c>
      <c r="B24" s="8" t="s">
        <v>273</v>
      </c>
      <c r="C24" s="5"/>
      <c r="D24" s="5">
        <v>3200</v>
      </c>
      <c r="E24" s="20">
        <v>2944</v>
      </c>
      <c r="F24" s="65">
        <f>1932+1000</f>
        <v>2932</v>
      </c>
      <c r="G24" s="20">
        <f t="shared" ref="G24:G36" si="2">E24-F24</f>
        <v>12</v>
      </c>
      <c r="H24" s="244">
        <v>3410</v>
      </c>
      <c r="I24" s="235">
        <v>0</v>
      </c>
      <c r="J24" s="343">
        <f>E24*1/1-(H24+I24)</f>
        <v>-466</v>
      </c>
      <c r="K24" s="343"/>
      <c r="L24" s="17">
        <v>250</v>
      </c>
    </row>
    <row r="25" spans="1:12" ht="30" x14ac:dyDescent="0.25">
      <c r="A25" s="3">
        <v>20</v>
      </c>
      <c r="B25" s="9" t="s">
        <v>274</v>
      </c>
      <c r="C25" s="5"/>
      <c r="D25" s="21" t="s">
        <v>44</v>
      </c>
      <c r="E25" s="260">
        <f>1600*0.92*1.4</f>
        <v>2060.7999999999997</v>
      </c>
      <c r="F25" s="156">
        <v>485.76</v>
      </c>
      <c r="G25" s="260">
        <f>E25-F25</f>
        <v>1575.0399999999997</v>
      </c>
      <c r="H25" s="242">
        <v>1248</v>
      </c>
      <c r="I25" s="259">
        <v>0</v>
      </c>
      <c r="J25" s="340">
        <f>E25*1/1-(H25+I25)</f>
        <v>812.79999999999973</v>
      </c>
      <c r="K25" s="340"/>
      <c r="L25" s="18">
        <v>250</v>
      </c>
    </row>
    <row r="26" spans="1:12" x14ac:dyDescent="0.25">
      <c r="A26" s="3">
        <v>21</v>
      </c>
      <c r="B26" s="9" t="s">
        <v>275</v>
      </c>
      <c r="C26" s="5"/>
      <c r="D26" s="5" t="s">
        <v>45</v>
      </c>
      <c r="E26" s="20">
        <v>3220</v>
      </c>
      <c r="F26" s="20">
        <v>2000</v>
      </c>
      <c r="G26" s="20">
        <f t="shared" si="2"/>
        <v>1220</v>
      </c>
      <c r="H26" s="241">
        <v>1254.0999999999999</v>
      </c>
      <c r="I26" s="235">
        <v>0</v>
      </c>
      <c r="J26" s="343">
        <f t="shared" ref="J26:J36" si="3">E26*1/1-(H26+I26)</f>
        <v>1965.9</v>
      </c>
      <c r="K26" s="343"/>
      <c r="L26" s="17">
        <v>250</v>
      </c>
    </row>
    <row r="27" spans="1:12" x14ac:dyDescent="0.25">
      <c r="A27" s="3">
        <v>22</v>
      </c>
      <c r="B27" s="8" t="s">
        <v>276</v>
      </c>
      <c r="C27" s="5"/>
      <c r="D27" s="5" t="s">
        <v>31</v>
      </c>
      <c r="E27" s="20">
        <v>8114.4</v>
      </c>
      <c r="F27" s="20">
        <v>150</v>
      </c>
      <c r="G27" s="20">
        <f t="shared" si="2"/>
        <v>7964.4</v>
      </c>
      <c r="H27" s="241">
        <v>297</v>
      </c>
      <c r="I27" s="235">
        <v>0</v>
      </c>
      <c r="J27" s="343">
        <f t="shared" si="3"/>
        <v>7817.4</v>
      </c>
      <c r="K27" s="343"/>
      <c r="L27" s="17">
        <v>250</v>
      </c>
    </row>
    <row r="28" spans="1:12" x14ac:dyDescent="0.25">
      <c r="A28" s="3">
        <v>23</v>
      </c>
      <c r="B28" s="9" t="s">
        <v>277</v>
      </c>
      <c r="C28" s="5"/>
      <c r="D28" s="5">
        <v>2500</v>
      </c>
      <c r="E28" s="20">
        <v>2300</v>
      </c>
      <c r="F28" s="65">
        <v>648</v>
      </c>
      <c r="G28" s="20">
        <f t="shared" si="2"/>
        <v>1652</v>
      </c>
      <c r="H28" s="244">
        <f>108+0.92*400</f>
        <v>476</v>
      </c>
      <c r="I28" s="235">
        <v>0</v>
      </c>
      <c r="J28" s="343">
        <f t="shared" si="3"/>
        <v>1824</v>
      </c>
      <c r="K28" s="343"/>
      <c r="L28" s="17">
        <v>250</v>
      </c>
    </row>
    <row r="29" spans="1:12" ht="30" x14ac:dyDescent="0.25">
      <c r="A29" s="3">
        <v>24</v>
      </c>
      <c r="B29" s="9" t="s">
        <v>278</v>
      </c>
      <c r="C29" s="5"/>
      <c r="D29" s="5" t="s">
        <v>287</v>
      </c>
      <c r="E29" s="20">
        <v>2318.4</v>
      </c>
      <c r="F29" s="20">
        <v>220</v>
      </c>
      <c r="G29" s="20">
        <f t="shared" si="2"/>
        <v>2098.4</v>
      </c>
      <c r="H29" s="241">
        <v>1924</v>
      </c>
      <c r="I29" s="235">
        <v>0</v>
      </c>
      <c r="J29" s="343">
        <f t="shared" si="3"/>
        <v>394.40000000000009</v>
      </c>
      <c r="K29" s="343"/>
      <c r="L29" s="17">
        <v>250</v>
      </c>
    </row>
    <row r="30" spans="1:12" x14ac:dyDescent="0.25">
      <c r="A30" s="3">
        <v>25</v>
      </c>
      <c r="B30" s="8" t="s">
        <v>279</v>
      </c>
      <c r="C30" s="5"/>
      <c r="D30" s="5">
        <v>2500</v>
      </c>
      <c r="E30" s="20">
        <v>2300</v>
      </c>
      <c r="F30" s="20">
        <v>2270</v>
      </c>
      <c r="G30" s="20">
        <f t="shared" si="2"/>
        <v>30</v>
      </c>
      <c r="H30" s="241">
        <v>0</v>
      </c>
      <c r="I30" s="235">
        <v>0</v>
      </c>
      <c r="J30" s="343">
        <f t="shared" si="3"/>
        <v>2300</v>
      </c>
      <c r="K30" s="343"/>
      <c r="L30" s="17">
        <v>250</v>
      </c>
    </row>
    <row r="31" spans="1:12" x14ac:dyDescent="0.25">
      <c r="A31" s="3">
        <v>26</v>
      </c>
      <c r="B31" s="9" t="s">
        <v>281</v>
      </c>
      <c r="C31" s="5"/>
      <c r="D31" s="5" t="s">
        <v>39</v>
      </c>
      <c r="E31" s="20">
        <v>12880</v>
      </c>
      <c r="F31" s="20">
        <v>2250</v>
      </c>
      <c r="G31" s="20">
        <f t="shared" si="2"/>
        <v>10630</v>
      </c>
      <c r="H31" s="241">
        <v>7304.05</v>
      </c>
      <c r="I31" s="235">
        <v>42</v>
      </c>
      <c r="J31" s="343">
        <f>E31*1/0.81-(H31+I31)</f>
        <v>8555.1845679012331</v>
      </c>
      <c r="K31" s="343"/>
      <c r="L31" s="17">
        <v>250</v>
      </c>
    </row>
    <row r="32" spans="1:12" x14ac:dyDescent="0.25">
      <c r="A32" s="3">
        <v>27</v>
      </c>
      <c r="B32" s="9" t="s">
        <v>282</v>
      </c>
      <c r="C32" s="5"/>
      <c r="D32" s="5" t="s">
        <v>39</v>
      </c>
      <c r="E32" s="20">
        <v>12880</v>
      </c>
      <c r="F32" s="20">
        <v>400</v>
      </c>
      <c r="G32" s="20">
        <f t="shared" si="2"/>
        <v>12480</v>
      </c>
      <c r="H32" s="241">
        <v>200</v>
      </c>
      <c r="I32" s="235">
        <v>0</v>
      </c>
      <c r="J32" s="343">
        <f>E32*1/0.81-(H32+I32)</f>
        <v>15701.234567901234</v>
      </c>
      <c r="K32" s="343"/>
      <c r="L32" s="17">
        <v>250</v>
      </c>
    </row>
    <row r="33" spans="1:12" x14ac:dyDescent="0.25">
      <c r="A33" s="3">
        <v>28</v>
      </c>
      <c r="B33" s="9" t="s">
        <v>283</v>
      </c>
      <c r="C33" s="5"/>
      <c r="D33" s="5" t="s">
        <v>45</v>
      </c>
      <c r="E33" s="20">
        <v>3220</v>
      </c>
      <c r="F33" s="20">
        <v>91</v>
      </c>
      <c r="G33" s="20">
        <f t="shared" si="2"/>
        <v>3129</v>
      </c>
      <c r="H33" s="241">
        <v>1030</v>
      </c>
      <c r="I33" s="235">
        <v>0</v>
      </c>
      <c r="J33" s="343">
        <f t="shared" si="3"/>
        <v>2190</v>
      </c>
      <c r="K33" s="343"/>
      <c r="L33" s="17">
        <v>250</v>
      </c>
    </row>
    <row r="34" spans="1:12" x14ac:dyDescent="0.25">
      <c r="A34" s="3">
        <v>29</v>
      </c>
      <c r="B34" s="8" t="s">
        <v>284</v>
      </c>
      <c r="C34" s="5"/>
      <c r="D34" s="5" t="s">
        <v>797</v>
      </c>
      <c r="E34" s="20">
        <v>5152</v>
      </c>
      <c r="F34" s="20">
        <v>1490</v>
      </c>
      <c r="G34" s="20">
        <f t="shared" si="2"/>
        <v>3662</v>
      </c>
      <c r="H34" s="241">
        <v>2000</v>
      </c>
      <c r="I34" s="235">
        <v>0</v>
      </c>
      <c r="J34" s="343">
        <f t="shared" si="3"/>
        <v>3152</v>
      </c>
      <c r="K34" s="343"/>
      <c r="L34" s="17">
        <v>250</v>
      </c>
    </row>
    <row r="35" spans="1:12" x14ac:dyDescent="0.25">
      <c r="A35" s="3">
        <v>30</v>
      </c>
      <c r="B35" s="9" t="s">
        <v>285</v>
      </c>
      <c r="C35" s="5"/>
      <c r="D35" s="5" t="s">
        <v>33</v>
      </c>
      <c r="E35" s="20">
        <v>5152</v>
      </c>
      <c r="F35" s="20">
        <v>810</v>
      </c>
      <c r="G35" s="20">
        <f t="shared" si="2"/>
        <v>4342</v>
      </c>
      <c r="H35" s="243">
        <v>8566.2000000000007</v>
      </c>
      <c r="I35" s="235">
        <v>100</v>
      </c>
      <c r="J35" s="343">
        <f t="shared" si="3"/>
        <v>-3514.2000000000007</v>
      </c>
      <c r="K35" s="343"/>
      <c r="L35" s="16" t="s">
        <v>19</v>
      </c>
    </row>
    <row r="36" spans="1:12" x14ac:dyDescent="0.25">
      <c r="A36" s="4">
        <v>31</v>
      </c>
      <c r="B36" s="9" t="s">
        <v>286</v>
      </c>
      <c r="C36" s="5"/>
      <c r="D36" s="5">
        <v>1000</v>
      </c>
      <c r="E36" s="20">
        <v>920</v>
      </c>
      <c r="F36" s="20">
        <v>300</v>
      </c>
      <c r="G36" s="20">
        <f t="shared" si="2"/>
        <v>620</v>
      </c>
      <c r="H36" s="243">
        <v>800</v>
      </c>
      <c r="I36" s="20">
        <v>0</v>
      </c>
      <c r="J36" s="343">
        <f t="shared" si="3"/>
        <v>120</v>
      </c>
      <c r="K36" s="343"/>
      <c r="L36" s="4">
        <v>250</v>
      </c>
    </row>
  </sheetData>
  <mergeCells count="42">
    <mergeCell ref="J36:K36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10:K10"/>
    <mergeCell ref="J11:K11"/>
    <mergeCell ref="J24:K24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12:K12"/>
    <mergeCell ref="G3:G4"/>
    <mergeCell ref="H3:I3"/>
    <mergeCell ref="J3:K4"/>
    <mergeCell ref="L3:L4"/>
    <mergeCell ref="A5:L5"/>
    <mergeCell ref="J6:K6"/>
    <mergeCell ref="A3:A4"/>
    <mergeCell ref="B3:B4"/>
    <mergeCell ref="C3:C4"/>
    <mergeCell ref="D3:D4"/>
    <mergeCell ref="E3:E4"/>
    <mergeCell ref="F3:F4"/>
    <mergeCell ref="J7:K7"/>
    <mergeCell ref="J8:K8"/>
    <mergeCell ref="J9:K9"/>
  </mergeCells>
  <pageMargins left="0.51181102362204722" right="0.51181102362204722" top="0.35433070866141736" bottom="0.35433070866141736" header="0.31496062992125984" footer="0.31496062992125984"/>
  <pageSetup paperSize="9" scale="8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ПС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2015-02-06T13:16:20Z</dcterms:modified>
</cp:coreProperties>
</file>