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" yWindow="120" windowWidth="9420" windowHeight="5190" tabRatio="878" activeTab="9"/>
  </bookViews>
  <sheets>
    <sheet name="Загальна інформація" sheetId="2" r:id="rId1"/>
    <sheet name="1. Зведений звіт" sheetId="1" r:id="rId2"/>
    <sheet name="1.1. Технічний розвиток мереж" sheetId="14" r:id="rId3"/>
    <sheet name="1.2. Зниження понаднорматива" sheetId="11" r:id="rId4"/>
    <sheet name="1.3. АСДТК" sheetId="9" r:id="rId5"/>
    <sheet name="1.4. Інформаційні технології" sheetId="8" r:id="rId6"/>
    <sheet name="1.5. Зв'язок" sheetId="7" r:id="rId7"/>
    <sheet name="1.6. Транспорт" sheetId="6" r:id="rId8"/>
    <sheet name="1.7. Інше" sheetId="5" r:id="rId9"/>
    <sheet name="2. Детальний звіт" sheetId="12" r:id="rId10"/>
    <sheet name="4. Перелік закупівель" sheetId="15" r:id="rId11"/>
  </sheets>
  <externalReferences>
    <externalReference r:id="rId12"/>
    <externalReference r:id="rId13"/>
    <externalReference r:id="rId14"/>
  </externalReferences>
  <definedNames>
    <definedName name="_xlnm._FilterDatabase" localSheetId="9" hidden="1">'2. Детальний звіт'!$A$12:$T$120</definedName>
    <definedName name="_xlnm._FilterDatabase" localSheetId="10" hidden="1">'4. Перелік закупівель'!#REF!</definedName>
    <definedName name="_xlnm.Print_Titles" localSheetId="9">'2. Детальний звіт'!$8:$11</definedName>
    <definedName name="_xlnm.Print_Area" localSheetId="9">'2. Детальний звіт'!$A$1:$T$132</definedName>
    <definedName name="_xlnm.Print_Area" localSheetId="0">'Загальна інформація'!$A$19:$D$36</definedName>
  </definedNames>
  <calcPr calcId="124519"/>
</workbook>
</file>

<file path=xl/calcChain.xml><?xml version="1.0" encoding="utf-8"?>
<calcChain xmlns="http://schemas.openxmlformats.org/spreadsheetml/2006/main">
  <c r="I7" i="5"/>
  <c r="H7"/>
  <c r="H18" i="14"/>
  <c r="G18"/>
  <c r="H17"/>
  <c r="G17"/>
  <c r="J75" i="12"/>
  <c r="R75" s="1"/>
  <c r="J73"/>
  <c r="R73" s="1"/>
  <c r="R56" l="1"/>
  <c r="R57"/>
  <c r="J50" l="1"/>
  <c r="J24"/>
  <c r="R24" s="1"/>
  <c r="J22"/>
  <c r="G21"/>
  <c r="R107"/>
  <c r="R106"/>
  <c r="R105"/>
  <c r="R104"/>
  <c r="R103"/>
  <c r="R98"/>
  <c r="R97"/>
  <c r="R94"/>
  <c r="R93"/>
  <c r="R91"/>
  <c r="R90"/>
  <c r="R89"/>
  <c r="R87"/>
  <c r="R85"/>
  <c r="R84"/>
  <c r="R83"/>
  <c r="R82"/>
  <c r="G14" i="8" l="1"/>
  <c r="F14"/>
  <c r="R72" i="12"/>
  <c r="R68"/>
  <c r="R42"/>
  <c r="R41"/>
  <c r="R40"/>
  <c r="R39"/>
  <c r="R38"/>
  <c r="R36"/>
  <c r="F24" i="15"/>
  <c r="F25" s="1"/>
  <c r="N92" i="12" l="1"/>
  <c r="L92"/>
  <c r="I92"/>
  <c r="N96"/>
  <c r="L96"/>
  <c r="I96"/>
  <c r="N42"/>
  <c r="N41"/>
  <c r="N40"/>
  <c r="N39"/>
  <c r="N38"/>
  <c r="N24"/>
  <c r="N72" l="1"/>
  <c r="N75"/>
  <c r="N22" l="1"/>
  <c r="L16"/>
  <c r="H52"/>
  <c r="H66"/>
  <c r="H65"/>
  <c r="I16"/>
  <c r="L28"/>
  <c r="F78"/>
  <c r="G78"/>
  <c r="H78"/>
  <c r="I78"/>
  <c r="N78"/>
  <c r="L78"/>
  <c r="E78"/>
  <c r="F31" i="15" l="1"/>
  <c r="D31"/>
  <c r="F30"/>
  <c r="F32" s="1"/>
  <c r="D30"/>
  <c r="D27"/>
  <c r="F27" s="1"/>
  <c r="F28" s="1"/>
  <c r="F21"/>
  <c r="F20"/>
  <c r="D20" s="1"/>
  <c r="F19"/>
  <c r="F18"/>
  <c r="F22" s="1"/>
  <c r="F15"/>
  <c r="D15" s="1"/>
  <c r="F14"/>
  <c r="D14" s="1"/>
  <c r="F13"/>
  <c r="D13" s="1"/>
  <c r="F12"/>
  <c r="D12" s="1"/>
  <c r="F10"/>
  <c r="D10" s="1"/>
  <c r="F9"/>
  <c r="D9"/>
  <c r="F8"/>
  <c r="F7"/>
  <c r="F16" s="1"/>
  <c r="F33" s="1"/>
  <c r="D7"/>
  <c r="E8" i="6" l="1"/>
  <c r="E7"/>
  <c r="H111" i="12" l="1"/>
  <c r="H110"/>
  <c r="H68"/>
  <c r="H57"/>
  <c r="H56"/>
  <c r="I24"/>
  <c r="Q24" s="1"/>
  <c r="I25"/>
  <c r="I26"/>
  <c r="I27"/>
  <c r="I23"/>
  <c r="N27" l="1"/>
  <c r="L27"/>
  <c r="N25"/>
  <c r="L25"/>
  <c r="N23"/>
  <c r="N26"/>
  <c r="L26"/>
  <c r="R48"/>
  <c r="Q25" l="1"/>
  <c r="J25"/>
  <c r="R25" s="1"/>
  <c r="Q26"/>
  <c r="J26"/>
  <c r="R26" s="1"/>
  <c r="N21"/>
  <c r="Q27"/>
  <c r="J27"/>
  <c r="R27" s="1"/>
  <c r="L23"/>
  <c r="E52"/>
  <c r="Q23" l="1"/>
  <c r="L21"/>
  <c r="J23"/>
  <c r="R23" s="1"/>
  <c r="R66"/>
  <c r="R65" l="1"/>
  <c r="G8" i="6"/>
  <c r="G7"/>
  <c r="N44" i="12"/>
  <c r="N115"/>
  <c r="L113"/>
  <c r="F7" i="6"/>
  <c r="R110" i="12"/>
  <c r="F8" i="6"/>
  <c r="R111" i="12"/>
  <c r="H25" i="14"/>
  <c r="N51" i="12"/>
  <c r="N15"/>
  <c r="I8" i="6" l="1"/>
  <c r="H8"/>
  <c r="H7"/>
  <c r="I7"/>
  <c r="R52" i="12"/>
  <c r="R59"/>
  <c r="L51"/>
  <c r="R45" l="1"/>
  <c r="R47"/>
  <c r="R46"/>
  <c r="G25" i="14" l="1"/>
  <c r="L15" i="12"/>
  <c r="L14" s="1"/>
  <c r="F13" i="8" l="1"/>
  <c r="F12" s="1"/>
  <c r="G13"/>
  <c r="H72" i="12"/>
  <c r="G19" i="14"/>
  <c r="H19"/>
  <c r="E19"/>
  <c r="I22" i="12"/>
  <c r="I21" s="1"/>
  <c r="Q21" s="1"/>
  <c r="E25" i="14"/>
  <c r="G107" i="12"/>
  <c r="I107" s="1"/>
  <c r="Q107" s="1"/>
  <c r="G106"/>
  <c r="I106" s="1"/>
  <c r="Q106" s="1"/>
  <c r="G105"/>
  <c r="I105" s="1"/>
  <c r="Q105" s="1"/>
  <c r="G104"/>
  <c r="I104" s="1"/>
  <c r="Q104" s="1"/>
  <c r="G103"/>
  <c r="G48"/>
  <c r="I48" s="1"/>
  <c r="G46"/>
  <c r="E18" i="14" s="1"/>
  <c r="G51" i="12"/>
  <c r="F28"/>
  <c r="G29"/>
  <c r="I29"/>
  <c r="H48"/>
  <c r="I33"/>
  <c r="I32"/>
  <c r="I31"/>
  <c r="I30"/>
  <c r="R118"/>
  <c r="Q16"/>
  <c r="P29" l="1"/>
  <c r="R29"/>
  <c r="F25" i="14"/>
  <c r="Q22" i="12"/>
  <c r="F8" i="5"/>
  <c r="G102" i="12"/>
  <c r="I103"/>
  <c r="Q103" s="1"/>
  <c r="Q29"/>
  <c r="I28"/>
  <c r="H8" i="5" l="1"/>
  <c r="I8"/>
  <c r="N102" i="12"/>
  <c r="L44"/>
  <c r="I102"/>
  <c r="Q48"/>
  <c r="P30" l="1"/>
  <c r="P31"/>
  <c r="P32"/>
  <c r="P33"/>
  <c r="R30"/>
  <c r="R31"/>
  <c r="N28"/>
  <c r="N14" s="1"/>
  <c r="G6" i="5"/>
  <c r="H26" i="14"/>
  <c r="L102" i="12" l="1"/>
  <c r="Q102" s="1"/>
  <c r="R33"/>
  <c r="R32"/>
  <c r="G26" i="14"/>
  <c r="F9" i="6"/>
  <c r="G27" i="14"/>
  <c r="H27"/>
  <c r="H9" i="6" l="1"/>
  <c r="I9"/>
  <c r="H14" i="14"/>
  <c r="N86" i="12" l="1"/>
  <c r="G9" i="8" s="1"/>
  <c r="F6" i="5"/>
  <c r="L115" i="12"/>
  <c r="L86"/>
  <c r="G56"/>
  <c r="I56" s="1"/>
  <c r="Q56" s="1"/>
  <c r="H6" i="5" l="1"/>
  <c r="I6"/>
  <c r="G9" i="6"/>
  <c r="N113" i="12"/>
  <c r="F9" i="8"/>
  <c r="N119" i="12"/>
  <c r="L119"/>
  <c r="G11" i="8"/>
  <c r="F11"/>
  <c r="N88" i="12"/>
  <c r="G10" i="8" s="1"/>
  <c r="L88" i="12"/>
  <c r="F10" i="8" s="1"/>
  <c r="N81" i="12"/>
  <c r="G8" i="8" s="1"/>
  <c r="L81" i="12"/>
  <c r="F8" i="8" s="1"/>
  <c r="N71" i="12"/>
  <c r="G16" i="11" s="1"/>
  <c r="L71" i="12"/>
  <c r="F16" i="11" s="1"/>
  <c r="N67" i="12"/>
  <c r="G9" i="11" s="1"/>
  <c r="L67" i="12"/>
  <c r="F9" i="11" s="1"/>
  <c r="N64" i="12"/>
  <c r="N63" s="1"/>
  <c r="G8" i="11" s="1"/>
  <c r="L64" i="12"/>
  <c r="L63" s="1"/>
  <c r="F8" i="11" s="1"/>
  <c r="L108" i="12" l="1"/>
  <c r="F9" i="7"/>
  <c r="N108" i="12"/>
  <c r="G9" i="7"/>
  <c r="L80" i="12"/>
  <c r="L99" s="1"/>
  <c r="N80"/>
  <c r="N99" s="1"/>
  <c r="H55"/>
  <c r="N49"/>
  <c r="N43" s="1"/>
  <c r="L49"/>
  <c r="L43" s="1"/>
  <c r="H45"/>
  <c r="H46"/>
  <c r="H47"/>
  <c r="N37"/>
  <c r="N35" s="1"/>
  <c r="L35"/>
  <c r="G31" i="14" l="1"/>
  <c r="H31"/>
  <c r="L34" i="12"/>
  <c r="L13" s="1"/>
  <c r="G30" i="14"/>
  <c r="N34" i="12"/>
  <c r="N13" s="1"/>
  <c r="H30" i="14"/>
  <c r="E7" i="5" l="1"/>
  <c r="E8"/>
  <c r="G8" s="1"/>
  <c r="E9" i="6"/>
  <c r="G14" i="14"/>
  <c r="G119" i="12"/>
  <c r="H118"/>
  <c r="G118"/>
  <c r="I118" s="1"/>
  <c r="Q118" s="1"/>
  <c r="H117"/>
  <c r="G117"/>
  <c r="I117" s="1"/>
  <c r="Q117" s="1"/>
  <c r="H116"/>
  <c r="E116"/>
  <c r="G112"/>
  <c r="I112" s="1"/>
  <c r="Q112" s="1"/>
  <c r="G111"/>
  <c r="I111" s="1"/>
  <c r="Q111" s="1"/>
  <c r="G110"/>
  <c r="I110" s="1"/>
  <c r="Q110" s="1"/>
  <c r="G98"/>
  <c r="G95"/>
  <c r="G97"/>
  <c r="G96" s="1"/>
  <c r="G94"/>
  <c r="Q94" s="1"/>
  <c r="G93"/>
  <c r="G91"/>
  <c r="Q91" s="1"/>
  <c r="G90"/>
  <c r="Q90" s="1"/>
  <c r="G89"/>
  <c r="G87"/>
  <c r="G85"/>
  <c r="Q85" s="1"/>
  <c r="G84"/>
  <c r="Q84" s="1"/>
  <c r="G83"/>
  <c r="Q83" s="1"/>
  <c r="G82"/>
  <c r="G75"/>
  <c r="I75" s="1"/>
  <c r="Q75" s="1"/>
  <c r="I74"/>
  <c r="I73"/>
  <c r="E73"/>
  <c r="G72"/>
  <c r="G70"/>
  <c r="I70" s="1"/>
  <c r="I68"/>
  <c r="G68"/>
  <c r="I67"/>
  <c r="G67"/>
  <c r="D9" i="11" s="1"/>
  <c r="G66" i="12"/>
  <c r="I66" s="1"/>
  <c r="Q66" s="1"/>
  <c r="G65"/>
  <c r="I52"/>
  <c r="F19" i="14" s="1"/>
  <c r="H42" i="12"/>
  <c r="H41"/>
  <c r="H40"/>
  <c r="H39"/>
  <c r="H38"/>
  <c r="H36"/>
  <c r="Q33"/>
  <c r="Q32"/>
  <c r="Q31"/>
  <c r="Q30"/>
  <c r="I20"/>
  <c r="Q20" s="1"/>
  <c r="I19"/>
  <c r="Q19" s="1"/>
  <c r="I18"/>
  <c r="Q18" s="1"/>
  <c r="I17"/>
  <c r="I46"/>
  <c r="G47"/>
  <c r="G45"/>
  <c r="G59"/>
  <c r="G58"/>
  <c r="G57"/>
  <c r="I57" s="1"/>
  <c r="N57" s="1"/>
  <c r="G55"/>
  <c r="I55" s="1"/>
  <c r="N55" s="1"/>
  <c r="G50"/>
  <c r="G42"/>
  <c r="I42" s="1"/>
  <c r="Q42" s="1"/>
  <c r="G41"/>
  <c r="I41" s="1"/>
  <c r="Q41" s="1"/>
  <c r="G40"/>
  <c r="I40" s="1"/>
  <c r="Q40" s="1"/>
  <c r="G39"/>
  <c r="I39" s="1"/>
  <c r="Q39" s="1"/>
  <c r="G38"/>
  <c r="I38" s="1"/>
  <c r="Q38" s="1"/>
  <c r="F37"/>
  <c r="H37" s="1"/>
  <c r="G36"/>
  <c r="I36" s="1"/>
  <c r="Q36" s="1"/>
  <c r="G33"/>
  <c r="G32"/>
  <c r="G31"/>
  <c r="G30"/>
  <c r="E17" i="14" l="1"/>
  <c r="F18"/>
  <c r="G92" i="12"/>
  <c r="G64"/>
  <c r="G63" s="1"/>
  <c r="D8" i="11" s="1"/>
  <c r="I65" i="12"/>
  <c r="Q65" s="1"/>
  <c r="G116"/>
  <c r="I116" s="1"/>
  <c r="R116"/>
  <c r="G71"/>
  <c r="D16" i="11" s="1"/>
  <c r="I72" i="12"/>
  <c r="Q72" s="1"/>
  <c r="Q89"/>
  <c r="Q88" s="1"/>
  <c r="I88"/>
  <c r="E10" i="8" s="1"/>
  <c r="I113" i="12"/>
  <c r="N69"/>
  <c r="Q82"/>
  <c r="Q81" s="1"/>
  <c r="I81"/>
  <c r="E8" i="8" s="1"/>
  <c r="I86" i="12"/>
  <c r="Q87"/>
  <c r="Q86" s="1"/>
  <c r="E11" i="8"/>
  <c r="Q93" i="12"/>
  <c r="Q92" s="1"/>
  <c r="D13" i="8"/>
  <c r="D14"/>
  <c r="I47" i="12"/>
  <c r="Q47" s="1"/>
  <c r="I50"/>
  <c r="Q113"/>
  <c r="Q73"/>
  <c r="Q74"/>
  <c r="Q68"/>
  <c r="Q67" s="1"/>
  <c r="I59"/>
  <c r="Q59" s="1"/>
  <c r="R55"/>
  <c r="I58"/>
  <c r="I54" s="1"/>
  <c r="Q46"/>
  <c r="Q17"/>
  <c r="Q15" s="1"/>
  <c r="I15"/>
  <c r="I14" s="1"/>
  <c r="Q64"/>
  <c r="Q63" s="1"/>
  <c r="I64"/>
  <c r="I63" s="1"/>
  <c r="E8" i="11" s="1"/>
  <c r="D11" i="8"/>
  <c r="G28" i="12"/>
  <c r="E27" i="14" s="1"/>
  <c r="G86" i="12"/>
  <c r="D9" i="8" s="1"/>
  <c r="Q52" i="12"/>
  <c r="Q51" s="1"/>
  <c r="I51"/>
  <c r="Q28"/>
  <c r="G44"/>
  <c r="Q108"/>
  <c r="I45"/>
  <c r="F17" i="14" s="1"/>
  <c r="E9" i="11"/>
  <c r="I49" i="12"/>
  <c r="F31" i="14" s="1"/>
  <c r="I69" i="12"/>
  <c r="E9" i="8"/>
  <c r="G69" i="12"/>
  <c r="D15" i="11" s="1"/>
  <c r="G88" i="12"/>
  <c r="D10" i="8" s="1"/>
  <c r="I71" i="12"/>
  <c r="G81"/>
  <c r="F26" i="14"/>
  <c r="E9" i="7"/>
  <c r="I37" i="12"/>
  <c r="Q37" s="1"/>
  <c r="Q35" s="1"/>
  <c r="Q34" s="1"/>
  <c r="G113"/>
  <c r="G37"/>
  <c r="G35" s="1"/>
  <c r="E30" i="14" s="1"/>
  <c r="G15" i="12"/>
  <c r="G49"/>
  <c r="E31" i="14" s="1"/>
  <c r="G54" i="12"/>
  <c r="Q50" l="1"/>
  <c r="Q49" s="1"/>
  <c r="Q116"/>
  <c r="Q115" s="1"/>
  <c r="Q119" s="1"/>
  <c r="G43"/>
  <c r="H58"/>
  <c r="I115"/>
  <c r="I119" s="1"/>
  <c r="Q71"/>
  <c r="N58"/>
  <c r="H59"/>
  <c r="Q80"/>
  <c r="I80"/>
  <c r="G14"/>
  <c r="Q98"/>
  <c r="E14" i="8"/>
  <c r="E13"/>
  <c r="Q97" i="12"/>
  <c r="G15" i="11"/>
  <c r="N62" i="12"/>
  <c r="N76" s="1"/>
  <c r="Q57"/>
  <c r="I44"/>
  <c r="I43" s="1"/>
  <c r="F14" i="14"/>
  <c r="Q14" i="12"/>
  <c r="Q55"/>
  <c r="I62"/>
  <c r="I76" s="1"/>
  <c r="Q95"/>
  <c r="G62"/>
  <c r="G76" s="1"/>
  <c r="Q45"/>
  <c r="Q44" s="1"/>
  <c r="E14" i="14"/>
  <c r="I53" i="12"/>
  <c r="E16" i="11"/>
  <c r="I108" i="12"/>
  <c r="E15" i="11"/>
  <c r="I35" i="12"/>
  <c r="F30" i="14" s="1"/>
  <c r="F27"/>
  <c r="E26"/>
  <c r="G108" i="12"/>
  <c r="D9" i="7"/>
  <c r="G80" i="12"/>
  <c r="G99" s="1"/>
  <c r="D8" i="8"/>
  <c r="G34" i="12"/>
  <c r="G53"/>
  <c r="E32" i="14" s="1"/>
  <c r="Q43" i="12" l="1"/>
  <c r="I99"/>
  <c r="J58"/>
  <c r="N54"/>
  <c r="N53" s="1"/>
  <c r="R70"/>
  <c r="L69"/>
  <c r="Q70"/>
  <c r="Q69" s="1"/>
  <c r="Q62" s="1"/>
  <c r="Q76" s="1"/>
  <c r="Q96"/>
  <c r="Q99" s="1"/>
  <c r="Q13"/>
  <c r="I34"/>
  <c r="F32" i="14"/>
  <c r="L58" i="12" l="1"/>
  <c r="R58"/>
  <c r="L54"/>
  <c r="L53" s="1"/>
  <c r="Q58"/>
  <c r="Q54" s="1"/>
  <c r="Q53" s="1"/>
  <c r="Q60" s="1"/>
  <c r="Q120" s="1"/>
  <c r="H32" i="14"/>
  <c r="N60" i="12"/>
  <c r="N120" s="1"/>
  <c r="F15" i="11"/>
  <c r="L62" i="12"/>
  <c r="L76" s="1"/>
  <c r="I13"/>
  <c r="I60" s="1"/>
  <c r="I120" s="1"/>
  <c r="C3" s="1"/>
  <c r="G13"/>
  <c r="L60" l="1"/>
  <c r="L120" s="1"/>
  <c r="E5" s="1"/>
  <c r="G32" i="14"/>
  <c r="G60" i="12"/>
  <c r="G120" s="1"/>
  <c r="C1" s="1"/>
  <c r="G5" i="5"/>
  <c r="G9" s="1"/>
  <c r="F13" i="1" s="1"/>
  <c r="F5" i="5"/>
  <c r="F9" s="1"/>
  <c r="E13" i="1" s="1"/>
  <c r="G10" i="6"/>
  <c r="F12" i="1" s="1"/>
  <c r="F10" i="6"/>
  <c r="E12" i="1" s="1"/>
  <c r="E6" i="5" l="1"/>
  <c r="D5"/>
  <c r="D10" i="6"/>
  <c r="C12" i="1" s="1"/>
  <c r="E10" i="6"/>
  <c r="D12" i="8"/>
  <c r="F7" i="7"/>
  <c r="F14" s="1"/>
  <c r="E11" i="1" s="1"/>
  <c r="F16" i="8"/>
  <c r="F7"/>
  <c r="F7" i="9"/>
  <c r="F13" s="1"/>
  <c r="F12" i="11"/>
  <c r="F7" s="1"/>
  <c r="F17" s="1"/>
  <c r="E8" i="1" s="1"/>
  <c r="G28" i="14"/>
  <c r="G24"/>
  <c r="G20"/>
  <c r="G8"/>
  <c r="E8"/>
  <c r="E12" i="11"/>
  <c r="E7" i="9"/>
  <c r="E13"/>
  <c r="D9" i="1" s="1"/>
  <c r="E16" i="8"/>
  <c r="F8" i="14"/>
  <c r="I14"/>
  <c r="H8"/>
  <c r="H20"/>
  <c r="H24"/>
  <c r="H28"/>
  <c r="I8" i="7"/>
  <c r="I10"/>
  <c r="I11"/>
  <c r="I12"/>
  <c r="I13"/>
  <c r="G7"/>
  <c r="G14" s="1"/>
  <c r="F11" i="1" s="1"/>
  <c r="H8" i="7"/>
  <c r="H10"/>
  <c r="H11"/>
  <c r="H12"/>
  <c r="H13"/>
  <c r="G12" i="8"/>
  <c r="I13"/>
  <c r="I14"/>
  <c r="I15"/>
  <c r="G16"/>
  <c r="I16"/>
  <c r="I17"/>
  <c r="I18"/>
  <c r="I20"/>
  <c r="I21"/>
  <c r="G7"/>
  <c r="H13"/>
  <c r="H14"/>
  <c r="H15"/>
  <c r="H16"/>
  <c r="H17"/>
  <c r="H18"/>
  <c r="H20"/>
  <c r="H21"/>
  <c r="G7" i="9"/>
  <c r="G13" s="1"/>
  <c r="F9" i="1" s="1"/>
  <c r="I8" i="9"/>
  <c r="I9"/>
  <c r="I10"/>
  <c r="I11"/>
  <c r="I12"/>
  <c r="I7"/>
  <c r="H8"/>
  <c r="H9"/>
  <c r="H10"/>
  <c r="H11"/>
  <c r="H12"/>
  <c r="H13"/>
  <c r="H7"/>
  <c r="I9" i="11"/>
  <c r="I10"/>
  <c r="I11"/>
  <c r="G12"/>
  <c r="I12"/>
  <c r="I13"/>
  <c r="I14"/>
  <c r="G7"/>
  <c r="G17" s="1"/>
  <c r="F8" i="1" s="1"/>
  <c r="H9" i="11"/>
  <c r="H10"/>
  <c r="H11"/>
  <c r="H12"/>
  <c r="H13"/>
  <c r="H14"/>
  <c r="I22" i="14"/>
  <c r="I25"/>
  <c r="I29"/>
  <c r="I30"/>
  <c r="I8"/>
  <c r="I9"/>
  <c r="I10"/>
  <c r="I11"/>
  <c r="I12"/>
  <c r="I13"/>
  <c r="I15"/>
  <c r="I16"/>
  <c r="I17"/>
  <c r="I18"/>
  <c r="I19"/>
  <c r="I21"/>
  <c r="J25"/>
  <c r="J29"/>
  <c r="J30"/>
  <c r="J9"/>
  <c r="J10"/>
  <c r="J11"/>
  <c r="J12"/>
  <c r="J13"/>
  <c r="J15"/>
  <c r="J16"/>
  <c r="J17"/>
  <c r="J18"/>
  <c r="J19"/>
  <c r="J21"/>
  <c r="J22"/>
  <c r="A3" i="1"/>
  <c r="A7" i="12"/>
  <c r="D12" i="11"/>
  <c r="D7" s="1"/>
  <c r="D7" i="9"/>
  <c r="D16" i="8"/>
  <c r="D13" i="9"/>
  <c r="C9" i="1" s="1"/>
  <c r="I13" i="9" l="1"/>
  <c r="E9" i="1"/>
  <c r="H9" s="1"/>
  <c r="J8" i="14"/>
  <c r="D9" i="5"/>
  <c r="C13" i="1" s="1"/>
  <c r="G22" i="8"/>
  <c r="F10" i="1" s="1"/>
  <c r="E5" i="5"/>
  <c r="E9" s="1"/>
  <c r="H10" i="6"/>
  <c r="I10"/>
  <c r="D12" i="1"/>
  <c r="F22" i="8"/>
  <c r="E10" i="1" s="1"/>
  <c r="H7" i="14"/>
  <c r="H33" s="1"/>
  <c r="F7" i="1" s="1"/>
  <c r="G7" i="14"/>
  <c r="G33" s="1"/>
  <c r="E7" i="1" s="1"/>
  <c r="J14" i="14"/>
  <c r="I23"/>
  <c r="F20"/>
  <c r="J23"/>
  <c r="E7" i="11"/>
  <c r="I7" s="1"/>
  <c r="H8"/>
  <c r="I8"/>
  <c r="I15"/>
  <c r="H15"/>
  <c r="E7" i="8"/>
  <c r="I7" s="1"/>
  <c r="I8"/>
  <c r="H8"/>
  <c r="I9"/>
  <c r="H9"/>
  <c r="H10"/>
  <c r="I10"/>
  <c r="E12"/>
  <c r="H11"/>
  <c r="I11"/>
  <c r="E20" i="14"/>
  <c r="G9" i="1"/>
  <c r="H7" i="11" l="1"/>
  <c r="F14" i="1"/>
  <c r="I9" i="5"/>
  <c r="D13" i="1"/>
  <c r="H9" i="5"/>
  <c r="H12" i="1"/>
  <c r="G12"/>
  <c r="E14"/>
  <c r="E28" i="14"/>
  <c r="I16" i="11"/>
  <c r="J31" i="14"/>
  <c r="F28"/>
  <c r="I31"/>
  <c r="D17" i="11"/>
  <c r="C8" i="1" s="1"/>
  <c r="D7" i="7"/>
  <c r="D14" s="1"/>
  <c r="C11" i="1" s="1"/>
  <c r="E7" i="7"/>
  <c r="I9"/>
  <c r="H9"/>
  <c r="I12" i="8"/>
  <c r="H12"/>
  <c r="E22"/>
  <c r="H7"/>
  <c r="D7"/>
  <c r="D22" s="1"/>
  <c r="C10" i="1" s="1"/>
  <c r="F24" i="14"/>
  <c r="J26"/>
  <c r="I26"/>
  <c r="J20"/>
  <c r="I20"/>
  <c r="E24"/>
  <c r="E7" s="1"/>
  <c r="E33" s="1"/>
  <c r="C7" i="1" s="1"/>
  <c r="E17" i="11"/>
  <c r="H13" i="1" l="1"/>
  <c r="G13"/>
  <c r="C14"/>
  <c r="H17" i="11"/>
  <c r="I17"/>
  <c r="D8" i="1"/>
  <c r="D10"/>
  <c r="I22" i="8"/>
  <c r="H22"/>
  <c r="I24" i="14"/>
  <c r="J24"/>
  <c r="E14" i="7"/>
  <c r="I7"/>
  <c r="H7"/>
  <c r="F7" i="14"/>
  <c r="J28"/>
  <c r="I28"/>
  <c r="H16" i="11"/>
  <c r="J27" i="14"/>
  <c r="I27"/>
  <c r="I32"/>
  <c r="J32"/>
  <c r="D11" i="1" l="1"/>
  <c r="H14" i="7"/>
  <c r="I14"/>
  <c r="H8" i="1"/>
  <c r="G8"/>
  <c r="F33" i="14"/>
  <c r="I7"/>
  <c r="J7"/>
  <c r="G10" i="1"/>
  <c r="H10"/>
  <c r="G11" l="1"/>
  <c r="H11"/>
  <c r="I33" i="14"/>
  <c r="D7" i="1"/>
  <c r="H7" s="1"/>
  <c r="J33" i="14"/>
  <c r="D14" i="1" l="1"/>
  <c r="G7"/>
  <c r="G14" l="1"/>
  <c r="H14"/>
</calcChain>
</file>

<file path=xl/sharedStrings.xml><?xml version="1.0" encoding="utf-8"?>
<sst xmlns="http://schemas.openxmlformats.org/spreadsheetml/2006/main" count="826" uniqueCount="526">
  <si>
    <t>№ з/п</t>
  </si>
  <si>
    <t>Впровадження та розвиток інформаційних технологій</t>
  </si>
  <si>
    <t>Інше</t>
  </si>
  <si>
    <t>по</t>
  </si>
  <si>
    <t>Звіт щодо виконання інвестиційної програми</t>
  </si>
  <si>
    <t>Назва компанії</t>
  </si>
  <si>
    <t>Складові цільової програми</t>
  </si>
  <si>
    <t>Покращення обліку електроенергії, у т.ч.:</t>
  </si>
  <si>
    <t xml:space="preserve">  впровадження  комерційного обліку 
  електроенергії 
</t>
  </si>
  <si>
    <t>впровадження обліку споживання електроенергії населенням, у т.ч.:</t>
  </si>
  <si>
    <t>сільським</t>
  </si>
  <si>
    <t>міським</t>
  </si>
  <si>
    <t>Система керування і отримання даних</t>
  </si>
  <si>
    <t>Телемеханіка ПС</t>
  </si>
  <si>
    <t>Архіватори мови</t>
  </si>
  <si>
    <t>Цифрові реєстратори подій</t>
  </si>
  <si>
    <t>Системи зв'язку та телекомунікацій, у т.ч.:</t>
  </si>
  <si>
    <t>Придбання обладнання, що не вимагає монтажу</t>
  </si>
  <si>
    <t>Модернізація існуючих та закупівля нових засобів комп'ютеризації, у т.ч.:</t>
  </si>
  <si>
    <t>закупівля нових робочих станцій</t>
  </si>
  <si>
    <t>закупівля нового мережного обладнання</t>
  </si>
  <si>
    <t>модифікація застарілих мереж і комунікаційного обладнання</t>
  </si>
  <si>
    <t>Закупівля програмного забезпечення, у т.ч.:</t>
  </si>
  <si>
    <t>Модернізація прикладного програмного забезпечення, у т.ч.:</t>
  </si>
  <si>
    <t>білінгових систем</t>
  </si>
  <si>
    <t>Інформаційна система управління виробництвом</t>
  </si>
  <si>
    <t xml:space="preserve">Відсоток виконання </t>
  </si>
  <si>
    <t>Джерело фінансування</t>
  </si>
  <si>
    <t>Виконавець робіт, послуг, продавець товару, визначено на тендері чи без</t>
  </si>
  <si>
    <t>Причини невиконання плану</t>
  </si>
  <si>
    <t>Вартість одиниці продукції</t>
  </si>
  <si>
    <t>Одиниця виміру</t>
  </si>
  <si>
    <t xml:space="preserve">Заплановано на прогнозний період  </t>
  </si>
  <si>
    <t>кількість, шт.</t>
  </si>
  <si>
    <t>вартість, тис.грн</t>
  </si>
  <si>
    <t xml:space="preserve">Заплановано на звітний період (з наростаючим підсумком) </t>
  </si>
  <si>
    <t>Виконано</t>
  </si>
  <si>
    <t xml:space="preserve"> Кількість, шт.</t>
  </si>
  <si>
    <t>Вартість, тис.грн</t>
  </si>
  <si>
    <t>_________________</t>
  </si>
  <si>
    <t>(підпис)</t>
  </si>
  <si>
    <t>(П. І. Б.)</t>
  </si>
  <si>
    <t>М. П.</t>
  </si>
  <si>
    <t>V. Впровадження та розвиток систем зв'язку та телекомунікацій</t>
  </si>
  <si>
    <t>VII. Інше</t>
  </si>
  <si>
    <t>1.3. Впровадження та розвиток автоматизації АСДТК</t>
  </si>
  <si>
    <t>1.4. Впровадження та розвиток інформаційних технологій</t>
  </si>
  <si>
    <t>1.7. Інше</t>
  </si>
  <si>
    <t>1.2</t>
  </si>
  <si>
    <t>2.1</t>
  </si>
  <si>
    <t>2.2</t>
  </si>
  <si>
    <t>№</t>
  </si>
  <si>
    <t>1.1</t>
  </si>
  <si>
    <t>2.1.1</t>
  </si>
  <si>
    <t>2.1.2</t>
  </si>
  <si>
    <t>2.1.4</t>
  </si>
  <si>
    <t>3.1</t>
  </si>
  <si>
    <t>3.1.1</t>
  </si>
  <si>
    <t>3.1.2</t>
  </si>
  <si>
    <t>3.1.3</t>
  </si>
  <si>
    <t>3.1.4</t>
  </si>
  <si>
    <t>3.2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</si>
  <si>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</si>
  <si>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</si>
  <si>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</si>
  <si>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</si>
  <si>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</si>
  <si>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</si>
  <si>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</si>
  <si>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</si>
  <si>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</si>
  <si>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4.3</t>
  </si>
  <si>
    <t>4.3.1</t>
  </si>
  <si>
    <t>4.3.2</t>
  </si>
  <si>
    <t>4.4</t>
  </si>
  <si>
    <t>4.5</t>
  </si>
  <si>
    <t>5.1.</t>
  </si>
  <si>
    <t>5.1.1</t>
  </si>
  <si>
    <t>5.1.2</t>
  </si>
  <si>
    <t>5.1.3</t>
  </si>
  <si>
    <t>5.1.4</t>
  </si>
  <si>
    <t>5.2.</t>
  </si>
  <si>
    <t>5.3.</t>
  </si>
  <si>
    <t>1.3</t>
  </si>
  <si>
    <t>Будівництво, модернізація та реконструкція електричних мереж та обладнання</t>
  </si>
  <si>
    <t>І. Будівництво, модернізація та реконструкція електричних мереж та обладнання</t>
  </si>
  <si>
    <t>1.1. Будівництво, модернізація та реконструкція електричних мереж та обладнання</t>
  </si>
  <si>
    <t>Прогнозний період: з</t>
  </si>
  <si>
    <t>00.00.0000</t>
  </si>
  <si>
    <t>Будівництво, реконструкція та модернізація електричних мереж, у т.ч:</t>
  </si>
  <si>
    <t>І.1.1.1</t>
  </si>
  <si>
    <t>110 кВ</t>
  </si>
  <si>
    <t>І.1.1.2</t>
  </si>
  <si>
    <t>35 кВ</t>
  </si>
  <si>
    <t>І.1.1.3</t>
  </si>
  <si>
    <t>І.1.1.4</t>
  </si>
  <si>
    <t>0,4 кВ</t>
  </si>
  <si>
    <t>І.1.2.1</t>
  </si>
  <si>
    <t>І.1.2.2</t>
  </si>
  <si>
    <t>І.1.2.3</t>
  </si>
  <si>
    <t>І.1.2.4</t>
  </si>
  <si>
    <t>І.1.3.1</t>
  </si>
  <si>
    <t>І.1.3.2</t>
  </si>
  <si>
    <t>І.1.3.3</t>
  </si>
  <si>
    <t>І.1.4.1</t>
  </si>
  <si>
    <t>І.1.4.2</t>
  </si>
  <si>
    <t>І.1.4.3</t>
  </si>
  <si>
    <t>І.1.5.1</t>
  </si>
  <si>
    <t>І.1.5.2</t>
  </si>
  <si>
    <t>І.1.5.3</t>
  </si>
  <si>
    <t xml:space="preserve">Джерело фінансування </t>
  </si>
  <si>
    <t>Вид процедури закупівлі</t>
  </si>
  <si>
    <t>Ціна за одиницю, тис. грн (без ПДВ)</t>
  </si>
  <si>
    <t>Кількість, шт.</t>
  </si>
  <si>
    <t>Код закупівлі відповідно до Державного класифікатора продукції і послуг ДК 016-97</t>
  </si>
  <si>
    <t>Дата укладення договору</t>
  </si>
  <si>
    <t>Сайт, на якому було розміщено об'яву</t>
  </si>
  <si>
    <t>Постачальник продукції</t>
  </si>
  <si>
    <t>Виробник продукції</t>
  </si>
  <si>
    <t>Додаткова інформація</t>
  </si>
  <si>
    <t>Найменування продукції *</t>
  </si>
  <si>
    <t>Найменування складових цільової програми *</t>
  </si>
  <si>
    <t>Вартість одиниці продукції, тис.грн з ПДВ</t>
  </si>
  <si>
    <t>Усього</t>
  </si>
  <si>
    <t>у т.ч. з магістральними ізольованими проводами</t>
  </si>
  <si>
    <t>Реконструкція ПС, ТП та РП, усього
з них:</t>
  </si>
  <si>
    <t>Модернізація ПС, ТП та РП, усього
з них:</t>
  </si>
  <si>
    <t>1.1.1</t>
  </si>
  <si>
    <t>1.1.2</t>
  </si>
  <si>
    <t>1.1.3</t>
  </si>
  <si>
    <t>1.1.4</t>
  </si>
  <si>
    <t>1.1.5</t>
  </si>
  <si>
    <t>2.1.3.</t>
  </si>
  <si>
    <t>Придбання та впровадження засобів диспетчерсько-технологічного управління замість морально і фізично зношених та для розширення існуючих, у т.ч.:</t>
  </si>
  <si>
    <t>Усього по розділу VІІ:</t>
  </si>
  <si>
    <t>Усього по програмі</t>
  </si>
  <si>
    <t>II. Заходи зі зниження та/або недопущення понаднормативних витрат електроенергії</t>
  </si>
  <si>
    <t>ІV. Впровадження та розвиток інформаційних технологій</t>
  </si>
  <si>
    <t>VІ. Модернізація та закупівля транспортних засобів</t>
  </si>
  <si>
    <t>Різниця між фактичною вартістю одиниці продукції та плановою, %</t>
  </si>
  <si>
    <t>Усього по розділу I</t>
  </si>
  <si>
    <t>Усього по розділу IІ</t>
  </si>
  <si>
    <t>Усього по розділу IІI</t>
  </si>
  <si>
    <t>Усього по розділу V:</t>
  </si>
  <si>
    <t>Усього по розділу VІ:</t>
  </si>
  <si>
    <t>6-20 кВ</t>
  </si>
  <si>
    <t>І.1.1.4.1</t>
  </si>
  <si>
    <t>І.1.2.4.1</t>
  </si>
  <si>
    <t>2.1.5</t>
  </si>
  <si>
    <t>Заплановано на прогнозний період, тис.грн (з ПДВ)</t>
  </si>
  <si>
    <t>Заплановано на звітний період (з наростаючим підсумком), тис.грн (з ПДВ)</t>
  </si>
  <si>
    <t>Виконано на звітний період  (з наростаючим підсумком), тис.грн (з ПДВ)</t>
  </si>
  <si>
    <t>Залишилось не виконано, тис.грн (з ПДВ)</t>
  </si>
  <si>
    <t>Засіб масової інформації, де було розміщено об'яву</t>
  </si>
  <si>
    <t>Перелік учасників тендера, в тому числі заводи-виробники (вказати назву)</t>
  </si>
  <si>
    <t>Наявність скарг при проведенні тендера (так/ні)</t>
  </si>
  <si>
    <t>Заплановано на звітний період (з наростаючим підсумком), тис.грн  (з ПДВ)</t>
  </si>
  <si>
    <r>
      <t>Заплановано на прогнозний період</t>
    </r>
    <r>
      <rPr>
        <sz val="10"/>
        <rFont val="Arial"/>
        <family val="2"/>
        <charset val="204"/>
      </rPr>
      <t xml:space="preserve">, </t>
    </r>
    <r>
      <rPr>
        <sz val="10"/>
        <rFont val="Arial"/>
        <family val="2"/>
        <charset val="204"/>
      </rPr>
      <t>тис.грн (з ПДВ)</t>
    </r>
  </si>
  <si>
    <r>
      <t>Заплановано на звітний період (з наростаючим підсумком)</t>
    </r>
    <r>
      <rPr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тис.грн  (з ПДВ)</t>
    </r>
  </si>
  <si>
    <t>Усього, тис. грн (без ПДВ)</t>
  </si>
  <si>
    <t>Звітний період: з</t>
  </si>
  <si>
    <t>* При заповненні таблиці щодо реалізації відповідних проектів будівництва, реконструкції та модернізації об'єктів компанії надавати розшифровку по кожній складовій проекту (ТМЦ, роботи тощо).</t>
  </si>
  <si>
    <t>І.1</t>
  </si>
  <si>
    <t>Розвиток, модернізація та будівництво електричних мереж, у т.ч:</t>
  </si>
  <si>
    <t>І.1.1</t>
  </si>
  <si>
    <t>Заміна обладнання, з них:</t>
  </si>
  <si>
    <t>Заміна зношеного обладнання</t>
  </si>
  <si>
    <t>І.1.1.1.1</t>
  </si>
  <si>
    <t>шт</t>
  </si>
  <si>
    <t>І.1.1.1.2</t>
  </si>
  <si>
    <t>Кошти ІП 2009р.</t>
  </si>
  <si>
    <t>І.1.1.1.4</t>
  </si>
  <si>
    <t>Реконструкція підстанції з заміною  ОД-35 на вакуумні вимикачі 35кВ на ПС №50</t>
  </si>
  <si>
    <t>І.1.1.1.5</t>
  </si>
  <si>
    <t>Заміна комірок КРУН-10 на комірки типу К-59 на ПС"Північна"</t>
  </si>
  <si>
    <t>Заміна повністю амортизованого обладнання</t>
  </si>
  <si>
    <t>І.1.3</t>
  </si>
  <si>
    <t>Удосконалення схем та розвиток електричних мереж, з них:</t>
  </si>
  <si>
    <t>Реконструкція ЛЕП</t>
  </si>
  <si>
    <t xml:space="preserve">Реконструкція КЛ-0,4 кВ </t>
  </si>
  <si>
    <t>км</t>
  </si>
  <si>
    <t>І.1.3.1.2</t>
  </si>
  <si>
    <t xml:space="preserve">Реконструкція КЛ- 6-10 кВ </t>
  </si>
  <si>
    <t>І.1.3.1.3</t>
  </si>
  <si>
    <t>І.1.3.1.4</t>
  </si>
  <si>
    <t>І.1.3.4</t>
  </si>
  <si>
    <t>Модернізація, інше</t>
  </si>
  <si>
    <t>І.1.3.4.2</t>
  </si>
  <si>
    <t>Шафа КТП під трансформатори 250 кВА</t>
  </si>
  <si>
    <t>І.1.4</t>
  </si>
  <si>
    <t>Модернізація ПЛ</t>
  </si>
  <si>
    <t>Модернізація в населених пунктах  ПЛ-0,4 кВ з використанням самоутримуючих ізольованих проводів</t>
  </si>
  <si>
    <t>І .2</t>
  </si>
  <si>
    <t xml:space="preserve">Інше </t>
  </si>
  <si>
    <t>І .2.2</t>
  </si>
  <si>
    <t>Проектні роботи</t>
  </si>
  <si>
    <t>І .2.2.4</t>
  </si>
  <si>
    <t>І .2.2.5</t>
  </si>
  <si>
    <t>І .2.2.6</t>
  </si>
  <si>
    <t>ІІ.1</t>
  </si>
  <si>
    <t>ІІ.1.2</t>
  </si>
  <si>
    <t>Модернізація обліку надходження електричної енергії по стороні 0,4 кВ</t>
  </si>
  <si>
    <t>ІІ.1.2.1</t>
  </si>
  <si>
    <t>ІІ.1.3</t>
  </si>
  <si>
    <t>Придбання стендів повірки, зразкових лічильників, повірочних лабораторій, тощо</t>
  </si>
  <si>
    <t>IІ.1.3.1</t>
  </si>
  <si>
    <t xml:space="preserve">Навантажувальний пристрій струму ЕП-3 </t>
  </si>
  <si>
    <t>ІІ.2</t>
  </si>
  <si>
    <t>II.2.1</t>
  </si>
  <si>
    <t>II.2.1.3</t>
  </si>
  <si>
    <t xml:space="preserve">Перший етап закупки обладнання по периметру передачі: лічильники та комплектуючі </t>
  </si>
  <si>
    <t>шт.</t>
  </si>
  <si>
    <t>ІV.1</t>
  </si>
  <si>
    <t>IV.1.1</t>
  </si>
  <si>
    <t>Закупівля нових робочих станцій:</t>
  </si>
  <si>
    <t>IV.1.1.1</t>
  </si>
  <si>
    <t>IV.1.1.2</t>
  </si>
  <si>
    <t>IV.1.1.3</t>
  </si>
  <si>
    <t>IV.1.1.4</t>
  </si>
  <si>
    <t>IV.1.2</t>
  </si>
  <si>
    <t>Закупівля нового мережного обладнання</t>
  </si>
  <si>
    <t>IV.1.2.1</t>
  </si>
  <si>
    <t>Додаткове мережне обладнання</t>
  </si>
  <si>
    <t>IV.1.3</t>
  </si>
  <si>
    <t>Модифікація застарілих мереж і комунікаційного обладнання</t>
  </si>
  <si>
    <t>IV.1.3.1</t>
  </si>
  <si>
    <t>Пасивне обладнання мережі</t>
  </si>
  <si>
    <t>бухта</t>
  </si>
  <si>
    <t>IV.1.3.2</t>
  </si>
  <si>
    <t>IV.1.3.3</t>
  </si>
  <si>
    <t>IV.1.4</t>
  </si>
  <si>
    <t>Інші засоби комп'ютеризації</t>
  </si>
  <si>
    <t>IV.1.4.1</t>
  </si>
  <si>
    <t>ІV.2</t>
  </si>
  <si>
    <t>IV.2.1</t>
  </si>
  <si>
    <t>IV.2.2</t>
  </si>
  <si>
    <t>Усього по розділу IV:</t>
  </si>
  <si>
    <t>V.1.</t>
  </si>
  <si>
    <t>Системи зв'язку та телекомунікації, у т.ч.:</t>
  </si>
  <si>
    <t>V.1.1</t>
  </si>
  <si>
    <t>Цифрові АТС</t>
  </si>
  <si>
    <t>V.1.1.1</t>
  </si>
  <si>
    <t>V.1.1.2</t>
  </si>
  <si>
    <t>V.1.1.3</t>
  </si>
  <si>
    <t>V.1.1.5</t>
  </si>
  <si>
    <t>VІ.1</t>
  </si>
  <si>
    <t>VІ.2</t>
  </si>
  <si>
    <t>ГАЗ-3309, Фургон-С (ВКБ)</t>
  </si>
  <si>
    <t>VІІ.2.</t>
  </si>
  <si>
    <t>Обладнання, що не вимагає монтажу</t>
  </si>
  <si>
    <t>VІІ.2.1</t>
  </si>
  <si>
    <t>Прилад для визначення вологості методом Карла Фішера</t>
  </si>
  <si>
    <t>VІІ.2.2</t>
  </si>
  <si>
    <t>Шафа для зберігання реактивів</t>
  </si>
  <si>
    <t>VІІ.2.3</t>
  </si>
  <si>
    <t>Прилад "Рейс-105М" (ПвРЕМ, ВгРЕМ)</t>
  </si>
  <si>
    <t>Установка  другого силового трансформатора, вакуумного вимикача, роз'єднувача, шинного мосту 6 кВ, ввідної комірки Т-62 та другої секції шин 6 кВ на ПС 35/6 кВ "Чешка"</t>
  </si>
  <si>
    <t>Заміна  МВ-35 на вакуумні вимикачі 35кВ на ПС 3</t>
  </si>
  <si>
    <t>Заміна  МВ-35 на вакуумні вимикачі 35кВ на ПС 47</t>
  </si>
  <si>
    <t>І.1.1.2.1</t>
  </si>
  <si>
    <t>Трансформатор ТМ-63/6 (КрРЕМ)</t>
  </si>
  <si>
    <t>Трансформатор ТМ-250/6 (КрРЕМ)</t>
  </si>
  <si>
    <t>Трансформатор ТМ-400/6 (ДнРЕМ, ВгРЕМ, ЖвРЕМ, КрРЕМ)</t>
  </si>
  <si>
    <t>Трансформатор ТМ-630/6 (ДнРЕМ, КрРЕМ)</t>
  </si>
  <si>
    <t>Трансформатор ТМ-400/10 (ГвРЕМ)</t>
  </si>
  <si>
    <t>І.1.2</t>
  </si>
  <si>
    <t>Усунення невідповідностей обладнання електричних мереж вимогам директивних матеріалів, циркулярів та виконання приписів</t>
  </si>
  <si>
    <t>Усунення невідповідностей по ПС "ЛТФ", ПС "14"</t>
  </si>
  <si>
    <t>Трансформатор напруги 6 кВ, кл. точності 0,5 типу НТМІ - 6</t>
  </si>
  <si>
    <t>Трансформатор струму типу ТПОЛ-10 У3:</t>
  </si>
  <si>
    <t>50/5</t>
  </si>
  <si>
    <t>100/5</t>
  </si>
  <si>
    <t>150/5</t>
  </si>
  <si>
    <t>400/5</t>
  </si>
  <si>
    <t>1000/5</t>
  </si>
  <si>
    <t>ПВР   та експертиза ПЛ-0,4</t>
  </si>
  <si>
    <t>ПВР   та експертиза КЛ-6-10</t>
  </si>
  <si>
    <t>ПВР   та експертиза КЛ-0,4</t>
  </si>
  <si>
    <t>І .2.2.10</t>
  </si>
  <si>
    <t>Влаштування розвантажувальних підстанцій (ДнРЕМ)</t>
  </si>
  <si>
    <t>І .2.2.15</t>
  </si>
  <si>
    <t>Розробка схеми УРОВ на ПС 150/35/6 кВ "КПО" м. Дніпропетровськ</t>
  </si>
  <si>
    <t xml:space="preserve">І. Технічний розвиток (переозброєння), модернізація та будівництво електричних мереж та обладнання </t>
  </si>
  <si>
    <t>Кошти ІП-2011р.</t>
  </si>
  <si>
    <t>IІ.1.1</t>
  </si>
  <si>
    <t>Впровадження  комерційного обліку 
  електроенергії</t>
  </si>
  <si>
    <t>IІ.1.1.1</t>
  </si>
  <si>
    <t>Улаштування вводів в будинки з застосуванням СІП, у т.ч.:</t>
  </si>
  <si>
    <t>IІ.1.1.1.1</t>
  </si>
  <si>
    <t>Однофазні</t>
  </si>
  <si>
    <t>IІ.1.1.1.2</t>
  </si>
  <si>
    <t>Трьохфазні</t>
  </si>
  <si>
    <t>Лічильник електронний</t>
  </si>
  <si>
    <t>Інше, у т.ч.:</t>
  </si>
  <si>
    <t>Витрати на організацію метрологічної атестації та проведення робіт по впровадженню системи АСКОЕ в дослідну та промислову експлуатацію по периметру передачі</t>
  </si>
  <si>
    <t>II.2.2</t>
  </si>
  <si>
    <t>Перша стадія впровадження системи АСКОЕ по периметру компанії згідно з техніко-економічним обґрунтуванням впровадження системи АСКОЕ по периметру компанії. Розробка технічного завдання та проекту впровадження системи АСКОЕ по периметру надходження.</t>
  </si>
  <si>
    <t>Кошти ІП-2010р.</t>
  </si>
  <si>
    <t>ІІ.2.2</t>
  </si>
  <si>
    <t>Розробка системи комплексної автоматизації SAP ERP(I етап)</t>
  </si>
  <si>
    <t>ПК HP Compaq 500B MT + Монітор S2031a (XF934EA)</t>
  </si>
  <si>
    <t>ІБП APC Smart-UPS 5000VA Rack/Tower (SUA5000RMI5U)</t>
  </si>
  <si>
    <t>Монітор 21.5" ViewSonic VA2231w-LED</t>
  </si>
  <si>
    <t>HP ProBook 4530s (LH306EA)</t>
  </si>
  <si>
    <t>Комутатор HP V1405-8G Switch</t>
  </si>
  <si>
    <t>Комутатор HP V1405-16G Switch</t>
  </si>
  <si>
    <t>МФУ А4 ч/б Canon i-SENSYS MF4018 (1483B065)</t>
  </si>
  <si>
    <t>IV.1.4.2</t>
  </si>
  <si>
    <t>МФУ А4 ч/б HP LJ M1212nf</t>
  </si>
  <si>
    <t>OLP Microsoft Windows 7 Professional</t>
  </si>
  <si>
    <t>Принтер А3</t>
  </si>
  <si>
    <t>Microsoft Office Home and Business,box</t>
  </si>
  <si>
    <t>Модернізація Міні-АТС</t>
  </si>
  <si>
    <t>Апарати телефонні IP OpenStage 40 SIP</t>
  </si>
  <si>
    <t>Апарати телефонні IP OpenStage 15 SIP</t>
  </si>
  <si>
    <t>Факсовий апарат Panasonic KX-FLC413UA</t>
  </si>
  <si>
    <t>Монтаж, програмування, включення</t>
  </si>
  <si>
    <t>Daewoo Lanos (ІнРЕМ, КрРЕМ )</t>
  </si>
  <si>
    <t>ГАЗ-330232, дует, борт., тент (ВгРЕМ)</t>
  </si>
  <si>
    <t>Прилад "Рейс - 105М" (ПвРЕМ, ВгРЕМ)</t>
  </si>
  <si>
    <t>ПрАТ "ПЕЕМ  "Центральна енергетична компанія"</t>
  </si>
  <si>
    <t>01.01.2012р.</t>
  </si>
  <si>
    <t>ТОВ ЕЮМ ХМПП(тендер)</t>
  </si>
  <si>
    <t>ТОВ "Енерджи Сервіс" (тендер)</t>
  </si>
  <si>
    <t>ТОВ "Трансенергоком"</t>
  </si>
  <si>
    <t>ЗМГТ (тендер)</t>
  </si>
  <si>
    <t>Енерголюкс 79 ТОВ (тендер)</t>
  </si>
  <si>
    <t>ТОВ "Реалнет" (тендер)</t>
  </si>
  <si>
    <t>ТОВ "Київдормаш" (тендер)</t>
  </si>
  <si>
    <t>ТОВ "Делівер Трейд</t>
  </si>
  <si>
    <t>Нараховано коштів на виконання інвестиційної програми ________</t>
  </si>
  <si>
    <t xml:space="preserve"> тис. грн</t>
  </si>
  <si>
    <t xml:space="preserve">Фактично отримано коштів на виконання інвестиційної програми </t>
  </si>
  <si>
    <t>Роботи з відновлення обладнання ПС 150/10/6 кВ "ПЛМ", в т.ч.</t>
  </si>
  <si>
    <t>Силовий трансформатор потужністю 40 МВА 154/10/6 кВ</t>
  </si>
  <si>
    <t>І.1.1.1.6</t>
  </si>
  <si>
    <t>150 кВ</t>
  </si>
  <si>
    <t>Гарант Енерго (тендер),  ПАО "Запорожтрансформатор (тендер)</t>
  </si>
  <si>
    <t>ДП ЛЕО (тендер)</t>
  </si>
  <si>
    <t>Енерголюкс  ТОВ,  Січ Енерго</t>
  </si>
  <si>
    <t>№№106,107 від 17.05.2012р.</t>
  </si>
  <si>
    <t>№ 67 від 26.03.2012р., № 69 від 30.03.2012р.</t>
  </si>
  <si>
    <t>транспортування</t>
  </si>
  <si>
    <t>демонтаж</t>
  </si>
  <si>
    <t>монтаж</t>
  </si>
  <si>
    <t>реактор</t>
  </si>
  <si>
    <t>пусконаладка</t>
  </si>
  <si>
    <t>4. Перелік закупівель, здійснених компанією ПрАТ "ПЕЕМ "Центральна енергетична компанія"</t>
  </si>
  <si>
    <t xml:space="preserve">Відкриті торги із зменшенням ціни; торги з обмеженою участю; двоступеневі торги; запит цінових пропозицій (котирувань); </t>
  </si>
  <si>
    <t>Трансформатор ТМН-2500/35/6 кВ У1</t>
  </si>
  <si>
    <t>31.10.41.</t>
  </si>
  <si>
    <t>дог.№155 від 23.04.12</t>
  </si>
  <si>
    <t xml:space="preserve">Відкриті торги </t>
  </si>
  <si>
    <t>cek.moy.su</t>
  </si>
  <si>
    <t>ПАТ "Запорожтрансформатор"</t>
  </si>
  <si>
    <t>ПАТ "Запорожтрансформатор", ТОВ "УкрЕнергоАктив", ПАТ "ЗЗНТ"</t>
  </si>
  <si>
    <t>ні</t>
  </si>
  <si>
    <t>Установка тр-ра, ВВ, роз'єднувача, ШМ 6 кВ,
ввідної комірки Т-62 та другої секції шин 6 кВ на ПС 35/6 кВ "Чешка"</t>
  </si>
  <si>
    <t>дог.№162 від 24.04.12</t>
  </si>
  <si>
    <t>ТОВ "Гарант-Енерго"</t>
  </si>
  <si>
    <t>ТОВ "Гарант-Енерго", ТОВ "Енерджі Сервіс", ТОВ "ДП ЛЕО"</t>
  </si>
  <si>
    <t>Трансформатор ТДНТ-40000/150 кВ У1</t>
  </si>
  <si>
    <t>дог.№156 від 23.04.12</t>
  </si>
  <si>
    <t xml:space="preserve">Закупка силових трансформаторів 6-10 кВ потужністю
63 – 630 кВА </t>
  </si>
  <si>
    <t>дог.№ 20 від 31.01.12</t>
  </si>
  <si>
    <t>ПАТ Завод МГТ</t>
  </si>
  <si>
    <t>ПАТ Завод 
МГТ</t>
  </si>
  <si>
    <t>ПАТ Завод МГТ, ТОВ«Запоріженергокомплект», ПрАТ «Запорізький кабельний завод»</t>
  </si>
  <si>
    <t>ПКД   та експертиза ПЛ-0,4</t>
  </si>
  <si>
    <t>45.21.4</t>
  </si>
  <si>
    <t>дог.№21 від 31.01.2012</t>
  </si>
  <si>
    <t>ТОВ "Енерджі Сервіс"</t>
  </si>
  <si>
    <t>ТОВ "Енерджі Сервіс", ТОВ "ДП ЛЕО", ТОВ "НВП "Техенергоснаб"</t>
  </si>
  <si>
    <t>ПКД   та експертиза КЛ-0,4</t>
  </si>
  <si>
    <t>ПКД   та експертиза КЛ-6-10</t>
  </si>
  <si>
    <t>дог.№158 від 20.04.2012</t>
  </si>
  <si>
    <t>ТОВ "ДП ЛЕО"</t>
  </si>
  <si>
    <t>ТОВ "ДП ЛЕО", ТОВ "Енерджі Сервіс", ПАТ ПТІ "Київоргбуд"</t>
  </si>
  <si>
    <t>Проект на влаштування розвантажувальної підстанції</t>
  </si>
  <si>
    <t>Закупка обладнання для АСКОЕ</t>
  </si>
  <si>
    <t>31.10.42.</t>
  </si>
  <si>
    <t>дог.№ 166 від 24.04.12</t>
  </si>
  <si>
    <t>ТОВ "Реалнет"</t>
  </si>
  <si>
    <t>ТОВ 
"Реалнет"</t>
  </si>
  <si>
    <t>ТОВ Реалнет, ТОВ «ТД "Прожектор", ПП " АТ ЕЛЕКТРО"</t>
  </si>
  <si>
    <t xml:space="preserve">Організація метрологічної атестації та проведення робіт по впровадженню АСКОЕ в дослідну та промислову експлуатацію по периметру віддачі.  </t>
  </si>
  <si>
    <t>дог.№ 165 від 24.04.12</t>
  </si>
  <si>
    <t>Закупівля лічильників</t>
  </si>
  <si>
    <t>дог.№ 59 від 21.02.12</t>
  </si>
  <si>
    <t>ТОВ "ТД 
"Енерголюкс*79"</t>
  </si>
  <si>
    <t>НІК</t>
  </si>
  <si>
    <t>ТОВ "ТД "Енерголюкс-79", ТОВ "НІК", ТОВ "АЛБАТ"</t>
  </si>
  <si>
    <t>Розробка системи комплексної автоматизації SAP ERP (I етап)</t>
  </si>
  <si>
    <t>дог.№ 194 від 29.05.12</t>
  </si>
  <si>
    <t>ТОВ "ІК
"Інвест Буд"</t>
  </si>
  <si>
    <t>ТОВ "ІК "Інвест Буд", ПАТ "ІНКОМ"</t>
  </si>
  <si>
    <r>
      <t>V. Впровадження та розвиток систем зв</t>
    </r>
    <r>
      <rPr>
        <b/>
        <sz val="10"/>
        <rFont val="Times New Roman"/>
        <family val="1"/>
        <charset val="204"/>
      </rPr>
      <t>‘</t>
    </r>
    <r>
      <rPr>
        <b/>
        <i/>
        <sz val="10"/>
        <rFont val="Arial"/>
        <family val="2"/>
        <charset val="204"/>
      </rPr>
      <t>язку</t>
    </r>
  </si>
  <si>
    <t>Модернізація міні АТС</t>
  </si>
  <si>
    <t xml:space="preserve">Дог.75/305 від 19.09.12         </t>
  </si>
  <si>
    <t>ТОВ "Теле-комплекс"</t>
  </si>
  <si>
    <t>ТОВ "Теле-комплекс", ПП "Сімат"</t>
  </si>
  <si>
    <t>Усього по розділу V</t>
  </si>
  <si>
    <t xml:space="preserve">Автомобіль Daewoo Lanos </t>
  </si>
  <si>
    <t xml:space="preserve"> 34.10.4</t>
  </si>
  <si>
    <t>Дог.174від 24.04.12, №175 від 24.04.12</t>
  </si>
  <si>
    <t>ТОВ "Дніпропетровський автоцентр на Калиновій"</t>
  </si>
  <si>
    <t>ЗАЗ</t>
  </si>
  <si>
    <t>ТОВ "Дніпропетровський автоцентр на Калиновій", ТОВ "Компанія "Агро-Союз", ПАТ "Дніпропетровськ-Авто"</t>
  </si>
  <si>
    <t>АвтомобільГАЗ-330232 дует, борт, тент</t>
  </si>
  <si>
    <t>Дог.170 від 24.04.12</t>
  </si>
  <si>
    <t>ТОВ "Харьківська автомобільна торгівельна компанія"</t>
  </si>
  <si>
    <t>"ГАЗ" Росія</t>
  </si>
  <si>
    <t xml:space="preserve">ТОВ "Харьківська автомобільна торгівельна компанія",  ПАТ "Дніпропетровськ-Авто", </t>
  </si>
  <si>
    <t>№№768,769 від 30.12.2011р.</t>
  </si>
  <si>
    <t>№№ 773-775 від 30.12.2012р.</t>
  </si>
  <si>
    <t>№ 165 від 03.07.2012р.</t>
  </si>
  <si>
    <t>№ 245 від 30.09.2012р.</t>
  </si>
  <si>
    <t>№№155-157 від 08.06.2012р., №145 від 30.06.2012р., №191 від 31.08.2012р., № 127 від 31.05.2012р.№ 80-82 від 27.04.2012, № 193,194 від 02.08..2012, № 164 від 03.07.2012р.</t>
  </si>
  <si>
    <t>№ 78 від 24.04.2012р., №154 від 07.06.2012р.</t>
  </si>
  <si>
    <t>№№86,87,88 від 02.04.2012р., № 133 від 01.06 2012р., №171 від 30.07.2012р., №173, 186 від 31.08.2012р., № 201,221 від 30.09.2012р.</t>
  </si>
  <si>
    <t>№ 103 від 07.05.2012р.</t>
  </si>
  <si>
    <t xml:space="preserve"> № 153 від 30.06.2012р</t>
  </si>
  <si>
    <t>№200 від 30.09.2012р.</t>
  </si>
  <si>
    <t>IІІ. Впровадження та розвиток автоматизації АСДТК</t>
  </si>
  <si>
    <t>Погоджено:</t>
  </si>
  <si>
    <t>Ф.С. Іващук</t>
  </si>
  <si>
    <t>Головний бухгалтер</t>
  </si>
  <si>
    <t>Н.О. Марчук</t>
  </si>
  <si>
    <t>Виконавець</t>
  </si>
  <si>
    <t>М.М. Кірейцева</t>
  </si>
  <si>
    <t>ЗАТВЕРДЖУЮ</t>
  </si>
  <si>
    <t>в.о. Генерального директора</t>
  </si>
  <si>
    <t>Голови Правління</t>
  </si>
  <si>
    <t>________________ Іващук Ф.С.</t>
  </si>
  <si>
    <t>25.10.2012 року</t>
  </si>
  <si>
    <t>31.12.2012р.</t>
  </si>
  <si>
    <t>ПАО "Запорожтрансформатор" (тендер)</t>
  </si>
  <si>
    <t>ЭЮМ "Реагент"</t>
  </si>
  <si>
    <t>ТОВ "Проматом", ТОВ "Альфа-Енерджи"</t>
  </si>
  <si>
    <t>ТОВ "Проматом"</t>
  </si>
  <si>
    <t>ТОВ "Інвест Буд  ІК" (тендер)</t>
  </si>
  <si>
    <t>№ 331 від 31.12.2012</t>
  </si>
  <si>
    <t>№301 від 30.11.2012р</t>
  </si>
  <si>
    <t>№333 від 31.12.2012</t>
  </si>
  <si>
    <t>№299 від 30.11.2012р. №332 від 31.12.2012</t>
  </si>
  <si>
    <t>№300 від 30.11.2012</t>
  </si>
  <si>
    <t>№3 від 30.11.2012</t>
  </si>
  <si>
    <t>№258 от 31.10.2012</t>
  </si>
  <si>
    <t>№2 від 30.11.2012</t>
  </si>
  <si>
    <t>№731 от 01.11.2012</t>
  </si>
  <si>
    <t>№307 від 30.11.2012</t>
  </si>
  <si>
    <t>№304 від 30.11.2012</t>
  </si>
  <si>
    <t>№303 від 30.11.2012</t>
  </si>
  <si>
    <t>№350 від 31.12.2012</t>
  </si>
  <si>
    <t>ООО НПП"Техенергоснаб" (тендер)</t>
  </si>
  <si>
    <t>№188-190 від 31.08.2012р., №243 від 30.09.2012р.</t>
  </si>
  <si>
    <t>№74 від 02.04.2012, №240 від 30.09.2012, №108 від 21.05.2012</t>
  </si>
  <si>
    <t>№№ 352, 812, 813, 353, 814, 815, 354, 816, 817 від 31.12.2012</t>
  </si>
  <si>
    <t>№№ 384, 821 від 31.12.2012</t>
  </si>
  <si>
    <t>№№ 411, 824; 413, 825 від 31.12.2012</t>
  </si>
  <si>
    <t>№ 474 від 31.12.2012</t>
  </si>
  <si>
    <t>№ 476 від 31.12.2012</t>
  </si>
  <si>
    <t>№ 473 від 31.12.2012</t>
  </si>
  <si>
    <t>№ 471 від 31.12.2012</t>
  </si>
  <si>
    <t>№ 472 від 31.12.2012</t>
  </si>
  <si>
    <t>№№ 829-839 від 31.12.2012р.</t>
  </si>
  <si>
    <t>№№ 395,401, 412, 480 від 31.12.2012</t>
  </si>
  <si>
    <t>за звітний період з 01.01.2012р. по 31.12.2012р.</t>
  </si>
  <si>
    <t xml:space="preserve"> профінансовано</t>
  </si>
  <si>
    <t>Освоєно</t>
  </si>
  <si>
    <t>Реквізити документа, який засвідчує прийняття в експлуатацію закінченого будівництвом об'єкта або очікувана дата прийняття в експлуатацію перехідних об'єктів</t>
  </si>
  <si>
    <r>
      <t>Залишилось не профінансовано</t>
    </r>
    <r>
      <rPr>
        <sz val="10"/>
        <color rgb="FFFF0000"/>
        <rFont val="Arial"/>
        <family val="2"/>
        <charset val="204"/>
      </rPr>
      <t xml:space="preserve"> </t>
    </r>
  </si>
  <si>
    <t>Відсоток фінансування</t>
  </si>
  <si>
    <t>Залишилось не профінансовано, тис.грн (з ПДВ)</t>
  </si>
  <si>
    <t xml:space="preserve">освоєно </t>
  </si>
  <si>
    <t>профінансовано</t>
  </si>
  <si>
    <t>освоєно</t>
  </si>
  <si>
    <t xml:space="preserve">Відсоток фінансування </t>
  </si>
  <si>
    <t>1.2. Заходи зі зниження нетехнічних витрат електричної енергії</t>
  </si>
  <si>
    <t>1.6. Модернізація та закупівля колісної техніки</t>
  </si>
  <si>
    <t>Цільові програми</t>
  </si>
  <si>
    <t>Заходи зі зниження нетехнічних витрат електричної енергії</t>
  </si>
  <si>
    <t>Впровадження та розвиток автоматизованих систем диспетчерсько-технологічного керування (АСДТК)</t>
  </si>
  <si>
    <t xml:space="preserve">Впровадження та розвиток систем зв'язку </t>
  </si>
  <si>
    <t>Модернізація та закупівля колісної техніки</t>
  </si>
  <si>
    <t xml:space="preserve">інше </t>
  </si>
  <si>
    <t>Модернізація наявних та закупівля нових апаратних засобів інформатезації, у т.ч.:</t>
  </si>
  <si>
    <t>інші засоби інформатезації</t>
  </si>
  <si>
    <t>Закупівля операційних систем, у т.ч.:</t>
  </si>
  <si>
    <t>іншіх систем контролю та управління</t>
  </si>
  <si>
    <t>4.3.3.</t>
  </si>
  <si>
    <t>впровадження корпоративного зв'язку ліцензіата</t>
  </si>
  <si>
    <t>цифрові автоматичні телефонні станції (АТС)</t>
  </si>
  <si>
    <t>модернізація наявних видів зв'язку (радіо, високочастотні, радіорелейні тощо)</t>
  </si>
  <si>
    <t xml:space="preserve">резервне електроживлення засобів зв'язку </t>
  </si>
  <si>
    <t>1.5. Впровадження та розвиток системи зв'язку</t>
  </si>
  <si>
    <t>Заміна вимірювальних трансформаторів
 0,4 кВ</t>
  </si>
  <si>
    <t>Заміна вимірювальних трансформаторів
 6(10)-150 кВ</t>
  </si>
  <si>
    <t>придбання стендів повірки, зразкових лічильників, повірочних лабораторій</t>
  </si>
  <si>
    <t xml:space="preserve">  впровадження обліку електроенергії на    межі структурних підрозділів
(районів електричних мереж, філій)</t>
  </si>
  <si>
    <t>Будівництво нових ліній електропередачі (ЛЕП), усього, з них:</t>
  </si>
  <si>
    <t>Реконструкція ЛЕП, всього
з них:</t>
  </si>
  <si>
    <t>Будівництво нових підстанцій (ПС), розподільних пунктів (РП) та трансформаторних підстанцій (ТП),
усього, з них:</t>
  </si>
  <si>
    <r>
      <t>Закупівля комп‘</t>
    </r>
    <r>
      <rPr>
        <sz val="10"/>
        <rFont val="Arial"/>
        <family val="2"/>
        <charset val="204"/>
      </rPr>
      <t>ютерів та іншого комп</t>
    </r>
    <r>
      <rPr>
        <sz val="10"/>
        <rFont val="Times New Roman"/>
        <family val="1"/>
        <charset val="204"/>
      </rPr>
      <t>‘</t>
    </r>
    <r>
      <rPr>
        <sz val="10"/>
        <rFont val="Arial"/>
        <family val="2"/>
        <charset val="204"/>
      </rPr>
      <t>ютерного обладнання</t>
    </r>
  </si>
  <si>
    <t>ТОВ "ВКФ 
"РОМА, Лтд."</t>
  </si>
  <si>
    <t>ТОВ "ВКФ "РОМА, Лтд.", ТОВ "АВ-Консалтинг", ТОВ "СІ-ЕЛ"</t>
  </si>
  <si>
    <t xml:space="preserve">дог.№317  від 05.10.2012 </t>
  </si>
  <si>
    <t xml:space="preserve"> Профінансовано</t>
  </si>
  <si>
    <t>Рома ЛТД (тендер)</t>
  </si>
  <si>
    <t>Теле-Комплекс ТОВ (тендер)</t>
  </si>
  <si>
    <t>ТОВ "Дніпропетровський Автоцентр на Калиновій (тендер)</t>
  </si>
  <si>
    <t>ТОВ "Харківська автомобільна торгівельна компанія"</t>
  </si>
  <si>
    <t>V.1.1.4</t>
  </si>
  <si>
    <t>Витрачено коштів на фінансування капітальних вкладень (з наростаючим підсумком нз 31.12.2012р.)</t>
  </si>
  <si>
    <t>24.01.2013р.</t>
  </si>
  <si>
    <t>№ 151,152 від 01.06.2012р.</t>
  </si>
  <si>
    <t>6.1.</t>
  </si>
  <si>
    <t xml:space="preserve"> 6.2.</t>
  </si>
  <si>
    <t xml:space="preserve"> 6.3.</t>
  </si>
  <si>
    <t xml:space="preserve"> 6.4.</t>
  </si>
  <si>
    <t>в.о. Генерального директора - Голови Правління</t>
  </si>
  <si>
    <t>№ 93 від 31.03.2012р., №№177-184,233 від 31.05.2012р. №№ 246-250 від 30.06.2012р.</t>
  </si>
  <si>
    <t>№№91,92 від 31.03.2012р., №№260-262 від 30.06.2012р.</t>
  </si>
  <si>
    <t>№86 від 30.04.11р., №№101-105 від 31.05.11р., №606  від 30.11.2011р.</t>
  </si>
  <si>
    <t>№№234-240 від31.05.2012р., №№241,259, б/н від 30.06.2012р.</t>
  </si>
  <si>
    <t>№№14,15 від 27.01.2012р.</t>
  </si>
</sst>
</file>

<file path=xl/styles.xml><?xml version="1.0" encoding="utf-8"?>
<styleSheet xmlns="http://schemas.openxmlformats.org/spreadsheetml/2006/main">
  <numFmts count="7">
    <numFmt numFmtId="43" formatCode="_-* #,##0.00_р_._-;\-* #,##0.00_р_._-;_-* &quot;-&quot;??_р_._-;_-@_-"/>
    <numFmt numFmtId="164" formatCode="_(* #,##0.00_);_(* \(#,##0.00\);_(* &quot;-&quot;??_);_(@_)"/>
    <numFmt numFmtId="165" formatCode="#,##0.000_ ;[Red]\-#,##0.000\ "/>
    <numFmt numFmtId="166" formatCode="#,##0.0_ ;[Red]\-#,##0.0\ "/>
    <numFmt numFmtId="167" formatCode="#,##0.00_ ;[Red]\-#,##0.00\ "/>
    <numFmt numFmtId="168" formatCode="0.000"/>
    <numFmt numFmtId="169" formatCode="_(* #,##0_);_(* \(#,##0\);_(* &quot;-&quot;??_);_(@_)"/>
  </numFmts>
  <fonts count="65">
    <font>
      <sz val="10"/>
      <name val="Arial"/>
    </font>
    <font>
      <sz val="10"/>
      <name val="Arial"/>
      <family val="2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b/>
      <sz val="10"/>
      <name val="Arial Cyr"/>
      <charset val="204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0"/>
      <name val="Arial CE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color indexed="58"/>
      <name val="Arial"/>
      <family val="2"/>
      <charset val="204"/>
    </font>
    <font>
      <sz val="9"/>
      <name val="Arial"/>
      <family val="2"/>
      <charset val="204"/>
    </font>
    <font>
      <sz val="12"/>
      <name val="Times New Roman"/>
      <family val="1"/>
      <charset val="204"/>
    </font>
    <font>
      <sz val="10"/>
      <name val="PragmaticaCTT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color indexed="16"/>
      <name val="Arial"/>
      <family val="2"/>
      <charset val="204"/>
    </font>
    <font>
      <b/>
      <i/>
      <sz val="10"/>
      <color indexed="16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8"/>
      <color indexed="5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0"/>
      <color indexed="58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i/>
      <sz val="10"/>
      <color indexed="18"/>
      <name val="Arial"/>
      <family val="2"/>
      <charset val="204"/>
    </font>
    <font>
      <b/>
      <sz val="10"/>
      <color indexed="62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9"/>
      <color indexed="16"/>
      <name val="Arial"/>
      <family val="2"/>
      <charset val="204"/>
    </font>
    <font>
      <b/>
      <sz val="9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59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Times New Roman"/>
      <family val="1"/>
      <charset val="204"/>
    </font>
    <font>
      <sz val="9"/>
      <name val="Arial Cyr"/>
      <charset val="204"/>
    </font>
    <font>
      <b/>
      <sz val="9"/>
      <color indexed="18"/>
      <name val="Arial"/>
      <family val="2"/>
      <charset val="204"/>
    </font>
    <font>
      <sz val="7"/>
      <name val="Arial"/>
      <family val="2"/>
      <charset val="204"/>
    </font>
    <font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sz val="8"/>
      <color indexed="16"/>
      <name val="Times New Roman"/>
      <family val="1"/>
      <charset val="204"/>
    </font>
    <font>
      <b/>
      <sz val="8"/>
      <color indexed="18"/>
      <name val="Times New Roman"/>
      <family val="1"/>
      <charset val="204"/>
    </font>
    <font>
      <b/>
      <sz val="8"/>
      <color indexed="5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62"/>
      <name val="Times New Roman"/>
      <family val="1"/>
      <charset val="204"/>
    </font>
    <font>
      <b/>
      <i/>
      <sz val="8"/>
      <color indexed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sz val="10"/>
      <color rgb="FFFF0000"/>
      <name val="Arial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10" fillId="0" borderId="0"/>
    <xf numFmtId="164" fontId="1" fillId="0" borderId="0" applyFont="0" applyFill="0" applyBorder="0" applyAlignment="0" applyProtection="0"/>
    <xf numFmtId="0" fontId="23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</cellStyleXfs>
  <cellXfs count="581">
    <xf numFmtId="0" fontId="0" fillId="0" borderId="0" xfId="0"/>
    <xf numFmtId="0" fontId="7" fillId="0" borderId="1" xfId="3" applyFont="1" applyFill="1" applyBorder="1" applyAlignment="1" applyProtection="1">
      <alignment horizontal="center" vertical="center" wrapText="1"/>
    </xf>
    <xf numFmtId="0" fontId="7" fillId="0" borderId="2" xfId="3" applyFont="1" applyFill="1" applyBorder="1" applyAlignment="1" applyProtection="1">
      <alignment horizontal="center" vertical="center" wrapText="1"/>
    </xf>
    <xf numFmtId="0" fontId="7" fillId="0" borderId="0" xfId="3" applyFont="1" applyBorder="1" applyProtection="1"/>
    <xf numFmtId="0" fontId="7" fillId="0" borderId="1" xfId="3" applyFont="1" applyBorder="1" applyAlignment="1" applyProtection="1">
      <alignment horizontal="center" vertical="center" wrapText="1"/>
    </xf>
    <xf numFmtId="0" fontId="7" fillId="2" borderId="1" xfId="3" applyFont="1" applyFill="1" applyBorder="1" applyAlignment="1" applyProtection="1">
      <alignment horizontal="center" vertical="center" wrapText="1"/>
    </xf>
    <xf numFmtId="0" fontId="7" fillId="2" borderId="2" xfId="3" applyFont="1" applyFill="1" applyBorder="1" applyAlignment="1" applyProtection="1">
      <alignment horizontal="center" vertical="center" wrapText="1"/>
    </xf>
    <xf numFmtId="0" fontId="7" fillId="0" borderId="0" xfId="3" applyFont="1" applyProtection="1"/>
    <xf numFmtId="4" fontId="7" fillId="0" borderId="1" xfId="3" applyNumberFormat="1" applyFont="1" applyBorder="1" applyAlignment="1" applyProtection="1">
      <alignment horizontal="center" vertical="center"/>
    </xf>
    <xf numFmtId="0" fontId="7" fillId="0" borderId="1" xfId="3" applyFont="1" applyBorder="1" applyAlignment="1" applyProtection="1">
      <alignment horizontal="center" vertical="center"/>
    </xf>
    <xf numFmtId="10" fontId="7" fillId="0" borderId="1" xfId="3" applyNumberFormat="1" applyFont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 wrapText="1"/>
    </xf>
    <xf numFmtId="4" fontId="7" fillId="0" borderId="1" xfId="3" applyNumberFormat="1" applyFont="1" applyFill="1" applyBorder="1" applyAlignment="1" applyProtection="1">
      <alignment horizontal="center" vertical="center"/>
    </xf>
    <xf numFmtId="0" fontId="7" fillId="2" borderId="1" xfId="3" applyFont="1" applyFill="1" applyBorder="1" applyAlignment="1" applyProtection="1">
      <alignment horizontal="center" vertical="center"/>
    </xf>
    <xf numFmtId="0" fontId="8" fillId="0" borderId="1" xfId="3" applyFont="1" applyFill="1" applyBorder="1" applyAlignment="1" applyProtection="1">
      <alignment horizontal="center" vertical="center" wrapText="1"/>
    </xf>
    <xf numFmtId="0" fontId="7" fillId="0" borderId="0" xfId="3" applyFont="1" applyAlignment="1" applyProtection="1">
      <alignment horizontal="center" vertical="center" wrapText="1"/>
      <protection locked="0"/>
    </xf>
    <xf numFmtId="0" fontId="7" fillId="0" borderId="0" xfId="3" applyFont="1" applyBorder="1" applyAlignment="1" applyProtection="1">
      <alignment horizontal="center" vertical="center" wrapText="1"/>
      <protection locked="0"/>
    </xf>
    <xf numFmtId="0" fontId="7" fillId="2" borderId="1" xfId="3" applyFont="1" applyFill="1" applyBorder="1" applyAlignment="1" applyProtection="1">
      <alignment horizontal="center" vertical="center" wrapText="1"/>
      <protection locked="0"/>
    </xf>
    <xf numFmtId="0" fontId="7" fillId="0" borderId="1" xfId="3" applyFont="1" applyFill="1" applyBorder="1" applyAlignment="1" applyProtection="1">
      <alignment horizontal="center" vertical="center" wrapText="1"/>
      <protection locked="0"/>
    </xf>
    <xf numFmtId="0" fontId="7" fillId="0" borderId="0" xfId="3" applyFont="1" applyFill="1" applyBorder="1" applyAlignment="1" applyProtection="1">
      <alignment horizontal="center" vertical="center" wrapText="1"/>
      <protection locked="0"/>
    </xf>
    <xf numFmtId="10" fontId="7" fillId="0" borderId="1" xfId="3" applyNumberFormat="1" applyFont="1" applyFill="1" applyBorder="1" applyAlignment="1" applyProtection="1">
      <alignment horizontal="center" vertical="center"/>
    </xf>
    <xf numFmtId="0" fontId="8" fillId="0" borderId="1" xfId="3" applyFont="1" applyBorder="1" applyAlignment="1" applyProtection="1">
      <alignment horizontal="center" vertical="center" wrapText="1"/>
    </xf>
    <xf numFmtId="4" fontId="7" fillId="0" borderId="0" xfId="3" applyNumberFormat="1" applyFont="1" applyBorder="1" applyAlignment="1" applyProtection="1">
      <alignment horizontal="center" vertical="center"/>
    </xf>
    <xf numFmtId="0" fontId="7" fillId="2" borderId="1" xfId="3" applyFont="1" applyFill="1" applyBorder="1" applyAlignment="1" applyProtection="1">
      <alignment horizontal="center" vertical="top" wrapText="1"/>
    </xf>
    <xf numFmtId="0" fontId="11" fillId="0" borderId="0" xfId="3" applyFont="1"/>
    <xf numFmtId="0" fontId="11" fillId="0" borderId="0" xfId="3" applyFont="1" applyAlignment="1">
      <alignment horizontal="center"/>
    </xf>
    <xf numFmtId="0" fontId="12" fillId="0" borderId="0" xfId="1" applyFont="1" applyProtection="1">
      <protection hidden="1"/>
    </xf>
    <xf numFmtId="0" fontId="12" fillId="0" borderId="0" xfId="3" applyFont="1"/>
    <xf numFmtId="0" fontId="11" fillId="0" borderId="0" xfId="1" applyFont="1" applyProtection="1">
      <protection hidden="1"/>
    </xf>
    <xf numFmtId="0" fontId="11" fillId="0" borderId="0" xfId="1" applyFont="1" applyAlignment="1" applyProtection="1">
      <alignment horizontal="left" indent="3"/>
      <protection hidden="1"/>
    </xf>
    <xf numFmtId="0" fontId="14" fillId="0" borderId="0" xfId="3" applyFont="1" applyFill="1" applyAlignment="1">
      <alignment horizontal="center" vertical="center" wrapText="1"/>
    </xf>
    <xf numFmtId="49" fontId="7" fillId="0" borderId="1" xfId="3" applyNumberFormat="1" applyFont="1" applyFill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/>
    </xf>
    <xf numFmtId="0" fontId="17" fillId="0" borderId="1" xfId="3" applyFont="1" applyFill="1" applyBorder="1" applyAlignment="1" applyProtection="1">
      <alignment horizontal="center" vertical="center" wrapText="1"/>
    </xf>
    <xf numFmtId="4" fontId="7" fillId="0" borderId="1" xfId="3" applyNumberFormat="1" applyFont="1" applyFill="1" applyBorder="1" applyAlignment="1" applyProtection="1">
      <alignment horizontal="center" vertical="center" wrapText="1"/>
    </xf>
    <xf numFmtId="0" fontId="23" fillId="0" borderId="1" xfId="3" applyNumberFormat="1" applyFont="1" applyFill="1" applyBorder="1" applyAlignment="1" applyProtection="1">
      <alignment horizontal="center" vertical="center" wrapText="1"/>
    </xf>
    <xf numFmtId="0" fontId="23" fillId="0" borderId="0" xfId="3" applyFont="1" applyBorder="1" applyAlignment="1" applyProtection="1">
      <alignment horizontal="center" vertical="center" wrapText="1"/>
    </xf>
    <xf numFmtId="0" fontId="23" fillId="2" borderId="1" xfId="3" applyFont="1" applyFill="1" applyBorder="1" applyAlignment="1" applyProtection="1">
      <alignment horizontal="center" vertical="center" wrapText="1"/>
    </xf>
    <xf numFmtId="4" fontId="23" fillId="0" borderId="1" xfId="3" applyNumberFormat="1" applyFont="1" applyFill="1" applyBorder="1" applyAlignment="1" applyProtection="1">
      <alignment horizontal="center" vertical="center" wrapText="1"/>
    </xf>
    <xf numFmtId="10" fontId="23" fillId="0" borderId="1" xfId="3" applyNumberFormat="1" applyFont="1" applyFill="1" applyBorder="1" applyAlignment="1" applyProtection="1">
      <alignment horizontal="center" vertical="center" wrapText="1"/>
    </xf>
    <xf numFmtId="0" fontId="23" fillId="0" borderId="0" xfId="3" applyFont="1" applyAlignment="1" applyProtection="1">
      <alignment horizontal="center" vertical="center" wrapText="1"/>
    </xf>
    <xf numFmtId="0" fontId="23" fillId="0" borderId="0" xfId="3" applyFont="1" applyProtection="1"/>
    <xf numFmtId="0" fontId="23" fillId="0" borderId="0" xfId="3" applyFont="1"/>
    <xf numFmtId="0" fontId="1" fillId="0" borderId="0" xfId="3" applyFont="1"/>
    <xf numFmtId="0" fontId="23" fillId="0" borderId="6" xfId="3" applyFont="1" applyBorder="1" applyAlignment="1" applyProtection="1">
      <alignment horizontal="center" vertical="center"/>
    </xf>
    <xf numFmtId="14" fontId="23" fillId="3" borderId="6" xfId="3" applyNumberFormat="1" applyFont="1" applyFill="1" applyBorder="1" applyAlignment="1" applyProtection="1">
      <alignment horizontal="center" vertical="center"/>
      <protection locked="0"/>
    </xf>
    <xf numFmtId="0" fontId="23" fillId="0" borderId="7" xfId="3" applyFont="1" applyBorder="1" applyAlignment="1" applyProtection="1">
      <alignment horizontal="center" vertical="center"/>
    </xf>
    <xf numFmtId="0" fontId="23" fillId="0" borderId="6" xfId="3" applyFont="1" applyBorder="1" applyAlignment="1">
      <alignment horizontal="center" vertical="center"/>
    </xf>
    <xf numFmtId="0" fontId="24" fillId="0" borderId="0" xfId="3" applyFont="1"/>
    <xf numFmtId="0" fontId="32" fillId="0" borderId="1" xfId="3" applyFont="1" applyFill="1" applyBorder="1" applyAlignment="1">
      <alignment horizontal="center" vertical="center" wrapText="1"/>
    </xf>
    <xf numFmtId="2" fontId="7" fillId="0" borderId="1" xfId="3" applyNumberFormat="1" applyFont="1" applyFill="1" applyBorder="1" applyAlignment="1">
      <alignment horizontal="center"/>
    </xf>
    <xf numFmtId="0" fontId="7" fillId="4" borderId="1" xfId="3" applyFont="1" applyFill="1" applyBorder="1" applyAlignment="1">
      <alignment wrapText="1"/>
    </xf>
    <xf numFmtId="0" fontId="8" fillId="0" borderId="1" xfId="3" applyFont="1" applyFill="1" applyBorder="1" applyAlignment="1" applyProtection="1">
      <alignment horizontal="center" vertical="center" wrapText="1"/>
      <protection locked="0"/>
    </xf>
    <xf numFmtId="0" fontId="8" fillId="0" borderId="1" xfId="3" applyFont="1" applyBorder="1" applyAlignment="1" applyProtection="1">
      <alignment horizontal="center" vertical="center" wrapText="1"/>
      <protection locked="0"/>
    </xf>
    <xf numFmtId="2" fontId="8" fillId="0" borderId="1" xfId="3" applyNumberFormat="1" applyFont="1" applyBorder="1" applyAlignment="1" applyProtection="1">
      <alignment horizontal="center" vertical="center" wrapText="1"/>
      <protection locked="0"/>
    </xf>
    <xf numFmtId="0" fontId="8" fillId="0" borderId="0" xfId="3" applyFont="1" applyAlignment="1" applyProtection="1">
      <alignment horizontal="center" vertical="center" wrapText="1"/>
      <protection locked="0"/>
    </xf>
    <xf numFmtId="164" fontId="7" fillId="0" borderId="1" xfId="2" applyFont="1" applyFill="1" applyBorder="1" applyAlignment="1" applyProtection="1">
      <alignment horizontal="center" vertical="center" wrapText="1"/>
      <protection locked="0"/>
    </xf>
    <xf numFmtId="164" fontId="8" fillId="0" borderId="1" xfId="3" applyNumberFormat="1" applyFont="1" applyBorder="1" applyAlignment="1" applyProtection="1">
      <alignment horizontal="center" vertical="center" wrapText="1"/>
      <protection locked="0"/>
    </xf>
    <xf numFmtId="0" fontId="42" fillId="0" borderId="1" xfId="3" applyFont="1" applyFill="1" applyBorder="1" applyAlignment="1">
      <alignment horizontal="center" vertical="center" wrapText="1"/>
    </xf>
    <xf numFmtId="0" fontId="44" fillId="0" borderId="1" xfId="3" applyFont="1" applyFill="1" applyBorder="1" applyAlignment="1" applyProtection="1">
      <alignment horizontal="center" vertical="center" wrapText="1"/>
      <protection locked="0"/>
    </xf>
    <xf numFmtId="164" fontId="43" fillId="0" borderId="1" xfId="2" applyFont="1" applyFill="1" applyBorder="1" applyAlignment="1">
      <alignment horizontal="center" wrapText="1"/>
    </xf>
    <xf numFmtId="0" fontId="44" fillId="0" borderId="0" xfId="3" applyFont="1" applyFill="1" applyBorder="1" applyAlignment="1" applyProtection="1">
      <alignment horizontal="center" vertical="center" wrapText="1"/>
      <protection locked="0"/>
    </xf>
    <xf numFmtId="0" fontId="45" fillId="0" borderId="1" xfId="3" applyFont="1" applyFill="1" applyBorder="1" applyAlignment="1">
      <alignment horizontal="center" vertical="center" wrapText="1"/>
    </xf>
    <xf numFmtId="164" fontId="44" fillId="0" borderId="1" xfId="2" applyFont="1" applyFill="1" applyBorder="1" applyAlignment="1" applyProtection="1">
      <alignment horizontal="center" vertical="center" wrapText="1"/>
      <protection locked="0"/>
    </xf>
    <xf numFmtId="0" fontId="43" fillId="0" borderId="1" xfId="3" applyFont="1" applyFill="1" applyBorder="1" applyAlignment="1">
      <alignment horizontal="center"/>
    </xf>
    <xf numFmtId="0" fontId="44" fillId="4" borderId="1" xfId="3" applyFont="1" applyFill="1" applyBorder="1" applyAlignment="1">
      <alignment horizontal="left" vertical="center" wrapText="1"/>
    </xf>
    <xf numFmtId="164" fontId="44" fillId="0" borderId="1" xfId="3" applyNumberFormat="1" applyFont="1" applyFill="1" applyBorder="1" applyAlignment="1" applyProtection="1">
      <alignment horizontal="center" vertical="center" wrapText="1"/>
      <protection locked="0"/>
    </xf>
    <xf numFmtId="164" fontId="7" fillId="0" borderId="1" xfId="2" applyFont="1" applyFill="1" applyBorder="1" applyAlignment="1">
      <alignment horizontal="center"/>
    </xf>
    <xf numFmtId="10" fontId="8" fillId="0" borderId="1" xfId="3" applyNumberFormat="1" applyFont="1" applyBorder="1" applyAlignment="1" applyProtection="1">
      <alignment horizontal="center" vertical="center" wrapText="1"/>
      <protection locked="0"/>
    </xf>
    <xf numFmtId="0" fontId="28" fillId="0" borderId="1" xfId="7" applyFont="1" applyFill="1" applyBorder="1" applyAlignment="1">
      <alignment horizontal="center" vertical="center" wrapText="1"/>
    </xf>
    <xf numFmtId="0" fontId="30" fillId="0" borderId="1" xfId="7" applyFont="1" applyFill="1" applyBorder="1" applyAlignment="1">
      <alignment horizontal="center" vertical="center" wrapText="1"/>
    </xf>
    <xf numFmtId="2" fontId="16" fillId="0" borderId="1" xfId="7" applyNumberFormat="1" applyFont="1" applyFill="1" applyBorder="1" applyAlignment="1">
      <alignment horizontal="center" vertical="center"/>
    </xf>
    <xf numFmtId="2" fontId="16" fillId="0" borderId="1" xfId="7" applyNumberFormat="1" applyFont="1" applyFill="1" applyBorder="1" applyAlignment="1">
      <alignment horizontal="center" vertical="center" wrapText="1"/>
    </xf>
    <xf numFmtId="0" fontId="8" fillId="6" borderId="1" xfId="7" applyFont="1" applyFill="1" applyBorder="1" applyAlignment="1">
      <alignment horizontal="left" vertical="center" wrapText="1"/>
    </xf>
    <xf numFmtId="0" fontId="1" fillId="6" borderId="1" xfId="7" applyFont="1" applyFill="1" applyBorder="1" applyAlignment="1">
      <alignment horizontal="left" vertical="center" wrapText="1"/>
    </xf>
    <xf numFmtId="2" fontId="18" fillId="7" borderId="1" xfId="8" applyNumberFormat="1" applyFont="1" applyFill="1" applyBorder="1" applyAlignment="1">
      <alignment horizontal="center" vertical="center" wrapText="1"/>
    </xf>
    <xf numFmtId="164" fontId="11" fillId="7" borderId="1" xfId="2" applyNumberFormat="1" applyFont="1" applyFill="1" applyBorder="1" applyAlignment="1">
      <alignment horizontal="left" vertical="center" wrapText="1"/>
    </xf>
    <xf numFmtId="0" fontId="1" fillId="0" borderId="1" xfId="7" applyFont="1" applyFill="1" applyBorder="1" applyAlignment="1">
      <alignment horizontal="left" vertical="center" wrapText="1"/>
    </xf>
    <xf numFmtId="0" fontId="1" fillId="4" borderId="1" xfId="7" applyFont="1" applyFill="1" applyBorder="1" applyAlignment="1">
      <alignment horizontal="left" vertical="center" wrapText="1"/>
    </xf>
    <xf numFmtId="2" fontId="16" fillId="4" borderId="1" xfId="7" applyNumberFormat="1" applyFont="1" applyFill="1" applyBorder="1" applyAlignment="1">
      <alignment horizontal="center" vertical="center" wrapText="1"/>
    </xf>
    <xf numFmtId="2" fontId="1" fillId="0" borderId="1" xfId="7" applyNumberFormat="1" applyFont="1" applyFill="1" applyBorder="1" applyAlignment="1">
      <alignment horizontal="center" vertical="center" wrapText="1"/>
    </xf>
    <xf numFmtId="2" fontId="1" fillId="6" borderId="1" xfId="7" applyNumberFormat="1" applyFont="1" applyFill="1" applyBorder="1" applyAlignment="1">
      <alignment horizontal="left" vertical="center" wrapText="1"/>
    </xf>
    <xf numFmtId="164" fontId="1" fillId="7" borderId="1" xfId="2" applyNumberFormat="1" applyFont="1" applyFill="1" applyBorder="1" applyAlignment="1">
      <alignment horizontal="left" vertical="center" wrapText="1"/>
    </xf>
    <xf numFmtId="2" fontId="8" fillId="0" borderId="1" xfId="7" applyNumberFormat="1" applyFont="1" applyFill="1" applyBorder="1" applyAlignment="1">
      <alignment horizontal="center" vertical="center" wrapText="1"/>
    </xf>
    <xf numFmtId="2" fontId="8" fillId="4" borderId="1" xfId="7" applyNumberFormat="1" applyFont="1" applyFill="1" applyBorder="1" applyAlignment="1">
      <alignment horizontal="center" vertical="center" wrapText="1"/>
    </xf>
    <xf numFmtId="164" fontId="1" fillId="7" borderId="1" xfId="2" applyNumberFormat="1" applyFont="1" applyFill="1" applyBorder="1" applyAlignment="1">
      <alignment horizontal="left" vertical="center"/>
    </xf>
    <xf numFmtId="0" fontId="1" fillId="0" borderId="1" xfId="7" applyFont="1" applyFill="1" applyBorder="1" applyAlignment="1">
      <alignment horizontal="center" vertical="center" wrapText="1"/>
    </xf>
    <xf numFmtId="0" fontId="18" fillId="7" borderId="1" xfId="9" applyFont="1" applyFill="1" applyBorder="1" applyAlignment="1">
      <alignment horizontal="center" vertical="center" wrapText="1"/>
    </xf>
    <xf numFmtId="2" fontId="1" fillId="7" borderId="1" xfId="9" applyNumberFormat="1" applyFont="1" applyFill="1" applyBorder="1" applyAlignment="1">
      <alignment horizontal="left" vertical="center" wrapText="1"/>
    </xf>
    <xf numFmtId="0" fontId="8" fillId="0" borderId="1" xfId="7" applyFont="1" applyFill="1" applyBorder="1" applyAlignment="1">
      <alignment horizontal="center" vertical="center" wrapText="1"/>
    </xf>
    <xf numFmtId="2" fontId="1" fillId="6" borderId="1" xfId="7" applyNumberFormat="1" applyFont="1" applyFill="1" applyBorder="1" applyAlignment="1">
      <alignment horizontal="center" vertical="center" wrapText="1"/>
    </xf>
    <xf numFmtId="0" fontId="1" fillId="6" borderId="1" xfId="7" applyFont="1" applyFill="1" applyBorder="1" applyAlignment="1">
      <alignment horizontal="center" vertical="center"/>
    </xf>
    <xf numFmtId="2" fontId="1" fillId="4" borderId="1" xfId="7" applyNumberFormat="1" applyFont="1" applyFill="1" applyBorder="1" applyAlignment="1">
      <alignment horizontal="center" vertical="center" wrapText="1"/>
    </xf>
    <xf numFmtId="2" fontId="28" fillId="0" borderId="1" xfId="7" applyNumberFormat="1" applyFont="1" applyBorder="1" applyAlignment="1">
      <alignment horizontal="center" vertical="center" wrapText="1"/>
    </xf>
    <xf numFmtId="2" fontId="30" fillId="0" borderId="1" xfId="7" applyNumberFormat="1" applyFont="1" applyBorder="1" applyAlignment="1">
      <alignment horizontal="center" vertical="center" wrapText="1"/>
    </xf>
    <xf numFmtId="2" fontId="16" fillId="0" borderId="1" xfId="7" applyNumberFormat="1" applyFont="1" applyBorder="1" applyAlignment="1">
      <alignment horizontal="center" vertical="center"/>
    </xf>
    <xf numFmtId="2" fontId="30" fillId="4" borderId="1" xfId="7" applyNumberFormat="1" applyFont="1" applyFill="1" applyBorder="1" applyAlignment="1">
      <alignment horizontal="center" vertical="center" wrapText="1"/>
    </xf>
    <xf numFmtId="1" fontId="1" fillId="4" borderId="1" xfId="7" applyNumberFormat="1" applyFont="1" applyFill="1" applyBorder="1" applyAlignment="1">
      <alignment horizontal="center" vertical="center"/>
    </xf>
    <xf numFmtId="2" fontId="1" fillId="4" borderId="1" xfId="7" applyNumberFormat="1" applyFont="1" applyFill="1" applyBorder="1" applyAlignment="1">
      <alignment horizontal="center" vertical="center"/>
    </xf>
    <xf numFmtId="167" fontId="8" fillId="3" borderId="1" xfId="7" applyNumberFormat="1" applyFont="1" applyFill="1" applyBorder="1" applyAlignment="1">
      <alignment horizontal="center" vertical="center"/>
    </xf>
    <xf numFmtId="2" fontId="8" fillId="4" borderId="1" xfId="7" applyNumberFormat="1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horizontal="center" vertical="center" wrapText="1"/>
    </xf>
    <xf numFmtId="2" fontId="14" fillId="0" borderId="1" xfId="7" applyNumberFormat="1" applyFont="1" applyFill="1" applyBorder="1" applyAlignment="1">
      <alignment horizontal="center" vertical="center" wrapText="1"/>
    </xf>
    <xf numFmtId="2" fontId="14" fillId="0" borderId="1" xfId="7" applyNumberFormat="1" applyFont="1" applyBorder="1" applyAlignment="1">
      <alignment horizontal="center" vertical="center" wrapText="1"/>
    </xf>
    <xf numFmtId="49" fontId="47" fillId="0" borderId="1" xfId="7" applyNumberFormat="1" applyFont="1" applyFill="1" applyBorder="1" applyAlignment="1">
      <alignment horizontal="left"/>
    </xf>
    <xf numFmtId="0" fontId="48" fillId="0" borderId="1" xfId="10" applyFont="1" applyFill="1" applyBorder="1" applyAlignment="1">
      <alignment horizontal="left" vertical="center"/>
    </xf>
    <xf numFmtId="49" fontId="47" fillId="4" borderId="1" xfId="8" applyNumberFormat="1" applyFont="1" applyFill="1" applyBorder="1" applyAlignment="1">
      <alignment horizontal="left"/>
    </xf>
    <xf numFmtId="0" fontId="25" fillId="0" borderId="1" xfId="7" applyFont="1" applyFill="1" applyBorder="1" applyAlignment="1">
      <alignment horizontal="center" vertical="center" wrapText="1"/>
    </xf>
    <xf numFmtId="2" fontId="28" fillId="0" borderId="1" xfId="7" applyNumberFormat="1" applyFont="1" applyFill="1" applyBorder="1" applyAlignment="1">
      <alignment horizontal="center" vertical="center" wrapText="1"/>
    </xf>
    <xf numFmtId="0" fontId="29" fillId="0" borderId="1" xfId="7" applyFont="1" applyFill="1" applyBorder="1" applyAlignment="1">
      <alignment horizontal="center" vertical="center" wrapText="1"/>
    </xf>
    <xf numFmtId="2" fontId="31" fillId="0" borderId="1" xfId="7" applyNumberFormat="1" applyFont="1" applyFill="1" applyBorder="1" applyAlignment="1">
      <alignment horizontal="center" vertical="center" wrapText="1"/>
    </xf>
    <xf numFmtId="2" fontId="33" fillId="0" borderId="1" xfId="7" applyNumberFormat="1" applyFont="1" applyFill="1" applyBorder="1" applyAlignment="1">
      <alignment horizontal="center" vertical="center" wrapText="1"/>
    </xf>
    <xf numFmtId="2" fontId="5" fillId="0" borderId="1" xfId="7" applyNumberFormat="1" applyFont="1" applyFill="1" applyBorder="1" applyAlignment="1">
      <alignment horizontal="center" vertical="center" wrapText="1"/>
    </xf>
    <xf numFmtId="2" fontId="30" fillId="0" borderId="1" xfId="7" applyNumberFormat="1" applyFont="1" applyFill="1" applyBorder="1" applyAlignment="1">
      <alignment horizontal="center" vertical="center" wrapText="1"/>
    </xf>
    <xf numFmtId="164" fontId="34" fillId="7" borderId="1" xfId="2" applyNumberFormat="1" applyFont="1" applyFill="1" applyBorder="1" applyAlignment="1">
      <alignment horizontal="center" vertical="center" wrapText="1"/>
    </xf>
    <xf numFmtId="164" fontId="1" fillId="7" borderId="1" xfId="2" applyNumberFormat="1" applyFont="1" applyFill="1" applyBorder="1" applyAlignment="1">
      <alignment horizontal="center" vertical="center" wrapText="1"/>
    </xf>
    <xf numFmtId="0" fontId="16" fillId="0" borderId="1" xfId="7" applyFont="1" applyFill="1" applyBorder="1" applyAlignment="1">
      <alignment horizontal="center" vertical="center" wrapText="1"/>
    </xf>
    <xf numFmtId="0" fontId="1" fillId="0" borderId="1" xfId="7" applyFont="1" applyFill="1" applyBorder="1" applyAlignment="1">
      <alignment horizontal="center" vertical="center"/>
    </xf>
    <xf numFmtId="2" fontId="1" fillId="0" borderId="1" xfId="7" applyNumberFormat="1" applyFont="1" applyFill="1" applyBorder="1" applyAlignment="1">
      <alignment horizontal="center" vertical="center"/>
    </xf>
    <xf numFmtId="0" fontId="25" fillId="0" borderId="1" xfId="7" applyFont="1" applyBorder="1" applyAlignment="1">
      <alignment horizontal="center" vertical="center" wrapText="1"/>
    </xf>
    <xf numFmtId="0" fontId="28" fillId="0" borderId="1" xfId="7" applyFont="1" applyBorder="1" applyAlignment="1">
      <alignment horizontal="center" vertical="center" wrapText="1"/>
    </xf>
    <xf numFmtId="0" fontId="1" fillId="5" borderId="1" xfId="7" applyFont="1" applyFill="1" applyBorder="1" applyAlignment="1">
      <alignment horizontal="center" vertical="center"/>
    </xf>
    <xf numFmtId="0" fontId="5" fillId="5" borderId="1" xfId="7" applyFont="1" applyFill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1" fillId="4" borderId="1" xfId="7" applyFont="1" applyFill="1" applyBorder="1" applyAlignment="1">
      <alignment horizontal="center" vertical="center"/>
    </xf>
    <xf numFmtId="0" fontId="8" fillId="5" borderId="1" xfId="7" applyFont="1" applyFill="1" applyBorder="1" applyAlignment="1">
      <alignment horizontal="left" vertical="center" wrapText="1"/>
    </xf>
    <xf numFmtId="0" fontId="1" fillId="5" borderId="1" xfId="7" applyFont="1" applyFill="1" applyBorder="1" applyAlignment="1">
      <alignment horizontal="center" vertical="center" wrapText="1"/>
    </xf>
    <xf numFmtId="2" fontId="8" fillId="5" borderId="1" xfId="7" applyNumberFormat="1" applyFont="1" applyFill="1" applyBorder="1" applyAlignment="1">
      <alignment horizontal="center" vertical="center" wrapText="1"/>
    </xf>
    <xf numFmtId="0" fontId="34" fillId="0" borderId="1" xfId="7" applyFont="1" applyFill="1" applyBorder="1" applyAlignment="1">
      <alignment horizontal="center" vertical="center" wrapText="1"/>
    </xf>
    <xf numFmtId="0" fontId="1" fillId="0" borderId="1" xfId="11" applyFont="1" applyFill="1" applyBorder="1" applyAlignment="1">
      <alignment horizontal="left" vertical="center" wrapText="1"/>
    </xf>
    <xf numFmtId="0" fontId="1" fillId="0" borderId="1" xfId="6" applyFont="1" applyFill="1" applyBorder="1" applyAlignment="1">
      <alignment horizontal="left" vertical="center" wrapText="1"/>
    </xf>
    <xf numFmtId="0" fontId="30" fillId="0" borderId="1" xfId="7" applyFont="1" applyFill="1" applyBorder="1" applyAlignment="1">
      <alignment horizontal="left" vertical="center" wrapText="1"/>
    </xf>
    <xf numFmtId="0" fontId="29" fillId="0" borderId="1" xfId="7" applyFont="1" applyBorder="1" applyAlignment="1">
      <alignment horizontal="center" vertical="center" wrapText="1"/>
    </xf>
    <xf numFmtId="0" fontId="1" fillId="0" borderId="1" xfId="6" applyFont="1" applyFill="1" applyBorder="1" applyAlignment="1">
      <alignment horizontal="center" vertical="center" wrapText="1"/>
    </xf>
    <xf numFmtId="0" fontId="1" fillId="4" borderId="1" xfId="7" applyFont="1" applyFill="1" applyBorder="1" applyAlignment="1"/>
    <xf numFmtId="0" fontId="5" fillId="0" borderId="1" xfId="7" applyFont="1" applyBorder="1" applyAlignment="1">
      <alignment horizontal="center" vertical="center"/>
    </xf>
    <xf numFmtId="0" fontId="5" fillId="0" borderId="1" xfId="7" applyFont="1" applyFill="1" applyBorder="1" applyAlignment="1">
      <alignment horizontal="center" vertical="center" wrapText="1"/>
    </xf>
    <xf numFmtId="14" fontId="1" fillId="3" borderId="6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2" fontId="8" fillId="0" borderId="1" xfId="7" applyNumberFormat="1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left" vertical="center" wrapText="1"/>
    </xf>
    <xf numFmtId="0" fontId="1" fillId="0" borderId="1" xfId="3" applyFont="1" applyFill="1" applyBorder="1" applyAlignment="1" applyProtection="1">
      <alignment horizontal="center" vertical="center" wrapText="1"/>
    </xf>
    <xf numFmtId="49" fontId="1" fillId="0" borderId="1" xfId="3" applyNumberFormat="1" applyFont="1" applyFill="1" applyBorder="1" applyAlignment="1" applyProtection="1">
      <alignment horizontal="center" vertical="center" wrapText="1"/>
    </xf>
    <xf numFmtId="2" fontId="0" fillId="0" borderId="0" xfId="0" applyNumberFormat="1"/>
    <xf numFmtId="0" fontId="1" fillId="0" borderId="1" xfId="7" applyFont="1" applyFill="1" applyBorder="1" applyAlignment="1">
      <alignment horizontal="center" vertical="center" wrapText="1"/>
    </xf>
    <xf numFmtId="0" fontId="0" fillId="0" borderId="0" xfId="0"/>
    <xf numFmtId="0" fontId="20" fillId="2" borderId="12" xfId="9" applyFont="1" applyFill="1" applyBorder="1" applyAlignment="1">
      <alignment vertical="center"/>
    </xf>
    <xf numFmtId="0" fontId="19" fillId="0" borderId="0" xfId="9" applyFont="1" applyAlignment="1">
      <alignment vertical="center"/>
    </xf>
    <xf numFmtId="0" fontId="20" fillId="2" borderId="10" xfId="9" applyFont="1" applyFill="1" applyBorder="1" applyAlignment="1">
      <alignment vertical="center"/>
    </xf>
    <xf numFmtId="0" fontId="21" fillId="0" borderId="2" xfId="9" applyFont="1" applyBorder="1" applyAlignment="1">
      <alignment horizontal="center" vertical="center" wrapText="1"/>
    </xf>
    <xf numFmtId="0" fontId="22" fillId="0" borderId="1" xfId="9" applyNumberFormat="1" applyFont="1" applyBorder="1" applyAlignment="1">
      <alignment horizontal="center" vertical="center"/>
    </xf>
    <xf numFmtId="0" fontId="22" fillId="0" borderId="0" xfId="9" applyNumberFormat="1" applyFont="1" applyAlignment="1">
      <alignment horizontal="center" vertical="center"/>
    </xf>
    <xf numFmtId="0" fontId="1" fillId="0" borderId="1" xfId="9" applyFont="1" applyFill="1" applyBorder="1" applyAlignment="1">
      <alignment wrapText="1"/>
    </xf>
    <xf numFmtId="0" fontId="11" fillId="0" borderId="1" xfId="9" applyFont="1" applyFill="1" applyBorder="1" applyAlignment="1">
      <alignment horizontal="left"/>
    </xf>
    <xf numFmtId="0" fontId="11" fillId="0" borderId="1" xfId="9" applyFont="1" applyFill="1" applyBorder="1" applyAlignment="1">
      <alignment horizontal="center"/>
    </xf>
    <xf numFmtId="2" fontId="13" fillId="0" borderId="1" xfId="9" applyNumberFormat="1" applyFont="1" applyFill="1" applyBorder="1" applyAlignment="1">
      <alignment horizontal="center"/>
    </xf>
    <xf numFmtId="0" fontId="13" fillId="0" borderId="1" xfId="9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11" fillId="0" borderId="1" xfId="9" applyFont="1" applyFill="1" applyBorder="1" applyAlignment="1">
      <alignment horizontal="left" wrapText="1"/>
    </xf>
    <xf numFmtId="0" fontId="1" fillId="0" borderId="1" xfId="9" applyFont="1" applyFill="1" applyBorder="1" applyAlignment="1"/>
    <xf numFmtId="0" fontId="11" fillId="0" borderId="4" xfId="9" applyFont="1" applyFill="1" applyBorder="1" applyAlignment="1">
      <alignment horizontal="left"/>
    </xf>
    <xf numFmtId="2" fontId="11" fillId="0" borderId="4" xfId="0" applyNumberFormat="1" applyFont="1" applyFill="1" applyBorder="1" applyAlignment="1">
      <alignment horizontal="center"/>
    </xf>
    <xf numFmtId="0" fontId="11" fillId="0" borderId="1" xfId="9" applyNumberFormat="1" applyFont="1" applyFill="1" applyBorder="1" applyAlignment="1">
      <alignment horizontal="left" vertical="center" wrapText="1"/>
    </xf>
    <xf numFmtId="0" fontId="19" fillId="0" borderId="0" xfId="9" applyFont="1" applyFill="1" applyAlignment="1">
      <alignment vertical="center"/>
    </xf>
    <xf numFmtId="0" fontId="11" fillId="0" borderId="1" xfId="9" applyFont="1" applyFill="1" applyBorder="1" applyAlignment="1">
      <alignment horizontal="center" vertical="center"/>
    </xf>
    <xf numFmtId="16" fontId="1" fillId="0" borderId="1" xfId="9" applyNumberFormat="1" applyFont="1" applyFill="1" applyBorder="1" applyAlignment="1">
      <alignment horizontal="center"/>
    </xf>
    <xf numFmtId="0" fontId="11" fillId="0" borderId="1" xfId="9" applyFont="1" applyFill="1" applyBorder="1" applyAlignment="1">
      <alignment horizontal="left" vertical="center" wrapText="1"/>
    </xf>
    <xf numFmtId="4" fontId="11" fillId="0" borderId="1" xfId="9" applyNumberFormat="1" applyFont="1" applyFill="1" applyBorder="1" applyAlignment="1">
      <alignment horizontal="center" vertical="center" wrapText="1"/>
    </xf>
    <xf numFmtId="2" fontId="11" fillId="0" borderId="1" xfId="9" applyNumberFormat="1" applyFont="1" applyFill="1" applyBorder="1" applyAlignment="1">
      <alignment horizontal="center" vertical="center"/>
    </xf>
    <xf numFmtId="2" fontId="11" fillId="0" borderId="1" xfId="9" applyNumberFormat="1" applyFont="1" applyFill="1" applyBorder="1" applyAlignment="1">
      <alignment horizontal="center"/>
    </xf>
    <xf numFmtId="2" fontId="11" fillId="0" borderId="1" xfId="9" applyNumberFormat="1" applyFont="1" applyFill="1" applyBorder="1" applyAlignment="1">
      <alignment horizontal="center" vertical="center" wrapText="1"/>
    </xf>
    <xf numFmtId="0" fontId="11" fillId="0" borderId="1" xfId="9" applyNumberFormat="1" applyFont="1" applyFill="1" applyBorder="1" applyAlignment="1">
      <alignment horizontal="center" vertical="center"/>
    </xf>
    <xf numFmtId="2" fontId="16" fillId="3" borderId="1" xfId="9" applyNumberFormat="1" applyFont="1" applyFill="1" applyBorder="1" applyAlignment="1">
      <alignment vertical="center"/>
    </xf>
    <xf numFmtId="0" fontId="1" fillId="0" borderId="1" xfId="9" applyFont="1" applyFill="1" applyBorder="1" applyAlignment="1">
      <alignment horizontal="center"/>
    </xf>
    <xf numFmtId="168" fontId="11" fillId="0" borderId="1" xfId="9" applyNumberFormat="1" applyFont="1" applyFill="1" applyBorder="1" applyAlignment="1">
      <alignment horizontal="center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4" fillId="0" borderId="1" xfId="9" applyFont="1" applyFill="1" applyBorder="1" applyAlignment="1">
      <alignment horizontal="center" vertical="center" wrapText="1"/>
    </xf>
    <xf numFmtId="2" fontId="8" fillId="3" borderId="1" xfId="9" applyNumberFormat="1" applyFont="1" applyFill="1" applyBorder="1" applyAlignment="1">
      <alignment vertical="center"/>
    </xf>
    <xf numFmtId="165" fontId="11" fillId="0" borderId="1" xfId="9" applyNumberFormat="1" applyFont="1" applyFill="1" applyBorder="1" applyAlignment="1">
      <alignment horizontal="center" vertical="center"/>
    </xf>
    <xf numFmtId="166" fontId="11" fillId="0" borderId="1" xfId="9" applyNumberFormat="1" applyFont="1" applyFill="1" applyBorder="1" applyAlignment="1">
      <alignment horizontal="center" vertical="center" wrapText="1"/>
    </xf>
    <xf numFmtId="2" fontId="8" fillId="3" borderId="1" xfId="9" applyNumberFormat="1" applyFont="1" applyFill="1" applyBorder="1" applyAlignment="1">
      <alignment horizontal="left" vertical="center"/>
    </xf>
    <xf numFmtId="0" fontId="11" fillId="0" borderId="1" xfId="9" applyFont="1" applyFill="1" applyBorder="1" applyAlignment="1">
      <alignment wrapText="1"/>
    </xf>
    <xf numFmtId="0" fontId="1" fillId="0" borderId="1" xfId="9" applyFont="1" applyFill="1" applyBorder="1" applyAlignment="1">
      <alignment horizontal="center" vertical="center"/>
    </xf>
    <xf numFmtId="2" fontId="11" fillId="0" borderId="1" xfId="9" applyNumberFormat="1" applyFont="1" applyFill="1" applyBorder="1" applyAlignment="1">
      <alignment vertical="center"/>
    </xf>
    <xf numFmtId="0" fontId="11" fillId="0" borderId="1" xfId="9" applyFont="1" applyFill="1" applyBorder="1" applyAlignment="1">
      <alignment vertical="center"/>
    </xf>
    <xf numFmtId="166" fontId="15" fillId="0" borderId="1" xfId="9" applyNumberFormat="1" applyFont="1" applyFill="1" applyBorder="1" applyAlignment="1">
      <alignment horizontal="center" vertical="center" wrapText="1"/>
    </xf>
    <xf numFmtId="2" fontId="11" fillId="0" borderId="1" xfId="9" applyNumberFormat="1" applyFont="1" applyFill="1" applyBorder="1" applyAlignment="1">
      <alignment horizontal="left" wrapText="1"/>
    </xf>
    <xf numFmtId="4" fontId="8" fillId="3" borderId="1" xfId="9" applyNumberFormat="1" applyFont="1" applyFill="1" applyBorder="1" applyAlignment="1">
      <alignment vertical="center"/>
    </xf>
    <xf numFmtId="4" fontId="0" fillId="0" borderId="0" xfId="0" applyNumberFormat="1"/>
    <xf numFmtId="0" fontId="9" fillId="0" borderId="0" xfId="9" applyFont="1"/>
    <xf numFmtId="0" fontId="12" fillId="0" borderId="0" xfId="9" applyFont="1"/>
    <xf numFmtId="0" fontId="1" fillId="0" borderId="0" xfId="9" applyFont="1"/>
    <xf numFmtId="0" fontId="60" fillId="0" borderId="0" xfId="9" applyFont="1"/>
    <xf numFmtId="0" fontId="11" fillId="0" borderId="0" xfId="9" applyFont="1"/>
    <xf numFmtId="0" fontId="60" fillId="0" borderId="0" xfId="1" applyFont="1" applyBorder="1" applyAlignment="1" applyProtection="1">
      <alignment horizontal="left"/>
      <protection hidden="1"/>
    </xf>
    <xf numFmtId="0" fontId="18" fillId="0" borderId="0" xfId="9" applyFont="1"/>
    <xf numFmtId="0" fontId="18" fillId="0" borderId="0" xfId="9" applyFont="1" applyAlignment="1">
      <alignment horizontal="center"/>
    </xf>
    <xf numFmtId="0" fontId="48" fillId="0" borderId="0" xfId="9" applyFont="1" applyAlignment="1">
      <alignment horizontal="center"/>
    </xf>
    <xf numFmtId="0" fontId="48" fillId="0" borderId="0" xfId="9" applyFont="1"/>
    <xf numFmtId="0" fontId="17" fillId="0" borderId="1" xfId="3" applyFont="1" applyBorder="1" applyAlignment="1">
      <alignment horizontal="center" vertical="center" wrapText="1"/>
    </xf>
    <xf numFmtId="2" fontId="54" fillId="0" borderId="1" xfId="7" applyNumberFormat="1" applyFont="1" applyBorder="1" applyAlignment="1">
      <alignment horizontal="center" vertical="center" wrapText="1"/>
    </xf>
    <xf numFmtId="2" fontId="55" fillId="0" borderId="1" xfId="7" applyNumberFormat="1" applyFont="1" applyBorder="1" applyAlignment="1">
      <alignment horizontal="center" vertical="center" wrapText="1"/>
    </xf>
    <xf numFmtId="2" fontId="56" fillId="0" borderId="1" xfId="7" applyNumberFormat="1" applyFont="1" applyBorder="1" applyAlignment="1">
      <alignment horizontal="center" vertical="center"/>
    </xf>
    <xf numFmtId="164" fontId="18" fillId="7" borderId="1" xfId="2" applyNumberFormat="1" applyFont="1" applyFill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 wrapText="1"/>
    </xf>
    <xf numFmtId="164" fontId="18" fillId="0" borderId="1" xfId="2" applyNumberFormat="1" applyFont="1" applyFill="1" applyBorder="1" applyAlignment="1">
      <alignment horizontal="center" vertical="center" wrapText="1"/>
    </xf>
    <xf numFmtId="2" fontId="57" fillId="0" borderId="1" xfId="7" applyNumberFormat="1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1" fillId="0" borderId="1" xfId="3" applyFont="1" applyBorder="1" applyAlignment="1">
      <alignment horizontal="center" vertical="center" wrapText="1"/>
    </xf>
    <xf numFmtId="2" fontId="55" fillId="4" borderId="1" xfId="7" applyNumberFormat="1" applyFont="1" applyFill="1" applyBorder="1" applyAlignment="1">
      <alignment horizontal="center" vertical="center" wrapText="1"/>
    </xf>
    <xf numFmtId="2" fontId="56" fillId="4" borderId="1" xfId="7" applyNumberFormat="1" applyFont="1" applyFill="1" applyBorder="1" applyAlignment="1">
      <alignment horizontal="center" vertical="center" wrapText="1"/>
    </xf>
    <xf numFmtId="2" fontId="57" fillId="4" borderId="1" xfId="7" applyNumberFormat="1" applyFont="1" applyFill="1" applyBorder="1" applyAlignment="1">
      <alignment horizontal="center" vertical="center" wrapText="1"/>
    </xf>
    <xf numFmtId="0" fontId="52" fillId="0" borderId="1" xfId="7" applyFont="1" applyFill="1" applyBorder="1" applyAlignment="1">
      <alignment horizontal="center" vertical="center" wrapText="1"/>
    </xf>
    <xf numFmtId="167" fontId="57" fillId="3" borderId="1" xfId="7" applyNumberFormat="1" applyFont="1" applyFill="1" applyBorder="1" applyAlignment="1">
      <alignment horizontal="center" vertical="center"/>
    </xf>
    <xf numFmtId="2" fontId="54" fillId="0" borderId="1" xfId="7" applyNumberFormat="1" applyFont="1" applyFill="1" applyBorder="1" applyAlignment="1">
      <alignment horizontal="center" vertical="center" wrapText="1"/>
    </xf>
    <xf numFmtId="2" fontId="56" fillId="0" borderId="1" xfId="7" applyNumberFormat="1" applyFont="1" applyFill="1" applyBorder="1" applyAlignment="1">
      <alignment horizontal="center" vertical="center" wrapText="1"/>
    </xf>
    <xf numFmtId="2" fontId="55" fillId="0" borderId="1" xfId="7" applyNumberFormat="1" applyFont="1" applyFill="1" applyBorder="1" applyAlignment="1">
      <alignment horizontal="center" vertical="center" wrapText="1"/>
    </xf>
    <xf numFmtId="2" fontId="57" fillId="0" borderId="1" xfId="7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left" vertical="center" wrapText="1"/>
    </xf>
    <xf numFmtId="2" fontId="52" fillId="0" borderId="1" xfId="7" applyNumberFormat="1" applyFont="1" applyFill="1" applyBorder="1" applyAlignment="1">
      <alignment horizontal="center" vertical="center"/>
    </xf>
    <xf numFmtId="2" fontId="52" fillId="0" borderId="1" xfId="7" applyNumberFormat="1" applyFont="1" applyFill="1" applyBorder="1" applyAlignment="1">
      <alignment horizontal="center" vertical="center" wrapText="1"/>
    </xf>
    <xf numFmtId="2" fontId="57" fillId="5" borderId="1" xfId="7" applyNumberFormat="1" applyFont="1" applyFill="1" applyBorder="1" applyAlignment="1">
      <alignment horizontal="center" vertical="center" wrapText="1"/>
    </xf>
    <xf numFmtId="0" fontId="52" fillId="0" borderId="1" xfId="9" applyFont="1" applyBorder="1" applyAlignment="1">
      <alignment horizontal="center" vertical="center" wrapText="1"/>
    </xf>
    <xf numFmtId="2" fontId="11" fillId="0" borderId="1" xfId="7" applyNumberFormat="1" applyFont="1" applyFill="1" applyBorder="1" applyAlignment="1">
      <alignment horizontal="center" vertical="center" wrapText="1"/>
    </xf>
    <xf numFmtId="49" fontId="23" fillId="0" borderId="1" xfId="3" applyNumberFormat="1" applyFont="1" applyFill="1" applyBorder="1" applyAlignment="1" applyProtection="1">
      <alignment horizontal="center" vertical="center" wrapText="1"/>
    </xf>
    <xf numFmtId="0" fontId="23" fillId="0" borderId="1" xfId="3" applyFont="1" applyFill="1" applyBorder="1" applyAlignment="1" applyProtection="1">
      <alignment horizontal="center" vertical="center" wrapText="1"/>
    </xf>
    <xf numFmtId="0" fontId="23" fillId="0" borderId="1" xfId="3" applyFont="1" applyBorder="1" applyAlignment="1" applyProtection="1">
      <alignment horizontal="center" vertical="center" wrapText="1"/>
    </xf>
    <xf numFmtId="0" fontId="7" fillId="0" borderId="2" xfId="3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 applyProtection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23" fillId="0" borderId="2" xfId="3" applyFont="1" applyFill="1" applyBorder="1" applyAlignment="1" applyProtection="1">
      <alignment vertical="center" wrapText="1"/>
    </xf>
    <xf numFmtId="0" fontId="23" fillId="0" borderId="8" xfId="3" applyFont="1" applyFill="1" applyBorder="1" applyAlignment="1" applyProtection="1">
      <alignment vertical="center" wrapText="1"/>
    </xf>
    <xf numFmtId="0" fontId="1" fillId="0" borderId="1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 wrapText="1"/>
    </xf>
    <xf numFmtId="0" fontId="23" fillId="2" borderId="1" xfId="3" applyFont="1" applyFill="1" applyBorder="1" applyAlignment="1" applyProtection="1">
      <alignment horizontal="center" vertical="center"/>
    </xf>
    <xf numFmtId="0" fontId="7" fillId="0" borderId="0" xfId="3" applyFont="1" applyAlignment="1" applyProtection="1">
      <alignment horizontal="center"/>
    </xf>
    <xf numFmtId="0" fontId="1" fillId="0" borderId="1" xfId="3" applyNumberFormat="1" applyFont="1" applyFill="1" applyBorder="1" applyAlignment="1" applyProtection="1">
      <alignment horizontal="center" vertical="center" wrapText="1"/>
    </xf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right"/>
    </xf>
    <xf numFmtId="0" fontId="1" fillId="0" borderId="0" xfId="3" applyFont="1" applyAlignment="1" applyProtection="1">
      <alignment horizontal="right"/>
    </xf>
    <xf numFmtId="0" fontId="7" fillId="0" borderId="0" xfId="3" applyFont="1" applyAlignment="1" applyProtection="1">
      <alignment horizontal="right"/>
    </xf>
    <xf numFmtId="0" fontId="1" fillId="0" borderId="1" xfId="8" applyFont="1" applyFill="1" applyBorder="1" applyAlignment="1" applyProtection="1">
      <alignment horizontal="center" vertical="center" wrapText="1"/>
    </xf>
    <xf numFmtId="0" fontId="1" fillId="0" borderId="2" xfId="3" applyFont="1" applyFill="1" applyBorder="1" applyAlignment="1" applyProtection="1">
      <alignment horizontal="center" vertical="center" wrapText="1"/>
    </xf>
    <xf numFmtId="0" fontId="8" fillId="0" borderId="1" xfId="9" applyFont="1" applyFill="1" applyBorder="1" applyAlignment="1">
      <alignment horizontal="left" vertical="center"/>
    </xf>
    <xf numFmtId="2" fontId="8" fillId="0" borderId="1" xfId="9" applyNumberFormat="1" applyFont="1" applyFill="1" applyBorder="1" applyAlignment="1">
      <alignment horizontal="left" vertical="center"/>
    </xf>
    <xf numFmtId="0" fontId="8" fillId="0" borderId="15" xfId="9" applyFont="1" applyFill="1" applyBorder="1" applyAlignment="1">
      <alignment horizontal="left" vertical="center"/>
    </xf>
    <xf numFmtId="0" fontId="8" fillId="0" borderId="8" xfId="9" applyFont="1" applyFill="1" applyBorder="1" applyAlignment="1">
      <alignment horizontal="left" vertical="center"/>
    </xf>
    <xf numFmtId="0" fontId="1" fillId="0" borderId="2" xfId="3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 applyProtection="1">
      <alignment horizontal="center" vertical="center" wrapText="1"/>
    </xf>
    <xf numFmtId="0" fontId="6" fillId="2" borderId="15" xfId="3" applyFont="1" applyFill="1" applyBorder="1" applyAlignment="1">
      <alignment horizontal="center" vertical="center" wrapText="1"/>
    </xf>
    <xf numFmtId="0" fontId="52" fillId="0" borderId="1" xfId="8" applyFont="1" applyFill="1" applyBorder="1" applyAlignment="1">
      <alignment horizontal="center" vertical="center" wrapText="1"/>
    </xf>
    <xf numFmtId="0" fontId="8" fillId="3" borderId="1" xfId="7" applyFont="1" applyFill="1" applyBorder="1" applyAlignment="1">
      <alignment horizontal="left" vertical="center"/>
    </xf>
    <xf numFmtId="2" fontId="52" fillId="4" borderId="1" xfId="7" applyNumberFormat="1" applyFont="1" applyFill="1" applyBorder="1" applyAlignment="1">
      <alignment horizontal="center" vertical="center" wrapText="1"/>
    </xf>
    <xf numFmtId="0" fontId="52" fillId="0" borderId="4" xfId="9" applyFont="1" applyBorder="1" applyAlignment="1">
      <alignment horizontal="center" vertical="center" wrapText="1"/>
    </xf>
    <xf numFmtId="164" fontId="7" fillId="0" borderId="1" xfId="2" applyFont="1" applyBorder="1" applyAlignment="1">
      <alignment horizontal="center" vertical="center" wrapText="1"/>
    </xf>
    <xf numFmtId="164" fontId="28" fillId="0" borderId="1" xfId="2" applyFont="1" applyFill="1" applyBorder="1" applyAlignment="1">
      <alignment horizontal="center" vertical="center" wrapText="1"/>
    </xf>
    <xf numFmtId="164" fontId="28" fillId="0" borderId="1" xfId="2" applyFont="1" applyBorder="1" applyAlignment="1">
      <alignment horizontal="center" vertical="center" wrapText="1"/>
    </xf>
    <xf numFmtId="164" fontId="30" fillId="0" borderId="1" xfId="2" applyFont="1" applyFill="1" applyBorder="1" applyAlignment="1">
      <alignment horizontal="center" vertical="center" wrapText="1"/>
    </xf>
    <xf numFmtId="164" fontId="30" fillId="0" borderId="1" xfId="2" applyFont="1" applyBorder="1" applyAlignment="1">
      <alignment horizontal="center" vertical="center" wrapText="1"/>
    </xf>
    <xf numFmtId="164" fontId="16" fillId="0" borderId="1" xfId="2" applyFont="1" applyFill="1" applyBorder="1" applyAlignment="1">
      <alignment horizontal="center" vertical="center"/>
    </xf>
    <xf numFmtId="164" fontId="16" fillId="0" borderId="1" xfId="2" applyFont="1" applyBorder="1" applyAlignment="1">
      <alignment horizontal="center" vertical="center"/>
    </xf>
    <xf numFmtId="164" fontId="1" fillId="6" borderId="1" xfId="2" applyFont="1" applyFill="1" applyBorder="1" applyAlignment="1">
      <alignment horizontal="center" vertical="center" wrapText="1"/>
    </xf>
    <xf numFmtId="164" fontId="8" fillId="0" borderId="1" xfId="2" applyFont="1" applyFill="1" applyBorder="1" applyAlignment="1">
      <alignment horizontal="center" vertical="center" wrapText="1"/>
    </xf>
    <xf numFmtId="164" fontId="8" fillId="4" borderId="1" xfId="2" applyFont="1" applyFill="1" applyBorder="1" applyAlignment="1">
      <alignment horizontal="center" vertical="center"/>
    </xf>
    <xf numFmtId="164" fontId="1" fillId="0" borderId="1" xfId="2" applyFont="1" applyFill="1" applyBorder="1" applyAlignment="1">
      <alignment horizontal="center" vertical="center" wrapText="1"/>
    </xf>
    <xf numFmtId="164" fontId="8" fillId="0" borderId="1" xfId="2" applyFont="1" applyFill="1" applyBorder="1" applyAlignment="1">
      <alignment horizontal="center" vertical="center"/>
    </xf>
    <xf numFmtId="164" fontId="1" fillId="0" borderId="1" xfId="2" applyFont="1" applyFill="1" applyBorder="1" applyAlignment="1">
      <alignment horizontal="center" vertical="center"/>
    </xf>
    <xf numFmtId="164" fontId="1" fillId="4" borderId="1" xfId="2" applyFont="1" applyFill="1" applyBorder="1" applyAlignment="1">
      <alignment horizontal="center" vertical="center" wrapText="1"/>
    </xf>
    <xf numFmtId="164" fontId="30" fillId="4" borderId="1" xfId="2" applyFont="1" applyFill="1" applyBorder="1" applyAlignment="1">
      <alignment horizontal="center" vertical="center" wrapText="1"/>
    </xf>
    <xf numFmtId="164" fontId="1" fillId="4" borderId="1" xfId="2" applyFont="1" applyFill="1" applyBorder="1" applyAlignment="1">
      <alignment horizontal="center" vertical="center"/>
    </xf>
    <xf numFmtId="164" fontId="16" fillId="4" borderId="1" xfId="2" applyFont="1" applyFill="1" applyBorder="1" applyAlignment="1">
      <alignment horizontal="center" vertical="center" wrapText="1"/>
    </xf>
    <xf numFmtId="164" fontId="8" fillId="4" borderId="1" xfId="2" applyFont="1" applyFill="1" applyBorder="1" applyAlignment="1">
      <alignment horizontal="center" vertical="center" wrapText="1"/>
    </xf>
    <xf numFmtId="164" fontId="1" fillId="6" borderId="1" xfId="2" applyFont="1" applyFill="1" applyBorder="1" applyAlignment="1">
      <alignment horizontal="center" vertical="center"/>
    </xf>
    <xf numFmtId="164" fontId="14" fillId="0" borderId="1" xfId="2" applyFont="1" applyFill="1" applyBorder="1" applyAlignment="1">
      <alignment horizontal="center" vertical="center" wrapText="1"/>
    </xf>
    <xf numFmtId="164" fontId="14" fillId="0" borderId="1" xfId="2" applyFont="1" applyBorder="1" applyAlignment="1">
      <alignment horizontal="center" vertical="center" wrapText="1"/>
    </xf>
    <xf numFmtId="164" fontId="8" fillId="3" borderId="1" xfId="2" applyFont="1" applyFill="1" applyBorder="1" applyAlignment="1">
      <alignment horizontal="center" vertical="center"/>
    </xf>
    <xf numFmtId="164" fontId="16" fillId="0" borderId="1" xfId="2" applyFont="1" applyFill="1" applyBorder="1" applyAlignment="1">
      <alignment horizontal="center" vertical="center" wrapText="1"/>
    </xf>
    <xf numFmtId="164" fontId="36" fillId="0" borderId="1" xfId="2" applyFont="1" applyFill="1" applyBorder="1" applyAlignment="1">
      <alignment horizontal="center" vertical="center" wrapText="1"/>
    </xf>
    <xf numFmtId="164" fontId="1" fillId="5" borderId="1" xfId="2" applyFont="1" applyFill="1" applyBorder="1" applyAlignment="1">
      <alignment horizontal="center" vertical="center"/>
    </xf>
    <xf numFmtId="164" fontId="1" fillId="5" borderId="1" xfId="2" applyFont="1" applyFill="1" applyBorder="1" applyAlignment="1">
      <alignment horizontal="center" vertical="center" wrapText="1"/>
    </xf>
    <xf numFmtId="164" fontId="8" fillId="5" borderId="1" xfId="2" applyFont="1" applyFill="1" applyBorder="1" applyAlignment="1">
      <alignment horizontal="center" vertical="center" wrapText="1"/>
    </xf>
    <xf numFmtId="164" fontId="1" fillId="0" borderId="1" xfId="2" applyFont="1" applyBorder="1" applyAlignment="1">
      <alignment horizontal="center" vertical="center" wrapText="1"/>
    </xf>
    <xf numFmtId="164" fontId="5" fillId="0" borderId="1" xfId="2" applyFont="1" applyFill="1" applyBorder="1" applyAlignment="1">
      <alignment horizontal="center" vertical="center" wrapText="1"/>
    </xf>
    <xf numFmtId="169" fontId="7" fillId="0" borderId="1" xfId="2" applyNumberFormat="1" applyFont="1" applyBorder="1" applyAlignment="1">
      <alignment horizontal="center" vertical="center" wrapText="1"/>
    </xf>
    <xf numFmtId="169" fontId="8" fillId="6" borderId="1" xfId="2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69" fontId="1" fillId="0" borderId="1" xfId="2" applyNumberFormat="1" applyFont="1" applyFill="1" applyBorder="1" applyAlignment="1">
      <alignment horizontal="center" vertical="center" wrapText="1"/>
    </xf>
    <xf numFmtId="169" fontId="1" fillId="4" borderId="1" xfId="2" applyNumberFormat="1" applyFont="1" applyFill="1" applyBorder="1" applyAlignment="1">
      <alignment horizontal="center" vertical="center"/>
    </xf>
    <xf numFmtId="169" fontId="30" fillId="4" borderId="1" xfId="2" applyNumberFormat="1" applyFont="1" applyFill="1" applyBorder="1" applyAlignment="1">
      <alignment horizontal="center" vertical="center" wrapText="1"/>
    </xf>
    <xf numFmtId="169" fontId="1" fillId="6" borderId="1" xfId="2" applyNumberFormat="1" applyFont="1" applyFill="1" applyBorder="1" applyAlignment="1">
      <alignment horizontal="center" vertical="center" wrapText="1"/>
    </xf>
    <xf numFmtId="169" fontId="8" fillId="4" borderId="1" xfId="2" applyNumberFormat="1" applyFont="1" applyFill="1" applyBorder="1" applyAlignment="1">
      <alignment horizontal="center" vertical="center" wrapText="1"/>
    </xf>
    <xf numFmtId="169" fontId="1" fillId="4" borderId="1" xfId="2" applyNumberFormat="1" applyFont="1" applyFill="1" applyBorder="1" applyAlignment="1">
      <alignment horizontal="center" vertical="center" wrapText="1"/>
    </xf>
    <xf numFmtId="169" fontId="28" fillId="4" borderId="1" xfId="2" applyNumberFormat="1" applyFont="1" applyFill="1" applyBorder="1" applyAlignment="1">
      <alignment horizontal="center" vertical="center" wrapText="1"/>
    </xf>
    <xf numFmtId="169" fontId="1" fillId="6" borderId="1" xfId="2" applyNumberFormat="1" applyFont="1" applyFill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 vertical="center" wrapText="1"/>
    </xf>
    <xf numFmtId="169" fontId="30" fillId="0" borderId="1" xfId="2" applyNumberFormat="1" applyFont="1" applyFill="1" applyBorder="1" applyAlignment="1">
      <alignment horizontal="center" vertical="center" wrapText="1"/>
    </xf>
    <xf numFmtId="169" fontId="28" fillId="0" borderId="1" xfId="2" applyNumberFormat="1" applyFont="1" applyBorder="1" applyAlignment="1">
      <alignment horizontal="center" vertical="center" wrapText="1"/>
    </xf>
    <xf numFmtId="169" fontId="1" fillId="5" borderId="1" xfId="2" applyNumberFormat="1" applyFont="1" applyFill="1" applyBorder="1" applyAlignment="1">
      <alignment horizontal="center" vertical="center" wrapText="1"/>
    </xf>
    <xf numFmtId="169" fontId="1" fillId="0" borderId="1" xfId="2" applyNumberFormat="1" applyFont="1" applyBorder="1" applyAlignment="1">
      <alignment horizontal="center" vertical="center" wrapText="1"/>
    </xf>
    <xf numFmtId="169" fontId="30" fillId="0" borderId="1" xfId="2" applyNumberFormat="1" applyFont="1" applyBorder="1" applyAlignment="1">
      <alignment horizontal="center" vertical="center" wrapText="1"/>
    </xf>
    <xf numFmtId="169" fontId="14" fillId="0" borderId="1" xfId="2" applyNumberFormat="1" applyFont="1" applyFill="1" applyBorder="1" applyAlignment="1">
      <alignment horizontal="center" vertical="center" wrapText="1"/>
    </xf>
    <xf numFmtId="169" fontId="8" fillId="3" borderId="1" xfId="2" applyNumberFormat="1" applyFont="1" applyFill="1" applyBorder="1" applyAlignment="1">
      <alignment horizontal="center" vertical="center"/>
    </xf>
    <xf numFmtId="169" fontId="1" fillId="0" borderId="1" xfId="2" applyNumberFormat="1" applyFont="1" applyFill="1" applyBorder="1" applyAlignment="1">
      <alignment horizontal="center" vertical="center"/>
    </xf>
    <xf numFmtId="169" fontId="8" fillId="3" borderId="1" xfId="2" applyNumberFormat="1" applyFont="1" applyFill="1" applyBorder="1" applyAlignment="1">
      <alignment horizontal="center" vertical="center" wrapText="1"/>
    </xf>
    <xf numFmtId="169" fontId="8" fillId="5" borderId="1" xfId="2" applyNumberFormat="1" applyFont="1" applyFill="1" applyBorder="1" applyAlignment="1">
      <alignment horizontal="center" vertical="center" wrapText="1"/>
    </xf>
    <xf numFmtId="169" fontId="15" fillId="0" borderId="1" xfId="2" applyNumberFormat="1" applyFont="1" applyFill="1" applyBorder="1" applyAlignment="1">
      <alignment horizontal="center" vertical="center" wrapText="1"/>
    </xf>
    <xf numFmtId="169" fontId="11" fillId="0" borderId="1" xfId="2" applyNumberFormat="1" applyFont="1" applyFill="1" applyBorder="1" applyAlignment="1">
      <alignment horizontal="center" vertical="center" wrapText="1"/>
    </xf>
    <xf numFmtId="169" fontId="16" fillId="0" borderId="1" xfId="2" applyNumberFormat="1" applyFont="1" applyBorder="1" applyAlignment="1">
      <alignment horizontal="center" vertical="center"/>
    </xf>
    <xf numFmtId="169" fontId="8" fillId="4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169" fontId="16" fillId="4" borderId="1" xfId="2" applyNumberFormat="1" applyFont="1" applyFill="1" applyBorder="1" applyAlignment="1">
      <alignment horizontal="center" vertical="center" wrapText="1"/>
    </xf>
    <xf numFmtId="169" fontId="14" fillId="0" borderId="1" xfId="2" applyNumberFormat="1" applyFont="1" applyBorder="1" applyAlignment="1">
      <alignment horizontal="center" vertical="center" wrapText="1"/>
    </xf>
    <xf numFmtId="169" fontId="16" fillId="0" borderId="1" xfId="2" applyNumberFormat="1" applyFont="1" applyFill="1" applyBorder="1" applyAlignment="1">
      <alignment horizontal="center" vertical="center" wrapText="1"/>
    </xf>
    <xf numFmtId="169" fontId="60" fillId="0" borderId="0" xfId="2" applyNumberFormat="1" applyFont="1" applyFill="1" applyAlignment="1">
      <alignment horizontal="center"/>
    </xf>
    <xf numFmtId="0" fontId="11" fillId="0" borderId="0" xfId="1" applyFont="1" applyFill="1" applyAlignment="1" applyProtection="1">
      <alignment horizontal="left" indent="3"/>
      <protection hidden="1"/>
    </xf>
    <xf numFmtId="4" fontId="7" fillId="0" borderId="1" xfId="3" applyNumberFormat="1" applyFont="1" applyFill="1" applyBorder="1" applyAlignment="1" applyProtection="1">
      <alignment horizontal="center" vertical="center"/>
      <protection locked="0"/>
    </xf>
    <xf numFmtId="4" fontId="23" fillId="0" borderId="1" xfId="3" applyNumberFormat="1" applyFont="1" applyFill="1" applyBorder="1" applyAlignment="1" applyProtection="1">
      <alignment horizontal="center" vertical="center" wrapText="1"/>
      <protection locked="0"/>
    </xf>
    <xf numFmtId="2" fontId="23" fillId="0" borderId="1" xfId="3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3" applyNumberFormat="1" applyFont="1" applyFill="1" applyBorder="1" applyAlignment="1" applyProtection="1">
      <alignment horizontal="center" vertical="center" wrapText="1"/>
      <protection locked="0"/>
    </xf>
    <xf numFmtId="2" fontId="7" fillId="0" borderId="1" xfId="3" applyNumberFormat="1" applyFont="1" applyFill="1" applyBorder="1" applyAlignment="1" applyProtection="1">
      <alignment horizontal="center" vertical="center" wrapText="1"/>
      <protection locked="0"/>
    </xf>
    <xf numFmtId="4" fontId="7" fillId="0" borderId="0" xfId="3" applyNumberFormat="1" applyFont="1" applyProtection="1"/>
    <xf numFmtId="0" fontId="7" fillId="0" borderId="1" xfId="3" applyNumberFormat="1" applyFont="1" applyFill="1" applyBorder="1" applyAlignment="1" applyProtection="1">
      <alignment horizontal="center" vertical="center"/>
      <protection locked="0"/>
    </xf>
    <xf numFmtId="10" fontId="7" fillId="0" borderId="1" xfId="3" applyNumberFormat="1" applyFont="1" applyFill="1" applyBorder="1" applyAlignment="1" applyProtection="1">
      <alignment horizontal="center" vertical="center" wrapText="1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7" fillId="0" borderId="1" xfId="3" applyFont="1" applyFill="1" applyBorder="1" applyAlignment="1" applyProtection="1">
      <alignment horizontal="center" vertical="center"/>
      <protection locked="0"/>
    </xf>
    <xf numFmtId="0" fontId="7" fillId="0" borderId="0" xfId="3" applyFont="1" applyFill="1" applyProtection="1"/>
    <xf numFmtId="0" fontId="7" fillId="0" borderId="1" xfId="3" applyFont="1" applyFill="1" applyBorder="1" applyProtection="1">
      <protection locked="0"/>
    </xf>
    <xf numFmtId="10" fontId="1" fillId="0" borderId="1" xfId="3" applyNumberFormat="1" applyFont="1" applyBorder="1" applyAlignment="1" applyProtection="1">
      <alignment horizontal="center" vertical="center" wrapText="1"/>
      <protection locked="0"/>
    </xf>
    <xf numFmtId="2" fontId="1" fillId="0" borderId="1" xfId="3" applyNumberFormat="1" applyFont="1" applyBorder="1" applyAlignment="1" applyProtection="1">
      <alignment horizontal="center" vertical="center" wrapText="1"/>
      <protection locked="0"/>
    </xf>
    <xf numFmtId="164" fontId="1" fillId="0" borderId="1" xfId="3" applyNumberFormat="1" applyFont="1" applyBorder="1" applyAlignment="1" applyProtection="1">
      <alignment horizontal="center" vertical="center" wrapText="1"/>
      <protection locked="0"/>
    </xf>
    <xf numFmtId="0" fontId="1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 vertical="center"/>
    </xf>
    <xf numFmtId="167" fontId="7" fillId="0" borderId="0" xfId="3" applyNumberFormat="1" applyFont="1" applyFill="1" applyAlignment="1">
      <alignment horizontal="center" vertical="center"/>
    </xf>
    <xf numFmtId="164" fontId="1" fillId="0" borderId="0" xfId="2" applyFont="1" applyFill="1" applyAlignment="1">
      <alignment horizontal="center" vertical="center"/>
    </xf>
    <xf numFmtId="169" fontId="7" fillId="0" borderId="0" xfId="2" applyNumberFormat="1" applyFont="1" applyFill="1" applyAlignment="1">
      <alignment horizontal="center" vertical="center"/>
    </xf>
    <xf numFmtId="164" fontId="7" fillId="0" borderId="0" xfId="2" applyFont="1" applyFill="1" applyAlignment="1">
      <alignment horizontal="center" vertical="center"/>
    </xf>
    <xf numFmtId="0" fontId="52" fillId="0" borderId="0" xfId="3" applyFont="1" applyFill="1" applyAlignment="1">
      <alignment horizontal="center" vertical="center"/>
    </xf>
    <xf numFmtId="0" fontId="17" fillId="0" borderId="0" xfId="3" applyFont="1" applyFill="1" applyAlignment="1">
      <alignment horizontal="center" vertical="center"/>
    </xf>
    <xf numFmtId="0" fontId="6" fillId="2" borderId="8" xfId="3" applyFont="1" applyFill="1" applyBorder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169" fontId="7" fillId="2" borderId="1" xfId="2" applyNumberFormat="1" applyFont="1" applyFill="1" applyBorder="1" applyAlignment="1">
      <alignment horizontal="center" vertical="center" wrapText="1"/>
    </xf>
    <xf numFmtId="169" fontId="17" fillId="2" borderId="1" xfId="2" applyNumberFormat="1" applyFont="1" applyFill="1" applyBorder="1" applyAlignment="1">
      <alignment horizontal="center" vertical="center" wrapText="1"/>
    </xf>
    <xf numFmtId="169" fontId="7" fillId="0" borderId="0" xfId="2" applyNumberFormat="1" applyFont="1" applyBorder="1" applyAlignment="1">
      <alignment horizontal="center" vertical="center"/>
    </xf>
    <xf numFmtId="0" fontId="13" fillId="2" borderId="1" xfId="7" applyFont="1" applyFill="1" applyBorder="1" applyAlignment="1">
      <alignment horizontal="center" vertical="center"/>
    </xf>
    <xf numFmtId="164" fontId="13" fillId="2" borderId="1" xfId="2" applyFont="1" applyFill="1" applyBorder="1" applyAlignment="1">
      <alignment horizontal="center" vertical="center"/>
    </xf>
    <xf numFmtId="169" fontId="13" fillId="2" borderId="1" xfId="2" applyNumberFormat="1" applyFont="1" applyFill="1" applyBorder="1" applyAlignment="1">
      <alignment horizontal="center" vertical="center"/>
    </xf>
    <xf numFmtId="0" fontId="53" fillId="2" borderId="1" xfId="7" applyFont="1" applyFill="1" applyBorder="1" applyAlignment="1">
      <alignment horizontal="center" vertical="center"/>
    </xf>
    <xf numFmtId="0" fontId="27" fillId="0" borderId="1" xfId="7" applyFont="1" applyFill="1" applyBorder="1" applyAlignment="1">
      <alignment horizontal="center" vertical="center"/>
    </xf>
    <xf numFmtId="49" fontId="47" fillId="0" borderId="1" xfId="7" applyNumberFormat="1" applyFont="1" applyFill="1" applyBorder="1" applyAlignment="1">
      <alignment horizontal="center" vertical="center"/>
    </xf>
    <xf numFmtId="164" fontId="13" fillId="0" borderId="1" xfId="2" applyFont="1" applyFill="1" applyBorder="1" applyAlignment="1">
      <alignment horizontal="center" vertical="center"/>
    </xf>
    <xf numFmtId="169" fontId="13" fillId="0" borderId="1" xfId="2" applyNumberFormat="1" applyFont="1" applyFill="1" applyBorder="1" applyAlignment="1">
      <alignment horizontal="center" vertical="center"/>
    </xf>
    <xf numFmtId="49" fontId="47" fillId="0" borderId="1" xfId="8" applyNumberFormat="1" applyFont="1" applyFill="1" applyBorder="1" applyAlignment="1">
      <alignment horizontal="center" vertical="center"/>
    </xf>
    <xf numFmtId="164" fontId="8" fillId="6" borderId="1" xfId="2" applyFont="1" applyFill="1" applyBorder="1" applyAlignment="1">
      <alignment horizontal="center" vertical="center"/>
    </xf>
    <xf numFmtId="169" fontId="8" fillId="6" borderId="1" xfId="2" applyNumberFormat="1" applyFont="1" applyFill="1" applyBorder="1" applyAlignment="1">
      <alignment horizontal="center" vertical="center"/>
    </xf>
    <xf numFmtId="0" fontId="48" fillId="0" borderId="1" xfId="10" applyFont="1" applyFill="1" applyBorder="1" applyAlignment="1">
      <alignment horizontal="center" vertical="center"/>
    </xf>
    <xf numFmtId="169" fontId="13" fillId="4" borderId="1" xfId="2" applyNumberFormat="1" applyFont="1" applyFill="1" applyBorder="1" applyAlignment="1">
      <alignment horizontal="center" vertical="center"/>
    </xf>
    <xf numFmtId="10" fontId="1" fillId="0" borderId="1" xfId="7" applyNumberFormat="1" applyFont="1" applyFill="1" applyBorder="1" applyAlignment="1">
      <alignment horizontal="center" vertical="center"/>
    </xf>
    <xf numFmtId="0" fontId="27" fillId="6" borderId="1" xfId="7" applyFont="1" applyFill="1" applyBorder="1" applyAlignment="1">
      <alignment horizontal="center" vertical="center"/>
    </xf>
    <xf numFmtId="49" fontId="47" fillId="4" borderId="1" xfId="8" applyNumberFormat="1" applyFont="1" applyFill="1" applyBorder="1" applyAlignment="1">
      <alignment horizontal="center" vertical="center"/>
    </xf>
    <xf numFmtId="169" fontId="16" fillId="6" borderId="1" xfId="2" applyNumberFormat="1" applyFont="1" applyFill="1" applyBorder="1" applyAlignment="1">
      <alignment horizontal="center" vertical="center"/>
    </xf>
    <xf numFmtId="169" fontId="16" fillId="4" borderId="1" xfId="2" applyNumberFormat="1" applyFont="1" applyFill="1" applyBorder="1" applyAlignment="1">
      <alignment horizontal="center" vertical="center"/>
    </xf>
    <xf numFmtId="164" fontId="16" fillId="6" borderId="1" xfId="2" applyFont="1" applyFill="1" applyBorder="1" applyAlignment="1">
      <alignment horizontal="center" vertical="center"/>
    </xf>
    <xf numFmtId="2" fontId="16" fillId="6" borderId="1" xfId="7" applyNumberFormat="1" applyFont="1" applyFill="1" applyBorder="1" applyAlignment="1">
      <alignment horizontal="center" vertical="center"/>
    </xf>
    <xf numFmtId="2" fontId="16" fillId="4" borderId="1" xfId="7" applyNumberFormat="1" applyFont="1" applyFill="1" applyBorder="1" applyAlignment="1">
      <alignment horizontal="center" vertical="center"/>
    </xf>
    <xf numFmtId="169" fontId="34" fillId="4" borderId="1" xfId="2" applyNumberFormat="1" applyFont="1" applyFill="1" applyBorder="1" applyAlignment="1">
      <alignment horizontal="center" vertical="center"/>
    </xf>
    <xf numFmtId="49" fontId="47" fillId="4" borderId="1" xfId="7" applyNumberFormat="1" applyFont="1" applyFill="1" applyBorder="1" applyAlignment="1">
      <alignment horizontal="center" vertical="center"/>
    </xf>
    <xf numFmtId="0" fontId="27" fillId="4" borderId="1" xfId="7" applyFont="1" applyFill="1" applyBorder="1" applyAlignment="1">
      <alignment horizontal="center" vertical="center"/>
    </xf>
    <xf numFmtId="164" fontId="13" fillId="4" borderId="1" xfId="2" applyFont="1" applyFill="1" applyBorder="1" applyAlignment="1">
      <alignment horizontal="center" vertical="center"/>
    </xf>
    <xf numFmtId="2" fontId="57" fillId="4" borderId="1" xfId="7" applyNumberFormat="1" applyFont="1" applyFill="1" applyBorder="1" applyAlignment="1">
      <alignment horizontal="center" vertical="center"/>
    </xf>
    <xf numFmtId="2" fontId="52" fillId="4" borderId="1" xfId="7" applyNumberFormat="1" applyFont="1" applyFill="1" applyBorder="1" applyAlignment="1">
      <alignment horizontal="center" vertical="center"/>
    </xf>
    <xf numFmtId="164" fontId="44" fillId="0" borderId="1" xfId="2" applyFont="1" applyFill="1" applyBorder="1" applyAlignment="1">
      <alignment horizontal="center" vertical="center"/>
    </xf>
    <xf numFmtId="164" fontId="27" fillId="4" borderId="1" xfId="2" applyFont="1" applyFill="1" applyBorder="1" applyAlignment="1">
      <alignment horizontal="center" vertical="center" wrapText="1"/>
    </xf>
    <xf numFmtId="164" fontId="26" fillId="4" borderId="1" xfId="2" applyFont="1" applyFill="1" applyBorder="1" applyAlignment="1">
      <alignment horizontal="center" vertical="center" wrapText="1"/>
    </xf>
    <xf numFmtId="169" fontId="26" fillId="4" borderId="1" xfId="2" applyNumberFormat="1" applyFont="1" applyFill="1" applyBorder="1" applyAlignment="1">
      <alignment horizontal="center" vertical="center" wrapText="1"/>
    </xf>
    <xf numFmtId="2" fontId="26" fillId="4" borderId="1" xfId="7" applyNumberFormat="1" applyFont="1" applyFill="1" applyBorder="1" applyAlignment="1">
      <alignment horizontal="center" vertical="center" wrapText="1"/>
    </xf>
    <xf numFmtId="0" fontId="47" fillId="0" borderId="1" xfId="8" applyNumberFormat="1" applyFont="1" applyFill="1" applyBorder="1" applyAlignment="1">
      <alignment horizontal="center" vertical="center"/>
    </xf>
    <xf numFmtId="0" fontId="47" fillId="0" borderId="1" xfId="3" applyFont="1" applyFill="1" applyBorder="1" applyAlignment="1">
      <alignment horizontal="center" vertical="center"/>
    </xf>
    <xf numFmtId="164" fontId="30" fillId="0" borderId="1" xfId="2" applyFont="1" applyFill="1" applyBorder="1" applyAlignment="1">
      <alignment horizontal="center" vertical="center"/>
    </xf>
    <xf numFmtId="169" fontId="30" fillId="0" borderId="1" xfId="2" applyNumberFormat="1" applyFont="1" applyFill="1" applyBorder="1" applyAlignment="1">
      <alignment horizontal="center" vertical="center"/>
    </xf>
    <xf numFmtId="2" fontId="30" fillId="0" borderId="1" xfId="7" applyNumberFormat="1" applyFont="1" applyFill="1" applyBorder="1" applyAlignment="1">
      <alignment horizontal="center" vertical="center"/>
    </xf>
    <xf numFmtId="2" fontId="55" fillId="0" borderId="1" xfId="7" applyNumberFormat="1" applyFont="1" applyFill="1" applyBorder="1" applyAlignment="1">
      <alignment horizontal="center" vertical="center"/>
    </xf>
    <xf numFmtId="169" fontId="37" fillId="0" borderId="1" xfId="2" applyNumberFormat="1" applyFont="1" applyFill="1" applyBorder="1" applyAlignment="1">
      <alignment horizontal="center" vertical="center"/>
    </xf>
    <xf numFmtId="0" fontId="5" fillId="0" borderId="1" xfId="7" applyFont="1" applyFill="1" applyBorder="1" applyAlignment="1">
      <alignment horizontal="center" vertical="center"/>
    </xf>
    <xf numFmtId="164" fontId="38" fillId="0" borderId="1" xfId="2" applyFont="1" applyFill="1" applyBorder="1" applyAlignment="1">
      <alignment horizontal="center" vertical="center"/>
    </xf>
    <xf numFmtId="169" fontId="38" fillId="0" borderId="1" xfId="2" applyNumberFormat="1" applyFont="1" applyFill="1" applyBorder="1" applyAlignment="1">
      <alignment horizontal="center" vertical="center"/>
    </xf>
    <xf numFmtId="2" fontId="38" fillId="0" borderId="1" xfId="7" applyNumberFormat="1" applyFont="1" applyFill="1" applyBorder="1" applyAlignment="1">
      <alignment horizontal="center" vertical="center"/>
    </xf>
    <xf numFmtId="2" fontId="58" fillId="0" borderId="1" xfId="7" applyNumberFormat="1" applyFont="1" applyFill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164" fontId="27" fillId="0" borderId="1" xfId="2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8" fillId="3" borderId="1" xfId="7" applyFont="1" applyFill="1" applyBorder="1" applyAlignment="1">
      <alignment horizontal="center" vertical="center"/>
    </xf>
    <xf numFmtId="0" fontId="41" fillId="3" borderId="1" xfId="7" applyFont="1" applyFill="1" applyBorder="1" applyAlignment="1">
      <alignment horizontal="center" vertical="center"/>
    </xf>
    <xf numFmtId="164" fontId="8" fillId="2" borderId="1" xfId="2" applyFont="1" applyFill="1" applyBorder="1" applyAlignment="1">
      <alignment horizontal="center" vertical="center"/>
    </xf>
    <xf numFmtId="169" fontId="8" fillId="2" borderId="1" xfId="2" applyNumberFormat="1" applyFont="1" applyFill="1" applyBorder="1" applyAlignment="1">
      <alignment horizontal="center" vertical="center"/>
    </xf>
    <xf numFmtId="164" fontId="26" fillId="0" borderId="1" xfId="2" applyFont="1" applyBorder="1" applyAlignment="1">
      <alignment horizontal="center" vertical="center" wrapText="1"/>
    </xf>
    <xf numFmtId="169" fontId="26" fillId="0" borderId="1" xfId="2" applyNumberFormat="1" applyFont="1" applyBorder="1" applyAlignment="1">
      <alignment horizontal="center" vertical="center" wrapText="1"/>
    </xf>
    <xf numFmtId="2" fontId="26" fillId="0" borderId="1" xfId="7" applyNumberFormat="1" applyFont="1" applyBorder="1" applyAlignment="1">
      <alignment horizontal="center" vertical="center" wrapText="1"/>
    </xf>
    <xf numFmtId="49" fontId="47" fillId="5" borderId="1" xfId="7" applyNumberFormat="1" applyFont="1" applyFill="1" applyBorder="1" applyAlignment="1">
      <alignment horizontal="center" vertical="center"/>
    </xf>
    <xf numFmtId="169" fontId="1" fillId="5" borderId="1" xfId="2" applyNumberFormat="1" applyFont="1" applyFill="1" applyBorder="1" applyAlignment="1">
      <alignment horizontal="center" vertical="center"/>
    </xf>
    <xf numFmtId="164" fontId="8" fillId="5" borderId="1" xfId="2" applyFont="1" applyFill="1" applyBorder="1" applyAlignment="1">
      <alignment horizontal="center" vertical="center"/>
    </xf>
    <xf numFmtId="169" fontId="8" fillId="5" borderId="1" xfId="2" applyNumberFormat="1" applyFont="1" applyFill="1" applyBorder="1" applyAlignment="1">
      <alignment horizontal="center" vertical="center"/>
    </xf>
    <xf numFmtId="2" fontId="8" fillId="5" borderId="1" xfId="7" applyNumberFormat="1" applyFont="1" applyFill="1" applyBorder="1" applyAlignment="1">
      <alignment horizontal="center" vertical="center"/>
    </xf>
    <xf numFmtId="2" fontId="57" fillId="5" borderId="1" xfId="7" applyNumberFormat="1" applyFont="1" applyFill="1" applyBorder="1" applyAlignment="1">
      <alignment horizontal="center" vertical="center"/>
    </xf>
    <xf numFmtId="167" fontId="49" fillId="0" borderId="1" xfId="7" applyNumberFormat="1" applyFont="1" applyBorder="1" applyAlignment="1">
      <alignment horizontal="center" vertical="center" wrapText="1"/>
    </xf>
    <xf numFmtId="2" fontId="11" fillId="0" borderId="1" xfId="7" applyNumberFormat="1" applyFont="1" applyFill="1" applyBorder="1" applyAlignment="1">
      <alignment horizontal="center" vertical="center"/>
    </xf>
    <xf numFmtId="169" fontId="1" fillId="0" borderId="1" xfId="2" applyNumberFormat="1" applyFont="1" applyBorder="1" applyAlignment="1">
      <alignment horizontal="center" vertical="center"/>
    </xf>
    <xf numFmtId="2" fontId="41" fillId="5" borderId="1" xfId="7" applyNumberFormat="1" applyFont="1" applyFill="1" applyBorder="1" applyAlignment="1">
      <alignment horizontal="center" vertical="center"/>
    </xf>
    <xf numFmtId="2" fontId="61" fillId="0" borderId="1" xfId="7" applyNumberFormat="1" applyFont="1" applyFill="1" applyBorder="1" applyAlignment="1">
      <alignment horizontal="center" vertical="center" wrapText="1"/>
    </xf>
    <xf numFmtId="2" fontId="59" fillId="0" borderId="1" xfId="7" applyNumberFormat="1" applyFont="1" applyFill="1" applyBorder="1" applyAlignment="1">
      <alignment horizontal="center" vertical="center" wrapText="1"/>
    </xf>
    <xf numFmtId="2" fontId="26" fillId="0" borderId="1" xfId="7" applyNumberFormat="1" applyFont="1" applyFill="1" applyBorder="1" applyAlignment="1">
      <alignment horizontal="center" vertical="center" wrapText="1"/>
    </xf>
    <xf numFmtId="0" fontId="47" fillId="2" borderId="1" xfId="7" applyFont="1" applyFill="1" applyBorder="1" applyAlignment="1">
      <alignment horizontal="center" vertical="center"/>
    </xf>
    <xf numFmtId="0" fontId="40" fillId="0" borderId="1" xfId="7" applyFont="1" applyFill="1" applyBorder="1" applyAlignment="1">
      <alignment horizontal="center" vertical="center" wrapText="1"/>
    </xf>
    <xf numFmtId="2" fontId="59" fillId="0" borderId="1" xfId="7" applyNumberFormat="1" applyFont="1" applyBorder="1" applyAlignment="1">
      <alignment horizontal="center" vertical="center" wrapText="1"/>
    </xf>
    <xf numFmtId="0" fontId="50" fillId="0" borderId="1" xfId="7" applyFont="1" applyFill="1" applyBorder="1" applyAlignment="1">
      <alignment horizontal="center" vertical="center" wrapText="1"/>
    </xf>
    <xf numFmtId="164" fontId="1" fillId="0" borderId="1" xfId="2" applyFont="1" applyBorder="1" applyAlignment="1">
      <alignment horizontal="center" vertical="center"/>
    </xf>
    <xf numFmtId="169" fontId="5" fillId="0" borderId="1" xfId="2" applyNumberFormat="1" applyFont="1" applyBorder="1" applyAlignment="1">
      <alignment horizontal="center" vertical="center"/>
    </xf>
    <xf numFmtId="2" fontId="52" fillId="4" borderId="3" xfId="7" applyNumberFormat="1" applyFont="1" applyFill="1" applyBorder="1" applyAlignment="1">
      <alignment horizontal="center" vertical="center" wrapText="1"/>
    </xf>
    <xf numFmtId="164" fontId="28" fillId="0" borderId="1" xfId="2" applyFont="1" applyFill="1" applyBorder="1" applyAlignment="1">
      <alignment horizontal="center" vertical="center"/>
    </xf>
    <xf numFmtId="169" fontId="28" fillId="0" borderId="1" xfId="2" applyNumberFormat="1" applyFont="1" applyFill="1" applyBorder="1" applyAlignment="1">
      <alignment horizontal="center" vertical="center"/>
    </xf>
    <xf numFmtId="2" fontId="28" fillId="0" borderId="1" xfId="7" applyNumberFormat="1" applyFont="1" applyFill="1" applyBorder="1" applyAlignment="1">
      <alignment horizontal="center" vertical="center"/>
    </xf>
    <xf numFmtId="2" fontId="54" fillId="0" borderId="1" xfId="7" applyNumberFormat="1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47" fillId="0" borderId="0" xfId="3" applyFont="1" applyFill="1" applyBorder="1" applyAlignment="1">
      <alignment horizontal="center" vertical="center"/>
    </xf>
    <xf numFmtId="164" fontId="13" fillId="0" borderId="0" xfId="2" applyFont="1" applyFill="1" applyBorder="1" applyAlignment="1">
      <alignment horizontal="center" vertical="center"/>
    </xf>
    <xf numFmtId="169" fontId="13" fillId="0" borderId="0" xfId="2" applyNumberFormat="1" applyFont="1" applyFill="1" applyBorder="1" applyAlignment="1">
      <alignment horizontal="center" vertical="center"/>
    </xf>
    <xf numFmtId="0" fontId="53" fillId="0" borderId="0" xfId="3" applyFont="1" applyFill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164" fontId="7" fillId="0" borderId="0" xfId="2" applyFont="1" applyAlignment="1">
      <alignment horizontal="center" vertical="center"/>
    </xf>
    <xf numFmtId="169" fontId="7" fillId="0" borderId="0" xfId="2" applyNumberFormat="1" applyFont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164" fontId="23" fillId="0" borderId="0" xfId="2" applyFont="1" applyAlignment="1">
      <alignment horizontal="center" vertical="center"/>
    </xf>
    <xf numFmtId="169" fontId="23" fillId="0" borderId="0" xfId="2" applyNumberFormat="1" applyFont="1" applyAlignment="1">
      <alignment horizontal="center" vertical="center"/>
    </xf>
    <xf numFmtId="164" fontId="11" fillId="0" borderId="0" xfId="2" applyFont="1" applyFill="1" applyAlignment="1">
      <alignment horizontal="center" vertical="center"/>
    </xf>
    <xf numFmtId="169" fontId="11" fillId="0" borderId="0" xfId="2" applyNumberFormat="1" applyFont="1" applyFill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2" fillId="0" borderId="0" xfId="1" applyFont="1" applyFill="1" applyAlignment="1" applyProtection="1">
      <alignment horizontal="center" vertical="center"/>
      <protection hidden="1"/>
    </xf>
    <xf numFmtId="0" fontId="12" fillId="0" borderId="0" xfId="9" applyFont="1" applyFill="1" applyAlignment="1">
      <alignment horizontal="center" vertical="center"/>
    </xf>
    <xf numFmtId="0" fontId="48" fillId="0" borderId="0" xfId="9" applyFont="1" applyFill="1" applyAlignment="1">
      <alignment horizontal="center" vertical="center"/>
    </xf>
    <xf numFmtId="164" fontId="12" fillId="0" borderId="0" xfId="2" applyFont="1" applyFill="1" applyAlignment="1">
      <alignment horizontal="center" vertical="center"/>
    </xf>
    <xf numFmtId="169" fontId="12" fillId="0" borderId="0" xfId="2" applyNumberFormat="1" applyFont="1" applyFill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1" fillId="0" borderId="0" xfId="1" applyFont="1" applyFill="1" applyAlignment="1" applyProtection="1">
      <alignment horizontal="center" vertical="center"/>
      <protection hidden="1"/>
    </xf>
    <xf numFmtId="0" fontId="11" fillId="0" borderId="0" xfId="9" applyFont="1" applyFill="1" applyAlignment="1">
      <alignment horizontal="center" vertical="center"/>
    </xf>
    <xf numFmtId="0" fontId="7" fillId="0" borderId="0" xfId="3" applyFont="1" applyFill="1" applyAlignment="1">
      <alignment horizontal="left" vertical="center"/>
    </xf>
    <xf numFmtId="169" fontId="7" fillId="2" borderId="1" xfId="2" applyNumberFormat="1" applyFont="1" applyFill="1" applyBorder="1" applyAlignment="1">
      <alignment horizontal="left" vertical="center" wrapText="1"/>
    </xf>
    <xf numFmtId="0" fontId="13" fillId="2" borderId="1" xfId="7" applyFont="1" applyFill="1" applyBorder="1" applyAlignment="1">
      <alignment horizontal="left" vertical="center"/>
    </xf>
    <xf numFmtId="0" fontId="26" fillId="0" borderId="1" xfId="7" applyFont="1" applyFill="1" applyBorder="1" applyAlignment="1">
      <alignment horizontal="left" vertical="center" wrapText="1"/>
    </xf>
    <xf numFmtId="2" fontId="16" fillId="0" borderId="1" xfId="7" applyNumberFormat="1" applyFont="1" applyFill="1" applyBorder="1" applyAlignment="1">
      <alignment horizontal="left" vertical="center" wrapText="1"/>
    </xf>
    <xf numFmtId="2" fontId="16" fillId="6" borderId="1" xfId="7" applyNumberFormat="1" applyFont="1" applyFill="1" applyBorder="1" applyAlignment="1">
      <alignment horizontal="left" vertical="center" wrapText="1"/>
    </xf>
    <xf numFmtId="0" fontId="30" fillId="4" borderId="1" xfId="7" applyFont="1" applyFill="1" applyBorder="1" applyAlignment="1">
      <alignment horizontal="left" vertical="center" wrapText="1"/>
    </xf>
    <xf numFmtId="2" fontId="16" fillId="4" borderId="1" xfId="7" applyNumberFormat="1" applyFont="1" applyFill="1" applyBorder="1" applyAlignment="1">
      <alignment horizontal="left" vertical="center" wrapText="1"/>
    </xf>
    <xf numFmtId="2" fontId="8" fillId="4" borderId="1" xfId="7" applyNumberFormat="1" applyFont="1" applyFill="1" applyBorder="1" applyAlignment="1">
      <alignment horizontal="left" vertical="center" wrapText="1"/>
    </xf>
    <xf numFmtId="0" fontId="26" fillId="4" borderId="1" xfId="7" applyFont="1" applyFill="1" applyBorder="1" applyAlignment="1">
      <alignment horizontal="left" vertical="center" wrapText="1"/>
    </xf>
    <xf numFmtId="0" fontId="13" fillId="4" borderId="1" xfId="7" applyFont="1" applyFill="1" applyBorder="1" applyAlignment="1">
      <alignment horizontal="left" vertical="center"/>
    </xf>
    <xf numFmtId="2" fontId="35" fillId="0" borderId="1" xfId="7" applyNumberFormat="1" applyFont="1" applyFill="1" applyBorder="1" applyAlignment="1">
      <alignment horizontal="left" vertical="center" wrapText="1"/>
    </xf>
    <xf numFmtId="0" fontId="28" fillId="0" borderId="1" xfId="7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left" vertical="center"/>
    </xf>
    <xf numFmtId="0" fontId="1" fillId="0" borderId="1" xfId="5" applyFont="1" applyFill="1" applyBorder="1" applyAlignment="1">
      <alignment horizontal="left" vertical="center" wrapText="1"/>
    </xf>
    <xf numFmtId="0" fontId="1" fillId="0" borderId="1" xfId="5" applyFont="1" applyFill="1" applyBorder="1" applyAlignment="1">
      <alignment horizontal="left" vertical="center"/>
    </xf>
    <xf numFmtId="0" fontId="1" fillId="4" borderId="1" xfId="5" applyFont="1" applyFill="1" applyBorder="1" applyAlignment="1">
      <alignment horizontal="left" vertical="center" wrapText="1"/>
    </xf>
    <xf numFmtId="0" fontId="17" fillId="0" borderId="1" xfId="5" applyFont="1" applyFill="1" applyBorder="1" applyAlignment="1">
      <alignment horizontal="left" vertical="center" wrapText="1"/>
    </xf>
    <xf numFmtId="0" fontId="1" fillId="4" borderId="1" xfId="7" applyFont="1" applyFill="1" applyBorder="1" applyAlignment="1">
      <alignment horizontal="left" vertical="center"/>
    </xf>
    <xf numFmtId="0" fontId="26" fillId="0" borderId="1" xfId="7" applyFont="1" applyFill="1" applyBorder="1" applyAlignment="1">
      <alignment horizontal="left" vertical="center"/>
    </xf>
    <xf numFmtId="0" fontId="1" fillId="0" borderId="1" xfId="7" applyFont="1" applyFill="1" applyBorder="1" applyAlignment="1">
      <alignment horizontal="left" vertical="center"/>
    </xf>
    <xf numFmtId="0" fontId="13" fillId="0" borderId="0" xfId="3" applyFont="1" applyFill="1" applyBorder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12" fillId="0" borderId="0" xfId="9" applyFont="1" applyFill="1" applyAlignment="1">
      <alignment horizontal="left" vertical="center"/>
    </xf>
    <xf numFmtId="0" fontId="11" fillId="0" borderId="0" xfId="9" applyFont="1" applyFill="1" applyAlignment="1">
      <alignment horizontal="left" vertical="center"/>
    </xf>
    <xf numFmtId="0" fontId="64" fillId="0" borderId="0" xfId="9" applyFont="1" applyFill="1" applyAlignment="1">
      <alignment horizontal="left" vertical="center"/>
    </xf>
    <xf numFmtId="0" fontId="63" fillId="0" borderId="0" xfId="1" applyFont="1" applyFill="1" applyBorder="1" applyAlignment="1" applyProtection="1">
      <alignment horizontal="left" vertical="center"/>
      <protection hidden="1"/>
    </xf>
    <xf numFmtId="164" fontId="64" fillId="0" borderId="0" xfId="2" applyFont="1" applyFill="1" applyAlignment="1">
      <alignment horizontal="left" vertical="center"/>
    </xf>
    <xf numFmtId="169" fontId="63" fillId="0" borderId="0" xfId="2" applyNumberFormat="1" applyFont="1" applyFill="1" applyAlignment="1">
      <alignment horizontal="left" vertical="center"/>
    </xf>
    <xf numFmtId="169" fontId="64" fillId="0" borderId="0" xfId="2" applyNumberFormat="1" applyFont="1" applyFill="1" applyAlignment="1">
      <alignment horizontal="left" vertical="center"/>
    </xf>
    <xf numFmtId="0" fontId="64" fillId="0" borderId="0" xfId="3" applyFont="1" applyFill="1" applyAlignment="1">
      <alignment horizontal="left" vertical="center"/>
    </xf>
    <xf numFmtId="0" fontId="3" fillId="2" borderId="16" xfId="3" applyFont="1" applyFill="1" applyBorder="1" applyAlignment="1" applyProtection="1">
      <alignment horizontal="center" vertical="center"/>
    </xf>
    <xf numFmtId="0" fontId="3" fillId="2" borderId="17" xfId="3" applyFont="1" applyFill="1" applyBorder="1" applyAlignment="1" applyProtection="1">
      <alignment horizontal="center" vertical="center"/>
    </xf>
    <xf numFmtId="0" fontId="3" fillId="2" borderId="18" xfId="3" applyFont="1" applyFill="1" applyBorder="1" applyAlignment="1" applyProtection="1">
      <alignment horizontal="center" vertical="center"/>
    </xf>
    <xf numFmtId="49" fontId="2" fillId="3" borderId="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3" applyFont="1" applyAlignment="1">
      <alignment horizontal="center"/>
    </xf>
    <xf numFmtId="0" fontId="7" fillId="0" borderId="5" xfId="3" applyFont="1" applyBorder="1" applyAlignment="1" applyProtection="1">
      <alignment horizontal="right"/>
    </xf>
    <xf numFmtId="0" fontId="7" fillId="0" borderId="3" xfId="3" applyFont="1" applyBorder="1" applyAlignment="1" applyProtection="1">
      <alignment horizontal="center" vertical="center" wrapText="1"/>
    </xf>
    <xf numFmtId="0" fontId="7" fillId="0" borderId="4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 wrapText="1"/>
    </xf>
    <xf numFmtId="0" fontId="6" fillId="2" borderId="2" xfId="3" applyFont="1" applyFill="1" applyBorder="1" applyAlignment="1" applyProtection="1">
      <alignment horizontal="center" vertical="center" wrapText="1"/>
    </xf>
    <xf numFmtId="0" fontId="6" fillId="2" borderId="15" xfId="3" applyFont="1" applyFill="1" applyBorder="1" applyAlignment="1" applyProtection="1">
      <alignment horizontal="center" vertical="center" wrapText="1"/>
    </xf>
    <xf numFmtId="0" fontId="6" fillId="2" borderId="8" xfId="3" applyFont="1" applyFill="1" applyBorder="1" applyAlignment="1" applyProtection="1">
      <alignment horizontal="center" vertical="center" wrapText="1"/>
    </xf>
    <xf numFmtId="0" fontId="7" fillId="0" borderId="2" xfId="3" applyFont="1" applyBorder="1" applyAlignment="1" applyProtection="1">
      <alignment horizontal="center" vertical="center" wrapText="1"/>
    </xf>
    <xf numFmtId="0" fontId="7" fillId="0" borderId="8" xfId="3" applyFont="1" applyBorder="1" applyAlignment="1" applyProtection="1">
      <alignment horizontal="center" vertical="center" wrapText="1"/>
    </xf>
    <xf numFmtId="49" fontId="23" fillId="0" borderId="3" xfId="3" applyNumberFormat="1" applyFont="1" applyFill="1" applyBorder="1" applyAlignment="1" applyProtection="1">
      <alignment horizontal="center" vertical="center" wrapText="1"/>
    </xf>
    <xf numFmtId="49" fontId="23" fillId="0" borderId="11" xfId="3" applyNumberFormat="1" applyFont="1" applyFill="1" applyBorder="1" applyAlignment="1" applyProtection="1">
      <alignment horizontal="center" vertical="center" wrapText="1"/>
    </xf>
    <xf numFmtId="49" fontId="23" fillId="0" borderId="4" xfId="3" applyNumberFormat="1" applyFont="1" applyFill="1" applyBorder="1" applyAlignment="1" applyProtection="1">
      <alignment horizontal="center" vertical="center" wrapText="1"/>
    </xf>
    <xf numFmtId="0" fontId="7" fillId="0" borderId="2" xfId="3" applyFont="1" applyFill="1" applyBorder="1" applyAlignment="1" applyProtection="1">
      <alignment horizontal="center" vertical="center" wrapText="1"/>
    </xf>
    <xf numFmtId="0" fontId="7" fillId="0" borderId="8" xfId="3" applyFont="1" applyFill="1" applyBorder="1" applyAlignment="1" applyProtection="1">
      <alignment horizontal="center" vertical="center" wrapText="1"/>
    </xf>
    <xf numFmtId="0" fontId="1" fillId="0" borderId="2" xfId="3" applyFont="1" applyFill="1" applyBorder="1" applyAlignment="1" applyProtection="1">
      <alignment horizontal="center" vertical="center" wrapText="1"/>
    </xf>
    <xf numFmtId="0" fontId="23" fillId="0" borderId="8" xfId="3" applyFont="1" applyFill="1" applyBorder="1" applyAlignment="1" applyProtection="1">
      <alignment horizontal="center" vertical="center" wrapText="1"/>
    </xf>
    <xf numFmtId="0" fontId="23" fillId="0" borderId="2" xfId="3" applyFont="1" applyFill="1" applyBorder="1" applyAlignment="1" applyProtection="1">
      <alignment horizontal="center" vertical="center" wrapText="1"/>
    </xf>
    <xf numFmtId="0" fontId="1" fillId="0" borderId="5" xfId="3" applyFont="1" applyBorder="1" applyAlignment="1" applyProtection="1">
      <alignment horizontal="right" vertical="center" wrapText="1"/>
    </xf>
    <xf numFmtId="0" fontId="23" fillId="0" borderId="5" xfId="3" applyFont="1" applyBorder="1" applyAlignment="1" applyProtection="1">
      <alignment horizontal="right" vertical="center" wrapText="1"/>
    </xf>
    <xf numFmtId="0" fontId="23" fillId="0" borderId="3" xfId="3" applyFont="1" applyBorder="1" applyAlignment="1" applyProtection="1">
      <alignment horizontal="center" vertical="center" wrapText="1"/>
    </xf>
    <xf numFmtId="0" fontId="23" fillId="0" borderId="4" xfId="3" applyFont="1" applyBorder="1" applyAlignment="1" applyProtection="1">
      <alignment horizontal="center" vertical="center" wrapText="1"/>
    </xf>
    <xf numFmtId="0" fontId="23" fillId="0" borderId="13" xfId="3" applyFont="1" applyBorder="1" applyAlignment="1" applyProtection="1">
      <alignment horizontal="center" vertical="center" wrapText="1"/>
    </xf>
    <xf numFmtId="0" fontId="23" fillId="0" borderId="9" xfId="3" applyFont="1" applyBorder="1" applyAlignment="1" applyProtection="1">
      <alignment horizontal="center" vertical="center" wrapText="1"/>
    </xf>
    <xf numFmtId="0" fontId="23" fillId="0" borderId="19" xfId="3" applyFont="1" applyBorder="1" applyAlignment="1" applyProtection="1">
      <alignment horizontal="center" vertical="center" wrapText="1"/>
    </xf>
    <xf numFmtId="0" fontId="23" fillId="0" borderId="10" xfId="3" applyFont="1" applyBorder="1" applyAlignment="1" applyProtection="1">
      <alignment horizontal="center" vertical="center" wrapText="1"/>
    </xf>
    <xf numFmtId="1" fontId="1" fillId="0" borderId="3" xfId="3" applyNumberFormat="1" applyFont="1" applyBorder="1" applyAlignment="1" applyProtection="1">
      <alignment horizontal="center" vertical="center" wrapText="1"/>
      <protection locked="0"/>
    </xf>
    <xf numFmtId="1" fontId="23" fillId="0" borderId="4" xfId="3" applyNumberFormat="1" applyFont="1" applyBorder="1" applyAlignment="1" applyProtection="1">
      <alignment horizontal="center" vertical="center" wrapText="1"/>
      <protection locked="0"/>
    </xf>
    <xf numFmtId="0" fontId="7" fillId="0" borderId="2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2" fillId="2" borderId="2" xfId="3" applyFont="1" applyFill="1" applyBorder="1" applyAlignment="1" applyProtection="1">
      <alignment horizontal="center" vertical="center" wrapText="1"/>
    </xf>
    <xf numFmtId="0" fontId="2" fillId="2" borderId="15" xfId="3" applyFont="1" applyFill="1" applyBorder="1" applyAlignment="1" applyProtection="1">
      <alignment horizontal="center" vertical="center" wrapText="1"/>
    </xf>
    <xf numFmtId="0" fontId="23" fillId="0" borderId="3" xfId="3" applyFont="1" applyBorder="1" applyAlignment="1" applyProtection="1">
      <alignment horizontal="center" vertical="center" wrapText="1"/>
      <protection locked="0"/>
    </xf>
    <xf numFmtId="0" fontId="23" fillId="0" borderId="4" xfId="3" applyFont="1" applyBorder="1" applyAlignment="1" applyProtection="1">
      <alignment horizontal="center" vertical="center" wrapText="1"/>
      <protection locked="0"/>
    </xf>
    <xf numFmtId="0" fontId="23" fillId="2" borderId="2" xfId="3" applyFont="1" applyFill="1" applyBorder="1" applyAlignment="1" applyProtection="1">
      <alignment horizontal="center" vertical="center" wrapText="1"/>
    </xf>
    <xf numFmtId="0" fontId="23" fillId="2" borderId="8" xfId="3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 applyProtection="1">
      <alignment horizontal="center" vertical="center" wrapText="1"/>
    </xf>
    <xf numFmtId="49" fontId="7" fillId="0" borderId="1" xfId="3" applyNumberFormat="1" applyFont="1" applyFill="1" applyBorder="1" applyAlignment="1" applyProtection="1">
      <alignment horizontal="center" vertical="center" wrapText="1"/>
    </xf>
    <xf numFmtId="0" fontId="1" fillId="0" borderId="3" xfId="3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1" fillId="0" borderId="5" xfId="3" applyFont="1" applyBorder="1" applyAlignment="1" applyProtection="1">
      <alignment horizontal="right"/>
    </xf>
    <xf numFmtId="0" fontId="7" fillId="0" borderId="3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5" xfId="3" applyFont="1" applyBorder="1" applyAlignment="1" applyProtection="1">
      <alignment horizontal="right" vertical="center" wrapText="1"/>
      <protection locked="0"/>
    </xf>
    <xf numFmtId="0" fontId="7" fillId="0" borderId="11" xfId="3" applyFont="1" applyBorder="1" applyAlignment="1">
      <alignment horizontal="center" vertical="center" wrapText="1"/>
    </xf>
    <xf numFmtId="164" fontId="7" fillId="0" borderId="2" xfId="2" applyFont="1" applyBorder="1" applyAlignment="1">
      <alignment horizontal="center" vertical="center" wrapText="1"/>
    </xf>
    <xf numFmtId="164" fontId="7" fillId="0" borderId="15" xfId="2" applyFont="1" applyBorder="1" applyAlignment="1">
      <alignment horizontal="center" vertical="center" wrapText="1"/>
    </xf>
    <xf numFmtId="164" fontId="7" fillId="0" borderId="8" xfId="2" applyFont="1" applyBorder="1" applyAlignment="1">
      <alignment horizontal="center" vertical="center" wrapText="1"/>
    </xf>
    <xf numFmtId="164" fontId="1" fillId="0" borderId="2" xfId="2" applyFont="1" applyBorder="1" applyAlignment="1">
      <alignment horizontal="center" vertical="center" wrapText="1"/>
    </xf>
    <xf numFmtId="0" fontId="52" fillId="0" borderId="1" xfId="8" applyFont="1" applyFill="1" applyBorder="1" applyAlignment="1">
      <alignment horizontal="center" vertical="center" wrapText="1"/>
    </xf>
    <xf numFmtId="0" fontId="8" fillId="3" borderId="1" xfId="7" applyFont="1" applyFill="1" applyBorder="1" applyAlignment="1">
      <alignment horizontal="center" vertical="center"/>
    </xf>
    <xf numFmtId="2" fontId="1" fillId="0" borderId="1" xfId="7" applyNumberFormat="1" applyFont="1" applyFill="1" applyBorder="1" applyAlignment="1">
      <alignment horizontal="center" vertical="center"/>
    </xf>
    <xf numFmtId="2" fontId="52" fillId="4" borderId="1" xfId="7" applyNumberFormat="1" applyFont="1" applyFill="1" applyBorder="1" applyAlignment="1">
      <alignment horizontal="center" vertical="center" wrapText="1"/>
    </xf>
    <xf numFmtId="0" fontId="52" fillId="0" borderId="3" xfId="9" applyFont="1" applyBorder="1" applyAlignment="1">
      <alignment horizontal="center" vertical="center" wrapText="1"/>
    </xf>
    <xf numFmtId="0" fontId="52" fillId="0" borderId="4" xfId="9" applyFont="1" applyBorder="1" applyAlignment="1">
      <alignment horizontal="center" vertical="center" wrapText="1"/>
    </xf>
    <xf numFmtId="0" fontId="52" fillId="0" borderId="11" xfId="9" applyFont="1" applyBorder="1" applyAlignment="1">
      <alignment horizontal="center" vertical="center" wrapText="1"/>
    </xf>
    <xf numFmtId="2" fontId="52" fillId="4" borderId="3" xfId="7" applyNumberFormat="1" applyFont="1" applyFill="1" applyBorder="1" applyAlignment="1">
      <alignment horizontal="center" vertical="center" wrapText="1"/>
    </xf>
    <xf numFmtId="2" fontId="52" fillId="4" borderId="11" xfId="7" applyNumberFormat="1" applyFont="1" applyFill="1" applyBorder="1" applyAlignment="1">
      <alignment horizontal="center" vertical="center" wrapText="1"/>
    </xf>
    <xf numFmtId="2" fontId="52" fillId="4" borderId="4" xfId="7" applyNumberFormat="1" applyFont="1" applyFill="1" applyBorder="1" applyAlignment="1">
      <alignment horizontal="center" vertical="center" wrapText="1"/>
    </xf>
    <xf numFmtId="164" fontId="18" fillId="0" borderId="3" xfId="2" applyNumberFormat="1" applyFont="1" applyFill="1" applyBorder="1" applyAlignment="1">
      <alignment horizontal="center" vertical="center" wrapText="1"/>
    </xf>
    <xf numFmtId="164" fontId="18" fillId="0" borderId="11" xfId="2" applyNumberFormat="1" applyFont="1" applyFill="1" applyBorder="1" applyAlignment="1">
      <alignment horizontal="center" vertical="center" wrapText="1"/>
    </xf>
    <xf numFmtId="164" fontId="18" fillId="0" borderId="4" xfId="2" applyNumberFormat="1" applyFont="1" applyFill="1" applyBorder="1" applyAlignment="1">
      <alignment horizontal="center" vertical="center" wrapText="1"/>
    </xf>
    <xf numFmtId="0" fontId="46" fillId="0" borderId="3" xfId="7" applyFont="1" applyFill="1" applyBorder="1" applyAlignment="1">
      <alignment horizontal="center" vertical="center" wrapText="1"/>
    </xf>
    <xf numFmtId="0" fontId="46" fillId="0" borderId="11" xfId="7" applyFont="1" applyFill="1" applyBorder="1" applyAlignment="1">
      <alignment horizontal="center" vertical="center" wrapText="1"/>
    </xf>
    <xf numFmtId="0" fontId="46" fillId="0" borderId="4" xfId="7" applyFont="1" applyFill="1" applyBorder="1" applyAlignment="1">
      <alignment horizontal="center" vertical="center" wrapText="1"/>
    </xf>
    <xf numFmtId="0" fontId="7" fillId="0" borderId="3" xfId="3" applyFont="1" applyBorder="1" applyAlignment="1">
      <alignment horizontal="left" vertical="center" wrapText="1"/>
    </xf>
    <xf numFmtId="0" fontId="7" fillId="0" borderId="11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15" xfId="3" applyFont="1" applyFill="1" applyBorder="1" applyAlignment="1">
      <alignment horizontal="center" vertical="center" wrapText="1"/>
    </xf>
    <xf numFmtId="0" fontId="7" fillId="0" borderId="13" xfId="3" applyFont="1" applyBorder="1" applyAlignment="1">
      <alignment horizontal="center" vertical="center" wrapText="1"/>
    </xf>
    <xf numFmtId="0" fontId="7" fillId="0" borderId="14" xfId="3" applyFont="1" applyBorder="1" applyAlignment="1">
      <alignment horizontal="center" vertical="center" wrapText="1"/>
    </xf>
    <xf numFmtId="0" fontId="7" fillId="0" borderId="9" xfId="3" applyFont="1" applyBorder="1" applyAlignment="1">
      <alignment horizontal="center" vertical="center" wrapText="1"/>
    </xf>
    <xf numFmtId="0" fontId="7" fillId="0" borderId="19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164" fontId="7" fillId="0" borderId="13" xfId="2" applyFont="1" applyBorder="1" applyAlignment="1">
      <alignment horizontal="center" vertical="center" wrapText="1"/>
    </xf>
    <xf numFmtId="164" fontId="7" fillId="0" borderId="9" xfId="2" applyFont="1" applyBorder="1" applyAlignment="1">
      <alignment horizontal="center" vertical="center" wrapText="1"/>
    </xf>
    <xf numFmtId="164" fontId="7" fillId="0" borderId="19" xfId="2" applyFont="1" applyBorder="1" applyAlignment="1">
      <alignment horizontal="center" vertical="center" wrapText="1"/>
    </xf>
    <xf numFmtId="164" fontId="7" fillId="0" borderId="10" xfId="2" applyFont="1" applyBorder="1" applyAlignment="1">
      <alignment horizontal="center" vertical="center" wrapText="1"/>
    </xf>
    <xf numFmtId="0" fontId="1" fillId="0" borderId="13" xfId="3" applyFont="1" applyBorder="1" applyAlignment="1">
      <alignment horizontal="center" vertical="center" wrapText="1"/>
    </xf>
    <xf numFmtId="0" fontId="8" fillId="3" borderId="2" xfId="9" applyFont="1" applyFill="1" applyBorder="1" applyAlignment="1">
      <alignment vertical="center"/>
    </xf>
    <xf numFmtId="0" fontId="8" fillId="3" borderId="15" xfId="9" applyFont="1" applyFill="1" applyBorder="1" applyAlignment="1">
      <alignment vertical="center"/>
    </xf>
    <xf numFmtId="0" fontId="8" fillId="3" borderId="8" xfId="9" applyFont="1" applyFill="1" applyBorder="1" applyAlignment="1">
      <alignment vertical="center"/>
    </xf>
    <xf numFmtId="0" fontId="21" fillId="0" borderId="3" xfId="9" applyFont="1" applyBorder="1" applyAlignment="1">
      <alignment horizontal="center" vertical="center" wrapText="1"/>
    </xf>
    <xf numFmtId="0" fontId="21" fillId="0" borderId="4" xfId="9" applyFont="1" applyBorder="1" applyAlignment="1">
      <alignment horizontal="center" vertical="center" wrapText="1"/>
    </xf>
    <xf numFmtId="4" fontId="21" fillId="0" borderId="3" xfId="9" applyNumberFormat="1" applyFont="1" applyBorder="1" applyAlignment="1">
      <alignment horizontal="center" vertical="center" wrapText="1"/>
    </xf>
    <xf numFmtId="4" fontId="21" fillId="0" borderId="4" xfId="9" applyNumberFormat="1" applyFont="1" applyBorder="1" applyAlignment="1">
      <alignment horizontal="center" vertical="center" wrapText="1"/>
    </xf>
    <xf numFmtId="0" fontId="13" fillId="2" borderId="1" xfId="9" applyFont="1" applyFill="1" applyBorder="1" applyAlignment="1">
      <alignment horizontal="left"/>
    </xf>
    <xf numFmtId="0" fontId="20" fillId="2" borderId="0" xfId="9" applyFont="1" applyFill="1" applyBorder="1" applyAlignment="1">
      <alignment horizontal="center" vertical="center"/>
    </xf>
    <xf numFmtId="0" fontId="20" fillId="2" borderId="5" xfId="9" applyFont="1" applyFill="1" applyBorder="1" applyAlignment="1">
      <alignment horizontal="center" vertical="center"/>
    </xf>
    <xf numFmtId="0" fontId="16" fillId="3" borderId="2" xfId="9" applyFont="1" applyFill="1" applyBorder="1" applyAlignment="1">
      <alignment vertical="center"/>
    </xf>
    <xf numFmtId="0" fontId="16" fillId="3" borderId="15" xfId="9" applyFont="1" applyFill="1" applyBorder="1" applyAlignment="1">
      <alignment vertical="center"/>
    </xf>
    <xf numFmtId="0" fontId="16" fillId="3" borderId="8" xfId="9" applyFont="1" applyFill="1" applyBorder="1" applyAlignment="1">
      <alignment vertical="center"/>
    </xf>
    <xf numFmtId="0" fontId="21" fillId="0" borderId="1" xfId="9" applyFont="1" applyBorder="1" applyAlignment="1">
      <alignment horizontal="center" vertical="center" wrapText="1"/>
    </xf>
    <xf numFmtId="0" fontId="8" fillId="3" borderId="2" xfId="9" applyFont="1" applyFill="1" applyBorder="1" applyAlignment="1">
      <alignment horizontal="left" vertical="center"/>
    </xf>
    <xf numFmtId="0" fontId="8" fillId="3" borderId="15" xfId="9" applyFont="1" applyFill="1" applyBorder="1" applyAlignment="1">
      <alignment horizontal="left" vertical="center"/>
    </xf>
    <xf numFmtId="0" fontId="8" fillId="3" borderId="8" xfId="9" applyFont="1" applyFill="1" applyBorder="1" applyAlignment="1">
      <alignment horizontal="left" vertical="center"/>
    </xf>
    <xf numFmtId="0" fontId="13" fillId="2" borderId="2" xfId="7" applyFont="1" applyFill="1" applyBorder="1" applyAlignment="1">
      <alignment horizontal="left"/>
    </xf>
    <xf numFmtId="0" fontId="13" fillId="2" borderId="15" xfId="7" applyFont="1" applyFill="1" applyBorder="1" applyAlignment="1">
      <alignment horizontal="left"/>
    </xf>
  </cellXfs>
  <cellStyles count="13">
    <cellStyle name="Iau?iue" xfId="3"/>
    <cellStyle name="Iau?iue 10" xfId="9"/>
    <cellStyle name="Iau?iue 15" xfId="8"/>
    <cellStyle name="Iau?iue_ИП-2010 -проект TES" xfId="6"/>
    <cellStyle name="Iau?iue_Копия Лист в IP-2009-2" xfId="11"/>
    <cellStyle name="Iau?iue_Проект IP-2012  ЦЕК після НКРЕ  xls " xfId="7"/>
    <cellStyle name="Обычный" xfId="0" builtinId="0"/>
    <cellStyle name="Обычный 2" xfId="4"/>
    <cellStyle name="Обычный 3" xfId="10"/>
    <cellStyle name="Обычный_nkre1" xfId="1"/>
    <cellStyle name="Обычный_Лист1" xfId="5"/>
    <cellStyle name="Финансовый" xfId="2" builtinId="3"/>
    <cellStyle name="Финансовый 3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86;&#1074;&#1072;&#1103;%20&#1087;&#1072;&#1087;&#1082;&#1072;/&#1086;&#1090;&#1095;&#1077;&#1090;%20&#1087;&#1086;%20&#1048;&#1055;/2012/IP-2012%20%20&#1062;&#1045;&#1050;-%20%20&#1079;&#1084;&#1110;&#1085;&#1080;%20&#1055;&#1051;&#1052;%20&#1089;%20&#1090;&#1088;&#1072;&#1085;&#1089;&#1092;%20&#1074;&#1072;&#1088;%202%20&#1044;x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LL/&#1050;&#1080;&#1088;&#1077;&#1081;&#1094;&#1077;&#1074;&#1072;/&#1047;&#1084;&#1110;&#1085;&#1080;%20&#1074;%20&#1030;&#1055;%202012&#1088;.%20&#1062;&#1045;&#1050;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86;&#1074;&#1072;&#1103;%20&#1087;&#1072;&#1087;&#1082;&#1072;/&#1086;&#1090;&#1095;&#1077;&#1090;%20&#1087;&#1086;%20&#1048;&#1055;/2012/IP-2012%20%20&#1062;&#1045;&#1050;-%20%20&#1079;&#1084;&#1110;&#1085;&#1080;%20&#1079;%20&#1090;&#1088;&#1072;&#1085;&#1089;&#1092;&#1086;&#1088;&#1084;&#1072;&#1090;&#1086;&#1088;&#1086;&#1084;&#1055;&#1051;&#1052;%20xls%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тульна сторінка"/>
      <sheetName val="1. Незавершене будівництво"/>
      <sheetName val="2. Джерела фінансування  "/>
      <sheetName val="3. План інвестицій"/>
      <sheetName val="4.1. Технічний стан"/>
      <sheetName val="4.2. Характеристика мереж"/>
      <sheetName val="4.3. Облік"/>
      <sheetName val="4.3.1. Облік промспоживачів"/>
      <sheetName val="4.3.2. Облік промспоживачів"/>
      <sheetName val="4.4.1. Облік населення"/>
      <sheetName val="4.4.2. Облік населення"/>
      <sheetName val="4.5. Стан комерційного облі "/>
      <sheetName val="4.51.Техн. стан вимір. Т"/>
      <sheetName val="4.6. Технічний облік "/>
      <sheetName val="4.7. Стан комп'ютерної техніки"/>
      <sheetName val="4.8. Стан транспорту "/>
      <sheetName val="4.8.1. Аналіз списання "/>
      <sheetName val="4.8.2"/>
      <sheetName val="4.9. Витрати "/>
      <sheetName val="4.10. Характеристика за 5 років"/>
      <sheetName val="5. Загальний опис робіт"/>
      <sheetName val="5.І. Електричні мережі"/>
      <sheetName val="5.І.І. Обсяги робіт"/>
      <sheetName val="5.II. Зниження понаднорматива"/>
      <sheetName val="5.III. АСДТК"/>
      <sheetName val="5.III.ІЕтапи впровадження АСДТК"/>
      <sheetName val="5.ІV. Інформаційні технології"/>
      <sheetName val="5.V. Зв'язок"/>
      <sheetName val="5..V.1.Етапи впровадження"/>
      <sheetName val="5.VI. Транспорт "/>
      <sheetName val="5.VIІ. Інше "/>
      <sheetName val="6. Проведення закупівлі"/>
      <sheetName val="7. Іновації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1">
          <cell r="H11">
            <v>2942.9367200000002</v>
          </cell>
        </row>
        <row r="68">
          <cell r="H68">
            <v>17.832000000000001</v>
          </cell>
          <cell r="J68">
            <v>4.4579999999999984</v>
          </cell>
        </row>
        <row r="69">
          <cell r="H69">
            <v>34.790399999999998</v>
          </cell>
          <cell r="J69">
            <v>8.6976000000000013</v>
          </cell>
        </row>
        <row r="70">
          <cell r="H70">
            <v>682.48320000000012</v>
          </cell>
          <cell r="J70">
            <v>170.62079999999992</v>
          </cell>
        </row>
        <row r="71">
          <cell r="H71">
            <v>280.70400000000001</v>
          </cell>
          <cell r="J71">
            <v>70.175999999999988</v>
          </cell>
        </row>
        <row r="73">
          <cell r="H73">
            <v>97.497600000000006</v>
          </cell>
          <cell r="J73">
            <v>24.374399999999994</v>
          </cell>
        </row>
      </sheetData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 refreshError="1">
        <row r="12">
          <cell r="I12">
            <v>270.62112999999999</v>
          </cell>
        </row>
        <row r="35">
          <cell r="I35">
            <v>49.414000000000001</v>
          </cell>
        </row>
        <row r="43">
          <cell r="G43">
            <v>6.7960000000000003</v>
          </cell>
        </row>
        <row r="50">
          <cell r="I50">
            <v>26.703000000000003</v>
          </cell>
        </row>
        <row r="53">
          <cell r="I53">
            <v>179.94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ульна сторінка"/>
      <sheetName val="1. Незавершене будівництво"/>
      <sheetName val="2. Джерела фінансування  "/>
      <sheetName val="3. План інвестицій"/>
      <sheetName val="4.1. Технічний стан"/>
      <sheetName val="4.2. Характеристика мереж"/>
      <sheetName val="4.3. Облік"/>
      <sheetName val="4.3.1. Облік промспоживачів"/>
      <sheetName val="4.3.2. Облік промспоживачів"/>
      <sheetName val="4.4.1. Облік населення"/>
      <sheetName val="4.4.2. Облік населення"/>
      <sheetName val="4.5. Стан комерційного облі "/>
      <sheetName val="4.51.Техн. стан вимір. Т"/>
      <sheetName val="4.6. Технічний облік "/>
      <sheetName val="4.7. Стан комп'ютерної техніки"/>
      <sheetName val="4.8. Стан транспорту "/>
      <sheetName val="4.8.1. Аналіз списання "/>
      <sheetName val="4.8.2"/>
      <sheetName val="4.9. Витрати "/>
      <sheetName val="4.10. Характеристика за 5 років"/>
      <sheetName val="5. Загальний опис робіт"/>
      <sheetName val="5.І. Електричні мережі"/>
      <sheetName val="6. Проведення закупівлі"/>
      <sheetName val="5.І.І. Обсяги робіт"/>
      <sheetName val="5.II. Зниження понаднорматива"/>
      <sheetName val="5.III. АСДТК"/>
      <sheetName val="5.III.ІЕтапи впровадження АСДТК"/>
      <sheetName val="5.ІV. Інформаційні технології"/>
      <sheetName val="5.V. Зв'язок"/>
      <sheetName val="5..V.1.Етапи впровадження"/>
      <sheetName val="5.VI. Транспорт "/>
      <sheetName val="5.VIІ. Інше "/>
      <sheetName val="7. Іновації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41">
          <cell r="I141">
            <v>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D47"/>
  <sheetViews>
    <sheetView zoomScaleSheetLayoutView="100" workbookViewId="0">
      <selection activeCell="A21" sqref="A21"/>
    </sheetView>
  </sheetViews>
  <sheetFormatPr defaultRowHeight="12.75"/>
  <cols>
    <col min="1" max="1" width="23.85546875" style="48" customWidth="1"/>
    <col min="2" max="2" width="25.85546875" style="48" customWidth="1"/>
    <col min="3" max="3" width="14.85546875" style="48" customWidth="1"/>
    <col min="4" max="4" width="35.140625" style="48" customWidth="1"/>
    <col min="5" max="16384" width="9.140625" style="48"/>
  </cols>
  <sheetData>
    <row r="2" spans="3:4">
      <c r="D2" s="238"/>
    </row>
    <row r="3" spans="3:4">
      <c r="C3" s="481"/>
      <c r="D3" s="481"/>
    </row>
    <row r="4" spans="3:4">
      <c r="C4" s="481"/>
      <c r="D4" s="481"/>
    </row>
    <row r="5" spans="3:4">
      <c r="C5" s="237"/>
      <c r="D5" s="237"/>
    </row>
    <row r="6" spans="3:4" ht="15.75">
      <c r="C6" s="192" t="s">
        <v>430</v>
      </c>
      <c r="D6" s="193"/>
    </row>
    <row r="7" spans="3:4" ht="15.75">
      <c r="C7" s="192" t="s">
        <v>431</v>
      </c>
      <c r="D7" s="193"/>
    </row>
    <row r="8" spans="3:4" ht="15.75">
      <c r="C8" s="192" t="s">
        <v>432</v>
      </c>
      <c r="D8" s="193"/>
    </row>
    <row r="9" spans="3:4" ht="15.75">
      <c r="C9" s="192"/>
      <c r="D9" s="193"/>
    </row>
    <row r="10" spans="3:4" ht="15.75">
      <c r="C10" s="192" t="s">
        <v>433</v>
      </c>
      <c r="D10" s="193"/>
    </row>
    <row r="19" spans="1:4" s="43" customFormat="1" ht="13.5" thickBot="1"/>
    <row r="20" spans="1:4" s="42" customFormat="1" ht="30.75" customHeight="1" thickBot="1">
      <c r="A20" s="477" t="s">
        <v>4</v>
      </c>
      <c r="B20" s="478"/>
      <c r="C20" s="478"/>
      <c r="D20" s="479"/>
    </row>
    <row r="21" spans="1:4" s="42" customFormat="1" ht="48.75" customHeight="1" thickBot="1">
      <c r="A21" s="32" t="s">
        <v>5</v>
      </c>
      <c r="B21" s="480" t="s">
        <v>320</v>
      </c>
      <c r="C21" s="480"/>
      <c r="D21" s="480"/>
    </row>
    <row r="22" spans="1:4" s="42" customFormat="1" ht="26.25" customHeight="1" thickBot="1">
      <c r="A22" s="44" t="s">
        <v>160</v>
      </c>
      <c r="B22" s="137" t="s">
        <v>321</v>
      </c>
      <c r="C22" s="46" t="s">
        <v>3</v>
      </c>
      <c r="D22" s="137" t="s">
        <v>435</v>
      </c>
    </row>
    <row r="23" spans="1:4" s="42" customFormat="1" ht="22.5" hidden="1" customHeight="1" thickBot="1">
      <c r="A23" s="47" t="s">
        <v>87</v>
      </c>
      <c r="B23" s="45" t="s">
        <v>88</v>
      </c>
      <c r="C23" s="47" t="s">
        <v>3</v>
      </c>
      <c r="D23" s="45" t="s">
        <v>88</v>
      </c>
    </row>
    <row r="34" spans="1:4" ht="14.25">
      <c r="A34" s="189" t="s">
        <v>424</v>
      </c>
      <c r="B34" s="189"/>
      <c r="C34" s="189"/>
      <c r="D34" s="189"/>
    </row>
    <row r="35" spans="1:4" ht="15">
      <c r="A35" s="190"/>
      <c r="B35" s="190"/>
      <c r="C35" s="190"/>
      <c r="D35" s="190"/>
    </row>
    <row r="36" spans="1:4" ht="15">
      <c r="A36" s="190"/>
      <c r="B36" s="190"/>
      <c r="C36" s="190"/>
      <c r="D36" s="190"/>
    </row>
    <row r="37" spans="1:4" ht="15">
      <c r="A37" s="190"/>
      <c r="B37" s="190"/>
      <c r="C37" s="190"/>
      <c r="D37" s="190"/>
    </row>
    <row r="38" spans="1:4" ht="15">
      <c r="A38" s="190"/>
      <c r="B38" s="190"/>
      <c r="C38" s="190"/>
      <c r="D38" s="190"/>
    </row>
    <row r="39" spans="1:4" ht="15">
      <c r="A39" s="190"/>
      <c r="B39" s="190"/>
      <c r="C39" s="190"/>
      <c r="D39" s="190"/>
    </row>
    <row r="40" spans="1:4" ht="15">
      <c r="A40" s="190" t="s">
        <v>426</v>
      </c>
      <c r="B40" s="190"/>
      <c r="C40" s="190"/>
      <c r="D40" s="190" t="s">
        <v>427</v>
      </c>
    </row>
    <row r="41" spans="1:4" ht="15">
      <c r="A41" s="190"/>
      <c r="B41" s="190"/>
      <c r="C41" s="190"/>
      <c r="D41" s="190"/>
    </row>
    <row r="42" spans="1:4" ht="15">
      <c r="A42" s="190"/>
      <c r="B42" s="190"/>
      <c r="C42" s="190"/>
      <c r="D42" s="190"/>
    </row>
    <row r="43" spans="1:4" ht="15">
      <c r="A43" s="190"/>
      <c r="B43" s="190"/>
      <c r="C43" s="190"/>
      <c r="D43" s="190"/>
    </row>
    <row r="44" spans="1:4" ht="15">
      <c r="A44" s="190"/>
      <c r="B44" s="190"/>
      <c r="C44" s="190"/>
      <c r="D44" s="190"/>
    </row>
    <row r="45" spans="1:4" ht="15">
      <c r="A45" s="190"/>
      <c r="B45" s="190"/>
      <c r="C45" s="190"/>
      <c r="D45" s="190"/>
    </row>
    <row r="46" spans="1:4" ht="15">
      <c r="A46" s="190" t="s">
        <v>428</v>
      </c>
      <c r="B46" s="190"/>
      <c r="C46" s="190"/>
      <c r="D46" s="190" t="s">
        <v>429</v>
      </c>
    </row>
    <row r="47" spans="1:4">
      <c r="A47" s="191"/>
      <c r="B47" s="191"/>
      <c r="C47" s="191"/>
      <c r="D47" s="191"/>
    </row>
  </sheetData>
  <mergeCells count="4">
    <mergeCell ref="A20:D20"/>
    <mergeCell ref="B21:D21"/>
    <mergeCell ref="C3:D3"/>
    <mergeCell ref="C4:D4"/>
  </mergeCells>
  <phoneticPr fontId="5" type="noConversion"/>
  <pageMargins left="1.1100000000000001" right="0.33" top="0.72" bottom="1" header="0.5" footer="0.5"/>
  <pageSetup paperSize="9" scale="8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32"/>
  <sheetViews>
    <sheetView tabSelected="1" zoomScale="94" zoomScaleNormal="94" zoomScaleSheetLayoutView="10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J9" sqref="J9:L9"/>
    </sheetView>
  </sheetViews>
  <sheetFormatPr defaultRowHeight="12.75"/>
  <cols>
    <col min="1" max="1" width="12" style="339" customWidth="1"/>
    <col min="2" max="2" width="58.85546875" style="467" customWidth="1"/>
    <col min="3" max="3" width="12.42578125" style="339" customWidth="1"/>
    <col min="4" max="4" width="20.42578125" style="427" customWidth="1"/>
    <col min="5" max="5" width="11.5703125" style="428" customWidth="1"/>
    <col min="6" max="6" width="10.5703125" style="429" customWidth="1"/>
    <col min="7" max="7" width="11.85546875" style="428" customWidth="1"/>
    <col min="8" max="8" width="11" style="429" customWidth="1"/>
    <col min="9" max="9" width="11.28515625" style="428" customWidth="1"/>
    <col min="10" max="10" width="12" style="428" customWidth="1"/>
    <col min="11" max="11" width="9.42578125" style="429" customWidth="1"/>
    <col min="12" max="12" width="14.42578125" style="428" customWidth="1"/>
    <col min="13" max="13" width="10.28515625" style="429" customWidth="1"/>
    <col min="14" max="14" width="12.140625" style="428" customWidth="1"/>
    <col min="15" max="15" width="29.5703125" style="339" customWidth="1"/>
    <col min="16" max="16" width="9.7109375" style="339" customWidth="1"/>
    <col min="17" max="17" width="12.5703125" style="339" customWidth="1"/>
    <col min="18" max="18" width="13.28515625" style="339" customWidth="1"/>
    <col min="19" max="19" width="19.85546875" style="430" customWidth="1"/>
    <col min="20" max="20" width="14" style="339" customWidth="1"/>
    <col min="21" max="40" width="9.140625" style="339" customWidth="1"/>
    <col min="41" max="16384" width="9.140625" style="339"/>
  </cols>
  <sheetData>
    <row r="1" spans="1:20" s="331" customFormat="1">
      <c r="A1" s="330" t="s">
        <v>330</v>
      </c>
      <c r="B1" s="445"/>
      <c r="C1" s="332">
        <f>G120</f>
        <v>31384.219639999996</v>
      </c>
      <c r="D1" s="331" t="s">
        <v>331</v>
      </c>
      <c r="E1" s="333"/>
      <c r="F1" s="334"/>
      <c r="G1" s="335"/>
      <c r="H1" s="334"/>
      <c r="I1" s="335"/>
      <c r="J1" s="335"/>
      <c r="K1" s="334"/>
      <c r="L1" s="335"/>
      <c r="M1" s="334"/>
      <c r="N1" s="335"/>
      <c r="S1" s="336"/>
    </row>
    <row r="2" spans="1:20" s="331" customFormat="1">
      <c r="B2" s="445"/>
      <c r="D2" s="337"/>
      <c r="E2" s="335"/>
      <c r="F2" s="334"/>
      <c r="G2" s="335"/>
      <c r="H2" s="334"/>
      <c r="I2" s="335"/>
      <c r="J2" s="335"/>
      <c r="K2" s="334"/>
      <c r="L2" s="335"/>
      <c r="M2" s="334"/>
      <c r="N2" s="335"/>
      <c r="S2" s="336"/>
    </row>
    <row r="3" spans="1:20" s="331" customFormat="1">
      <c r="A3" s="330" t="s">
        <v>332</v>
      </c>
      <c r="B3" s="445"/>
      <c r="C3" s="332">
        <f>I120</f>
        <v>31384.219639999996</v>
      </c>
      <c r="D3" s="331" t="s">
        <v>331</v>
      </c>
      <c r="E3" s="333"/>
      <c r="F3" s="334"/>
      <c r="G3" s="335"/>
      <c r="H3" s="334"/>
      <c r="I3" s="335"/>
      <c r="J3" s="335"/>
      <c r="K3" s="334"/>
      <c r="L3" s="335"/>
      <c r="M3" s="334"/>
      <c r="N3" s="335"/>
      <c r="S3" s="336"/>
    </row>
    <row r="4" spans="1:20" s="331" customFormat="1">
      <c r="B4" s="445"/>
      <c r="D4" s="337"/>
      <c r="E4" s="335"/>
      <c r="F4" s="334"/>
      <c r="G4" s="335"/>
      <c r="H4" s="334"/>
      <c r="I4" s="335"/>
      <c r="J4" s="335"/>
      <c r="K4" s="334"/>
      <c r="L4" s="335"/>
      <c r="M4" s="334"/>
      <c r="N4" s="335"/>
      <c r="S4" s="336"/>
    </row>
    <row r="5" spans="1:20" s="331" customFormat="1">
      <c r="A5" s="330" t="s">
        <v>513</v>
      </c>
      <c r="B5" s="445"/>
      <c r="E5" s="335">
        <f>L120</f>
        <v>31318.085291999996</v>
      </c>
      <c r="F5" s="334" t="s">
        <v>331</v>
      </c>
      <c r="G5" s="335"/>
      <c r="H5" s="334"/>
      <c r="I5" s="335"/>
      <c r="J5" s="335"/>
      <c r="K5" s="334"/>
      <c r="L5" s="335"/>
      <c r="M5" s="334"/>
      <c r="N5" s="335"/>
      <c r="S5" s="336"/>
    </row>
    <row r="7" spans="1:20" ht="15.75">
      <c r="A7" s="549" t="str">
        <f>CONCATENATE("2. Детальний звіт щодо виконання інвестиційної програми ",'Загальна інформація'!B21)</f>
        <v>2. Детальний звіт щодо виконання інвестиційної програми ПрАТ "ПЕЕМ  "Центральна енергетична компанія"</v>
      </c>
      <c r="B7" s="550"/>
      <c r="C7" s="550"/>
      <c r="D7" s="550"/>
      <c r="E7" s="550"/>
      <c r="F7" s="550"/>
      <c r="G7" s="550"/>
      <c r="H7" s="550"/>
      <c r="I7" s="550"/>
      <c r="J7" s="550"/>
      <c r="K7" s="550"/>
      <c r="L7" s="550"/>
      <c r="M7" s="550"/>
      <c r="N7" s="550"/>
      <c r="O7" s="550"/>
      <c r="P7" s="550"/>
      <c r="Q7" s="550"/>
      <c r="R7" s="550"/>
      <c r="S7" s="249"/>
      <c r="T7" s="338"/>
    </row>
    <row r="8" spans="1:20" s="340" customFormat="1">
      <c r="A8" s="522" t="s">
        <v>0</v>
      </c>
      <c r="B8" s="546" t="s">
        <v>121</v>
      </c>
      <c r="C8" s="522" t="s">
        <v>31</v>
      </c>
      <c r="D8" s="551" t="s">
        <v>32</v>
      </c>
      <c r="E8" s="552"/>
      <c r="F8" s="552"/>
      <c r="G8" s="553"/>
      <c r="H8" s="557" t="s">
        <v>35</v>
      </c>
      <c r="I8" s="558"/>
      <c r="J8" s="526" t="s">
        <v>36</v>
      </c>
      <c r="K8" s="527"/>
      <c r="L8" s="527"/>
      <c r="M8" s="527"/>
      <c r="N8" s="528"/>
      <c r="O8" s="519" t="s">
        <v>470</v>
      </c>
      <c r="P8" s="561" t="s">
        <v>471</v>
      </c>
      <c r="Q8" s="553"/>
      <c r="R8" s="522" t="s">
        <v>139</v>
      </c>
      <c r="S8" s="522" t="s">
        <v>28</v>
      </c>
      <c r="T8" s="522" t="s">
        <v>29</v>
      </c>
    </row>
    <row r="9" spans="1:20" s="340" customFormat="1">
      <c r="A9" s="525"/>
      <c r="B9" s="547"/>
      <c r="C9" s="525"/>
      <c r="D9" s="554"/>
      <c r="E9" s="555"/>
      <c r="F9" s="555"/>
      <c r="G9" s="556"/>
      <c r="H9" s="559"/>
      <c r="I9" s="560"/>
      <c r="J9" s="529" t="s">
        <v>507</v>
      </c>
      <c r="K9" s="527"/>
      <c r="L9" s="528"/>
      <c r="M9" s="529" t="s">
        <v>469</v>
      </c>
      <c r="N9" s="528"/>
      <c r="O9" s="525"/>
      <c r="P9" s="554"/>
      <c r="Q9" s="556"/>
      <c r="R9" s="525"/>
      <c r="S9" s="525"/>
      <c r="T9" s="525"/>
    </row>
    <row r="10" spans="1:20" s="340" customFormat="1" ht="63.75">
      <c r="A10" s="523"/>
      <c r="B10" s="548"/>
      <c r="C10" s="523"/>
      <c r="D10" s="199" t="s">
        <v>27</v>
      </c>
      <c r="E10" s="254" t="s">
        <v>122</v>
      </c>
      <c r="F10" s="283" t="s">
        <v>33</v>
      </c>
      <c r="G10" s="254" t="s">
        <v>34</v>
      </c>
      <c r="H10" s="283" t="s">
        <v>33</v>
      </c>
      <c r="I10" s="254" t="s">
        <v>34</v>
      </c>
      <c r="J10" s="254" t="s">
        <v>30</v>
      </c>
      <c r="K10" s="283" t="s">
        <v>37</v>
      </c>
      <c r="L10" s="254" t="s">
        <v>38</v>
      </c>
      <c r="M10" s="283" t="s">
        <v>37</v>
      </c>
      <c r="N10" s="254" t="s">
        <v>38</v>
      </c>
      <c r="O10" s="523"/>
      <c r="P10" s="229" t="s">
        <v>33</v>
      </c>
      <c r="Q10" s="229" t="s">
        <v>34</v>
      </c>
      <c r="R10" s="523"/>
      <c r="S10" s="523"/>
      <c r="T10" s="523"/>
    </row>
    <row r="11" spans="1:20" s="343" customFormat="1">
      <c r="A11" s="341">
        <v>1</v>
      </c>
      <c r="B11" s="446">
        <v>2</v>
      </c>
      <c r="C11" s="341">
        <v>3</v>
      </c>
      <c r="D11" s="342">
        <v>4</v>
      </c>
      <c r="E11" s="341">
        <v>5</v>
      </c>
      <c r="F11" s="341">
        <v>6</v>
      </c>
      <c r="G11" s="341">
        <v>7</v>
      </c>
      <c r="H11" s="341">
        <v>8</v>
      </c>
      <c r="I11" s="341">
        <v>9</v>
      </c>
      <c r="J11" s="341">
        <v>10</v>
      </c>
      <c r="K11" s="341">
        <v>11</v>
      </c>
      <c r="L11" s="341">
        <v>12</v>
      </c>
      <c r="M11" s="341">
        <v>13</v>
      </c>
      <c r="N11" s="341">
        <v>14</v>
      </c>
      <c r="O11" s="341">
        <v>15</v>
      </c>
      <c r="P11" s="341">
        <v>16</v>
      </c>
      <c r="Q11" s="341">
        <v>17</v>
      </c>
      <c r="R11" s="341">
        <v>18</v>
      </c>
      <c r="S11" s="341">
        <v>19</v>
      </c>
      <c r="T11" s="341">
        <v>20</v>
      </c>
    </row>
    <row r="12" spans="1:20" s="30" customFormat="1">
      <c r="A12" s="344" t="s">
        <v>282</v>
      </c>
      <c r="B12" s="447"/>
      <c r="C12" s="344"/>
      <c r="D12" s="344"/>
      <c r="E12" s="345"/>
      <c r="F12" s="346"/>
      <c r="G12" s="345"/>
      <c r="H12" s="346"/>
      <c r="I12" s="345"/>
      <c r="J12" s="345"/>
      <c r="K12" s="346"/>
      <c r="L12" s="345"/>
      <c r="M12" s="346"/>
      <c r="N12" s="345"/>
      <c r="O12" s="344"/>
      <c r="P12" s="344"/>
      <c r="Q12" s="344"/>
      <c r="R12" s="344"/>
      <c r="S12" s="347"/>
      <c r="T12" s="344"/>
    </row>
    <row r="13" spans="1:20" s="30" customFormat="1" ht="25.5">
      <c r="A13" s="69" t="s">
        <v>162</v>
      </c>
      <c r="B13" s="448" t="s">
        <v>163</v>
      </c>
      <c r="C13" s="348"/>
      <c r="D13" s="349"/>
      <c r="E13" s="350"/>
      <c r="F13" s="351"/>
      <c r="G13" s="255">
        <f>SUM(G14+G34+G43+G51)</f>
        <v>25844.301569999996</v>
      </c>
      <c r="H13" s="351"/>
      <c r="I13" s="255">
        <f>SUM(I14+I34+I43+I51)</f>
        <v>25844.301569999996</v>
      </c>
      <c r="J13" s="256"/>
      <c r="K13" s="296"/>
      <c r="L13" s="255">
        <f>SUM(L14+L34+L43+L51)</f>
        <v>26003.944159999999</v>
      </c>
      <c r="M13" s="296"/>
      <c r="N13" s="255">
        <f>SUM(N14+N34+N43+N51)</f>
        <v>26803.739270000005</v>
      </c>
      <c r="O13" s="93"/>
      <c r="P13" s="93"/>
      <c r="Q13" s="108">
        <f>SUM(Q14+Q34+Q43+Q51)</f>
        <v>-159.64259000000084</v>
      </c>
      <c r="R13" s="93"/>
      <c r="S13" s="200"/>
      <c r="T13" s="93"/>
    </row>
    <row r="14" spans="1:20" s="30" customFormat="1">
      <c r="A14" s="70" t="s">
        <v>164</v>
      </c>
      <c r="B14" s="131" t="s">
        <v>165</v>
      </c>
      <c r="C14" s="348"/>
      <c r="D14" s="349"/>
      <c r="E14" s="350"/>
      <c r="F14" s="351"/>
      <c r="G14" s="257">
        <f>G15+G28</f>
        <v>22818.805769999999</v>
      </c>
      <c r="H14" s="351"/>
      <c r="I14" s="257">
        <f>I15+I28</f>
        <v>22818.805769999999</v>
      </c>
      <c r="J14" s="258"/>
      <c r="K14" s="299"/>
      <c r="L14" s="257">
        <f>L15+L28</f>
        <v>22996.343759999996</v>
      </c>
      <c r="M14" s="299"/>
      <c r="N14" s="257">
        <f>N15+N28</f>
        <v>21306.371530000004</v>
      </c>
      <c r="O14" s="94"/>
      <c r="P14" s="94"/>
      <c r="Q14" s="113">
        <f>Q15+Q28</f>
        <v>-177.53799000000069</v>
      </c>
      <c r="R14" s="94"/>
      <c r="S14" s="201"/>
      <c r="T14" s="94"/>
    </row>
    <row r="15" spans="1:20" s="30" customFormat="1">
      <c r="A15" s="71" t="s">
        <v>90</v>
      </c>
      <c r="B15" s="449" t="s">
        <v>166</v>
      </c>
      <c r="C15" s="348"/>
      <c r="D15" s="349"/>
      <c r="E15" s="350"/>
      <c r="F15" s="351"/>
      <c r="G15" s="259">
        <f>G16+G17+G18+G19+G20+G21</f>
        <v>21427.171770000001</v>
      </c>
      <c r="H15" s="351"/>
      <c r="I15" s="259">
        <f>I16+I17+I18+I19+I20+I21</f>
        <v>21427.171770000001</v>
      </c>
      <c r="J15" s="260"/>
      <c r="K15" s="307"/>
      <c r="L15" s="259">
        <f>L16+L17+L18+L19+L20+L21</f>
        <v>21670.817759999998</v>
      </c>
      <c r="M15" s="307"/>
      <c r="N15" s="259">
        <f>N16+N17+N18+N19+N20+N21</f>
        <v>19980.845530000002</v>
      </c>
      <c r="O15" s="95"/>
      <c r="P15" s="95"/>
      <c r="Q15" s="71">
        <f>Q16+Q17+Q18+Q19+Q20+Q21</f>
        <v>-243.64599000000072</v>
      </c>
      <c r="R15" s="95"/>
      <c r="S15" s="202"/>
      <c r="T15" s="95"/>
    </row>
    <row r="16" spans="1:20" s="30" customFormat="1" ht="51">
      <c r="A16" s="144" t="s">
        <v>167</v>
      </c>
      <c r="B16" s="73" t="s">
        <v>256</v>
      </c>
      <c r="C16" s="91" t="s">
        <v>168</v>
      </c>
      <c r="D16" s="352"/>
      <c r="E16" s="353"/>
      <c r="F16" s="354">
        <v>1</v>
      </c>
      <c r="G16" s="265">
        <v>5630.3806799999993</v>
      </c>
      <c r="H16" s="287">
        <v>1</v>
      </c>
      <c r="I16" s="263">
        <f>G16</f>
        <v>5630.3806799999993</v>
      </c>
      <c r="J16" s="263"/>
      <c r="K16" s="308">
        <v>1</v>
      </c>
      <c r="L16" s="263">
        <f>N16</f>
        <v>5874.027000000001</v>
      </c>
      <c r="M16" s="308">
        <v>1</v>
      </c>
      <c r="N16" s="263">
        <v>5874.027000000001</v>
      </c>
      <c r="O16" s="253" t="s">
        <v>457</v>
      </c>
      <c r="P16" s="100"/>
      <c r="Q16" s="100">
        <f t="shared" ref="Q16:Q27" si="0">I16-L16</f>
        <v>-243.64632000000165</v>
      </c>
      <c r="R16" s="100"/>
      <c r="S16" s="252" t="s">
        <v>337</v>
      </c>
      <c r="T16" s="100"/>
    </row>
    <row r="17" spans="1:20" s="30" customFormat="1" ht="33.75">
      <c r="A17" s="75" t="s">
        <v>167</v>
      </c>
      <c r="B17" s="76" t="s">
        <v>257</v>
      </c>
      <c r="C17" s="91" t="s">
        <v>168</v>
      </c>
      <c r="D17" s="355" t="s">
        <v>283</v>
      </c>
      <c r="E17" s="261"/>
      <c r="F17" s="284"/>
      <c r="G17" s="262">
        <v>270.62112999999999</v>
      </c>
      <c r="H17" s="356"/>
      <c r="I17" s="263">
        <f>G17</f>
        <v>270.62112999999999</v>
      </c>
      <c r="J17" s="263"/>
      <c r="K17" s="308"/>
      <c r="L17" s="263">
        <v>270.61907000000002</v>
      </c>
      <c r="M17" s="308"/>
      <c r="N17" s="263"/>
      <c r="O17" s="100"/>
      <c r="P17" s="100"/>
      <c r="Q17" s="100">
        <f t="shared" si="0"/>
        <v>2.0599999999717511E-3</v>
      </c>
      <c r="R17" s="100"/>
      <c r="S17" s="252" t="s">
        <v>454</v>
      </c>
      <c r="T17" s="100"/>
    </row>
    <row r="18" spans="1:20" s="30" customFormat="1" ht="33.75">
      <c r="A18" s="75" t="s">
        <v>169</v>
      </c>
      <c r="B18" s="76" t="s">
        <v>258</v>
      </c>
      <c r="C18" s="91" t="s">
        <v>168</v>
      </c>
      <c r="D18" s="355" t="s">
        <v>283</v>
      </c>
      <c r="E18" s="261"/>
      <c r="F18" s="284"/>
      <c r="G18" s="262">
        <v>296.62195999999994</v>
      </c>
      <c r="H18" s="356"/>
      <c r="I18" s="263">
        <f>G18</f>
        <v>296.62195999999994</v>
      </c>
      <c r="J18" s="263"/>
      <c r="K18" s="308"/>
      <c r="L18" s="263">
        <v>296.62516000000005</v>
      </c>
      <c r="M18" s="308"/>
      <c r="N18" s="263"/>
      <c r="O18" s="100"/>
      <c r="P18" s="100"/>
      <c r="Q18" s="100">
        <f t="shared" si="0"/>
        <v>-3.200000000106229E-3</v>
      </c>
      <c r="R18" s="100"/>
      <c r="S18" s="252" t="s">
        <v>454</v>
      </c>
      <c r="T18" s="100"/>
    </row>
    <row r="19" spans="1:20" s="30" customFormat="1" ht="25.5">
      <c r="A19" s="203" t="s">
        <v>171</v>
      </c>
      <c r="B19" s="76" t="s">
        <v>172</v>
      </c>
      <c r="C19" s="91" t="s">
        <v>168</v>
      </c>
      <c r="D19" s="355" t="s">
        <v>170</v>
      </c>
      <c r="E19" s="261"/>
      <c r="F19" s="284"/>
      <c r="G19" s="262">
        <v>440.36400000000003</v>
      </c>
      <c r="H19" s="356"/>
      <c r="I19" s="263">
        <f>G19</f>
        <v>440.36400000000003</v>
      </c>
      <c r="J19" s="263"/>
      <c r="K19" s="308"/>
      <c r="L19" s="263">
        <v>440.36399999999998</v>
      </c>
      <c r="M19" s="308"/>
      <c r="N19" s="263"/>
      <c r="O19" s="204" t="s">
        <v>413</v>
      </c>
      <c r="P19" s="100"/>
      <c r="Q19" s="100">
        <f t="shared" si="0"/>
        <v>0</v>
      </c>
      <c r="R19" s="100"/>
      <c r="S19" s="533" t="s">
        <v>323</v>
      </c>
      <c r="T19" s="100"/>
    </row>
    <row r="20" spans="1:20" s="30" customFormat="1" ht="15.75">
      <c r="A20" s="203" t="s">
        <v>173</v>
      </c>
      <c r="B20" s="76" t="s">
        <v>174</v>
      </c>
      <c r="C20" s="91" t="s">
        <v>168</v>
      </c>
      <c r="D20" s="355" t="s">
        <v>170</v>
      </c>
      <c r="E20" s="261"/>
      <c r="F20" s="284"/>
      <c r="G20" s="262">
        <v>682.36400000000003</v>
      </c>
      <c r="H20" s="356"/>
      <c r="I20" s="263">
        <f>G20</f>
        <v>682.36400000000003</v>
      </c>
      <c r="J20" s="263"/>
      <c r="K20" s="308"/>
      <c r="L20" s="263">
        <v>682.36400000000003</v>
      </c>
      <c r="M20" s="308"/>
      <c r="N20" s="263"/>
      <c r="O20" s="204" t="s">
        <v>414</v>
      </c>
      <c r="P20" s="100"/>
      <c r="Q20" s="100">
        <f t="shared" si="0"/>
        <v>0</v>
      </c>
      <c r="R20" s="100"/>
      <c r="S20" s="533"/>
      <c r="T20" s="100"/>
    </row>
    <row r="21" spans="1:20" s="30" customFormat="1" ht="26.25" customHeight="1">
      <c r="A21" s="540" t="s">
        <v>335</v>
      </c>
      <c r="B21" s="140" t="s">
        <v>333</v>
      </c>
      <c r="C21" s="117"/>
      <c r="D21" s="355"/>
      <c r="E21" s="264"/>
      <c r="F21" s="285"/>
      <c r="G21" s="262">
        <f>SUM(G22:G27)</f>
        <v>14106.820000000002</v>
      </c>
      <c r="H21" s="351"/>
      <c r="I21" s="262">
        <f>SUM(I22:I27)</f>
        <v>14106.820000000002</v>
      </c>
      <c r="J21" s="265"/>
      <c r="K21" s="309"/>
      <c r="L21" s="262">
        <f>SUM(L22:L27)</f>
        <v>14106.81853</v>
      </c>
      <c r="M21" s="309"/>
      <c r="N21" s="262">
        <f>SUM(N22:N27)</f>
        <v>14106.81853</v>
      </c>
      <c r="O21" s="139"/>
      <c r="P21" s="139"/>
      <c r="Q21" s="100">
        <f t="shared" si="0"/>
        <v>1.470000001063454E-3</v>
      </c>
      <c r="R21" s="139"/>
      <c r="S21" s="206"/>
      <c r="T21" s="139"/>
    </row>
    <row r="22" spans="1:20" s="30" customFormat="1" ht="33.75">
      <c r="A22" s="541"/>
      <c r="B22" s="140" t="s">
        <v>334</v>
      </c>
      <c r="C22" s="117"/>
      <c r="D22" s="355"/>
      <c r="E22" s="264">
        <v>12286.28</v>
      </c>
      <c r="F22" s="286">
        <v>1</v>
      </c>
      <c r="G22" s="264">
        <v>12286.28</v>
      </c>
      <c r="H22" s="287">
        <v>1</v>
      </c>
      <c r="I22" s="266">
        <f>G22</f>
        <v>12286.28</v>
      </c>
      <c r="J22" s="266">
        <f>L22/K22</f>
        <v>12286.284</v>
      </c>
      <c r="K22" s="302">
        <v>1</v>
      </c>
      <c r="L22" s="266">
        <v>12286.284</v>
      </c>
      <c r="M22" s="287">
        <v>1</v>
      </c>
      <c r="N22" s="266">
        <f>L22</f>
        <v>12286.284</v>
      </c>
      <c r="O22" s="534" t="s">
        <v>458</v>
      </c>
      <c r="P22" s="139"/>
      <c r="Q22" s="100">
        <f t="shared" si="0"/>
        <v>-3.9999999989959178E-3</v>
      </c>
      <c r="R22" s="139"/>
      <c r="S22" s="252" t="s">
        <v>436</v>
      </c>
      <c r="T22" s="139"/>
    </row>
    <row r="23" spans="1:20" s="30" customFormat="1" ht="15.75" customHeight="1">
      <c r="A23" s="541"/>
      <c r="B23" s="140" t="s">
        <v>342</v>
      </c>
      <c r="C23" s="117"/>
      <c r="D23" s="355"/>
      <c r="E23" s="264">
        <v>247.66</v>
      </c>
      <c r="F23" s="286">
        <v>1</v>
      </c>
      <c r="G23" s="264">
        <v>247.66</v>
      </c>
      <c r="H23" s="287">
        <v>1</v>
      </c>
      <c r="I23" s="269">
        <f>G23</f>
        <v>247.66</v>
      </c>
      <c r="J23" s="266">
        <f t="shared" ref="J23:J27" si="1">L23/K23</f>
        <v>247.66</v>
      </c>
      <c r="K23" s="302">
        <v>1</v>
      </c>
      <c r="L23" s="269">
        <f>N23</f>
        <v>247.66</v>
      </c>
      <c r="M23" s="287">
        <v>1</v>
      </c>
      <c r="N23" s="269">
        <f>I23</f>
        <v>247.66</v>
      </c>
      <c r="O23" s="535"/>
      <c r="P23" s="98"/>
      <c r="Q23" s="98">
        <f t="shared" si="0"/>
        <v>0</v>
      </c>
      <c r="R23" s="357">
        <f t="shared" ref="R23:R27" si="2">J23/E23-1</f>
        <v>0</v>
      </c>
      <c r="S23" s="252" t="s">
        <v>437</v>
      </c>
      <c r="T23" s="139"/>
    </row>
    <row r="24" spans="1:20" s="30" customFormat="1" ht="15.75" customHeight="1">
      <c r="A24" s="541"/>
      <c r="B24" s="140" t="s">
        <v>343</v>
      </c>
      <c r="C24" s="117"/>
      <c r="D24" s="355"/>
      <c r="E24" s="264">
        <v>150.51</v>
      </c>
      <c r="F24" s="286">
        <v>1</v>
      </c>
      <c r="G24" s="264">
        <v>150.51</v>
      </c>
      <c r="H24" s="287">
        <v>1</v>
      </c>
      <c r="I24" s="269">
        <f t="shared" ref="I24:I27" si="3">G24</f>
        <v>150.51</v>
      </c>
      <c r="J24" s="266">
        <f t="shared" si="1"/>
        <v>150.50452999999999</v>
      </c>
      <c r="K24" s="302">
        <v>1</v>
      </c>
      <c r="L24" s="269">
        <v>150.50452999999999</v>
      </c>
      <c r="M24" s="287">
        <v>1</v>
      </c>
      <c r="N24" s="269">
        <f>L24</f>
        <v>150.50452999999999</v>
      </c>
      <c r="O24" s="118"/>
      <c r="P24" s="98"/>
      <c r="Q24" s="98">
        <f t="shared" si="0"/>
        <v>5.4700000000025284E-3</v>
      </c>
      <c r="R24" s="357">
        <f t="shared" si="2"/>
        <v>-3.6343100126234873E-5</v>
      </c>
      <c r="S24" s="252" t="s">
        <v>437</v>
      </c>
      <c r="T24" s="139"/>
    </row>
    <row r="25" spans="1:20" s="30" customFormat="1" ht="15.75" customHeight="1">
      <c r="A25" s="541"/>
      <c r="B25" s="140" t="s">
        <v>344</v>
      </c>
      <c r="C25" s="117"/>
      <c r="D25" s="355"/>
      <c r="E25" s="264">
        <v>857.6</v>
      </c>
      <c r="F25" s="286">
        <v>1</v>
      </c>
      <c r="G25" s="264">
        <v>857.6</v>
      </c>
      <c r="H25" s="287">
        <v>1</v>
      </c>
      <c r="I25" s="269">
        <f t="shared" si="3"/>
        <v>857.6</v>
      </c>
      <c r="J25" s="266">
        <f t="shared" si="1"/>
        <v>857.6</v>
      </c>
      <c r="K25" s="302">
        <v>1</v>
      </c>
      <c r="L25" s="269">
        <f>I25</f>
        <v>857.6</v>
      </c>
      <c r="M25" s="287">
        <v>1</v>
      </c>
      <c r="N25" s="266">
        <f>I25</f>
        <v>857.6</v>
      </c>
      <c r="O25" s="534" t="s">
        <v>459</v>
      </c>
      <c r="P25" s="98"/>
      <c r="Q25" s="98">
        <f t="shared" si="0"/>
        <v>0</v>
      </c>
      <c r="R25" s="357">
        <f t="shared" si="2"/>
        <v>0</v>
      </c>
      <c r="S25" s="533" t="s">
        <v>323</v>
      </c>
      <c r="T25" s="139"/>
    </row>
    <row r="26" spans="1:20" s="30" customFormat="1" ht="15.75" customHeight="1">
      <c r="A26" s="541"/>
      <c r="B26" s="140" t="s">
        <v>345</v>
      </c>
      <c r="C26" s="117"/>
      <c r="D26" s="355"/>
      <c r="E26" s="264">
        <v>510</v>
      </c>
      <c r="F26" s="286">
        <v>1</v>
      </c>
      <c r="G26" s="264">
        <v>510</v>
      </c>
      <c r="H26" s="287">
        <v>1</v>
      </c>
      <c r="I26" s="269">
        <f t="shared" si="3"/>
        <v>510</v>
      </c>
      <c r="J26" s="266">
        <f t="shared" si="1"/>
        <v>510</v>
      </c>
      <c r="K26" s="302">
        <v>1</v>
      </c>
      <c r="L26" s="269">
        <f>I26</f>
        <v>510</v>
      </c>
      <c r="M26" s="287">
        <v>1</v>
      </c>
      <c r="N26" s="266">
        <f>I26</f>
        <v>510</v>
      </c>
      <c r="O26" s="536"/>
      <c r="P26" s="98"/>
      <c r="Q26" s="98">
        <f t="shared" si="0"/>
        <v>0</v>
      </c>
      <c r="R26" s="357">
        <f t="shared" si="2"/>
        <v>0</v>
      </c>
      <c r="S26" s="533"/>
      <c r="T26" s="139"/>
    </row>
    <row r="27" spans="1:20" s="30" customFormat="1" ht="15.75" customHeight="1">
      <c r="A27" s="542"/>
      <c r="B27" s="140" t="s">
        <v>346</v>
      </c>
      <c r="C27" s="117"/>
      <c r="D27" s="355"/>
      <c r="E27" s="264">
        <v>54.77</v>
      </c>
      <c r="F27" s="286">
        <v>1</v>
      </c>
      <c r="G27" s="264">
        <v>54.77</v>
      </c>
      <c r="H27" s="287">
        <v>1</v>
      </c>
      <c r="I27" s="269">
        <f t="shared" si="3"/>
        <v>54.77</v>
      </c>
      <c r="J27" s="266">
        <f t="shared" si="1"/>
        <v>54.77</v>
      </c>
      <c r="K27" s="287">
        <v>1</v>
      </c>
      <c r="L27" s="269">
        <f>I27</f>
        <v>54.77</v>
      </c>
      <c r="M27" s="287">
        <v>1</v>
      </c>
      <c r="N27" s="266">
        <f>I27</f>
        <v>54.77</v>
      </c>
      <c r="O27" s="535"/>
      <c r="P27" s="98"/>
      <c r="Q27" s="98">
        <f t="shared" si="0"/>
        <v>0</v>
      </c>
      <c r="R27" s="357">
        <f t="shared" si="2"/>
        <v>0</v>
      </c>
      <c r="S27" s="206"/>
      <c r="T27" s="139"/>
    </row>
    <row r="28" spans="1:20" s="30" customFormat="1">
      <c r="A28" s="139" t="s">
        <v>92</v>
      </c>
      <c r="B28" s="450" t="s">
        <v>175</v>
      </c>
      <c r="C28" s="358"/>
      <c r="D28" s="359"/>
      <c r="E28" s="272"/>
      <c r="F28" s="360">
        <f>F30+F31+F32+F33+F29</f>
        <v>22</v>
      </c>
      <c r="G28" s="259">
        <f>G31+G32+G33+G30+G29</f>
        <v>1391.634</v>
      </c>
      <c r="H28" s="361">
        <v>22</v>
      </c>
      <c r="I28" s="362">
        <f t="shared" ref="I28" si="4">I31+I32+I33+I30+I29</f>
        <v>1391.634</v>
      </c>
      <c r="J28" s="362"/>
      <c r="K28" s="360">
        <v>22</v>
      </c>
      <c r="L28" s="259">
        <f t="shared" ref="L28" si="5">L31+L32+L33+L30+L29</f>
        <v>1325.5259999999998</v>
      </c>
      <c r="M28" s="360">
        <v>22</v>
      </c>
      <c r="N28" s="362">
        <f>N31+N32+N33+N30+N29</f>
        <v>1325.5259999999998</v>
      </c>
      <c r="O28" s="363"/>
      <c r="P28" s="364"/>
      <c r="Q28" s="363">
        <f t="shared" ref="Q28" si="6">Q31+Q32+Q33+Q30+Q29</f>
        <v>66.108000000000033</v>
      </c>
      <c r="R28" s="364"/>
      <c r="S28" s="537" t="s">
        <v>325</v>
      </c>
      <c r="T28" s="252"/>
    </row>
    <row r="29" spans="1:20" s="30" customFormat="1">
      <c r="A29" s="532" t="s">
        <v>259</v>
      </c>
      <c r="B29" s="77" t="s">
        <v>260</v>
      </c>
      <c r="C29" s="117" t="s">
        <v>168</v>
      </c>
      <c r="D29" s="349"/>
      <c r="E29" s="269">
        <v>22.29</v>
      </c>
      <c r="F29" s="365">
        <v>1</v>
      </c>
      <c r="G29" s="266">
        <f t="shared" ref="G29:G33" si="7">E29*F29</f>
        <v>22.29</v>
      </c>
      <c r="H29" s="287">
        <v>1</v>
      </c>
      <c r="I29" s="269">
        <f>'[1]6. Проведення закупівлі'!$H$68+'[1]6. Проведення закупівлі'!$J$68</f>
        <v>22.29</v>
      </c>
      <c r="J29" s="269">
        <v>21.131999999999998</v>
      </c>
      <c r="K29" s="287">
        <v>1</v>
      </c>
      <c r="L29" s="269">
        <v>21.131999999999998</v>
      </c>
      <c r="M29" s="287">
        <v>1</v>
      </c>
      <c r="N29" s="266">
        <v>21.131999999999998</v>
      </c>
      <c r="O29" s="207" t="s">
        <v>415</v>
      </c>
      <c r="P29" s="97">
        <f>F29-K29</f>
        <v>0</v>
      </c>
      <c r="Q29" s="98">
        <f>I29-L29</f>
        <v>1.1580000000000013</v>
      </c>
      <c r="R29" s="357">
        <f>J29/E29-1</f>
        <v>-5.1951547779273244E-2</v>
      </c>
      <c r="S29" s="538"/>
      <c r="T29" s="252"/>
    </row>
    <row r="30" spans="1:20" s="30" customFormat="1">
      <c r="A30" s="532"/>
      <c r="B30" s="78" t="s">
        <v>261</v>
      </c>
      <c r="C30" s="124" t="s">
        <v>168</v>
      </c>
      <c r="D30" s="366"/>
      <c r="E30" s="267">
        <v>43.488</v>
      </c>
      <c r="F30" s="287">
        <v>1</v>
      </c>
      <c r="G30" s="266">
        <f t="shared" si="7"/>
        <v>43.488</v>
      </c>
      <c r="H30" s="287">
        <v>1</v>
      </c>
      <c r="I30" s="269">
        <f>'[1]6. Проведення закупівлі'!$H$69+'[1]6. Проведення закупівлі'!$J$69</f>
        <v>43.488</v>
      </c>
      <c r="J30" s="269">
        <v>42.072000000000003</v>
      </c>
      <c r="K30" s="287">
        <v>1</v>
      </c>
      <c r="L30" s="269">
        <v>42.072000000000003</v>
      </c>
      <c r="M30" s="287">
        <v>1</v>
      </c>
      <c r="N30" s="266">
        <v>42.072000000000003</v>
      </c>
      <c r="O30" s="207" t="s">
        <v>416</v>
      </c>
      <c r="P30" s="97">
        <f>F30-K30</f>
        <v>0</v>
      </c>
      <c r="Q30" s="98">
        <f>I30-L30</f>
        <v>1.4159999999999968</v>
      </c>
      <c r="R30" s="357">
        <f>J30/E30-1</f>
        <v>-3.2560706401765893E-2</v>
      </c>
      <c r="S30" s="538"/>
      <c r="T30" s="252"/>
    </row>
    <row r="31" spans="1:20" s="30" customFormat="1" ht="48.75">
      <c r="A31" s="532"/>
      <c r="B31" s="78" t="s">
        <v>262</v>
      </c>
      <c r="C31" s="124" t="s">
        <v>168</v>
      </c>
      <c r="D31" s="366"/>
      <c r="E31" s="267">
        <v>60.936</v>
      </c>
      <c r="F31" s="287">
        <v>14</v>
      </c>
      <c r="G31" s="266">
        <f t="shared" si="7"/>
        <v>853.10400000000004</v>
      </c>
      <c r="H31" s="287">
        <v>14</v>
      </c>
      <c r="I31" s="269">
        <f>'[1]6. Проведення закупівлі'!$H$70+'[1]6. Проведення закупівлі'!$J$70</f>
        <v>853.10400000000004</v>
      </c>
      <c r="J31" s="269">
        <v>58.270500000000006</v>
      </c>
      <c r="K31" s="287">
        <v>14</v>
      </c>
      <c r="L31" s="269">
        <v>815.78700000000003</v>
      </c>
      <c r="M31" s="287">
        <v>14</v>
      </c>
      <c r="N31" s="266">
        <v>815.78700000000003</v>
      </c>
      <c r="O31" s="208" t="s">
        <v>417</v>
      </c>
      <c r="P31" s="97">
        <f>F31-K31</f>
        <v>0</v>
      </c>
      <c r="Q31" s="98">
        <f>I31-L31</f>
        <v>37.317000000000007</v>
      </c>
      <c r="R31" s="357">
        <f>J31/E31-1</f>
        <v>-4.3742615202835622E-2</v>
      </c>
      <c r="S31" s="538"/>
      <c r="T31" s="252"/>
    </row>
    <row r="32" spans="1:20" s="30" customFormat="1" ht="22.5">
      <c r="A32" s="532"/>
      <c r="B32" s="78" t="s">
        <v>263</v>
      </c>
      <c r="C32" s="124" t="s">
        <v>168</v>
      </c>
      <c r="D32" s="366"/>
      <c r="E32" s="267">
        <v>87.72</v>
      </c>
      <c r="F32" s="287">
        <v>4</v>
      </c>
      <c r="G32" s="266">
        <f t="shared" si="7"/>
        <v>350.88</v>
      </c>
      <c r="H32" s="287">
        <v>4</v>
      </c>
      <c r="I32" s="269">
        <f>'[1]6. Проведення закупівлі'!$H$71+'[1]6. Проведення закупівлі'!$J$71</f>
        <v>350.88</v>
      </c>
      <c r="J32" s="269">
        <v>82.498499999999993</v>
      </c>
      <c r="K32" s="287">
        <v>4</v>
      </c>
      <c r="L32" s="269">
        <v>329.99399999999997</v>
      </c>
      <c r="M32" s="287">
        <v>4</v>
      </c>
      <c r="N32" s="266">
        <v>329.99399999999997</v>
      </c>
      <c r="O32" s="207" t="s">
        <v>455</v>
      </c>
      <c r="P32" s="97">
        <f>F32-K32</f>
        <v>0</v>
      </c>
      <c r="Q32" s="98">
        <f>I32-L32</f>
        <v>20.886000000000024</v>
      </c>
      <c r="R32" s="357">
        <f>J32/E32-1</f>
        <v>-5.9524623803009602E-2</v>
      </c>
      <c r="S32" s="538"/>
      <c r="T32" s="98"/>
    </row>
    <row r="33" spans="1:20" s="30" customFormat="1">
      <c r="A33" s="532"/>
      <c r="B33" s="78" t="s">
        <v>264</v>
      </c>
      <c r="C33" s="124" t="s">
        <v>168</v>
      </c>
      <c r="D33" s="366"/>
      <c r="E33" s="267">
        <v>60.936</v>
      </c>
      <c r="F33" s="287">
        <v>2</v>
      </c>
      <c r="G33" s="266">
        <f t="shared" si="7"/>
        <v>121.872</v>
      </c>
      <c r="H33" s="287">
        <v>2</v>
      </c>
      <c r="I33" s="269">
        <f>'[1]6. Проведення закупівлі'!$H$73+'[1]6. Проведення закупівлі'!$J$73</f>
        <v>121.872</v>
      </c>
      <c r="J33" s="269">
        <v>58.270499999999998</v>
      </c>
      <c r="K33" s="287">
        <v>2</v>
      </c>
      <c r="L33" s="269">
        <v>116.541</v>
      </c>
      <c r="M33" s="287">
        <v>2</v>
      </c>
      <c r="N33" s="266">
        <v>116.541</v>
      </c>
      <c r="O33" s="207" t="s">
        <v>340</v>
      </c>
      <c r="P33" s="97">
        <f>F33-K33</f>
        <v>0</v>
      </c>
      <c r="Q33" s="98">
        <f>I33-L33</f>
        <v>5.3310000000000031</v>
      </c>
      <c r="R33" s="357">
        <f>J33/E33-1</f>
        <v>-4.3742615202835733E-2</v>
      </c>
      <c r="S33" s="538"/>
      <c r="T33" s="98"/>
    </row>
    <row r="34" spans="1:20" s="30" customFormat="1" ht="38.25">
      <c r="A34" s="70" t="s">
        <v>265</v>
      </c>
      <c r="B34" s="451" t="s">
        <v>266</v>
      </c>
      <c r="C34" s="367"/>
      <c r="D34" s="366"/>
      <c r="E34" s="368"/>
      <c r="F34" s="356"/>
      <c r="G34" s="257">
        <f>G35</f>
        <v>186.45600000000002</v>
      </c>
      <c r="H34" s="356"/>
      <c r="I34" s="268">
        <f>I35</f>
        <v>186.45600000000002</v>
      </c>
      <c r="J34" s="268"/>
      <c r="K34" s="288"/>
      <c r="L34" s="268">
        <f>L35</f>
        <v>187.38</v>
      </c>
      <c r="M34" s="288"/>
      <c r="N34" s="268">
        <f t="shared" ref="N34" si="8">N35</f>
        <v>187.38</v>
      </c>
      <c r="O34" s="96"/>
      <c r="P34" s="96"/>
      <c r="Q34" s="96">
        <f t="shared" ref="Q34" si="9">Q35</f>
        <v>-0.92399999999999238</v>
      </c>
      <c r="R34" s="96"/>
      <c r="S34" s="539"/>
      <c r="T34" s="96"/>
    </row>
    <row r="35" spans="1:20" s="30" customFormat="1">
      <c r="A35" s="543" t="s">
        <v>97</v>
      </c>
      <c r="B35" s="452" t="s">
        <v>267</v>
      </c>
      <c r="C35" s="367"/>
      <c r="D35" s="352"/>
      <c r="E35" s="269"/>
      <c r="F35" s="361"/>
      <c r="G35" s="265">
        <f>G36+G37</f>
        <v>186.45600000000002</v>
      </c>
      <c r="H35" s="287"/>
      <c r="I35" s="263">
        <f>I36+I37</f>
        <v>186.45600000000002</v>
      </c>
      <c r="J35" s="263"/>
      <c r="K35" s="308"/>
      <c r="L35" s="263">
        <f>L36+L37</f>
        <v>187.38</v>
      </c>
      <c r="M35" s="308"/>
      <c r="N35" s="263">
        <f t="shared" ref="N35" si="10">N36+N37</f>
        <v>187.38</v>
      </c>
      <c r="O35" s="100"/>
      <c r="P35" s="100"/>
      <c r="Q35" s="100">
        <f t="shared" ref="Q35" si="11">Q36+Q37</f>
        <v>-0.92399999999999238</v>
      </c>
      <c r="R35" s="100"/>
      <c r="S35" s="369"/>
      <c r="T35" s="100"/>
    </row>
    <row r="36" spans="1:20" s="30" customFormat="1" ht="22.5">
      <c r="A36" s="544"/>
      <c r="B36" s="78" t="s">
        <v>268</v>
      </c>
      <c r="C36" s="124" t="s">
        <v>168</v>
      </c>
      <c r="D36" s="366"/>
      <c r="E36" s="267">
        <v>7.7561</v>
      </c>
      <c r="F36" s="287">
        <v>10</v>
      </c>
      <c r="G36" s="269">
        <f>E36*F36</f>
        <v>77.561000000000007</v>
      </c>
      <c r="H36" s="287">
        <f>F36</f>
        <v>10</v>
      </c>
      <c r="I36" s="269">
        <f>G36</f>
        <v>77.561000000000007</v>
      </c>
      <c r="J36" s="269">
        <v>8.15</v>
      </c>
      <c r="K36" s="287">
        <v>10</v>
      </c>
      <c r="L36" s="269">
        <v>81.48</v>
      </c>
      <c r="M36" s="287">
        <v>10</v>
      </c>
      <c r="N36" s="269">
        <v>81.48</v>
      </c>
      <c r="O36" s="204" t="s">
        <v>456</v>
      </c>
      <c r="P36" s="97">
        <v>0</v>
      </c>
      <c r="Q36" s="98">
        <f t="shared" ref="Q36:Q42" si="12">I36-L36</f>
        <v>-3.9189999999999969</v>
      </c>
      <c r="R36" s="357">
        <f t="shared" ref="R36:R42" si="13">J36/E36-1</f>
        <v>5.0785833086216092E-2</v>
      </c>
      <c r="S36" s="252" t="s">
        <v>438</v>
      </c>
      <c r="T36" s="98"/>
    </row>
    <row r="37" spans="1:20" s="30" customFormat="1">
      <c r="A37" s="544"/>
      <c r="B37" s="78" t="s">
        <v>269</v>
      </c>
      <c r="C37" s="124" t="s">
        <v>168</v>
      </c>
      <c r="D37" s="366"/>
      <c r="E37" s="267"/>
      <c r="F37" s="287">
        <f>F38+F39+F40+F41+F42</f>
        <v>17</v>
      </c>
      <c r="G37" s="269">
        <f>G38+G39+G40+G41+G42</f>
        <v>108.89500000000001</v>
      </c>
      <c r="H37" s="287">
        <f t="shared" ref="H37:H42" si="14">F37</f>
        <v>17</v>
      </c>
      <c r="I37" s="269">
        <f>I38+I39+I40+I41+I42</f>
        <v>108.89500000000001</v>
      </c>
      <c r="J37" s="269"/>
      <c r="K37" s="287">
        <v>17</v>
      </c>
      <c r="L37" s="269">
        <v>105.9</v>
      </c>
      <c r="M37" s="287">
        <v>17</v>
      </c>
      <c r="N37" s="269">
        <f t="shared" ref="N37" si="15">N38+N39+N40+N41+N42</f>
        <v>105.89999999999999</v>
      </c>
      <c r="O37" s="98"/>
      <c r="P37" s="97">
        <v>0</v>
      </c>
      <c r="Q37" s="98">
        <f t="shared" si="12"/>
        <v>2.9950000000000045</v>
      </c>
      <c r="R37" s="357"/>
      <c r="S37" s="252" t="s">
        <v>439</v>
      </c>
      <c r="T37" s="98"/>
    </row>
    <row r="38" spans="1:20" s="30" customFormat="1">
      <c r="A38" s="544"/>
      <c r="B38" s="78" t="s">
        <v>270</v>
      </c>
      <c r="C38" s="124" t="s">
        <v>168</v>
      </c>
      <c r="D38" s="366"/>
      <c r="E38" s="267">
        <v>6.7080000000000002</v>
      </c>
      <c r="F38" s="287">
        <v>2</v>
      </c>
      <c r="G38" s="269">
        <f>E38*F38</f>
        <v>13.416</v>
      </c>
      <c r="H38" s="287">
        <f t="shared" si="14"/>
        <v>2</v>
      </c>
      <c r="I38" s="269">
        <f>G38</f>
        <v>13.416</v>
      </c>
      <c r="J38" s="269">
        <v>6.3</v>
      </c>
      <c r="K38" s="287">
        <v>2</v>
      </c>
      <c r="L38" s="269">
        <v>12.6</v>
      </c>
      <c r="M38" s="287">
        <v>2</v>
      </c>
      <c r="N38" s="266">
        <f>L38</f>
        <v>12.6</v>
      </c>
      <c r="O38" s="204" t="s">
        <v>460</v>
      </c>
      <c r="P38" s="97">
        <v>0</v>
      </c>
      <c r="Q38" s="98">
        <f t="shared" si="12"/>
        <v>0.81600000000000072</v>
      </c>
      <c r="R38" s="357">
        <f t="shared" si="13"/>
        <v>-6.0822898032200423E-2</v>
      </c>
      <c r="S38" s="370"/>
      <c r="T38" s="98"/>
    </row>
    <row r="39" spans="1:20" s="30" customFormat="1">
      <c r="A39" s="544"/>
      <c r="B39" s="78" t="s">
        <v>271</v>
      </c>
      <c r="C39" s="124" t="s">
        <v>168</v>
      </c>
      <c r="D39" s="366"/>
      <c r="E39" s="267">
        <v>6.7080000000000002</v>
      </c>
      <c r="F39" s="287">
        <v>6</v>
      </c>
      <c r="G39" s="269">
        <f>E39*F39</f>
        <v>40.248000000000005</v>
      </c>
      <c r="H39" s="287">
        <f t="shared" si="14"/>
        <v>6</v>
      </c>
      <c r="I39" s="269">
        <f>G39</f>
        <v>40.248000000000005</v>
      </c>
      <c r="J39" s="269">
        <v>6.3</v>
      </c>
      <c r="K39" s="287">
        <v>6</v>
      </c>
      <c r="L39" s="269">
        <v>37.799999999999997</v>
      </c>
      <c r="M39" s="287">
        <v>6</v>
      </c>
      <c r="N39" s="266">
        <f>L39</f>
        <v>37.799999999999997</v>
      </c>
      <c r="O39" s="204" t="s">
        <v>462</v>
      </c>
      <c r="P39" s="97">
        <v>0</v>
      </c>
      <c r="Q39" s="98">
        <f t="shared" si="12"/>
        <v>2.4480000000000075</v>
      </c>
      <c r="R39" s="357">
        <f t="shared" si="13"/>
        <v>-6.0822898032200423E-2</v>
      </c>
      <c r="S39" s="370"/>
      <c r="T39" s="98"/>
    </row>
    <row r="40" spans="1:20" s="30" customFormat="1">
      <c r="A40" s="544"/>
      <c r="B40" s="78" t="s">
        <v>272</v>
      </c>
      <c r="C40" s="124" t="s">
        <v>168</v>
      </c>
      <c r="D40" s="366"/>
      <c r="E40" s="267">
        <v>6.7080000000000002</v>
      </c>
      <c r="F40" s="287">
        <v>4</v>
      </c>
      <c r="G40" s="269">
        <f>E40*F40</f>
        <v>26.832000000000001</v>
      </c>
      <c r="H40" s="287">
        <f t="shared" si="14"/>
        <v>4</v>
      </c>
      <c r="I40" s="269">
        <f>G40</f>
        <v>26.832000000000001</v>
      </c>
      <c r="J40" s="269">
        <v>6.3</v>
      </c>
      <c r="K40" s="287">
        <v>4</v>
      </c>
      <c r="L40" s="269">
        <v>25.2</v>
      </c>
      <c r="M40" s="287">
        <v>4</v>
      </c>
      <c r="N40" s="266">
        <f>L40</f>
        <v>25.2</v>
      </c>
      <c r="O40" s="204" t="s">
        <v>463</v>
      </c>
      <c r="P40" s="97">
        <v>0</v>
      </c>
      <c r="Q40" s="98">
        <f t="shared" si="12"/>
        <v>1.6320000000000014</v>
      </c>
      <c r="R40" s="357">
        <f t="shared" si="13"/>
        <v>-6.0822898032200423E-2</v>
      </c>
      <c r="S40" s="370"/>
      <c r="T40" s="98"/>
    </row>
    <row r="41" spans="1:20" s="30" customFormat="1">
      <c r="A41" s="544"/>
      <c r="B41" s="78" t="s">
        <v>273</v>
      </c>
      <c r="C41" s="124" t="s">
        <v>168</v>
      </c>
      <c r="D41" s="366"/>
      <c r="E41" s="267">
        <v>5.9820000000000002</v>
      </c>
      <c r="F41" s="287">
        <v>4</v>
      </c>
      <c r="G41" s="269">
        <f>E41*F41</f>
        <v>23.928000000000001</v>
      </c>
      <c r="H41" s="287">
        <f t="shared" si="14"/>
        <v>4</v>
      </c>
      <c r="I41" s="269">
        <f>G41</f>
        <v>23.928000000000001</v>
      </c>
      <c r="J41" s="269">
        <v>6</v>
      </c>
      <c r="K41" s="287">
        <v>4</v>
      </c>
      <c r="L41" s="269">
        <v>24</v>
      </c>
      <c r="M41" s="287">
        <v>4</v>
      </c>
      <c r="N41" s="266">
        <f>L41</f>
        <v>24</v>
      </c>
      <c r="O41" s="204" t="s">
        <v>464</v>
      </c>
      <c r="P41" s="97">
        <v>0</v>
      </c>
      <c r="Q41" s="98">
        <f t="shared" si="12"/>
        <v>-7.1999999999999176E-2</v>
      </c>
      <c r="R41" s="357">
        <f t="shared" si="13"/>
        <v>3.0090270812437314E-3</v>
      </c>
      <c r="S41" s="370"/>
      <c r="T41" s="98"/>
    </row>
    <row r="42" spans="1:20" s="30" customFormat="1">
      <c r="A42" s="545"/>
      <c r="B42" s="78" t="s">
        <v>274</v>
      </c>
      <c r="C42" s="124" t="s">
        <v>168</v>
      </c>
      <c r="D42" s="366"/>
      <c r="E42" s="267">
        <v>4.4710000000000001</v>
      </c>
      <c r="F42" s="287">
        <v>1</v>
      </c>
      <c r="G42" s="269">
        <f>E42*F42</f>
        <v>4.4710000000000001</v>
      </c>
      <c r="H42" s="287">
        <f t="shared" si="14"/>
        <v>1</v>
      </c>
      <c r="I42" s="269">
        <f>G42</f>
        <v>4.4710000000000001</v>
      </c>
      <c r="J42" s="269">
        <v>6.3</v>
      </c>
      <c r="K42" s="287">
        <v>1</v>
      </c>
      <c r="L42" s="269">
        <v>6.3</v>
      </c>
      <c r="M42" s="287">
        <v>1</v>
      </c>
      <c r="N42" s="266">
        <f>L42</f>
        <v>6.3</v>
      </c>
      <c r="O42" s="204" t="s">
        <v>461</v>
      </c>
      <c r="P42" s="97">
        <v>0</v>
      </c>
      <c r="Q42" s="98">
        <f t="shared" si="12"/>
        <v>-1.8289999999999997</v>
      </c>
      <c r="R42" s="357">
        <f t="shared" si="13"/>
        <v>0.40908074256318483</v>
      </c>
      <c r="S42" s="370"/>
      <c r="T42" s="98"/>
    </row>
    <row r="43" spans="1:20" s="30" customFormat="1" ht="25.5">
      <c r="A43" s="70" t="s">
        <v>176</v>
      </c>
      <c r="B43" s="451" t="s">
        <v>177</v>
      </c>
      <c r="C43" s="367"/>
      <c r="D43" s="366"/>
      <c r="E43" s="267"/>
      <c r="F43" s="288"/>
      <c r="G43" s="257">
        <f>G44+G49</f>
        <v>2386.6888000000004</v>
      </c>
      <c r="H43" s="356"/>
      <c r="I43" s="268">
        <f>I44+I49</f>
        <v>2386.6888000000004</v>
      </c>
      <c r="J43" s="268"/>
      <c r="K43" s="288"/>
      <c r="L43" s="268">
        <f>L44+L49</f>
        <v>2375.2204000000002</v>
      </c>
      <c r="M43" s="288"/>
      <c r="N43" s="268">
        <f>N44+N49</f>
        <v>3659.9877400000005</v>
      </c>
      <c r="O43" s="96"/>
      <c r="P43" s="96"/>
      <c r="Q43" s="96">
        <f>Q44+Q49</f>
        <v>11.468399999999967</v>
      </c>
      <c r="R43" s="96"/>
      <c r="S43" s="209"/>
      <c r="T43" s="96"/>
    </row>
    <row r="44" spans="1:20" s="30" customFormat="1">
      <c r="A44" s="72" t="s">
        <v>101</v>
      </c>
      <c r="B44" s="452" t="s">
        <v>178</v>
      </c>
      <c r="C44" s="367"/>
      <c r="D44" s="359"/>
      <c r="E44" s="368"/>
      <c r="F44" s="356"/>
      <c r="G44" s="270">
        <f>G45+G46+G47+G48</f>
        <v>2337.2748000000001</v>
      </c>
      <c r="H44" s="356"/>
      <c r="I44" s="270">
        <f>I45+I46+I47+I48</f>
        <v>2337.2748000000001</v>
      </c>
      <c r="J44" s="270"/>
      <c r="K44" s="310"/>
      <c r="L44" s="270">
        <f>L45+L46+L47+L48</f>
        <v>2327.3204000000001</v>
      </c>
      <c r="M44" s="310"/>
      <c r="N44" s="270">
        <f>N45+N46+N47+N48</f>
        <v>3564.1877400000003</v>
      </c>
      <c r="O44" s="79"/>
      <c r="P44" s="79"/>
      <c r="Q44" s="79">
        <f>Q45+Q46+Q47+Q48</f>
        <v>9.9543999999999642</v>
      </c>
      <c r="R44" s="79"/>
      <c r="S44" s="210"/>
      <c r="T44" s="79"/>
    </row>
    <row r="45" spans="1:20" s="30" customFormat="1" ht="22.5">
      <c r="A45" s="203" t="s">
        <v>181</v>
      </c>
      <c r="B45" s="82" t="s">
        <v>182</v>
      </c>
      <c r="C45" s="90" t="s">
        <v>180</v>
      </c>
      <c r="D45" s="355" t="s">
        <v>170</v>
      </c>
      <c r="E45" s="261">
        <v>361.61</v>
      </c>
      <c r="F45" s="261">
        <v>1.1638505572301652</v>
      </c>
      <c r="G45" s="269">
        <f t="shared" ref="G45:G47" si="16">E45*F45</f>
        <v>420.86000000000007</v>
      </c>
      <c r="H45" s="261">
        <f t="shared" ref="H45:H47" si="17">F45</f>
        <v>1.1638505572301652</v>
      </c>
      <c r="I45" s="269">
        <f>G45</f>
        <v>420.86000000000007</v>
      </c>
      <c r="J45" s="269">
        <v>361.61</v>
      </c>
      <c r="K45" s="269">
        <v>1.1638505572301652</v>
      </c>
      <c r="L45" s="269">
        <v>420.86</v>
      </c>
      <c r="M45" s="287"/>
      <c r="N45" s="269"/>
      <c r="O45" s="98"/>
      <c r="P45" s="97">
        <v>0</v>
      </c>
      <c r="Q45" s="98">
        <f>I45-L45</f>
        <v>0</v>
      </c>
      <c r="R45" s="357">
        <f>J45/E45-1</f>
        <v>0</v>
      </c>
      <c r="S45" s="252" t="s">
        <v>322</v>
      </c>
      <c r="T45" s="98"/>
    </row>
    <row r="46" spans="1:20" s="30" customFormat="1" ht="33.75">
      <c r="A46" s="203" t="s">
        <v>183</v>
      </c>
      <c r="B46" s="82" t="s">
        <v>179</v>
      </c>
      <c r="C46" s="90" t="s">
        <v>180</v>
      </c>
      <c r="D46" s="355" t="s">
        <v>283</v>
      </c>
      <c r="E46" s="261">
        <v>248.47</v>
      </c>
      <c r="F46" s="261">
        <v>1.96</v>
      </c>
      <c r="G46" s="269">
        <f>E46*F46-0.008</f>
        <v>486.9932</v>
      </c>
      <c r="H46" s="261">
        <f t="shared" si="17"/>
        <v>1.96</v>
      </c>
      <c r="I46" s="269">
        <f>G46</f>
        <v>486.9932</v>
      </c>
      <c r="J46" s="269">
        <v>244.38775510204081</v>
      </c>
      <c r="K46" s="269">
        <v>1.96</v>
      </c>
      <c r="L46" s="269">
        <v>479</v>
      </c>
      <c r="M46" s="371">
        <v>5.0449999999999999</v>
      </c>
      <c r="N46" s="371">
        <v>1288.8769700000003</v>
      </c>
      <c r="O46" s="204" t="s">
        <v>521</v>
      </c>
      <c r="P46" s="97">
        <v>0</v>
      </c>
      <c r="Q46" s="98">
        <f>I46-L46</f>
        <v>7.9932000000000016</v>
      </c>
      <c r="R46" s="357">
        <f>J46/E46-1</f>
        <v>-1.6429528305063723E-2</v>
      </c>
      <c r="S46" s="252" t="s">
        <v>323</v>
      </c>
      <c r="T46" s="252"/>
    </row>
    <row r="47" spans="1:20" s="30" customFormat="1" ht="22.5">
      <c r="A47" s="203" t="s">
        <v>184</v>
      </c>
      <c r="B47" s="82" t="s">
        <v>182</v>
      </c>
      <c r="C47" s="90" t="s">
        <v>180</v>
      </c>
      <c r="D47" s="355" t="s">
        <v>283</v>
      </c>
      <c r="E47" s="264">
        <v>131.87</v>
      </c>
      <c r="F47" s="261">
        <v>2.76</v>
      </c>
      <c r="G47" s="269">
        <f t="shared" si="16"/>
        <v>363.96119999999996</v>
      </c>
      <c r="H47" s="261">
        <f t="shared" si="17"/>
        <v>2.76</v>
      </c>
      <c r="I47" s="269">
        <f>G47</f>
        <v>363.96119999999996</v>
      </c>
      <c r="J47" s="269">
        <v>131.15942028985509</v>
      </c>
      <c r="K47" s="269">
        <v>2.76</v>
      </c>
      <c r="L47" s="269">
        <v>362</v>
      </c>
      <c r="M47" s="371">
        <v>4.7699999999999996</v>
      </c>
      <c r="N47" s="371">
        <v>1209.8503699999999</v>
      </c>
      <c r="O47" s="204" t="s">
        <v>522</v>
      </c>
      <c r="P47" s="97">
        <v>0</v>
      </c>
      <c r="Q47" s="98">
        <f>I47-L47</f>
        <v>1.9611999999999625</v>
      </c>
      <c r="R47" s="357">
        <f>J47/E47-1</f>
        <v>-5.3884864650406428E-3</v>
      </c>
      <c r="S47" s="252" t="s">
        <v>323</v>
      </c>
      <c r="T47" s="252"/>
    </row>
    <row r="48" spans="1:20" s="30" customFormat="1" ht="22.5">
      <c r="A48" s="205"/>
      <c r="B48" s="81" t="s">
        <v>182</v>
      </c>
      <c r="C48" s="90" t="s">
        <v>180</v>
      </c>
      <c r="D48" s="355" t="s">
        <v>283</v>
      </c>
      <c r="E48" s="264">
        <v>566.73</v>
      </c>
      <c r="F48" s="264">
        <v>1.88</v>
      </c>
      <c r="G48" s="266">
        <f>F48*E48+0.008</f>
        <v>1065.4603999999999</v>
      </c>
      <c r="H48" s="266">
        <f>F48</f>
        <v>1.88</v>
      </c>
      <c r="I48" s="266">
        <f>G48</f>
        <v>1065.4603999999999</v>
      </c>
      <c r="J48" s="266">
        <v>566.72592592592594</v>
      </c>
      <c r="K48" s="266">
        <v>1.8800276310974013</v>
      </c>
      <c r="L48" s="266">
        <v>1065.4603999999999</v>
      </c>
      <c r="M48" s="266">
        <v>1.8800276310974013</v>
      </c>
      <c r="N48" s="266">
        <v>1065.4603999999999</v>
      </c>
      <c r="O48" s="204" t="s">
        <v>523</v>
      </c>
      <c r="P48" s="97">
        <v>0</v>
      </c>
      <c r="Q48" s="98">
        <f>I48-L48</f>
        <v>0</v>
      </c>
      <c r="R48" s="357">
        <f>J48/E48-1</f>
        <v>-7.1887390363789549E-6</v>
      </c>
      <c r="S48" s="252" t="s">
        <v>338</v>
      </c>
      <c r="T48" s="98"/>
    </row>
    <row r="49" spans="1:20" s="30" customFormat="1">
      <c r="A49" s="83" t="s">
        <v>185</v>
      </c>
      <c r="B49" s="453" t="s">
        <v>186</v>
      </c>
      <c r="C49" s="367"/>
      <c r="D49" s="366"/>
      <c r="E49" s="267"/>
      <c r="F49" s="290"/>
      <c r="G49" s="271">
        <f>G50</f>
        <v>49.414000000000001</v>
      </c>
      <c r="H49" s="356"/>
      <c r="I49" s="271">
        <f>I50</f>
        <v>49.414000000000001</v>
      </c>
      <c r="J49" s="271"/>
      <c r="K49" s="290"/>
      <c r="L49" s="271">
        <f>L50</f>
        <v>47.9</v>
      </c>
      <c r="M49" s="271"/>
      <c r="N49" s="271">
        <f t="shared" ref="N49" si="18">N50</f>
        <v>95.8</v>
      </c>
      <c r="O49" s="84"/>
      <c r="P49" s="84"/>
      <c r="Q49" s="84">
        <f t="shared" ref="Q49" si="19">Q50</f>
        <v>1.5140000000000029</v>
      </c>
      <c r="R49" s="84"/>
      <c r="S49" s="211"/>
      <c r="T49" s="84"/>
    </row>
    <row r="50" spans="1:20" s="30" customFormat="1" ht="22.5">
      <c r="A50" s="203" t="s">
        <v>187</v>
      </c>
      <c r="B50" s="85" t="s">
        <v>188</v>
      </c>
      <c r="C50" s="367"/>
      <c r="D50" s="355" t="s">
        <v>170</v>
      </c>
      <c r="E50" s="267"/>
      <c r="F50" s="289">
        <v>1</v>
      </c>
      <c r="G50" s="267">
        <f>[2]Лист1!$I$35</f>
        <v>49.414000000000001</v>
      </c>
      <c r="H50" s="287">
        <v>1</v>
      </c>
      <c r="I50" s="267">
        <f>G50</f>
        <v>49.414000000000001</v>
      </c>
      <c r="J50" s="267">
        <f>L50</f>
        <v>47.9</v>
      </c>
      <c r="K50" s="291">
        <v>1</v>
      </c>
      <c r="L50" s="267">
        <v>47.9</v>
      </c>
      <c r="M50" s="291">
        <v>2</v>
      </c>
      <c r="N50" s="267">
        <v>95.8</v>
      </c>
      <c r="O50" s="204" t="s">
        <v>418</v>
      </c>
      <c r="P50" s="97">
        <v>0</v>
      </c>
      <c r="Q50" s="92">
        <f>I50-L50</f>
        <v>1.5140000000000029</v>
      </c>
      <c r="R50" s="357"/>
      <c r="S50" s="252" t="s">
        <v>324</v>
      </c>
      <c r="T50" s="252"/>
    </row>
    <row r="51" spans="1:20" s="30" customFormat="1">
      <c r="A51" s="70" t="s">
        <v>189</v>
      </c>
      <c r="B51" s="451" t="s">
        <v>190</v>
      </c>
      <c r="C51" s="367"/>
      <c r="D51" s="366"/>
      <c r="E51" s="267"/>
      <c r="F51" s="288"/>
      <c r="G51" s="268">
        <f>G52</f>
        <v>452.35099999999989</v>
      </c>
      <c r="H51" s="288"/>
      <c r="I51" s="268">
        <f>I52</f>
        <v>452.35099999999989</v>
      </c>
      <c r="J51" s="268"/>
      <c r="K51" s="288"/>
      <c r="L51" s="268">
        <f>L52</f>
        <v>445</v>
      </c>
      <c r="M51" s="288"/>
      <c r="N51" s="268">
        <f>N52</f>
        <v>1650</v>
      </c>
      <c r="O51" s="96"/>
      <c r="P51" s="96"/>
      <c r="Q51" s="96">
        <f>Q52</f>
        <v>7.3509999999998854</v>
      </c>
      <c r="R51" s="96"/>
      <c r="S51" s="209"/>
      <c r="T51" s="96"/>
    </row>
    <row r="52" spans="1:20" s="30" customFormat="1" ht="25.5">
      <c r="A52" s="87" t="s">
        <v>104</v>
      </c>
      <c r="B52" s="88" t="s">
        <v>191</v>
      </c>
      <c r="C52" s="92"/>
      <c r="D52" s="355" t="s">
        <v>283</v>
      </c>
      <c r="E52" s="267">
        <f>G52/F52</f>
        <v>210.56422309744624</v>
      </c>
      <c r="F52" s="291">
        <v>2.1482804312423864</v>
      </c>
      <c r="G52" s="269">
        <v>452.35099999999989</v>
      </c>
      <c r="H52" s="269">
        <f>F52</f>
        <v>2.1482804312423864</v>
      </c>
      <c r="I52" s="269">
        <f>G52</f>
        <v>452.35099999999989</v>
      </c>
      <c r="J52" s="269">
        <v>207.142416571122</v>
      </c>
      <c r="K52" s="269">
        <v>2.1482804312423864</v>
      </c>
      <c r="L52" s="269">
        <v>445</v>
      </c>
      <c r="M52" s="371">
        <v>7.870000000000001</v>
      </c>
      <c r="N52" s="371">
        <v>1650</v>
      </c>
      <c r="O52" s="204" t="s">
        <v>524</v>
      </c>
      <c r="P52" s="97">
        <v>0</v>
      </c>
      <c r="Q52" s="98">
        <f>I52-L52</f>
        <v>7.3509999999998854</v>
      </c>
      <c r="R52" s="357">
        <f>J52/E52-1</f>
        <v>-1.6250654911782791E-2</v>
      </c>
      <c r="S52" s="252" t="s">
        <v>323</v>
      </c>
      <c r="T52" s="252"/>
    </row>
    <row r="53" spans="1:20" s="30" customFormat="1">
      <c r="A53" s="69" t="s">
        <v>192</v>
      </c>
      <c r="B53" s="454" t="s">
        <v>193</v>
      </c>
      <c r="C53" s="367"/>
      <c r="D53" s="366"/>
      <c r="E53" s="372"/>
      <c r="F53" s="292"/>
      <c r="G53" s="373">
        <f>G54</f>
        <v>1164.81619</v>
      </c>
      <c r="H53" s="356"/>
      <c r="I53" s="373">
        <f>I54</f>
        <v>1164.81619</v>
      </c>
      <c r="J53" s="373"/>
      <c r="K53" s="374"/>
      <c r="L53" s="373">
        <f>L54</f>
        <v>1164.81414</v>
      </c>
      <c r="M53" s="374"/>
      <c r="N53" s="373">
        <f t="shared" ref="N53" si="20">N54</f>
        <v>1164.8141900000001</v>
      </c>
      <c r="O53" s="375"/>
      <c r="P53" s="375"/>
      <c r="Q53" s="375">
        <f t="shared" ref="Q53" si="21">Q54</f>
        <v>2.0499999999401552E-3</v>
      </c>
      <c r="R53" s="375"/>
      <c r="S53" s="252"/>
      <c r="T53" s="375"/>
    </row>
    <row r="54" spans="1:20" s="30" customFormat="1">
      <c r="A54" s="89" t="s">
        <v>194</v>
      </c>
      <c r="B54" s="455" t="s">
        <v>195</v>
      </c>
      <c r="C54" s="367"/>
      <c r="D54" s="376"/>
      <c r="E54" s="372"/>
      <c r="F54" s="292"/>
      <c r="G54" s="263">
        <f>SUM(G55:G59)</f>
        <v>1164.81619</v>
      </c>
      <c r="H54" s="356"/>
      <c r="I54" s="263">
        <f>SUM(I55:I59)</f>
        <v>1164.81619</v>
      </c>
      <c r="J54" s="263"/>
      <c r="K54" s="308"/>
      <c r="L54" s="263">
        <f>L55+L57+L59+L56+L58</f>
        <v>1164.81414</v>
      </c>
      <c r="M54" s="308"/>
      <c r="N54" s="263">
        <f>SUM(N55:N59)</f>
        <v>1164.8141900000001</v>
      </c>
      <c r="O54" s="100"/>
      <c r="P54" s="97">
        <v>0</v>
      </c>
      <c r="Q54" s="100">
        <f>Q55+Q57+Q59+Q56+Q58</f>
        <v>2.0499999999401552E-3</v>
      </c>
      <c r="R54" s="100"/>
      <c r="S54" s="252"/>
      <c r="T54" s="100"/>
    </row>
    <row r="55" spans="1:20" s="30" customFormat="1" ht="22.5">
      <c r="A55" s="144" t="s">
        <v>196</v>
      </c>
      <c r="B55" s="74" t="s">
        <v>275</v>
      </c>
      <c r="C55" s="91" t="s">
        <v>180</v>
      </c>
      <c r="D55" s="366"/>
      <c r="E55" s="261">
        <v>35.460999999999999</v>
      </c>
      <c r="F55" s="293">
        <v>6.4</v>
      </c>
      <c r="G55" s="272">
        <f>E55*F55</f>
        <v>226.9504</v>
      </c>
      <c r="H55" s="300">
        <f t="shared" ref="H55:I57" si="22">F55</f>
        <v>6.4</v>
      </c>
      <c r="I55" s="273">
        <f t="shared" si="22"/>
        <v>226.9504</v>
      </c>
      <c r="J55" s="273">
        <v>35.460999999999999</v>
      </c>
      <c r="K55" s="300">
        <v>6.4</v>
      </c>
      <c r="L55" s="273">
        <v>226.9504</v>
      </c>
      <c r="M55" s="300"/>
      <c r="N55" s="273">
        <f>I55</f>
        <v>226.9504</v>
      </c>
      <c r="O55" s="102"/>
      <c r="P55" s="97">
        <v>0</v>
      </c>
      <c r="Q55" s="98">
        <f>I55-L55</f>
        <v>0</v>
      </c>
      <c r="R55" s="357">
        <f>J55/E55-1</f>
        <v>0</v>
      </c>
      <c r="S55" s="252" t="s">
        <v>323</v>
      </c>
      <c r="T55" s="102"/>
    </row>
    <row r="56" spans="1:20" s="30" customFormat="1">
      <c r="A56" s="144" t="s">
        <v>197</v>
      </c>
      <c r="B56" s="74" t="s">
        <v>276</v>
      </c>
      <c r="C56" s="91" t="s">
        <v>180</v>
      </c>
      <c r="D56" s="366"/>
      <c r="E56" s="261">
        <v>49.311999999999998</v>
      </c>
      <c r="F56" s="293">
        <v>6</v>
      </c>
      <c r="G56" s="272">
        <f>E56*F56</f>
        <v>295.87199999999996</v>
      </c>
      <c r="H56" s="300">
        <f t="shared" si="22"/>
        <v>6</v>
      </c>
      <c r="I56" s="273">
        <f t="shared" si="22"/>
        <v>295.87199999999996</v>
      </c>
      <c r="J56" s="273">
        <v>49.31</v>
      </c>
      <c r="K56" s="300">
        <v>6</v>
      </c>
      <c r="L56" s="273">
        <v>295.87</v>
      </c>
      <c r="M56" s="300">
        <v>6</v>
      </c>
      <c r="N56" s="273">
        <v>295.87</v>
      </c>
      <c r="O56" s="101"/>
      <c r="P56" s="97">
        <v>0</v>
      </c>
      <c r="Q56" s="98">
        <f>I56-L56</f>
        <v>1.9999999999527063E-3</v>
      </c>
      <c r="R56" s="357">
        <f t="shared" ref="R56:R58" si="23">J56/E56-1</f>
        <v>-4.0558079169250583E-5</v>
      </c>
      <c r="S56" s="212" t="s">
        <v>338</v>
      </c>
      <c r="T56" s="101"/>
    </row>
    <row r="57" spans="1:20" s="30" customFormat="1" ht="22.5">
      <c r="A57" s="144" t="s">
        <v>198</v>
      </c>
      <c r="B57" s="74" t="s">
        <v>277</v>
      </c>
      <c r="C57" s="91" t="s">
        <v>180</v>
      </c>
      <c r="D57" s="366"/>
      <c r="E57" s="261">
        <v>71.070999999999998</v>
      </c>
      <c r="F57" s="293">
        <v>5.15</v>
      </c>
      <c r="G57" s="272">
        <f>E57*F57</f>
        <v>366.01564999999999</v>
      </c>
      <c r="H57" s="300">
        <f t="shared" si="22"/>
        <v>5.15</v>
      </c>
      <c r="I57" s="273">
        <f t="shared" si="22"/>
        <v>366.01564999999999</v>
      </c>
      <c r="J57" s="273">
        <v>71.070990291262135</v>
      </c>
      <c r="K57" s="300">
        <v>5.15</v>
      </c>
      <c r="L57" s="273">
        <v>366.01560000000001</v>
      </c>
      <c r="M57" s="300">
        <v>5</v>
      </c>
      <c r="N57" s="273">
        <f>I57</f>
        <v>366.01564999999999</v>
      </c>
      <c r="O57" s="101"/>
      <c r="P57" s="97">
        <v>0</v>
      </c>
      <c r="Q57" s="98">
        <f>I57-L57</f>
        <v>4.9999999987448973E-5</v>
      </c>
      <c r="R57" s="357">
        <f t="shared" si="23"/>
        <v>-1.3660618058963792E-7</v>
      </c>
      <c r="S57" s="252" t="s">
        <v>323</v>
      </c>
      <c r="T57" s="101"/>
    </row>
    <row r="58" spans="1:20" s="30" customFormat="1">
      <c r="A58" s="144" t="s">
        <v>278</v>
      </c>
      <c r="B58" s="74" t="s">
        <v>279</v>
      </c>
      <c r="C58" s="91" t="s">
        <v>168</v>
      </c>
      <c r="D58" s="366"/>
      <c r="E58" s="261">
        <v>32.598559999999999</v>
      </c>
      <c r="F58" s="293">
        <v>1</v>
      </c>
      <c r="G58" s="272">
        <f>E58*F58</f>
        <v>32.598559999999999</v>
      </c>
      <c r="H58" s="300">
        <f t="shared" ref="H58:H59" si="24">I58/E58</f>
        <v>1</v>
      </c>
      <c r="I58" s="273">
        <f>G58</f>
        <v>32.598559999999999</v>
      </c>
      <c r="J58" s="274">
        <f>N58</f>
        <v>32.598559999999999</v>
      </c>
      <c r="K58" s="311">
        <v>1</v>
      </c>
      <c r="L58" s="274">
        <f>J58</f>
        <v>32.598559999999999</v>
      </c>
      <c r="M58" s="311">
        <v>1</v>
      </c>
      <c r="N58" s="274">
        <f>I58</f>
        <v>32.598559999999999</v>
      </c>
      <c r="O58" s="103"/>
      <c r="P58" s="97">
        <v>0</v>
      </c>
      <c r="Q58" s="98">
        <f>I58-L58</f>
        <v>0</v>
      </c>
      <c r="R58" s="357">
        <f t="shared" si="23"/>
        <v>0</v>
      </c>
      <c r="S58" s="212" t="s">
        <v>338</v>
      </c>
      <c r="T58" s="103"/>
    </row>
    <row r="59" spans="1:20" s="30" customFormat="1" ht="25.5">
      <c r="A59" s="144" t="s">
        <v>280</v>
      </c>
      <c r="B59" s="74" t="s">
        <v>281</v>
      </c>
      <c r="C59" s="91" t="s">
        <v>168</v>
      </c>
      <c r="D59" s="366"/>
      <c r="E59" s="261">
        <v>243.37958</v>
      </c>
      <c r="F59" s="293">
        <v>1</v>
      </c>
      <c r="G59" s="273">
        <f>E59*F59</f>
        <v>243.37958</v>
      </c>
      <c r="H59" s="300">
        <f t="shared" si="24"/>
        <v>1</v>
      </c>
      <c r="I59" s="273">
        <f>G59</f>
        <v>243.37958</v>
      </c>
      <c r="J59" s="273">
        <v>243.37957999999998</v>
      </c>
      <c r="K59" s="311">
        <v>1</v>
      </c>
      <c r="L59" s="274">
        <v>243.37957999999998</v>
      </c>
      <c r="M59" s="300">
        <v>1</v>
      </c>
      <c r="N59" s="274">
        <v>243.37957999999998</v>
      </c>
      <c r="O59" s="103"/>
      <c r="P59" s="97">
        <v>0</v>
      </c>
      <c r="Q59" s="98">
        <f>I59-L59</f>
        <v>0</v>
      </c>
      <c r="R59" s="357">
        <f>J59/E59-1</f>
        <v>0</v>
      </c>
      <c r="S59" s="252" t="s">
        <v>322</v>
      </c>
      <c r="T59" s="103"/>
    </row>
    <row r="60" spans="1:20" s="30" customFormat="1">
      <c r="A60" s="531" t="s">
        <v>140</v>
      </c>
      <c r="B60" s="531"/>
      <c r="C60" s="531"/>
      <c r="D60" s="531"/>
      <c r="E60" s="531"/>
      <c r="F60" s="531"/>
      <c r="G60" s="275">
        <f>G53+G13</f>
        <v>27009.117759999997</v>
      </c>
      <c r="H60" s="301"/>
      <c r="I60" s="275">
        <f>I53+I13</f>
        <v>27009.117759999997</v>
      </c>
      <c r="J60" s="275"/>
      <c r="K60" s="301"/>
      <c r="L60" s="275">
        <f>L53+L13</f>
        <v>27168.758299999998</v>
      </c>
      <c r="M60" s="301"/>
      <c r="N60" s="275">
        <f>N53+N13</f>
        <v>27968.553460000006</v>
      </c>
      <c r="O60" s="99"/>
      <c r="P60" s="99"/>
      <c r="Q60" s="99">
        <f>Q53+Q13</f>
        <v>-159.6405400000009</v>
      </c>
      <c r="R60" s="99"/>
      <c r="S60" s="213"/>
      <c r="T60" s="99"/>
    </row>
    <row r="61" spans="1:20" s="30" customFormat="1">
      <c r="A61" s="344" t="s">
        <v>136</v>
      </c>
      <c r="B61" s="447"/>
      <c r="C61" s="344"/>
      <c r="D61" s="344"/>
      <c r="E61" s="345"/>
      <c r="F61" s="346"/>
      <c r="G61" s="345"/>
      <c r="H61" s="346"/>
      <c r="I61" s="345"/>
      <c r="J61" s="345"/>
      <c r="K61" s="346"/>
      <c r="L61" s="345"/>
      <c r="M61" s="346"/>
      <c r="N61" s="345"/>
      <c r="O61" s="344"/>
      <c r="P61" s="344"/>
      <c r="Q61" s="344"/>
      <c r="R61" s="344"/>
      <c r="S61" s="347"/>
      <c r="T61" s="344"/>
    </row>
    <row r="62" spans="1:20" s="30" customFormat="1">
      <c r="A62" s="107" t="s">
        <v>199</v>
      </c>
      <c r="B62" s="448" t="s">
        <v>7</v>
      </c>
      <c r="C62" s="107"/>
      <c r="D62" s="377"/>
      <c r="E62" s="264"/>
      <c r="F62" s="294"/>
      <c r="G62" s="255">
        <f>G63+G67+G69</f>
        <v>1118.07438</v>
      </c>
      <c r="H62" s="351"/>
      <c r="I62" s="255">
        <f>I63+I67+I69</f>
        <v>1118.07438</v>
      </c>
      <c r="J62" s="255"/>
      <c r="K62" s="294"/>
      <c r="L62" s="255">
        <f>L63+L67+L69</f>
        <v>905.33295999999996</v>
      </c>
      <c r="M62" s="294"/>
      <c r="N62" s="255">
        <f t="shared" ref="N62" si="25">N63+N67+N69</f>
        <v>905.33296000000007</v>
      </c>
      <c r="O62" s="108"/>
      <c r="P62" s="108"/>
      <c r="Q62" s="108">
        <f t="shared" ref="Q62" si="26">Q63+Q67+Q69</f>
        <v>212.74142000000006</v>
      </c>
      <c r="R62" s="108"/>
      <c r="S62" s="214"/>
      <c r="T62" s="108"/>
    </row>
    <row r="63" spans="1:20" s="30" customFormat="1" ht="25.5">
      <c r="A63" s="109" t="s">
        <v>284</v>
      </c>
      <c r="B63" s="131" t="s">
        <v>285</v>
      </c>
      <c r="C63" s="109"/>
      <c r="D63" s="377"/>
      <c r="E63" s="378"/>
      <c r="F63" s="379"/>
      <c r="G63" s="378">
        <f>G64</f>
        <v>50.074379999999998</v>
      </c>
      <c r="H63" s="351"/>
      <c r="I63" s="378">
        <f>I64</f>
        <v>50.074379999999998</v>
      </c>
      <c r="J63" s="378"/>
      <c r="K63" s="379"/>
      <c r="L63" s="378">
        <f>L64</f>
        <v>56.532959999999989</v>
      </c>
      <c r="M63" s="379"/>
      <c r="N63" s="378">
        <f t="shared" ref="N63:Q63" si="27">N64</f>
        <v>56.532959999999989</v>
      </c>
      <c r="O63" s="380"/>
      <c r="P63" s="380"/>
      <c r="Q63" s="380">
        <f t="shared" si="27"/>
        <v>-6.4585799999999924</v>
      </c>
      <c r="R63" s="380"/>
      <c r="S63" s="381"/>
      <c r="T63" s="380"/>
    </row>
    <row r="64" spans="1:20" s="30" customFormat="1">
      <c r="A64" s="110" t="s">
        <v>286</v>
      </c>
      <c r="B64" s="449" t="s">
        <v>287</v>
      </c>
      <c r="C64" s="111"/>
      <c r="D64" s="377"/>
      <c r="E64" s="262"/>
      <c r="F64" s="285"/>
      <c r="G64" s="276">
        <f>G65+G66</f>
        <v>50.074379999999998</v>
      </c>
      <c r="H64" s="351"/>
      <c r="I64" s="276">
        <f>I65+I66</f>
        <v>50.074379999999998</v>
      </c>
      <c r="J64" s="276"/>
      <c r="K64" s="312"/>
      <c r="L64" s="276">
        <f>L65+L66</f>
        <v>56.532959999999989</v>
      </c>
      <c r="M64" s="312"/>
      <c r="N64" s="276">
        <f t="shared" ref="N64" si="28">N65+N66</f>
        <v>56.532959999999989</v>
      </c>
      <c r="O64" s="72"/>
      <c r="P64" s="72"/>
      <c r="Q64" s="72">
        <f t="shared" ref="Q64" si="29">Q65+Q66</f>
        <v>-6.4585799999999924</v>
      </c>
      <c r="R64" s="72"/>
      <c r="S64" s="215"/>
      <c r="T64" s="72"/>
    </row>
    <row r="65" spans="1:20" s="30" customFormat="1">
      <c r="A65" s="112" t="s">
        <v>288</v>
      </c>
      <c r="B65" s="77" t="s">
        <v>289</v>
      </c>
      <c r="C65" s="117" t="s">
        <v>211</v>
      </c>
      <c r="D65" s="377"/>
      <c r="E65" s="264">
        <v>0.10241</v>
      </c>
      <c r="F65" s="286">
        <v>414</v>
      </c>
      <c r="G65" s="264">
        <f>F65*E65</f>
        <v>42.397739999999999</v>
      </c>
      <c r="H65" s="302">
        <f>F65</f>
        <v>414</v>
      </c>
      <c r="I65" s="266">
        <f>G65</f>
        <v>42.397739999999999</v>
      </c>
      <c r="J65" s="266">
        <v>0.11721999999999998</v>
      </c>
      <c r="K65" s="302">
        <v>414</v>
      </c>
      <c r="L65" s="266">
        <v>48.529079999999993</v>
      </c>
      <c r="M65" s="302">
        <v>414</v>
      </c>
      <c r="N65" s="266">
        <v>48.529079999999993</v>
      </c>
      <c r="O65" s="118"/>
      <c r="P65" s="97">
        <v>0</v>
      </c>
      <c r="Q65" s="98">
        <f>I65-L65</f>
        <v>-6.1313399999999945</v>
      </c>
      <c r="R65" s="357">
        <f>J65/E65-1</f>
        <v>0.14461478371252778</v>
      </c>
      <c r="S65" s="530" t="s">
        <v>339</v>
      </c>
      <c r="T65" s="118"/>
    </row>
    <row r="66" spans="1:20" s="30" customFormat="1">
      <c r="A66" s="112" t="s">
        <v>290</v>
      </c>
      <c r="B66" s="77" t="s">
        <v>291</v>
      </c>
      <c r="C66" s="117" t="s">
        <v>168</v>
      </c>
      <c r="D66" s="377"/>
      <c r="E66" s="264">
        <v>0.14216000000000001</v>
      </c>
      <c r="F66" s="286">
        <v>54</v>
      </c>
      <c r="G66" s="264">
        <f>F66*E66</f>
        <v>7.6766400000000008</v>
      </c>
      <c r="H66" s="302">
        <f>F66</f>
        <v>54</v>
      </c>
      <c r="I66" s="266">
        <f>G66</f>
        <v>7.6766400000000008</v>
      </c>
      <c r="J66" s="266">
        <v>0.14821999999999999</v>
      </c>
      <c r="K66" s="302">
        <v>54</v>
      </c>
      <c r="L66" s="266">
        <v>8.0038799999999988</v>
      </c>
      <c r="M66" s="302">
        <v>54</v>
      </c>
      <c r="N66" s="266">
        <v>8.0038799999999988</v>
      </c>
      <c r="O66" s="118"/>
      <c r="P66" s="97">
        <v>0</v>
      </c>
      <c r="Q66" s="98">
        <f>I66-L66</f>
        <v>-0.32723999999999798</v>
      </c>
      <c r="R66" s="357">
        <f>J66/E66-1</f>
        <v>4.2628024760832828E-2</v>
      </c>
      <c r="S66" s="530"/>
      <c r="T66" s="118"/>
    </row>
    <row r="67" spans="1:20" s="30" customFormat="1" ht="25.5">
      <c r="A67" s="109" t="s">
        <v>200</v>
      </c>
      <c r="B67" s="456" t="s">
        <v>201</v>
      </c>
      <c r="C67" s="109"/>
      <c r="D67" s="377"/>
      <c r="E67" s="277"/>
      <c r="F67" s="295"/>
      <c r="G67" s="257">
        <f>G68</f>
        <v>828</v>
      </c>
      <c r="H67" s="382"/>
      <c r="I67" s="257">
        <f>I68</f>
        <v>828</v>
      </c>
      <c r="J67" s="257"/>
      <c r="K67" s="295"/>
      <c r="L67" s="257">
        <f>L68</f>
        <v>608.79999999999995</v>
      </c>
      <c r="M67" s="295"/>
      <c r="N67" s="257">
        <f t="shared" ref="N67:Q67" si="30">N68</f>
        <v>608.80000000000007</v>
      </c>
      <c r="O67" s="113"/>
      <c r="P67" s="113"/>
      <c r="Q67" s="113">
        <f t="shared" si="30"/>
        <v>219.20000000000005</v>
      </c>
      <c r="R67" s="113"/>
      <c r="S67" s="216"/>
      <c r="T67" s="113"/>
    </row>
    <row r="68" spans="1:20" s="30" customFormat="1" ht="39">
      <c r="A68" s="112" t="s">
        <v>202</v>
      </c>
      <c r="B68" s="78" t="s">
        <v>292</v>
      </c>
      <c r="C68" s="124" t="s">
        <v>211</v>
      </c>
      <c r="D68" s="377"/>
      <c r="E68" s="269">
        <v>0.72</v>
      </c>
      <c r="F68" s="287">
        <v>1150</v>
      </c>
      <c r="G68" s="266">
        <f>E68*F68</f>
        <v>828</v>
      </c>
      <c r="H68" s="302">
        <f>F68</f>
        <v>1150</v>
      </c>
      <c r="I68" s="266">
        <f>H68*E68</f>
        <v>828</v>
      </c>
      <c r="J68" s="266">
        <v>0.53</v>
      </c>
      <c r="K68" s="302">
        <v>1150</v>
      </c>
      <c r="L68" s="266">
        <v>608.79999999999995</v>
      </c>
      <c r="M68" s="302">
        <v>1150</v>
      </c>
      <c r="N68" s="266">
        <v>608.80000000000007</v>
      </c>
      <c r="O68" s="208" t="s">
        <v>419</v>
      </c>
      <c r="P68" s="97">
        <v>0</v>
      </c>
      <c r="Q68" s="98">
        <f>I68-L68</f>
        <v>219.20000000000005</v>
      </c>
      <c r="R68" s="357">
        <f>J68/E68-1</f>
        <v>-0.26388888888888884</v>
      </c>
      <c r="S68" s="250" t="s">
        <v>326</v>
      </c>
      <c r="T68" s="252"/>
    </row>
    <row r="69" spans="1:20" s="30" customFormat="1" ht="25.5">
      <c r="A69" s="109" t="s">
        <v>203</v>
      </c>
      <c r="B69" s="131" t="s">
        <v>204</v>
      </c>
      <c r="C69" s="383"/>
      <c r="D69" s="377"/>
      <c r="E69" s="266"/>
      <c r="F69" s="302"/>
      <c r="G69" s="384">
        <f>G70</f>
        <v>240</v>
      </c>
      <c r="H69" s="351"/>
      <c r="I69" s="384">
        <f>I70</f>
        <v>240</v>
      </c>
      <c r="J69" s="384"/>
      <c r="K69" s="385"/>
      <c r="L69" s="384">
        <f>L70</f>
        <v>240</v>
      </c>
      <c r="M69" s="385"/>
      <c r="N69" s="384">
        <f t="shared" ref="N69:Q69" si="31">N70</f>
        <v>240</v>
      </c>
      <c r="O69" s="386"/>
      <c r="P69" s="386"/>
      <c r="Q69" s="386">
        <f t="shared" si="31"/>
        <v>0</v>
      </c>
      <c r="R69" s="386"/>
      <c r="S69" s="387"/>
      <c r="T69" s="386"/>
    </row>
    <row r="70" spans="1:20" s="30" customFormat="1" ht="22.5">
      <c r="A70" s="114" t="s">
        <v>205</v>
      </c>
      <c r="B70" s="82" t="s">
        <v>206</v>
      </c>
      <c r="C70" s="124" t="s">
        <v>211</v>
      </c>
      <c r="D70" s="355" t="s">
        <v>283</v>
      </c>
      <c r="E70" s="266">
        <v>120</v>
      </c>
      <c r="F70" s="302">
        <v>2</v>
      </c>
      <c r="G70" s="266">
        <f>F70*E70</f>
        <v>240</v>
      </c>
      <c r="H70" s="388">
        <v>2</v>
      </c>
      <c r="I70" s="266">
        <f>G70</f>
        <v>240</v>
      </c>
      <c r="J70" s="266">
        <v>120</v>
      </c>
      <c r="K70" s="302">
        <v>2</v>
      </c>
      <c r="L70" s="266">
        <v>240</v>
      </c>
      <c r="M70" s="302">
        <v>2</v>
      </c>
      <c r="N70" s="266">
        <v>240</v>
      </c>
      <c r="O70" s="204" t="s">
        <v>420</v>
      </c>
      <c r="P70" s="97">
        <v>0</v>
      </c>
      <c r="Q70" s="98">
        <f>I70-L70</f>
        <v>0</v>
      </c>
      <c r="R70" s="357">
        <f>J70/E70-1</f>
        <v>0</v>
      </c>
      <c r="S70" s="252" t="s">
        <v>323</v>
      </c>
      <c r="T70" s="118"/>
    </row>
    <row r="71" spans="1:20" s="30" customFormat="1">
      <c r="A71" s="69" t="s">
        <v>207</v>
      </c>
      <c r="B71" s="457" t="s">
        <v>293</v>
      </c>
      <c r="C71" s="107"/>
      <c r="D71" s="349"/>
      <c r="E71" s="389"/>
      <c r="F71" s="294"/>
      <c r="G71" s="262">
        <f>SUM(G72:G75)</f>
        <v>2080.6593000000003</v>
      </c>
      <c r="H71" s="351"/>
      <c r="I71" s="262">
        <f>SUM(I72:I75)</f>
        <v>2080.6593000000003</v>
      </c>
      <c r="J71" s="262"/>
      <c r="K71" s="285"/>
      <c r="L71" s="262">
        <f>SUM(L72:L75)</f>
        <v>2075.6984400000001</v>
      </c>
      <c r="M71" s="285"/>
      <c r="N71" s="262">
        <f t="shared" ref="N71:Q71" si="32">SUM(N72:N75)</f>
        <v>2075.6984400000001</v>
      </c>
      <c r="O71" s="83"/>
      <c r="P71" s="83"/>
      <c r="Q71" s="83">
        <f t="shared" si="32"/>
        <v>4.9608599999999612</v>
      </c>
      <c r="R71" s="83"/>
      <c r="S71" s="217"/>
      <c r="T71" s="83"/>
    </row>
    <row r="72" spans="1:20" s="30" customFormat="1" ht="38.25">
      <c r="A72" s="116" t="s">
        <v>208</v>
      </c>
      <c r="B72" s="218" t="s">
        <v>294</v>
      </c>
      <c r="C72" s="144" t="s">
        <v>211</v>
      </c>
      <c r="D72" s="352"/>
      <c r="E72" s="267">
        <v>854.79930000000002</v>
      </c>
      <c r="F72" s="291">
        <v>1</v>
      </c>
      <c r="G72" s="264">
        <f>E72</f>
        <v>854.79930000000002</v>
      </c>
      <c r="H72" s="302">
        <f>'[3]6. Проведення закупівлі'!$I$141</f>
        <v>1</v>
      </c>
      <c r="I72" s="266">
        <f>G72</f>
        <v>854.79930000000002</v>
      </c>
      <c r="J72" s="266">
        <v>844.94</v>
      </c>
      <c r="K72" s="302">
        <v>1</v>
      </c>
      <c r="L72" s="266">
        <v>844.94</v>
      </c>
      <c r="M72" s="302">
        <v>1</v>
      </c>
      <c r="N72" s="266">
        <f>L72</f>
        <v>844.94</v>
      </c>
      <c r="O72" s="204" t="s">
        <v>465</v>
      </c>
      <c r="P72" s="97">
        <v>0</v>
      </c>
      <c r="Q72" s="98">
        <f>I72-L72</f>
        <v>9.859299999999962</v>
      </c>
      <c r="R72" s="357">
        <f>J72/E72-1</f>
        <v>-1.1534052496299352E-2</v>
      </c>
      <c r="S72" s="252" t="s">
        <v>327</v>
      </c>
      <c r="T72" s="252"/>
    </row>
    <row r="73" spans="1:20" s="30" customFormat="1" ht="25.5">
      <c r="A73" s="115" t="s">
        <v>209</v>
      </c>
      <c r="B73" s="82" t="s">
        <v>210</v>
      </c>
      <c r="C73" s="144"/>
      <c r="D73" s="355" t="s">
        <v>283</v>
      </c>
      <c r="E73" s="267">
        <f>[2]Лист1!$G$43</f>
        <v>6.7960000000000003</v>
      </c>
      <c r="F73" s="291">
        <v>5</v>
      </c>
      <c r="G73" s="264">
        <v>34.619999999999997</v>
      </c>
      <c r="H73" s="302">
        <v>5</v>
      </c>
      <c r="I73" s="266">
        <f>G73</f>
        <v>34.619999999999997</v>
      </c>
      <c r="J73" s="266">
        <f>L73/K73</f>
        <v>6.8396880000000007</v>
      </c>
      <c r="K73" s="302">
        <v>5</v>
      </c>
      <c r="L73" s="266">
        <v>34.198440000000005</v>
      </c>
      <c r="M73" s="302">
        <v>5</v>
      </c>
      <c r="N73" s="266">
        <v>34.198439999999998</v>
      </c>
      <c r="O73" s="118"/>
      <c r="P73" s="97">
        <v>0</v>
      </c>
      <c r="Q73" s="98">
        <f>I73-L73</f>
        <v>0.42155999999999239</v>
      </c>
      <c r="R73" s="357">
        <f>J73/E73-1</f>
        <v>6.4284873454973912E-3</v>
      </c>
      <c r="S73" s="252" t="s">
        <v>327</v>
      </c>
      <c r="T73" s="118"/>
    </row>
    <row r="74" spans="1:20" s="30" customFormat="1" ht="63.75">
      <c r="A74" s="115" t="s">
        <v>295</v>
      </c>
      <c r="B74" s="82" t="s">
        <v>296</v>
      </c>
      <c r="C74" s="144"/>
      <c r="D74" s="355" t="s">
        <v>297</v>
      </c>
      <c r="E74" s="267"/>
      <c r="F74" s="291"/>
      <c r="G74" s="264">
        <v>191.24</v>
      </c>
      <c r="H74" s="302"/>
      <c r="I74" s="266">
        <f>G74</f>
        <v>191.24</v>
      </c>
      <c r="J74" s="266"/>
      <c r="K74" s="302"/>
      <c r="L74" s="266">
        <v>196.56</v>
      </c>
      <c r="M74" s="302"/>
      <c r="N74" s="266">
        <v>196.56</v>
      </c>
      <c r="O74" s="204" t="s">
        <v>466</v>
      </c>
      <c r="P74" s="118"/>
      <c r="Q74" s="98">
        <f>I74-L74</f>
        <v>-5.3199999999999932</v>
      </c>
      <c r="R74" s="118"/>
      <c r="S74" s="252" t="s">
        <v>327</v>
      </c>
      <c r="T74" s="118"/>
    </row>
    <row r="75" spans="1:20" s="30" customFormat="1" ht="22.5">
      <c r="A75" s="116" t="s">
        <v>298</v>
      </c>
      <c r="B75" s="74" t="s">
        <v>299</v>
      </c>
      <c r="C75" s="144" t="s">
        <v>168</v>
      </c>
      <c r="D75" s="390"/>
      <c r="E75" s="267">
        <v>1000</v>
      </c>
      <c r="F75" s="291">
        <v>1</v>
      </c>
      <c r="G75" s="261">
        <f>F75*E75</f>
        <v>1000</v>
      </c>
      <c r="H75" s="302">
        <v>1</v>
      </c>
      <c r="I75" s="266">
        <f>G75</f>
        <v>1000</v>
      </c>
      <c r="J75" s="266">
        <f>L75</f>
        <v>1000</v>
      </c>
      <c r="K75" s="302">
        <v>1</v>
      </c>
      <c r="L75" s="266">
        <v>1000</v>
      </c>
      <c r="M75" s="302">
        <v>1</v>
      </c>
      <c r="N75" s="266">
        <f>L75</f>
        <v>1000</v>
      </c>
      <c r="O75" s="118"/>
      <c r="P75" s="97">
        <v>0</v>
      </c>
      <c r="Q75" s="98">
        <f>I75-L75</f>
        <v>0</v>
      </c>
      <c r="R75" s="357">
        <f>J75/E75-1</f>
        <v>0</v>
      </c>
      <c r="S75" s="220" t="s">
        <v>440</v>
      </c>
      <c r="T75" s="118"/>
    </row>
    <row r="76" spans="1:20" s="30" customFormat="1">
      <c r="A76" s="391" t="s">
        <v>141</v>
      </c>
      <c r="B76" s="251"/>
      <c r="C76" s="391"/>
      <c r="D76" s="392"/>
      <c r="E76" s="275"/>
      <c r="F76" s="301"/>
      <c r="G76" s="275">
        <f>G71+G62</f>
        <v>3198.7336800000003</v>
      </c>
      <c r="H76" s="303"/>
      <c r="I76" s="275">
        <f>I71+I62</f>
        <v>3198.7336800000003</v>
      </c>
      <c r="J76" s="275"/>
      <c r="K76" s="301"/>
      <c r="L76" s="275">
        <f>L71+L62</f>
        <v>2981.0313999999998</v>
      </c>
      <c r="M76" s="301"/>
      <c r="N76" s="275">
        <f t="shared" ref="N76" si="33">N71+N62</f>
        <v>2981.0314000000003</v>
      </c>
      <c r="O76" s="99"/>
      <c r="P76" s="99"/>
      <c r="Q76" s="99">
        <f>Q71+Q62</f>
        <v>217.70228000000003</v>
      </c>
      <c r="R76" s="99"/>
      <c r="S76" s="213"/>
      <c r="T76" s="99"/>
    </row>
    <row r="77" spans="1:20" s="30" customFormat="1">
      <c r="A77" s="344" t="s">
        <v>423</v>
      </c>
      <c r="B77" s="447"/>
      <c r="C77" s="344"/>
      <c r="D77" s="344"/>
      <c r="E77" s="393">
        <v>0</v>
      </c>
      <c r="F77" s="394">
        <v>0</v>
      </c>
      <c r="G77" s="393">
        <v>0</v>
      </c>
      <c r="H77" s="394">
        <v>0</v>
      </c>
      <c r="I77" s="393">
        <v>0</v>
      </c>
      <c r="J77" s="393"/>
      <c r="K77" s="394"/>
      <c r="L77" s="393">
        <v>0</v>
      </c>
      <c r="M77" s="394"/>
      <c r="N77" s="393">
        <v>0</v>
      </c>
      <c r="O77" s="344"/>
      <c r="P77" s="344"/>
      <c r="Q77" s="344"/>
      <c r="R77" s="344"/>
      <c r="S77" s="347"/>
      <c r="T77" s="344"/>
    </row>
    <row r="78" spans="1:20" s="30" customFormat="1">
      <c r="A78" s="391" t="s">
        <v>142</v>
      </c>
      <c r="B78" s="251"/>
      <c r="C78" s="391"/>
      <c r="D78" s="392"/>
      <c r="E78" s="275">
        <f>E77</f>
        <v>0</v>
      </c>
      <c r="F78" s="301">
        <f t="shared" ref="F78:N78" si="34">F77</f>
        <v>0</v>
      </c>
      <c r="G78" s="275">
        <f t="shared" si="34"/>
        <v>0</v>
      </c>
      <c r="H78" s="301">
        <f t="shared" si="34"/>
        <v>0</v>
      </c>
      <c r="I78" s="275">
        <f t="shared" si="34"/>
        <v>0</v>
      </c>
      <c r="J78" s="275"/>
      <c r="K78" s="301"/>
      <c r="L78" s="275">
        <f>L77</f>
        <v>0</v>
      </c>
      <c r="M78" s="301"/>
      <c r="N78" s="275">
        <f t="shared" si="34"/>
        <v>0</v>
      </c>
      <c r="O78" s="99"/>
      <c r="P78" s="99"/>
      <c r="Q78" s="99">
        <v>0</v>
      </c>
      <c r="R78" s="99"/>
      <c r="S78" s="213"/>
      <c r="T78" s="99"/>
    </row>
    <row r="79" spans="1:20" s="30" customFormat="1">
      <c r="A79" s="344" t="s">
        <v>137</v>
      </c>
      <c r="B79" s="447"/>
      <c r="C79" s="344"/>
      <c r="D79" s="344"/>
      <c r="E79" s="345"/>
      <c r="F79" s="346"/>
      <c r="G79" s="345"/>
      <c r="H79" s="346"/>
      <c r="I79" s="345"/>
      <c r="J79" s="345"/>
      <c r="K79" s="346"/>
      <c r="L79" s="345"/>
      <c r="M79" s="346"/>
      <c r="N79" s="345"/>
      <c r="O79" s="344"/>
      <c r="P79" s="344"/>
      <c r="Q79" s="344"/>
      <c r="R79" s="344"/>
      <c r="S79" s="347"/>
      <c r="T79" s="344"/>
    </row>
    <row r="80" spans="1:20" s="30" customFormat="1" ht="25.5">
      <c r="A80" s="69" t="s">
        <v>212</v>
      </c>
      <c r="B80" s="448" t="s">
        <v>18</v>
      </c>
      <c r="C80" s="119"/>
      <c r="D80" s="352"/>
      <c r="E80" s="389"/>
      <c r="F80" s="296"/>
      <c r="G80" s="395">
        <f>G81+G86+G88+G92</f>
        <v>264.70300000000003</v>
      </c>
      <c r="H80" s="396"/>
      <c r="I80" s="395">
        <f>I81+I86+I88+I92</f>
        <v>264.70300000000003</v>
      </c>
      <c r="J80" s="395"/>
      <c r="K80" s="396"/>
      <c r="L80" s="395">
        <f>L81+L86+L88+L92</f>
        <v>253.45000000000005</v>
      </c>
      <c r="M80" s="396"/>
      <c r="N80" s="395">
        <f>N81+N86+N88+N92</f>
        <v>253.45000000000005</v>
      </c>
      <c r="O80" s="397"/>
      <c r="P80" s="397"/>
      <c r="Q80" s="397">
        <f>Q81+Q86+Q88+Q92</f>
        <v>11.249999999999993</v>
      </c>
      <c r="R80" s="397"/>
      <c r="S80" s="252" t="s">
        <v>508</v>
      </c>
      <c r="T80" s="252"/>
    </row>
    <row r="81" spans="1:20" s="30" customFormat="1">
      <c r="A81" s="121" t="s">
        <v>213</v>
      </c>
      <c r="B81" s="458" t="s">
        <v>214</v>
      </c>
      <c r="C81" s="122"/>
      <c r="D81" s="398"/>
      <c r="E81" s="278"/>
      <c r="F81" s="399"/>
      <c r="G81" s="400">
        <f>G82+G83+G84+G85</f>
        <v>163.5</v>
      </c>
      <c r="H81" s="399"/>
      <c r="I81" s="400">
        <f>I82+I83+I84+I85</f>
        <v>163.5</v>
      </c>
      <c r="J81" s="400"/>
      <c r="K81" s="401"/>
      <c r="L81" s="400">
        <f>L82+L83+L84+L85</f>
        <v>163.57000000000002</v>
      </c>
      <c r="M81" s="401"/>
      <c r="N81" s="400">
        <f t="shared" ref="N81" si="35">N82+N83+N84+N85</f>
        <v>163.57000000000002</v>
      </c>
      <c r="O81" s="402"/>
      <c r="P81" s="402"/>
      <c r="Q81" s="402">
        <f>Q82+Q83+Q84+Q85</f>
        <v>-7.0000000000003837E-2</v>
      </c>
      <c r="R81" s="402"/>
      <c r="S81" s="403"/>
      <c r="T81" s="402"/>
    </row>
    <row r="82" spans="1:20" s="30" customFormat="1">
      <c r="A82" s="117" t="s">
        <v>215</v>
      </c>
      <c r="B82" s="459" t="s">
        <v>300</v>
      </c>
      <c r="C82" s="123" t="s">
        <v>211</v>
      </c>
      <c r="D82" s="404"/>
      <c r="E82" s="269">
        <v>6.6</v>
      </c>
      <c r="F82" s="287">
        <v>15</v>
      </c>
      <c r="G82" s="266">
        <f>E82*F82</f>
        <v>99</v>
      </c>
      <c r="H82" s="302">
        <v>15</v>
      </c>
      <c r="I82" s="266">
        <v>99</v>
      </c>
      <c r="J82" s="266">
        <v>6.57</v>
      </c>
      <c r="K82" s="302">
        <v>15</v>
      </c>
      <c r="L82" s="266">
        <v>98.48</v>
      </c>
      <c r="M82" s="302">
        <v>15</v>
      </c>
      <c r="N82" s="266">
        <v>98.48</v>
      </c>
      <c r="O82" s="405" t="s">
        <v>441</v>
      </c>
      <c r="P82" s="97">
        <v>0</v>
      </c>
      <c r="Q82" s="98">
        <f>I82-L82</f>
        <v>0.51999999999999602</v>
      </c>
      <c r="R82" s="357">
        <f t="shared" ref="R82:R85" si="36">J82/E82-1</f>
        <v>-4.5454545454544082E-3</v>
      </c>
      <c r="S82" s="219"/>
      <c r="T82" s="118"/>
    </row>
    <row r="83" spans="1:20" s="30" customFormat="1">
      <c r="A83" s="117" t="s">
        <v>216</v>
      </c>
      <c r="B83" s="460" t="s">
        <v>301</v>
      </c>
      <c r="C83" s="123" t="s">
        <v>211</v>
      </c>
      <c r="D83" s="404"/>
      <c r="E83" s="266">
        <v>26</v>
      </c>
      <c r="F83" s="406">
        <v>1</v>
      </c>
      <c r="G83" s="266">
        <f>E83*F83</f>
        <v>26</v>
      </c>
      <c r="H83" s="302">
        <v>1</v>
      </c>
      <c r="I83" s="266">
        <v>26</v>
      </c>
      <c r="J83" s="266">
        <v>27.17</v>
      </c>
      <c r="K83" s="302">
        <v>1</v>
      </c>
      <c r="L83" s="266">
        <v>27.17</v>
      </c>
      <c r="M83" s="302">
        <v>1</v>
      </c>
      <c r="N83" s="266">
        <v>27.17</v>
      </c>
      <c r="O83" s="405" t="s">
        <v>442</v>
      </c>
      <c r="P83" s="97">
        <v>0</v>
      </c>
      <c r="Q83" s="98">
        <f>I83-L83</f>
        <v>-1.1700000000000017</v>
      </c>
      <c r="R83" s="357">
        <f t="shared" si="36"/>
        <v>4.5000000000000151E-2</v>
      </c>
      <c r="S83" s="219"/>
      <c r="T83" s="118"/>
    </row>
    <row r="84" spans="1:20" s="30" customFormat="1">
      <c r="A84" s="117" t="s">
        <v>217</v>
      </c>
      <c r="B84" s="461" t="s">
        <v>302</v>
      </c>
      <c r="C84" s="123" t="s">
        <v>211</v>
      </c>
      <c r="D84" s="404"/>
      <c r="E84" s="266">
        <v>1.5</v>
      </c>
      <c r="F84" s="287">
        <v>15</v>
      </c>
      <c r="G84" s="266">
        <f>E84*F84</f>
        <v>22.5</v>
      </c>
      <c r="H84" s="302">
        <v>15</v>
      </c>
      <c r="I84" s="266">
        <v>22.5</v>
      </c>
      <c r="J84" s="266">
        <v>1.5599999999999998</v>
      </c>
      <c r="K84" s="302">
        <v>15</v>
      </c>
      <c r="L84" s="266">
        <v>23.4</v>
      </c>
      <c r="M84" s="302">
        <v>15</v>
      </c>
      <c r="N84" s="266">
        <v>23.4</v>
      </c>
      <c r="O84" s="405" t="s">
        <v>453</v>
      </c>
      <c r="P84" s="97">
        <v>0</v>
      </c>
      <c r="Q84" s="98">
        <f>I84-L84</f>
        <v>-0.89999999999999858</v>
      </c>
      <c r="R84" s="357">
        <f t="shared" si="36"/>
        <v>3.9999999999999813E-2</v>
      </c>
      <c r="S84" s="219"/>
      <c r="T84" s="118"/>
    </row>
    <row r="85" spans="1:20" s="30" customFormat="1">
      <c r="A85" s="117" t="s">
        <v>218</v>
      </c>
      <c r="B85" s="459" t="s">
        <v>303</v>
      </c>
      <c r="C85" s="123" t="s">
        <v>211</v>
      </c>
      <c r="D85" s="404"/>
      <c r="E85" s="266">
        <v>8</v>
      </c>
      <c r="F85" s="406">
        <v>2</v>
      </c>
      <c r="G85" s="266">
        <f>E85*F85</f>
        <v>16</v>
      </c>
      <c r="H85" s="302">
        <v>2</v>
      </c>
      <c r="I85" s="266">
        <v>16</v>
      </c>
      <c r="J85" s="266">
        <v>7.26</v>
      </c>
      <c r="K85" s="302">
        <v>2</v>
      </c>
      <c r="L85" s="266">
        <v>14.52</v>
      </c>
      <c r="M85" s="302">
        <v>2</v>
      </c>
      <c r="N85" s="266">
        <v>14.52</v>
      </c>
      <c r="O85" s="405" t="s">
        <v>443</v>
      </c>
      <c r="P85" s="97">
        <v>0</v>
      </c>
      <c r="Q85" s="98">
        <f>I85-L85</f>
        <v>1.4800000000000004</v>
      </c>
      <c r="R85" s="357">
        <f t="shared" si="36"/>
        <v>-9.2500000000000027E-2</v>
      </c>
      <c r="S85" s="219"/>
      <c r="T85" s="118"/>
    </row>
    <row r="86" spans="1:20" s="30" customFormat="1">
      <c r="A86" s="121" t="s">
        <v>219</v>
      </c>
      <c r="B86" s="458" t="s">
        <v>220</v>
      </c>
      <c r="C86" s="121" t="s">
        <v>211</v>
      </c>
      <c r="D86" s="398"/>
      <c r="E86" s="278"/>
      <c r="F86" s="399"/>
      <c r="G86" s="400">
        <f>G87</f>
        <v>10</v>
      </c>
      <c r="H86" s="399"/>
      <c r="I86" s="400">
        <f>I87</f>
        <v>10</v>
      </c>
      <c r="J86" s="400"/>
      <c r="K86" s="401"/>
      <c r="L86" s="400">
        <f>L87</f>
        <v>10.050000000000001</v>
      </c>
      <c r="M86" s="399"/>
      <c r="N86" s="400">
        <f>N87</f>
        <v>10.050000000000001</v>
      </c>
      <c r="O86" s="402"/>
      <c r="P86" s="402"/>
      <c r="Q86" s="402">
        <f>Q87</f>
        <v>-5.0000000000000711E-2</v>
      </c>
      <c r="R86" s="402"/>
      <c r="S86" s="403"/>
      <c r="T86" s="402"/>
    </row>
    <row r="87" spans="1:20" s="30" customFormat="1">
      <c r="A87" s="124" t="s">
        <v>221</v>
      </c>
      <c r="B87" s="460" t="s">
        <v>222</v>
      </c>
      <c r="C87" s="123" t="s">
        <v>211</v>
      </c>
      <c r="D87" s="366"/>
      <c r="E87" s="269">
        <v>10</v>
      </c>
      <c r="F87" s="287">
        <v>1</v>
      </c>
      <c r="G87" s="266">
        <f>E87*F87</f>
        <v>10</v>
      </c>
      <c r="H87" s="302">
        <v>1</v>
      </c>
      <c r="I87" s="266">
        <v>10</v>
      </c>
      <c r="J87" s="266">
        <v>10.050000000000001</v>
      </c>
      <c r="K87" s="302">
        <v>1</v>
      </c>
      <c r="L87" s="266">
        <v>10.050000000000001</v>
      </c>
      <c r="M87" s="302">
        <v>1</v>
      </c>
      <c r="N87" s="269">
        <v>10.050000000000001</v>
      </c>
      <c r="O87" s="118"/>
      <c r="P87" s="97">
        <v>0</v>
      </c>
      <c r="Q87" s="98">
        <f>I87-L87</f>
        <v>-5.0000000000000711E-2</v>
      </c>
      <c r="R87" s="357">
        <f>J87/E87-1</f>
        <v>5.0000000000001155E-3</v>
      </c>
      <c r="S87" s="370"/>
      <c r="T87" s="98"/>
    </row>
    <row r="88" spans="1:20" s="30" customFormat="1" ht="25.5">
      <c r="A88" s="121" t="s">
        <v>223</v>
      </c>
      <c r="B88" s="125" t="s">
        <v>224</v>
      </c>
      <c r="C88" s="126"/>
      <c r="D88" s="407"/>
      <c r="E88" s="279"/>
      <c r="F88" s="297"/>
      <c r="G88" s="280">
        <f>G89+G90+G91</f>
        <v>6.3000000000000007</v>
      </c>
      <c r="H88" s="304"/>
      <c r="I88" s="280">
        <f t="shared" ref="I88" si="37">I89+I90+I91</f>
        <v>6.3000000000000007</v>
      </c>
      <c r="J88" s="280"/>
      <c r="K88" s="304"/>
      <c r="L88" s="280">
        <f>L89+L90+L91</f>
        <v>5.8000000000000007</v>
      </c>
      <c r="M88" s="304"/>
      <c r="N88" s="280">
        <f>N89+N90+N91</f>
        <v>5.8000000000000007</v>
      </c>
      <c r="O88" s="127"/>
      <c r="P88" s="127"/>
      <c r="Q88" s="127">
        <f t="shared" ref="Q88" si="38">Q89+Q90+Q91</f>
        <v>0.50000000000000067</v>
      </c>
      <c r="R88" s="127"/>
      <c r="S88" s="221"/>
      <c r="T88" s="127"/>
    </row>
    <row r="89" spans="1:20" s="30" customFormat="1">
      <c r="A89" s="117" t="s">
        <v>225</v>
      </c>
      <c r="B89" s="460" t="s">
        <v>226</v>
      </c>
      <c r="C89" s="123" t="s">
        <v>227</v>
      </c>
      <c r="D89" s="404"/>
      <c r="E89" s="266">
        <v>0.8</v>
      </c>
      <c r="F89" s="302">
        <v>3</v>
      </c>
      <c r="G89" s="266">
        <f>E89*F89</f>
        <v>2.4000000000000004</v>
      </c>
      <c r="H89" s="302">
        <v>3</v>
      </c>
      <c r="I89" s="266">
        <v>2.4000000000000004</v>
      </c>
      <c r="J89" s="266">
        <v>0.83000000000000007</v>
      </c>
      <c r="K89" s="302">
        <v>3</v>
      </c>
      <c r="L89" s="266">
        <v>2.4900000000000002</v>
      </c>
      <c r="M89" s="302">
        <v>3</v>
      </c>
      <c r="N89" s="266">
        <v>2.4900000000000002</v>
      </c>
      <c r="O89" s="118"/>
      <c r="P89" s="97">
        <v>0</v>
      </c>
      <c r="Q89" s="98">
        <f>I89-L89</f>
        <v>-8.9999999999999858E-2</v>
      </c>
      <c r="R89" s="357">
        <f t="shared" ref="R89:R91" si="39">J89/E89-1</f>
        <v>3.7500000000000089E-2</v>
      </c>
      <c r="S89" s="219"/>
      <c r="T89" s="118"/>
    </row>
    <row r="90" spans="1:20" s="30" customFormat="1">
      <c r="A90" s="117" t="s">
        <v>228</v>
      </c>
      <c r="B90" s="462" t="s">
        <v>304</v>
      </c>
      <c r="C90" s="123" t="s">
        <v>211</v>
      </c>
      <c r="D90" s="404"/>
      <c r="E90" s="266">
        <v>0.5</v>
      </c>
      <c r="F90" s="302">
        <v>3</v>
      </c>
      <c r="G90" s="266">
        <f>E90*F90</f>
        <v>1.5</v>
      </c>
      <c r="H90" s="302">
        <v>3</v>
      </c>
      <c r="I90" s="266">
        <v>1.5</v>
      </c>
      <c r="J90" s="266">
        <v>0.31666666666666665</v>
      </c>
      <c r="K90" s="302">
        <v>3</v>
      </c>
      <c r="L90" s="266">
        <v>0.95</v>
      </c>
      <c r="M90" s="302">
        <v>3</v>
      </c>
      <c r="N90" s="266">
        <v>0.95</v>
      </c>
      <c r="O90" s="118"/>
      <c r="P90" s="97">
        <v>0</v>
      </c>
      <c r="Q90" s="98">
        <f>I90-L90</f>
        <v>0.55000000000000004</v>
      </c>
      <c r="R90" s="357">
        <f t="shared" si="39"/>
        <v>-0.3666666666666667</v>
      </c>
      <c r="S90" s="219"/>
      <c r="T90" s="118"/>
    </row>
    <row r="91" spans="1:20" s="30" customFormat="1">
      <c r="A91" s="117" t="s">
        <v>229</v>
      </c>
      <c r="B91" s="218" t="s">
        <v>305</v>
      </c>
      <c r="C91" s="123" t="s">
        <v>211</v>
      </c>
      <c r="D91" s="404"/>
      <c r="E91" s="266">
        <v>0.8</v>
      </c>
      <c r="F91" s="302">
        <v>3</v>
      </c>
      <c r="G91" s="266">
        <f>E91*F91</f>
        <v>2.4000000000000004</v>
      </c>
      <c r="H91" s="302">
        <v>3</v>
      </c>
      <c r="I91" s="266">
        <v>2.4000000000000004</v>
      </c>
      <c r="J91" s="266">
        <v>0.78666666666666663</v>
      </c>
      <c r="K91" s="302">
        <v>3</v>
      </c>
      <c r="L91" s="266">
        <v>2.36</v>
      </c>
      <c r="M91" s="302">
        <v>3</v>
      </c>
      <c r="N91" s="266">
        <v>2.36</v>
      </c>
      <c r="O91" s="118"/>
      <c r="P91" s="97">
        <v>0</v>
      </c>
      <c r="Q91" s="98">
        <f>I91-L91</f>
        <v>4.000000000000048E-2</v>
      </c>
      <c r="R91" s="357">
        <f t="shared" si="39"/>
        <v>-1.6666666666666718E-2</v>
      </c>
      <c r="S91" s="219"/>
      <c r="T91" s="118"/>
    </row>
    <row r="92" spans="1:20" s="30" customFormat="1">
      <c r="A92" s="121" t="s">
        <v>230</v>
      </c>
      <c r="B92" s="458" t="s">
        <v>231</v>
      </c>
      <c r="C92" s="121"/>
      <c r="D92" s="407"/>
      <c r="E92" s="278"/>
      <c r="F92" s="399"/>
      <c r="G92" s="400">
        <f>G93+G94+G95</f>
        <v>84.903000000000006</v>
      </c>
      <c r="H92" s="401"/>
      <c r="I92" s="400">
        <f>I93+I94+I95</f>
        <v>84.903000000000006</v>
      </c>
      <c r="J92" s="400"/>
      <c r="K92" s="401"/>
      <c r="L92" s="400">
        <f>L93+L94+L95</f>
        <v>74.03</v>
      </c>
      <c r="M92" s="401"/>
      <c r="N92" s="400">
        <f>N93+N94+N95</f>
        <v>74.03</v>
      </c>
      <c r="O92" s="402"/>
      <c r="P92" s="402"/>
      <c r="Q92" s="402">
        <f>Q93+Q94</f>
        <v>10.869999999999997</v>
      </c>
      <c r="R92" s="402"/>
      <c r="S92" s="403"/>
      <c r="T92" s="402"/>
    </row>
    <row r="93" spans="1:20" s="30" customFormat="1" ht="22.5">
      <c r="A93" s="117" t="s">
        <v>232</v>
      </c>
      <c r="B93" s="460" t="s">
        <v>306</v>
      </c>
      <c r="C93" s="123" t="s">
        <v>168</v>
      </c>
      <c r="D93" s="404"/>
      <c r="E93" s="266">
        <v>4.8</v>
      </c>
      <c r="F93" s="406">
        <v>6</v>
      </c>
      <c r="G93" s="266">
        <f>E93*F93</f>
        <v>28.799999999999997</v>
      </c>
      <c r="H93" s="302">
        <v>6</v>
      </c>
      <c r="I93" s="266">
        <v>28.799999999999997</v>
      </c>
      <c r="J93" s="266">
        <v>4.0266666666666664</v>
      </c>
      <c r="K93" s="302">
        <v>6</v>
      </c>
      <c r="L93" s="266">
        <v>24.16</v>
      </c>
      <c r="M93" s="302">
        <v>6</v>
      </c>
      <c r="N93" s="266">
        <v>24.16</v>
      </c>
      <c r="O93" s="222" t="s">
        <v>444</v>
      </c>
      <c r="P93" s="97">
        <v>0</v>
      </c>
      <c r="Q93" s="98">
        <f>I93-L93</f>
        <v>4.639999999999997</v>
      </c>
      <c r="R93" s="357">
        <f t="shared" ref="R93:R98" si="40">J93/E93-1</f>
        <v>-0.16111111111111109</v>
      </c>
      <c r="S93" s="219"/>
      <c r="T93" s="118"/>
    </row>
    <row r="94" spans="1:20" s="30" customFormat="1">
      <c r="A94" s="117" t="s">
        <v>307</v>
      </c>
      <c r="B94" s="218" t="s">
        <v>308</v>
      </c>
      <c r="C94" s="123" t="s">
        <v>168</v>
      </c>
      <c r="D94" s="404"/>
      <c r="E94" s="266">
        <v>4.9000000000000004</v>
      </c>
      <c r="F94" s="406">
        <v>6</v>
      </c>
      <c r="G94" s="266">
        <f>E94*F94</f>
        <v>29.400000000000002</v>
      </c>
      <c r="H94" s="302">
        <v>6</v>
      </c>
      <c r="I94" s="266">
        <v>29.400000000000002</v>
      </c>
      <c r="J94" s="266">
        <v>3.8616666666666668</v>
      </c>
      <c r="K94" s="302">
        <v>6</v>
      </c>
      <c r="L94" s="266">
        <v>23.17</v>
      </c>
      <c r="M94" s="302">
        <v>6</v>
      </c>
      <c r="N94" s="266">
        <v>23.17</v>
      </c>
      <c r="O94" s="222" t="s">
        <v>445</v>
      </c>
      <c r="P94" s="97">
        <v>0</v>
      </c>
      <c r="Q94" s="98">
        <f>I94-L94</f>
        <v>6.23</v>
      </c>
      <c r="R94" s="357">
        <f t="shared" si="40"/>
        <v>-0.21190476190476193</v>
      </c>
      <c r="S94" s="219"/>
      <c r="T94" s="118"/>
    </row>
    <row r="95" spans="1:20" s="30" customFormat="1">
      <c r="A95" s="115"/>
      <c r="B95" s="85" t="s">
        <v>310</v>
      </c>
      <c r="C95" s="123"/>
      <c r="D95" s="355" t="s">
        <v>297</v>
      </c>
      <c r="E95" s="281"/>
      <c r="F95" s="298">
        <v>2</v>
      </c>
      <c r="G95" s="266">
        <f>[2]Лист1!$I$50</f>
        <v>26.703000000000003</v>
      </c>
      <c r="H95" s="286">
        <v>2</v>
      </c>
      <c r="I95" s="266">
        <v>26.703000000000003</v>
      </c>
      <c r="J95" s="264">
        <v>13.35</v>
      </c>
      <c r="K95" s="286">
        <v>2</v>
      </c>
      <c r="L95" s="264">
        <v>26.7</v>
      </c>
      <c r="M95" s="286">
        <v>2</v>
      </c>
      <c r="N95" s="264">
        <v>26.7</v>
      </c>
      <c r="O95" s="223" t="s">
        <v>447</v>
      </c>
      <c r="P95" s="97">
        <v>0</v>
      </c>
      <c r="Q95" s="98">
        <f>I95-L95</f>
        <v>3.0000000000036664E-3</v>
      </c>
      <c r="R95" s="357"/>
      <c r="S95" s="220"/>
      <c r="T95" s="80"/>
    </row>
    <row r="96" spans="1:20" s="30" customFormat="1">
      <c r="A96" s="69" t="s">
        <v>233</v>
      </c>
      <c r="B96" s="448" t="s">
        <v>22</v>
      </c>
      <c r="C96" s="120"/>
      <c r="D96" s="349"/>
      <c r="E96" s="389"/>
      <c r="F96" s="296"/>
      <c r="G96" s="255">
        <f>G97+G98</f>
        <v>97.499200000000002</v>
      </c>
      <c r="H96" s="294"/>
      <c r="I96" s="255">
        <f>I97+I98</f>
        <v>97.499200000000002</v>
      </c>
      <c r="J96" s="255"/>
      <c r="K96" s="294"/>
      <c r="L96" s="255">
        <f>L97+L98</f>
        <v>99</v>
      </c>
      <c r="M96" s="294"/>
      <c r="N96" s="255">
        <f>N97+N98</f>
        <v>99</v>
      </c>
      <c r="O96" s="408"/>
      <c r="P96" s="97"/>
      <c r="Q96" s="108">
        <f>Q97+Q98+Q95</f>
        <v>-1.4978000000000016</v>
      </c>
      <c r="R96" s="357"/>
      <c r="S96" s="409"/>
      <c r="T96" s="410"/>
    </row>
    <row r="97" spans="1:20" s="30" customFormat="1">
      <c r="A97" s="128" t="s">
        <v>234</v>
      </c>
      <c r="B97" s="129" t="s">
        <v>309</v>
      </c>
      <c r="C97" s="123" t="s">
        <v>168</v>
      </c>
      <c r="D97" s="349"/>
      <c r="E97" s="281">
        <v>1.6963999999999999</v>
      </c>
      <c r="F97" s="298">
        <v>28</v>
      </c>
      <c r="G97" s="266">
        <f>E97*F97</f>
        <v>47.499199999999995</v>
      </c>
      <c r="H97" s="302">
        <v>28</v>
      </c>
      <c r="I97" s="266">
        <v>47.499199999999995</v>
      </c>
      <c r="J97" s="264">
        <v>1.6907142857142858</v>
      </c>
      <c r="K97" s="286">
        <v>28</v>
      </c>
      <c r="L97" s="264">
        <v>47.34</v>
      </c>
      <c r="M97" s="286">
        <v>28</v>
      </c>
      <c r="N97" s="264">
        <v>47.34</v>
      </c>
      <c r="O97" s="223" t="s">
        <v>446</v>
      </c>
      <c r="P97" s="97">
        <v>0</v>
      </c>
      <c r="Q97" s="98">
        <f>I97-L97</f>
        <v>0.15919999999999135</v>
      </c>
      <c r="R97" s="357">
        <f t="shared" si="40"/>
        <v>-3.3516353959643919E-3</v>
      </c>
      <c r="S97" s="220"/>
      <c r="T97" s="80"/>
    </row>
    <row r="98" spans="1:20" s="30" customFormat="1">
      <c r="A98" s="128" t="s">
        <v>235</v>
      </c>
      <c r="B98" s="130" t="s">
        <v>311</v>
      </c>
      <c r="C98" s="123" t="s">
        <v>168</v>
      </c>
      <c r="D98" s="349"/>
      <c r="E98" s="281">
        <v>2</v>
      </c>
      <c r="F98" s="298">
        <v>25</v>
      </c>
      <c r="G98" s="266">
        <f>E98*F98</f>
        <v>50</v>
      </c>
      <c r="H98" s="302">
        <v>25</v>
      </c>
      <c r="I98" s="266">
        <v>50</v>
      </c>
      <c r="J98" s="264">
        <v>2.0663999999999998</v>
      </c>
      <c r="K98" s="286">
        <v>25</v>
      </c>
      <c r="L98" s="264">
        <v>51.66</v>
      </c>
      <c r="M98" s="286">
        <v>25</v>
      </c>
      <c r="N98" s="264">
        <v>51.66</v>
      </c>
      <c r="O98" s="223" t="s">
        <v>448</v>
      </c>
      <c r="P98" s="97">
        <v>0</v>
      </c>
      <c r="Q98" s="98">
        <f>I98-L98</f>
        <v>-1.6599999999999966</v>
      </c>
      <c r="R98" s="357">
        <f t="shared" si="40"/>
        <v>3.3199999999999896E-2</v>
      </c>
      <c r="S98" s="220"/>
      <c r="T98" s="80"/>
    </row>
    <row r="99" spans="1:20" s="30" customFormat="1">
      <c r="A99" s="391" t="s">
        <v>236</v>
      </c>
      <c r="B99" s="251"/>
      <c r="C99" s="391"/>
      <c r="D99" s="392"/>
      <c r="E99" s="275"/>
      <c r="F99" s="301"/>
      <c r="G99" s="275">
        <f>G80+G96</f>
        <v>362.20220000000006</v>
      </c>
      <c r="H99" s="303"/>
      <c r="I99" s="275">
        <f>I80+I96</f>
        <v>362.20220000000006</v>
      </c>
      <c r="J99" s="275"/>
      <c r="K99" s="301"/>
      <c r="L99" s="275">
        <f>L80+L96</f>
        <v>352.45000000000005</v>
      </c>
      <c r="M99" s="301"/>
      <c r="N99" s="275">
        <f>N80+N96</f>
        <v>352.45000000000005</v>
      </c>
      <c r="O99" s="99"/>
      <c r="P99" s="99"/>
      <c r="Q99" s="99">
        <f>Q80+Q96</f>
        <v>9.7521999999999913</v>
      </c>
      <c r="R99" s="99"/>
      <c r="S99" s="213"/>
      <c r="T99" s="99"/>
    </row>
    <row r="100" spans="1:20" s="30" customFormat="1">
      <c r="A100" s="344" t="s">
        <v>43</v>
      </c>
      <c r="B100" s="447"/>
      <c r="C100" s="344"/>
      <c r="D100" s="411"/>
      <c r="E100" s="345"/>
      <c r="F100" s="346"/>
      <c r="G100" s="345"/>
      <c r="H100" s="346"/>
      <c r="I100" s="345"/>
      <c r="J100" s="345"/>
      <c r="K100" s="346"/>
      <c r="L100" s="345"/>
      <c r="M100" s="346"/>
      <c r="N100" s="345"/>
      <c r="O100" s="344"/>
      <c r="P100" s="344"/>
      <c r="Q100" s="344"/>
      <c r="R100" s="344"/>
      <c r="S100" s="347"/>
      <c r="T100" s="344"/>
    </row>
    <row r="101" spans="1:20" s="30" customFormat="1">
      <c r="A101" s="107" t="s">
        <v>237</v>
      </c>
      <c r="B101" s="448" t="s">
        <v>238</v>
      </c>
      <c r="C101" s="119"/>
      <c r="D101" s="412"/>
      <c r="E101" s="389"/>
      <c r="F101" s="296"/>
      <c r="G101" s="395"/>
      <c r="H101" s="305"/>
      <c r="I101" s="395"/>
      <c r="J101" s="395"/>
      <c r="K101" s="396"/>
      <c r="L101" s="395"/>
      <c r="M101" s="396"/>
      <c r="N101" s="395"/>
      <c r="O101" s="397"/>
      <c r="P101" s="397"/>
      <c r="Q101" s="397"/>
      <c r="R101" s="397"/>
      <c r="S101" s="413"/>
      <c r="T101" s="397"/>
    </row>
    <row r="102" spans="1:20" s="30" customFormat="1" ht="22.5">
      <c r="A102" s="70" t="s">
        <v>239</v>
      </c>
      <c r="B102" s="131" t="s">
        <v>240</v>
      </c>
      <c r="C102" s="132"/>
      <c r="D102" s="414"/>
      <c r="E102" s="264"/>
      <c r="F102" s="299"/>
      <c r="G102" s="257">
        <f>G103+G104+G105+G106+G107</f>
        <v>253.12599999999998</v>
      </c>
      <c r="H102" s="305"/>
      <c r="I102" s="257">
        <f>I103+I104+I105+I106+I107</f>
        <v>253.12599999999998</v>
      </c>
      <c r="J102" s="257"/>
      <c r="K102" s="295"/>
      <c r="L102" s="257">
        <f>SUM(L103:L107)</f>
        <v>253.12599999999998</v>
      </c>
      <c r="M102" s="295"/>
      <c r="N102" s="257">
        <f>N103+N104+N105+N106+N107</f>
        <v>253.12599999999998</v>
      </c>
      <c r="O102" s="113"/>
      <c r="P102" s="113"/>
      <c r="Q102" s="113">
        <f>I102-L102</f>
        <v>0</v>
      </c>
      <c r="R102" s="113"/>
      <c r="S102" s="252" t="s">
        <v>509</v>
      </c>
      <c r="T102" s="113"/>
    </row>
    <row r="103" spans="1:20" s="30" customFormat="1">
      <c r="A103" s="133" t="s">
        <v>241</v>
      </c>
      <c r="B103" s="77" t="s">
        <v>312</v>
      </c>
      <c r="C103" s="132"/>
      <c r="D103" s="414"/>
      <c r="E103" s="264">
        <v>173.124</v>
      </c>
      <c r="F103" s="286">
        <v>1</v>
      </c>
      <c r="G103" s="264">
        <f>F103*E103</f>
        <v>173.124</v>
      </c>
      <c r="H103" s="286">
        <v>1</v>
      </c>
      <c r="I103" s="264">
        <f>G103</f>
        <v>173.124</v>
      </c>
      <c r="J103" s="264">
        <v>173.124</v>
      </c>
      <c r="K103" s="286">
        <v>1</v>
      </c>
      <c r="L103" s="264">
        <v>173.124</v>
      </c>
      <c r="M103" s="286">
        <v>1</v>
      </c>
      <c r="N103" s="264">
        <v>173.124</v>
      </c>
      <c r="O103" s="222" t="s">
        <v>449</v>
      </c>
      <c r="P103" s="97">
        <v>0</v>
      </c>
      <c r="Q103" s="98">
        <f t="shared" ref="Q103:Q107" si="41">I103-L103</f>
        <v>0</v>
      </c>
      <c r="R103" s="357">
        <f t="shared" ref="R103:R107" si="42">J103/E103-1</f>
        <v>0</v>
      </c>
      <c r="S103" s="216"/>
      <c r="T103" s="113"/>
    </row>
    <row r="104" spans="1:20" s="30" customFormat="1">
      <c r="A104" s="133" t="s">
        <v>242</v>
      </c>
      <c r="B104" s="77" t="s">
        <v>313</v>
      </c>
      <c r="C104" s="132"/>
      <c r="D104" s="414"/>
      <c r="E104" s="264">
        <v>4.3</v>
      </c>
      <c r="F104" s="298">
        <v>8</v>
      </c>
      <c r="G104" s="264">
        <f>F104*E104</f>
        <v>34.4</v>
      </c>
      <c r="H104" s="298">
        <v>8</v>
      </c>
      <c r="I104" s="264">
        <f t="shared" ref="I104:I107" si="43">G104</f>
        <v>34.4</v>
      </c>
      <c r="J104" s="264">
        <v>4.3</v>
      </c>
      <c r="K104" s="298">
        <v>8</v>
      </c>
      <c r="L104" s="264">
        <v>34.4</v>
      </c>
      <c r="M104" s="298">
        <v>8</v>
      </c>
      <c r="N104" s="264">
        <v>34.4</v>
      </c>
      <c r="O104" s="222" t="s">
        <v>450</v>
      </c>
      <c r="P104" s="97">
        <v>0</v>
      </c>
      <c r="Q104" s="98">
        <f t="shared" si="41"/>
        <v>0</v>
      </c>
      <c r="R104" s="357">
        <f t="shared" si="42"/>
        <v>0</v>
      </c>
      <c r="S104" s="216"/>
      <c r="T104" s="113"/>
    </row>
    <row r="105" spans="1:20" s="30" customFormat="1">
      <c r="A105" s="133" t="s">
        <v>243</v>
      </c>
      <c r="B105" s="77" t="s">
        <v>314</v>
      </c>
      <c r="C105" s="132"/>
      <c r="D105" s="414"/>
      <c r="E105" s="264">
        <v>2.08</v>
      </c>
      <c r="F105" s="298">
        <v>8</v>
      </c>
      <c r="G105" s="264">
        <f>F105*E105</f>
        <v>16.64</v>
      </c>
      <c r="H105" s="298">
        <v>8</v>
      </c>
      <c r="I105" s="264">
        <f t="shared" si="43"/>
        <v>16.64</v>
      </c>
      <c r="J105" s="264">
        <v>2.08</v>
      </c>
      <c r="K105" s="298">
        <v>8</v>
      </c>
      <c r="L105" s="264">
        <v>16.64</v>
      </c>
      <c r="M105" s="298">
        <v>8</v>
      </c>
      <c r="N105" s="264">
        <v>16.64</v>
      </c>
      <c r="O105" s="222" t="s">
        <v>451</v>
      </c>
      <c r="P105" s="97">
        <v>0</v>
      </c>
      <c r="Q105" s="98">
        <f t="shared" si="41"/>
        <v>0</v>
      </c>
      <c r="R105" s="357">
        <f t="shared" si="42"/>
        <v>0</v>
      </c>
      <c r="S105" s="216"/>
      <c r="T105" s="113"/>
    </row>
    <row r="106" spans="1:20" s="30" customFormat="1">
      <c r="A106" s="133" t="s">
        <v>512</v>
      </c>
      <c r="B106" s="130" t="s">
        <v>315</v>
      </c>
      <c r="C106" s="132"/>
      <c r="D106" s="414"/>
      <c r="E106" s="264">
        <v>3.6444000000000001</v>
      </c>
      <c r="F106" s="298">
        <v>1</v>
      </c>
      <c r="G106" s="264">
        <f>F106*E106</f>
        <v>3.6444000000000001</v>
      </c>
      <c r="H106" s="298">
        <v>1</v>
      </c>
      <c r="I106" s="264">
        <f t="shared" si="43"/>
        <v>3.6444000000000001</v>
      </c>
      <c r="J106" s="264">
        <v>3.6444000000000001</v>
      </c>
      <c r="K106" s="298">
        <v>1</v>
      </c>
      <c r="L106" s="264">
        <v>3.6444000000000001</v>
      </c>
      <c r="M106" s="298">
        <v>1</v>
      </c>
      <c r="N106" s="264">
        <v>3.6444000000000001</v>
      </c>
      <c r="O106" s="222" t="s">
        <v>452</v>
      </c>
      <c r="P106" s="97">
        <v>0</v>
      </c>
      <c r="Q106" s="98">
        <f t="shared" si="41"/>
        <v>0</v>
      </c>
      <c r="R106" s="357">
        <f t="shared" si="42"/>
        <v>0</v>
      </c>
      <c r="S106" s="216"/>
      <c r="T106" s="113"/>
    </row>
    <row r="107" spans="1:20" s="30" customFormat="1">
      <c r="A107" s="133" t="s">
        <v>244</v>
      </c>
      <c r="B107" s="77" t="s">
        <v>316</v>
      </c>
      <c r="C107" s="132"/>
      <c r="D107" s="414"/>
      <c r="E107" s="266">
        <v>25.317599999999999</v>
      </c>
      <c r="F107" s="406">
        <v>1</v>
      </c>
      <c r="G107" s="415">
        <f>F107*E107</f>
        <v>25.317599999999999</v>
      </c>
      <c r="H107" s="406">
        <v>1</v>
      </c>
      <c r="I107" s="264">
        <f t="shared" si="43"/>
        <v>25.317599999999999</v>
      </c>
      <c r="J107" s="264">
        <v>25.317599999999999</v>
      </c>
      <c r="K107" s="406">
        <v>1</v>
      </c>
      <c r="L107" s="264">
        <v>25.317599999999999</v>
      </c>
      <c r="M107" s="406">
        <v>1</v>
      </c>
      <c r="N107" s="264">
        <v>25.317599999999999</v>
      </c>
      <c r="O107" s="222" t="s">
        <v>449</v>
      </c>
      <c r="P107" s="97">
        <v>0</v>
      </c>
      <c r="Q107" s="98">
        <f t="shared" si="41"/>
        <v>0</v>
      </c>
      <c r="R107" s="357">
        <f t="shared" si="42"/>
        <v>0</v>
      </c>
      <c r="S107" s="216"/>
      <c r="T107" s="113"/>
    </row>
    <row r="108" spans="1:20" s="30" customFormat="1">
      <c r="A108" s="391" t="s">
        <v>143</v>
      </c>
      <c r="B108" s="251"/>
      <c r="C108" s="391"/>
      <c r="D108" s="392"/>
      <c r="E108" s="275"/>
      <c r="F108" s="301"/>
      <c r="G108" s="275">
        <f>G102</f>
        <v>253.12599999999998</v>
      </c>
      <c r="H108" s="303"/>
      <c r="I108" s="275">
        <f>I102</f>
        <v>253.12599999999998</v>
      </c>
      <c r="J108" s="275"/>
      <c r="K108" s="301"/>
      <c r="L108" s="275">
        <f>L102</f>
        <v>253.12599999999998</v>
      </c>
      <c r="M108" s="301"/>
      <c r="N108" s="275">
        <f t="shared" ref="N108" si="44">N102</f>
        <v>253.12599999999998</v>
      </c>
      <c r="O108" s="99"/>
      <c r="P108" s="99"/>
      <c r="Q108" s="99">
        <f t="shared" ref="Q108" si="45">Q102</f>
        <v>0</v>
      </c>
      <c r="R108" s="99"/>
      <c r="S108" s="213"/>
      <c r="T108" s="99"/>
    </row>
    <row r="109" spans="1:20" s="30" customFormat="1">
      <c r="A109" s="344" t="s">
        <v>138</v>
      </c>
      <c r="B109" s="447"/>
      <c r="C109" s="344"/>
      <c r="D109" s="411"/>
      <c r="E109" s="345"/>
      <c r="F109" s="346"/>
      <c r="G109" s="345"/>
      <c r="H109" s="346"/>
      <c r="I109" s="345"/>
      <c r="J109" s="345"/>
      <c r="K109" s="346"/>
      <c r="L109" s="345"/>
      <c r="M109" s="346"/>
      <c r="N109" s="345"/>
      <c r="O109" s="344"/>
      <c r="P109" s="344"/>
      <c r="Q109" s="344"/>
      <c r="R109" s="344"/>
      <c r="S109" s="347"/>
      <c r="T109" s="344"/>
    </row>
    <row r="110" spans="1:20" s="30" customFormat="1" ht="33.75">
      <c r="A110" s="144" t="s">
        <v>245</v>
      </c>
      <c r="B110" s="463" t="s">
        <v>317</v>
      </c>
      <c r="C110" s="117" t="s">
        <v>168</v>
      </c>
      <c r="D110" s="349"/>
      <c r="E110" s="266">
        <v>80.16</v>
      </c>
      <c r="F110" s="293">
        <v>2</v>
      </c>
      <c r="G110" s="272">
        <f>F110*E110</f>
        <v>160.32</v>
      </c>
      <c r="H110" s="302">
        <f>F110</f>
        <v>2</v>
      </c>
      <c r="I110" s="266">
        <f>G110</f>
        <v>160.32</v>
      </c>
      <c r="J110" s="266">
        <v>80.959999999999994</v>
      </c>
      <c r="K110" s="302">
        <v>2</v>
      </c>
      <c r="L110" s="266">
        <v>161.91999999999999</v>
      </c>
      <c r="M110" s="302">
        <v>2</v>
      </c>
      <c r="N110" s="266">
        <v>161.91999999999996</v>
      </c>
      <c r="O110" s="207" t="s">
        <v>515</v>
      </c>
      <c r="P110" s="97">
        <v>0</v>
      </c>
      <c r="Q110" s="98">
        <f t="shared" ref="Q110:Q112" si="46">I110-L110</f>
        <v>-1.5999999999999943</v>
      </c>
      <c r="R110" s="357">
        <f>J110/E110-1</f>
        <v>9.9800399201597223E-3</v>
      </c>
      <c r="S110" s="220" t="s">
        <v>510</v>
      </c>
      <c r="T110" s="118"/>
    </row>
    <row r="111" spans="1:20" s="30" customFormat="1" ht="33.75">
      <c r="A111" s="144" t="s">
        <v>246</v>
      </c>
      <c r="B111" s="463" t="s">
        <v>318</v>
      </c>
      <c r="C111" s="117" t="s">
        <v>168</v>
      </c>
      <c r="D111" s="359"/>
      <c r="E111" s="266">
        <v>138.6</v>
      </c>
      <c r="F111" s="293">
        <v>1</v>
      </c>
      <c r="G111" s="272">
        <f>F111*E111</f>
        <v>138.6</v>
      </c>
      <c r="H111" s="302">
        <f>F111</f>
        <v>1</v>
      </c>
      <c r="I111" s="266">
        <f t="shared" ref="I111:I112" si="47">G111</f>
        <v>138.6</v>
      </c>
      <c r="J111" s="266">
        <v>140.1</v>
      </c>
      <c r="K111" s="302">
        <v>1</v>
      </c>
      <c r="L111" s="266">
        <v>140.1</v>
      </c>
      <c r="M111" s="302">
        <v>1</v>
      </c>
      <c r="N111" s="266">
        <v>140.1</v>
      </c>
      <c r="O111" s="207" t="s">
        <v>421</v>
      </c>
      <c r="P111" s="97">
        <v>0</v>
      </c>
      <c r="Q111" s="98">
        <f t="shared" si="46"/>
        <v>-1.5</v>
      </c>
      <c r="R111" s="357">
        <f>J111/E111-1</f>
        <v>1.0822510822510845E-2</v>
      </c>
      <c r="S111" s="220" t="s">
        <v>511</v>
      </c>
      <c r="T111" s="117"/>
    </row>
    <row r="112" spans="1:20" s="30" customFormat="1" ht="22.5">
      <c r="A112" s="115" t="s">
        <v>246</v>
      </c>
      <c r="B112" s="85" t="s">
        <v>247</v>
      </c>
      <c r="C112" s="135"/>
      <c r="D112" s="355" t="s">
        <v>283</v>
      </c>
      <c r="E112" s="282"/>
      <c r="F112" s="416"/>
      <c r="G112" s="415">
        <f>[2]Лист1!$I$53</f>
        <v>179.94</v>
      </c>
      <c r="H112" s="351"/>
      <c r="I112" s="266">
        <f t="shared" si="47"/>
        <v>179.94</v>
      </c>
      <c r="J112" s="266"/>
      <c r="K112" s="302"/>
      <c r="L112" s="266">
        <v>172.5</v>
      </c>
      <c r="M112" s="302"/>
      <c r="N112" s="266">
        <v>172.5</v>
      </c>
      <c r="O112" s="207" t="s">
        <v>525</v>
      </c>
      <c r="P112" s="97"/>
      <c r="Q112" s="98">
        <f t="shared" si="46"/>
        <v>7.4399999999999977</v>
      </c>
      <c r="R112" s="357"/>
      <c r="S112" s="417" t="s">
        <v>328</v>
      </c>
      <c r="T112" s="252"/>
    </row>
    <row r="113" spans="1:20" s="30" customFormat="1">
      <c r="A113" s="391" t="s">
        <v>144</v>
      </c>
      <c r="B113" s="251"/>
      <c r="C113" s="391"/>
      <c r="D113" s="392"/>
      <c r="E113" s="275"/>
      <c r="F113" s="301"/>
      <c r="G113" s="275">
        <f>G110+G111+G112</f>
        <v>478.85999999999996</v>
      </c>
      <c r="H113" s="303"/>
      <c r="I113" s="275">
        <f>I112+I111+I110</f>
        <v>478.85999999999996</v>
      </c>
      <c r="J113" s="275"/>
      <c r="K113" s="301"/>
      <c r="L113" s="275">
        <f>L110+L111+L112</f>
        <v>474.52</v>
      </c>
      <c r="M113" s="301"/>
      <c r="N113" s="275">
        <f>N110+N111+N112</f>
        <v>474.52</v>
      </c>
      <c r="O113" s="99"/>
      <c r="P113" s="99"/>
      <c r="Q113" s="99">
        <f>Q110+Q111+Q112</f>
        <v>4.3400000000000034</v>
      </c>
      <c r="R113" s="99"/>
      <c r="S113" s="213"/>
      <c r="T113" s="99"/>
    </row>
    <row r="114" spans="1:20" s="30" customFormat="1">
      <c r="A114" s="344" t="s">
        <v>44</v>
      </c>
      <c r="B114" s="447"/>
      <c r="C114" s="344"/>
      <c r="D114" s="411"/>
      <c r="E114" s="345"/>
      <c r="F114" s="346"/>
      <c r="G114" s="345"/>
      <c r="H114" s="346"/>
      <c r="I114" s="345"/>
      <c r="J114" s="345"/>
      <c r="K114" s="346"/>
      <c r="L114" s="345"/>
      <c r="M114" s="346"/>
      <c r="N114" s="345"/>
      <c r="O114" s="344"/>
      <c r="P114" s="344"/>
      <c r="Q114" s="344"/>
      <c r="R114" s="344"/>
      <c r="S114" s="347"/>
      <c r="T114" s="344"/>
    </row>
    <row r="115" spans="1:20" s="30" customFormat="1">
      <c r="A115" s="69" t="s">
        <v>248</v>
      </c>
      <c r="B115" s="464" t="s">
        <v>249</v>
      </c>
      <c r="C115" s="383"/>
      <c r="D115" s="355" t="s">
        <v>283</v>
      </c>
      <c r="E115" s="266"/>
      <c r="F115" s="302"/>
      <c r="G115" s="418">
        <v>82.18</v>
      </c>
      <c r="H115" s="306"/>
      <c r="I115" s="418">
        <f>I116+I117+I118</f>
        <v>82.18</v>
      </c>
      <c r="J115" s="418"/>
      <c r="K115" s="419"/>
      <c r="L115" s="418">
        <f>L116+L117+L118</f>
        <v>88.199591999999996</v>
      </c>
      <c r="M115" s="419"/>
      <c r="N115" s="418">
        <f>N116+N117+N118</f>
        <v>88.19999</v>
      </c>
      <c r="O115" s="420"/>
      <c r="P115" s="420"/>
      <c r="Q115" s="420">
        <f>Q116+Q117+Q118</f>
        <v>-6.0195919999999949</v>
      </c>
      <c r="R115" s="420"/>
      <c r="S115" s="421"/>
      <c r="T115" s="420"/>
    </row>
    <row r="116" spans="1:20" s="30" customFormat="1">
      <c r="A116" s="136" t="s">
        <v>250</v>
      </c>
      <c r="B116" s="465" t="s">
        <v>251</v>
      </c>
      <c r="C116" s="117" t="s">
        <v>168</v>
      </c>
      <c r="D116" s="349"/>
      <c r="E116" s="266">
        <f>40-8.06</f>
        <v>31.939999999999998</v>
      </c>
      <c r="F116" s="302">
        <v>1</v>
      </c>
      <c r="G116" s="272">
        <f>E116*F116</f>
        <v>31.939999999999998</v>
      </c>
      <c r="H116" s="302">
        <f>F116</f>
        <v>1</v>
      </c>
      <c r="I116" s="266">
        <f>G116</f>
        <v>31.939999999999998</v>
      </c>
      <c r="J116" s="266">
        <v>39.999599999999994</v>
      </c>
      <c r="K116" s="302">
        <v>1</v>
      </c>
      <c r="L116" s="266">
        <v>39.999599999999994</v>
      </c>
      <c r="M116" s="302">
        <v>1</v>
      </c>
      <c r="N116" s="266">
        <v>40</v>
      </c>
      <c r="O116" s="207" t="s">
        <v>422</v>
      </c>
      <c r="P116" s="97">
        <v>0</v>
      </c>
      <c r="Q116" s="98">
        <f t="shared" ref="Q116:Q118" si="48">I116-L116</f>
        <v>-8.0595999999999961</v>
      </c>
      <c r="R116" s="357">
        <f>J116/E116-1</f>
        <v>0.25233562930494657</v>
      </c>
      <c r="S116" s="252" t="s">
        <v>329</v>
      </c>
      <c r="T116" s="118"/>
    </row>
    <row r="117" spans="1:20" s="30" customFormat="1">
      <c r="A117" s="136" t="s">
        <v>252</v>
      </c>
      <c r="B117" s="465" t="s">
        <v>253</v>
      </c>
      <c r="C117" s="117" t="s">
        <v>168</v>
      </c>
      <c r="D117" s="349"/>
      <c r="E117" s="266">
        <v>2.04</v>
      </c>
      <c r="F117" s="302">
        <v>1</v>
      </c>
      <c r="G117" s="272">
        <f t="shared" ref="G117:G118" si="49">E117*F117</f>
        <v>2.04</v>
      </c>
      <c r="H117" s="302">
        <f t="shared" ref="H117:I118" si="50">F117</f>
        <v>1</v>
      </c>
      <c r="I117" s="266">
        <f t="shared" si="50"/>
        <v>2.04</v>
      </c>
      <c r="J117" s="266"/>
      <c r="K117" s="302"/>
      <c r="L117" s="266"/>
      <c r="M117" s="302"/>
      <c r="N117" s="266"/>
      <c r="O117" s="118"/>
      <c r="P117" s="97">
        <v>0</v>
      </c>
      <c r="Q117" s="98">
        <f t="shared" si="48"/>
        <v>2.04</v>
      </c>
      <c r="R117" s="118"/>
      <c r="S117" s="219"/>
      <c r="T117" s="118"/>
    </row>
    <row r="118" spans="1:20" s="30" customFormat="1" ht="22.5">
      <c r="A118" s="136" t="s">
        <v>254</v>
      </c>
      <c r="B118" s="465" t="s">
        <v>319</v>
      </c>
      <c r="C118" s="117" t="s">
        <v>168</v>
      </c>
      <c r="D118" s="349"/>
      <c r="E118" s="266">
        <v>24.1</v>
      </c>
      <c r="F118" s="302">
        <v>2</v>
      </c>
      <c r="G118" s="272">
        <f t="shared" si="49"/>
        <v>48.2</v>
      </c>
      <c r="H118" s="302">
        <f t="shared" si="50"/>
        <v>2</v>
      </c>
      <c r="I118" s="266">
        <f t="shared" si="50"/>
        <v>48.2</v>
      </c>
      <c r="J118" s="266">
        <v>24.099996000000001</v>
      </c>
      <c r="K118" s="302">
        <v>2</v>
      </c>
      <c r="L118" s="266">
        <v>48.199992000000002</v>
      </c>
      <c r="M118" s="302">
        <v>2</v>
      </c>
      <c r="N118" s="266">
        <v>48.19999</v>
      </c>
      <c r="O118" s="207" t="s">
        <v>341</v>
      </c>
      <c r="P118" s="97">
        <v>0</v>
      </c>
      <c r="Q118" s="98">
        <f t="shared" si="48"/>
        <v>8.0000000011182237E-6</v>
      </c>
      <c r="R118" s="357">
        <f>J118/E118-1</f>
        <v>-1.6597510377192037E-7</v>
      </c>
      <c r="S118" s="219"/>
      <c r="T118" s="118"/>
    </row>
    <row r="119" spans="1:20" s="30" customFormat="1">
      <c r="A119" s="391" t="s">
        <v>134</v>
      </c>
      <c r="B119" s="251"/>
      <c r="C119" s="391"/>
      <c r="D119" s="392"/>
      <c r="E119" s="275"/>
      <c r="F119" s="301"/>
      <c r="G119" s="275">
        <f>G115</f>
        <v>82.18</v>
      </c>
      <c r="H119" s="303"/>
      <c r="I119" s="275">
        <f>I115</f>
        <v>82.18</v>
      </c>
      <c r="J119" s="275"/>
      <c r="K119" s="301"/>
      <c r="L119" s="275">
        <f>L115</f>
        <v>88.199591999999996</v>
      </c>
      <c r="M119" s="301"/>
      <c r="N119" s="275">
        <f t="shared" ref="N119" si="51">N115</f>
        <v>88.19999</v>
      </c>
      <c r="O119" s="99"/>
      <c r="P119" s="99"/>
      <c r="Q119" s="99">
        <f t="shared" ref="Q119" si="52">Q115</f>
        <v>-6.0195919999999949</v>
      </c>
      <c r="R119" s="99"/>
      <c r="S119" s="213"/>
      <c r="T119" s="99"/>
    </row>
    <row r="120" spans="1:20" s="30" customFormat="1">
      <c r="A120" s="391" t="s">
        <v>135</v>
      </c>
      <c r="B120" s="251"/>
      <c r="C120" s="391"/>
      <c r="D120" s="392"/>
      <c r="E120" s="275"/>
      <c r="F120" s="301"/>
      <c r="G120" s="275">
        <f>G119+G113+G108+G99+G76+G60</f>
        <v>31384.219639999996</v>
      </c>
      <c r="H120" s="303"/>
      <c r="I120" s="275">
        <f>I119+I113+I108+I99+I76+I60</f>
        <v>31384.219639999996</v>
      </c>
      <c r="J120" s="275"/>
      <c r="K120" s="301"/>
      <c r="L120" s="275">
        <f>L119+L113+L108+L99+L76+L60</f>
        <v>31318.085291999996</v>
      </c>
      <c r="M120" s="301"/>
      <c r="N120" s="275">
        <f>N119+N113+N108+N99+N76+N60</f>
        <v>32117.880850000009</v>
      </c>
      <c r="O120" s="99"/>
      <c r="P120" s="99"/>
      <c r="Q120" s="99">
        <f>Q119+Q113+Q108+Q99+Q76+Q60</f>
        <v>66.134347999999136</v>
      </c>
      <c r="R120" s="99"/>
      <c r="S120" s="213"/>
      <c r="T120" s="99"/>
    </row>
    <row r="121" spans="1:20" s="30" customFormat="1">
      <c r="A121" s="422"/>
      <c r="B121" s="466"/>
      <c r="C121" s="422"/>
      <c r="D121" s="423"/>
      <c r="E121" s="424"/>
      <c r="F121" s="425"/>
      <c r="G121" s="424"/>
      <c r="H121" s="425"/>
      <c r="I121" s="424"/>
      <c r="J121" s="424"/>
      <c r="K121" s="425"/>
      <c r="L121" s="424"/>
      <c r="M121" s="425"/>
      <c r="N121" s="424"/>
      <c r="O121" s="422"/>
      <c r="P121" s="422"/>
      <c r="Q121" s="422"/>
      <c r="R121" s="422"/>
      <c r="S121" s="426"/>
      <c r="T121" s="422"/>
    </row>
    <row r="125" spans="1:20">
      <c r="A125" s="431" t="s">
        <v>161</v>
      </c>
      <c r="B125" s="468"/>
      <c r="C125" s="431"/>
      <c r="D125" s="431"/>
      <c r="E125" s="432"/>
      <c r="F125" s="433"/>
      <c r="G125" s="432"/>
      <c r="H125" s="433"/>
      <c r="I125" s="432"/>
      <c r="J125" s="432"/>
      <c r="K125" s="433"/>
      <c r="L125" s="432"/>
      <c r="M125" s="433"/>
      <c r="N125" s="432"/>
      <c r="O125" s="431"/>
      <c r="P125" s="431"/>
    </row>
    <row r="127" spans="1:20" s="476" customFormat="1" ht="18.75">
      <c r="A127" s="472" t="s">
        <v>520</v>
      </c>
      <c r="B127" s="471"/>
      <c r="C127" s="471"/>
      <c r="D127" s="471" t="s">
        <v>39</v>
      </c>
      <c r="E127" s="473"/>
      <c r="F127" s="474" t="s">
        <v>425</v>
      </c>
      <c r="G127" s="473"/>
      <c r="H127" s="475"/>
      <c r="I127" s="473"/>
      <c r="J127" s="473"/>
      <c r="K127" s="475"/>
      <c r="L127" s="473"/>
      <c r="M127" s="475"/>
      <c r="N127" s="473"/>
    </row>
    <row r="128" spans="1:20" s="442" customFormat="1" ht="15">
      <c r="A128" s="437"/>
      <c r="B128" s="469"/>
      <c r="C128" s="438"/>
      <c r="D128" s="439" t="s">
        <v>40</v>
      </c>
      <c r="E128" s="440"/>
      <c r="F128" s="435" t="s">
        <v>41</v>
      </c>
      <c r="G128" s="440"/>
      <c r="H128" s="435"/>
      <c r="I128" s="434"/>
      <c r="J128" s="440"/>
      <c r="K128" s="441"/>
      <c r="L128" s="440"/>
      <c r="M128" s="441"/>
      <c r="N128" s="440"/>
      <c r="S128" s="336"/>
    </row>
    <row r="129" spans="1:19" s="436" customFormat="1">
      <c r="A129" s="443"/>
      <c r="B129" s="470"/>
      <c r="C129" s="444"/>
      <c r="D129" s="439"/>
      <c r="E129" s="434"/>
      <c r="F129" s="435"/>
      <c r="G129" s="434"/>
      <c r="H129" s="435"/>
      <c r="I129" s="434"/>
      <c r="J129" s="434"/>
      <c r="K129" s="435"/>
      <c r="L129" s="434"/>
      <c r="M129" s="435"/>
      <c r="N129" s="434"/>
      <c r="S129" s="336"/>
    </row>
    <row r="130" spans="1:19" s="436" customFormat="1">
      <c r="A130" s="443" t="s">
        <v>514</v>
      </c>
      <c r="B130" s="470"/>
      <c r="C130" s="444"/>
      <c r="D130" s="439"/>
      <c r="E130" s="434"/>
      <c r="F130" s="435"/>
      <c r="G130" s="434"/>
      <c r="H130" s="435"/>
      <c r="I130" s="434"/>
      <c r="J130" s="434"/>
      <c r="K130" s="435"/>
      <c r="L130" s="434"/>
      <c r="M130" s="435"/>
      <c r="N130" s="434"/>
      <c r="S130" s="336"/>
    </row>
    <row r="131" spans="1:19" s="436" customFormat="1">
      <c r="A131" s="443"/>
      <c r="B131" s="470"/>
      <c r="C131" s="444"/>
      <c r="D131" s="439"/>
      <c r="E131" s="434"/>
      <c r="F131" s="435"/>
      <c r="G131" s="434"/>
      <c r="H131" s="435"/>
      <c r="I131" s="434"/>
      <c r="J131" s="434"/>
      <c r="K131" s="435"/>
      <c r="L131" s="434"/>
      <c r="M131" s="435"/>
      <c r="N131" s="434"/>
      <c r="S131" s="336"/>
    </row>
    <row r="132" spans="1:19" s="436" customFormat="1">
      <c r="A132" s="443" t="s">
        <v>42</v>
      </c>
      <c r="B132" s="470"/>
      <c r="C132" s="444"/>
      <c r="D132" s="439"/>
      <c r="E132" s="434"/>
      <c r="F132" s="435"/>
      <c r="G132" s="434"/>
      <c r="H132" s="435"/>
      <c r="I132" s="434"/>
      <c r="J132" s="434"/>
      <c r="K132" s="435"/>
      <c r="L132" s="434"/>
      <c r="M132" s="435"/>
      <c r="N132" s="434"/>
      <c r="S132" s="336"/>
    </row>
  </sheetData>
  <autoFilter ref="A12:T120">
    <filterColumn colId="3"/>
    <filterColumn colId="9"/>
    <filterColumn colId="10"/>
    <filterColumn colId="11"/>
  </autoFilter>
  <mergeCells count="24">
    <mergeCell ref="A8:A10"/>
    <mergeCell ref="B8:B10"/>
    <mergeCell ref="C8:C10"/>
    <mergeCell ref="A7:R7"/>
    <mergeCell ref="D8:G9"/>
    <mergeCell ref="H8:I9"/>
    <mergeCell ref="P8:Q9"/>
    <mergeCell ref="R8:R10"/>
    <mergeCell ref="S65:S66"/>
    <mergeCell ref="A60:F60"/>
    <mergeCell ref="A29:A33"/>
    <mergeCell ref="S25:S26"/>
    <mergeCell ref="S19:S20"/>
    <mergeCell ref="O22:O23"/>
    <mergeCell ref="O25:O27"/>
    <mergeCell ref="S28:S34"/>
    <mergeCell ref="A21:A27"/>
    <mergeCell ref="A35:A42"/>
    <mergeCell ref="T8:T10"/>
    <mergeCell ref="J8:N8"/>
    <mergeCell ref="J9:L9"/>
    <mergeCell ref="M9:N9"/>
    <mergeCell ref="O8:O10"/>
    <mergeCell ref="S8:S10"/>
  </mergeCells>
  <phoneticPr fontId="5" type="noConversion"/>
  <pageMargins left="0.27559055118110237" right="0.27559055118110237" top="0.35433070866141736" bottom="0.43307086614173229" header="0.23622047244094491" footer="0.27559055118110237"/>
  <pageSetup paperSize="9" scale="45" fitToHeight="4" orientation="landscape" r:id="rId1"/>
  <headerFooter alignWithMargins="0">
    <oddFooter xml:space="preserve">&amp;C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topLeftCell="A10" zoomScale="75" zoomScaleNormal="75" workbookViewId="0">
      <selection activeCell="Z20" sqref="Z20"/>
    </sheetView>
  </sheetViews>
  <sheetFormatPr defaultRowHeight="12.75"/>
  <cols>
    <col min="1" max="1" width="8.7109375" style="145" customWidth="1"/>
    <col min="2" max="2" width="44" style="145" customWidth="1"/>
    <col min="3" max="3" width="9.85546875" style="145" customWidth="1"/>
    <col min="4" max="4" width="8.7109375" style="145" customWidth="1"/>
    <col min="5" max="5" width="5.85546875" style="145" customWidth="1"/>
    <col min="6" max="6" width="11.140625" style="145" customWidth="1"/>
    <col min="7" max="7" width="14.140625" style="145" customWidth="1"/>
    <col min="8" max="8" width="16.85546875" style="145" customWidth="1"/>
    <col min="9" max="9" width="11.140625" style="145" customWidth="1"/>
    <col min="10" max="10" width="12.28515625" style="145" customWidth="1"/>
    <col min="11" max="11" width="14" style="145" customWidth="1"/>
    <col min="12" max="12" width="11.85546875" style="145" customWidth="1"/>
    <col min="13" max="13" width="33" style="145" customWidth="1"/>
    <col min="14" max="14" width="8.7109375" style="145" customWidth="1"/>
    <col min="15" max="15" width="7.42578125" style="145" customWidth="1"/>
    <col min="16" max="16384" width="9.140625" style="145"/>
  </cols>
  <sheetData>
    <row r="1" spans="1:15" s="147" customFormat="1" ht="15.75">
      <c r="A1" s="570" t="s">
        <v>347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146"/>
    </row>
    <row r="2" spans="1:15" s="147" customFormat="1" ht="15.75">
      <c r="A2" s="571" t="s">
        <v>467</v>
      </c>
      <c r="B2" s="571"/>
      <c r="C2" s="571"/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148"/>
    </row>
    <row r="3" spans="1:15" s="147" customFormat="1" ht="28.5" customHeight="1">
      <c r="A3" s="575" t="s">
        <v>51</v>
      </c>
      <c r="B3" s="565" t="s">
        <v>120</v>
      </c>
      <c r="C3" s="565" t="s">
        <v>114</v>
      </c>
      <c r="D3" s="567" t="s">
        <v>112</v>
      </c>
      <c r="E3" s="565" t="s">
        <v>113</v>
      </c>
      <c r="F3" s="565" t="s">
        <v>159</v>
      </c>
      <c r="G3" s="565" t="s">
        <v>115</v>
      </c>
      <c r="H3" s="149" t="s">
        <v>111</v>
      </c>
      <c r="I3" s="565" t="s">
        <v>116</v>
      </c>
      <c r="J3" s="565" t="s">
        <v>153</v>
      </c>
      <c r="K3" s="565" t="s">
        <v>117</v>
      </c>
      <c r="L3" s="565" t="s">
        <v>118</v>
      </c>
      <c r="M3" s="565" t="s">
        <v>154</v>
      </c>
      <c r="N3" s="565" t="s">
        <v>155</v>
      </c>
      <c r="O3" s="565" t="s">
        <v>119</v>
      </c>
    </row>
    <row r="4" spans="1:15" s="147" customFormat="1" ht="129.75" customHeight="1">
      <c r="A4" s="575"/>
      <c r="B4" s="566"/>
      <c r="C4" s="566"/>
      <c r="D4" s="568"/>
      <c r="E4" s="566"/>
      <c r="F4" s="566"/>
      <c r="G4" s="566"/>
      <c r="H4" s="149" t="s">
        <v>348</v>
      </c>
      <c r="I4" s="566"/>
      <c r="J4" s="566"/>
      <c r="K4" s="566"/>
      <c r="L4" s="566"/>
      <c r="M4" s="566"/>
      <c r="N4" s="566"/>
      <c r="O4" s="566"/>
    </row>
    <row r="5" spans="1:15" s="151" customFormat="1">
      <c r="A5" s="150">
        <v>1</v>
      </c>
      <c r="B5" s="150">
        <v>2</v>
      </c>
      <c r="C5" s="150">
        <v>3</v>
      </c>
      <c r="D5" s="150">
        <v>4</v>
      </c>
      <c r="E5" s="150">
        <v>5</v>
      </c>
      <c r="F5" s="150">
        <v>6</v>
      </c>
      <c r="G5" s="150">
        <v>7</v>
      </c>
      <c r="H5" s="150">
        <v>8</v>
      </c>
      <c r="I5" s="150">
        <v>9</v>
      </c>
      <c r="J5" s="150">
        <v>10</v>
      </c>
      <c r="K5" s="150">
        <v>11</v>
      </c>
      <c r="L5" s="150">
        <v>12</v>
      </c>
      <c r="M5" s="150">
        <v>13</v>
      </c>
      <c r="N5" s="150">
        <v>14</v>
      </c>
      <c r="O5" s="150">
        <v>15</v>
      </c>
    </row>
    <row r="6" spans="1:15" s="147" customFormat="1">
      <c r="A6" s="569" t="s">
        <v>85</v>
      </c>
      <c r="B6" s="569"/>
      <c r="C6" s="569"/>
      <c r="D6" s="569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</row>
    <row r="7" spans="1:15" s="147" customFormat="1" ht="38.25">
      <c r="A7" s="152">
        <v>1</v>
      </c>
      <c r="B7" s="153" t="s">
        <v>349</v>
      </c>
      <c r="C7" s="154" t="s">
        <v>350</v>
      </c>
      <c r="D7" s="155">
        <f>F7/E7</f>
        <v>920.02250000000004</v>
      </c>
      <c r="E7" s="156">
        <v>1</v>
      </c>
      <c r="F7" s="157">
        <f>1104.027/1.2</f>
        <v>920.02250000000004</v>
      </c>
      <c r="G7" s="158" t="s">
        <v>351</v>
      </c>
      <c r="H7" s="156" t="s">
        <v>352</v>
      </c>
      <c r="I7" s="156" t="s">
        <v>353</v>
      </c>
      <c r="J7" s="156" t="s">
        <v>353</v>
      </c>
      <c r="K7" s="158" t="s">
        <v>354</v>
      </c>
      <c r="L7" s="158" t="s">
        <v>354</v>
      </c>
      <c r="M7" s="158" t="s">
        <v>355</v>
      </c>
      <c r="N7" s="156" t="s">
        <v>356</v>
      </c>
      <c r="O7" s="156"/>
    </row>
    <row r="8" spans="1:15" s="147" customFormat="1" ht="38.25">
      <c r="A8" s="159">
        <v>2</v>
      </c>
      <c r="B8" s="158" t="s">
        <v>357</v>
      </c>
      <c r="C8" s="156"/>
      <c r="D8" s="156"/>
      <c r="E8" s="156"/>
      <c r="F8" s="157">
        <f>4770/1.2</f>
        <v>3975</v>
      </c>
      <c r="G8" s="158" t="s">
        <v>358</v>
      </c>
      <c r="H8" s="156" t="s">
        <v>352</v>
      </c>
      <c r="I8" s="156" t="s">
        <v>353</v>
      </c>
      <c r="J8" s="156" t="s">
        <v>353</v>
      </c>
      <c r="K8" s="158" t="s">
        <v>359</v>
      </c>
      <c r="L8" s="158" t="s">
        <v>359</v>
      </c>
      <c r="M8" s="158" t="s">
        <v>360</v>
      </c>
      <c r="N8" s="156" t="s">
        <v>356</v>
      </c>
      <c r="O8" s="156"/>
    </row>
    <row r="9" spans="1:15" s="147" customFormat="1" ht="25.5" customHeight="1">
      <c r="A9" s="152">
        <v>3</v>
      </c>
      <c r="B9" s="160" t="s">
        <v>361</v>
      </c>
      <c r="C9" s="154" t="s">
        <v>350</v>
      </c>
      <c r="D9" s="161">
        <f>12286.284/1.2</f>
        <v>10238.57</v>
      </c>
      <c r="E9" s="156">
        <v>1</v>
      </c>
      <c r="F9" s="161">
        <f>12286.284/1.2</f>
        <v>10238.57</v>
      </c>
      <c r="G9" s="158" t="s">
        <v>362</v>
      </c>
      <c r="H9" s="156" t="s">
        <v>352</v>
      </c>
      <c r="I9" s="156" t="s">
        <v>353</v>
      </c>
      <c r="J9" s="156" t="s">
        <v>353</v>
      </c>
      <c r="K9" s="158" t="s">
        <v>354</v>
      </c>
      <c r="L9" s="158" t="s">
        <v>354</v>
      </c>
      <c r="M9" s="158" t="s">
        <v>355</v>
      </c>
      <c r="N9" s="156" t="s">
        <v>356</v>
      </c>
      <c r="O9" s="156"/>
    </row>
    <row r="10" spans="1:15" s="163" customFormat="1" ht="38.25">
      <c r="A10" s="159">
        <v>4</v>
      </c>
      <c r="B10" s="162" t="s">
        <v>363</v>
      </c>
      <c r="C10" s="154" t="s">
        <v>350</v>
      </c>
      <c r="D10" s="155">
        <f>F10/E10</f>
        <v>50.209469696969698</v>
      </c>
      <c r="E10" s="156">
        <v>22</v>
      </c>
      <c r="F10" s="155">
        <f>1325.53/1.2</f>
        <v>1104.6083333333333</v>
      </c>
      <c r="G10" s="158" t="s">
        <v>364</v>
      </c>
      <c r="H10" s="156" t="s">
        <v>352</v>
      </c>
      <c r="I10" s="156" t="s">
        <v>353</v>
      </c>
      <c r="J10" s="156" t="s">
        <v>353</v>
      </c>
      <c r="K10" s="153" t="s">
        <v>365</v>
      </c>
      <c r="L10" s="158" t="s">
        <v>366</v>
      </c>
      <c r="M10" s="158" t="s">
        <v>367</v>
      </c>
      <c r="N10" s="156" t="s">
        <v>356</v>
      </c>
      <c r="O10" s="156"/>
    </row>
    <row r="11" spans="1:15" s="163" customFormat="1">
      <c r="A11" s="152">
        <v>5</v>
      </c>
      <c r="B11" s="162" t="s">
        <v>195</v>
      </c>
      <c r="C11" s="164"/>
      <c r="D11" s="156"/>
      <c r="E11" s="156"/>
      <c r="F11" s="156"/>
      <c r="G11" s="158"/>
      <c r="H11" s="156"/>
      <c r="I11" s="156"/>
      <c r="J11" s="156"/>
      <c r="K11" s="158"/>
      <c r="L11" s="158"/>
      <c r="M11" s="158"/>
      <c r="N11" s="156"/>
      <c r="O11" s="156"/>
    </row>
    <row r="12" spans="1:15" s="163" customFormat="1" ht="38.25">
      <c r="A12" s="165" t="s">
        <v>516</v>
      </c>
      <c r="B12" s="166" t="s">
        <v>368</v>
      </c>
      <c r="C12" s="164" t="s">
        <v>369</v>
      </c>
      <c r="D12" s="167">
        <f>F12/E12</f>
        <v>29.55078125</v>
      </c>
      <c r="E12" s="168">
        <v>6.4</v>
      </c>
      <c r="F12" s="169">
        <f>226.95/1.2</f>
        <v>189.125</v>
      </c>
      <c r="G12" s="158" t="s">
        <v>370</v>
      </c>
      <c r="H12" s="156" t="s">
        <v>352</v>
      </c>
      <c r="I12" s="156" t="s">
        <v>353</v>
      </c>
      <c r="J12" s="156" t="s">
        <v>353</v>
      </c>
      <c r="K12" s="158" t="s">
        <v>371</v>
      </c>
      <c r="L12" s="158" t="s">
        <v>371</v>
      </c>
      <c r="M12" s="158" t="s">
        <v>372</v>
      </c>
      <c r="N12" s="156" t="s">
        <v>356</v>
      </c>
      <c r="O12" s="156"/>
    </row>
    <row r="13" spans="1:15" s="163" customFormat="1" ht="38.25">
      <c r="A13" s="165" t="s">
        <v>517</v>
      </c>
      <c r="B13" s="166" t="s">
        <v>373</v>
      </c>
      <c r="C13" s="164" t="s">
        <v>369</v>
      </c>
      <c r="D13" s="167">
        <f>F13/E13</f>
        <v>59.226537216828469</v>
      </c>
      <c r="E13" s="170">
        <v>5.15</v>
      </c>
      <c r="F13" s="169">
        <f>366.02/1.2</f>
        <v>305.01666666666665</v>
      </c>
      <c r="G13" s="158" t="s">
        <v>370</v>
      </c>
      <c r="H13" s="156" t="s">
        <v>352</v>
      </c>
      <c r="I13" s="156" t="s">
        <v>353</v>
      </c>
      <c r="J13" s="156" t="s">
        <v>353</v>
      </c>
      <c r="K13" s="158" t="s">
        <v>371</v>
      </c>
      <c r="L13" s="158" t="s">
        <v>371</v>
      </c>
      <c r="M13" s="158" t="s">
        <v>372</v>
      </c>
      <c r="N13" s="156" t="s">
        <v>356</v>
      </c>
      <c r="O13" s="156"/>
    </row>
    <row r="14" spans="1:15" s="163" customFormat="1" ht="25.5">
      <c r="A14" s="165" t="s">
        <v>518</v>
      </c>
      <c r="B14" s="166" t="s">
        <v>374</v>
      </c>
      <c r="C14" s="164" t="s">
        <v>369</v>
      </c>
      <c r="D14" s="167">
        <f>F14/E14</f>
        <v>41.093333333333341</v>
      </c>
      <c r="E14" s="168">
        <v>6</v>
      </c>
      <c r="F14" s="169">
        <f>295.872/1.2</f>
        <v>246.56000000000003</v>
      </c>
      <c r="G14" s="158" t="s">
        <v>375</v>
      </c>
      <c r="H14" s="156" t="s">
        <v>352</v>
      </c>
      <c r="I14" s="156" t="s">
        <v>353</v>
      </c>
      <c r="J14" s="156" t="s">
        <v>353</v>
      </c>
      <c r="K14" s="158" t="s">
        <v>376</v>
      </c>
      <c r="L14" s="158" t="s">
        <v>376</v>
      </c>
      <c r="M14" s="158" t="s">
        <v>377</v>
      </c>
      <c r="N14" s="156" t="s">
        <v>356</v>
      </c>
      <c r="O14" s="156"/>
    </row>
    <row r="15" spans="1:15" s="163" customFormat="1" ht="25.5">
      <c r="A15" s="165" t="s">
        <v>519</v>
      </c>
      <c r="B15" s="166" t="s">
        <v>378</v>
      </c>
      <c r="C15" s="164" t="s">
        <v>369</v>
      </c>
      <c r="D15" s="167">
        <f>F15/E15</f>
        <v>27.166666666666668</v>
      </c>
      <c r="E15" s="171">
        <v>1</v>
      </c>
      <c r="F15" s="169">
        <f>32.6/1.2</f>
        <v>27.166666666666668</v>
      </c>
      <c r="G15" s="158" t="s">
        <v>375</v>
      </c>
      <c r="H15" s="156" t="s">
        <v>352</v>
      </c>
      <c r="I15" s="156" t="s">
        <v>353</v>
      </c>
      <c r="J15" s="156" t="s">
        <v>353</v>
      </c>
      <c r="K15" s="158" t="s">
        <v>376</v>
      </c>
      <c r="L15" s="158" t="s">
        <v>376</v>
      </c>
      <c r="M15" s="158" t="s">
        <v>377</v>
      </c>
      <c r="N15" s="156" t="s">
        <v>356</v>
      </c>
      <c r="O15" s="156"/>
    </row>
    <row r="16" spans="1:15">
      <c r="A16" s="572" t="s">
        <v>140</v>
      </c>
      <c r="B16" s="573"/>
      <c r="C16" s="573"/>
      <c r="D16" s="573"/>
      <c r="E16" s="574"/>
      <c r="F16" s="172">
        <f>SUM(F7:F15)</f>
        <v>17006.069166666668</v>
      </c>
      <c r="G16" s="572"/>
      <c r="H16" s="573"/>
      <c r="I16" s="573"/>
      <c r="J16" s="573"/>
      <c r="K16" s="573"/>
      <c r="L16" s="573"/>
      <c r="M16" s="573"/>
      <c r="N16" s="573"/>
      <c r="O16" s="574"/>
    </row>
    <row r="17" spans="1:15">
      <c r="A17" s="569" t="s">
        <v>136</v>
      </c>
      <c r="B17" s="569"/>
      <c r="C17" s="569"/>
      <c r="D17" s="569"/>
      <c r="E17" s="569"/>
      <c r="F17" s="569"/>
      <c r="G17" s="569"/>
      <c r="H17" s="569"/>
      <c r="I17" s="569"/>
      <c r="J17" s="569"/>
      <c r="K17" s="569"/>
      <c r="L17" s="569"/>
      <c r="M17" s="569"/>
      <c r="N17" s="569"/>
      <c r="O17" s="569"/>
    </row>
    <row r="18" spans="1:15" s="138" customFormat="1" ht="25.5">
      <c r="A18" s="173">
        <v>1</v>
      </c>
      <c r="B18" s="153" t="s">
        <v>379</v>
      </c>
      <c r="C18" s="154" t="s">
        <v>380</v>
      </c>
      <c r="D18" s="155"/>
      <c r="E18" s="156"/>
      <c r="F18" s="155">
        <f>196/1.2</f>
        <v>163.33333333333334</v>
      </c>
      <c r="G18" s="158" t="s">
        <v>381</v>
      </c>
      <c r="H18" s="156" t="s">
        <v>352</v>
      </c>
      <c r="I18" s="156" t="s">
        <v>353</v>
      </c>
      <c r="J18" s="156" t="s">
        <v>353</v>
      </c>
      <c r="K18" s="153" t="s">
        <v>382</v>
      </c>
      <c r="L18" s="158" t="s">
        <v>383</v>
      </c>
      <c r="M18" s="158" t="s">
        <v>384</v>
      </c>
      <c r="N18" s="156" t="s">
        <v>356</v>
      </c>
      <c r="O18" s="156"/>
    </row>
    <row r="19" spans="1:15" s="138" customFormat="1" ht="38.25">
      <c r="A19" s="173">
        <v>2</v>
      </c>
      <c r="B19" s="158" t="s">
        <v>385</v>
      </c>
      <c r="C19" s="154" t="s">
        <v>380</v>
      </c>
      <c r="D19" s="174"/>
      <c r="E19" s="175"/>
      <c r="F19" s="155">
        <f>844.94/1.2</f>
        <v>704.11666666666679</v>
      </c>
      <c r="G19" s="158" t="s">
        <v>386</v>
      </c>
      <c r="H19" s="156" t="s">
        <v>352</v>
      </c>
      <c r="I19" s="156" t="s">
        <v>353</v>
      </c>
      <c r="J19" s="156" t="s">
        <v>353</v>
      </c>
      <c r="K19" s="153" t="s">
        <v>382</v>
      </c>
      <c r="L19" s="158" t="s">
        <v>383</v>
      </c>
      <c r="M19" s="158" t="s">
        <v>384</v>
      </c>
      <c r="N19" s="156" t="s">
        <v>356</v>
      </c>
      <c r="O19" s="156"/>
    </row>
    <row r="20" spans="1:15" s="138" customFormat="1" ht="38.25">
      <c r="A20" s="176">
        <v>3</v>
      </c>
      <c r="B20" s="162" t="s">
        <v>387</v>
      </c>
      <c r="C20" s="154" t="s">
        <v>380</v>
      </c>
      <c r="D20" s="155">
        <f>F20/E20</f>
        <v>0.44115942028985505</v>
      </c>
      <c r="E20" s="156">
        <v>1150</v>
      </c>
      <c r="F20" s="155">
        <f>608.8/1.2</f>
        <v>507.33333333333331</v>
      </c>
      <c r="G20" s="158" t="s">
        <v>388</v>
      </c>
      <c r="H20" s="156" t="s">
        <v>352</v>
      </c>
      <c r="I20" s="156" t="s">
        <v>353</v>
      </c>
      <c r="J20" s="156" t="s">
        <v>353</v>
      </c>
      <c r="K20" s="158" t="s">
        <v>389</v>
      </c>
      <c r="L20" s="153" t="s">
        <v>390</v>
      </c>
      <c r="M20" s="158" t="s">
        <v>391</v>
      </c>
      <c r="N20" s="156" t="s">
        <v>356</v>
      </c>
      <c r="O20" s="156"/>
    </row>
    <row r="21" spans="1:15" s="138" customFormat="1" ht="25.5">
      <c r="A21" s="176">
        <v>4</v>
      </c>
      <c r="B21" s="162" t="s">
        <v>392</v>
      </c>
      <c r="C21" s="144"/>
      <c r="D21" s="155"/>
      <c r="E21" s="156"/>
      <c r="F21" s="155">
        <f>999.996/1.2</f>
        <v>833.33</v>
      </c>
      <c r="G21" s="158" t="s">
        <v>393</v>
      </c>
      <c r="H21" s="156" t="s">
        <v>352</v>
      </c>
      <c r="I21" s="156" t="s">
        <v>353</v>
      </c>
      <c r="J21" s="156" t="s">
        <v>353</v>
      </c>
      <c r="K21" s="158" t="s">
        <v>394</v>
      </c>
      <c r="L21" s="158" t="s">
        <v>394</v>
      </c>
      <c r="M21" s="158" t="s">
        <v>395</v>
      </c>
      <c r="N21" s="156" t="s">
        <v>356</v>
      </c>
      <c r="O21" s="156"/>
    </row>
    <row r="22" spans="1:15">
      <c r="A22" s="562" t="s">
        <v>141</v>
      </c>
      <c r="B22" s="563"/>
      <c r="C22" s="563"/>
      <c r="D22" s="563"/>
      <c r="E22" s="564"/>
      <c r="F22" s="177">
        <f>SUM(F18:F21)</f>
        <v>2208.1133333333337</v>
      </c>
      <c r="G22" s="562"/>
      <c r="H22" s="563"/>
      <c r="I22" s="563"/>
      <c r="J22" s="563"/>
      <c r="K22" s="563"/>
      <c r="L22" s="563"/>
      <c r="M22" s="563"/>
      <c r="N22" s="563"/>
      <c r="O22" s="564"/>
    </row>
    <row r="23" spans="1:15" s="138" customFormat="1">
      <c r="A23" s="579" t="s">
        <v>137</v>
      </c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0"/>
    </row>
    <row r="24" spans="1:15" s="138" customFormat="1" ht="25.5">
      <c r="A24" s="117">
        <v>1</v>
      </c>
      <c r="B24" s="158" t="s">
        <v>503</v>
      </c>
      <c r="C24" s="243"/>
      <c r="D24" s="243"/>
      <c r="E24" s="243"/>
      <c r="F24" s="244">
        <f>325.7484/1.2</f>
        <v>271.45699999999999</v>
      </c>
      <c r="G24" s="158" t="s">
        <v>506</v>
      </c>
      <c r="H24" s="156" t="s">
        <v>352</v>
      </c>
      <c r="I24" s="156" t="s">
        <v>353</v>
      </c>
      <c r="J24" s="156" t="s">
        <v>353</v>
      </c>
      <c r="K24" s="158" t="s">
        <v>504</v>
      </c>
      <c r="L24" s="245"/>
      <c r="M24" s="158" t="s">
        <v>505</v>
      </c>
      <c r="N24" s="156" t="s">
        <v>356</v>
      </c>
      <c r="O24" s="246"/>
    </row>
    <row r="25" spans="1:15">
      <c r="A25" s="576" t="s">
        <v>401</v>
      </c>
      <c r="B25" s="577"/>
      <c r="C25" s="577"/>
      <c r="D25" s="577"/>
      <c r="E25" s="578"/>
      <c r="F25" s="180">
        <f>F24</f>
        <v>271.45699999999999</v>
      </c>
      <c r="G25" s="576"/>
      <c r="H25" s="577"/>
      <c r="I25" s="577"/>
      <c r="J25" s="577"/>
      <c r="K25" s="577"/>
      <c r="L25" s="577"/>
      <c r="M25" s="577"/>
      <c r="N25" s="577"/>
      <c r="O25" s="578"/>
    </row>
    <row r="26" spans="1:15">
      <c r="A26" s="569" t="s">
        <v>396</v>
      </c>
      <c r="B26" s="569"/>
      <c r="C26" s="569"/>
      <c r="D26" s="569"/>
      <c r="E26" s="569"/>
      <c r="F26" s="569"/>
      <c r="G26" s="569"/>
      <c r="H26" s="569"/>
      <c r="I26" s="569"/>
      <c r="J26" s="569"/>
      <c r="K26" s="569"/>
      <c r="L26" s="569"/>
      <c r="M26" s="569"/>
      <c r="N26" s="569"/>
      <c r="O26" s="569"/>
    </row>
    <row r="27" spans="1:15" s="138" customFormat="1" ht="25.5">
      <c r="A27" s="175">
        <v>1</v>
      </c>
      <c r="B27" s="162" t="s">
        <v>397</v>
      </c>
      <c r="C27" s="166"/>
      <c r="D27" s="157">
        <f>253.1274/1.2</f>
        <v>210.93950000000001</v>
      </c>
      <c r="E27" s="166"/>
      <c r="F27" s="155">
        <f>D27</f>
        <v>210.93950000000001</v>
      </c>
      <c r="G27" s="158" t="s">
        <v>398</v>
      </c>
      <c r="H27" s="156" t="s">
        <v>352</v>
      </c>
      <c r="I27" s="156" t="s">
        <v>353</v>
      </c>
      <c r="J27" s="156" t="s">
        <v>353</v>
      </c>
      <c r="K27" s="158" t="s">
        <v>399</v>
      </c>
      <c r="L27" s="178"/>
      <c r="M27" s="158" t="s">
        <v>400</v>
      </c>
      <c r="N27" s="156" t="s">
        <v>356</v>
      </c>
      <c r="O27" s="179"/>
    </row>
    <row r="28" spans="1:15">
      <c r="A28" s="576" t="s">
        <v>401</v>
      </c>
      <c r="B28" s="577"/>
      <c r="C28" s="577"/>
      <c r="D28" s="577"/>
      <c r="E28" s="578"/>
      <c r="F28" s="180">
        <f>F27</f>
        <v>210.93950000000001</v>
      </c>
      <c r="G28" s="576"/>
      <c r="H28" s="577"/>
      <c r="I28" s="577"/>
      <c r="J28" s="577"/>
      <c r="K28" s="577"/>
      <c r="L28" s="577"/>
      <c r="M28" s="577"/>
      <c r="N28" s="577"/>
      <c r="O28" s="578"/>
    </row>
    <row r="29" spans="1:15">
      <c r="A29" s="569" t="s">
        <v>138</v>
      </c>
      <c r="B29" s="569"/>
      <c r="C29" s="56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</row>
    <row r="30" spans="1:15" s="138" customFormat="1" ht="51">
      <c r="A30" s="175">
        <v>1</v>
      </c>
      <c r="B30" s="181" t="s">
        <v>402</v>
      </c>
      <c r="C30" s="182" t="s">
        <v>403</v>
      </c>
      <c r="D30" s="183">
        <f>161.92/1.2/E30</f>
        <v>67.466666666666669</v>
      </c>
      <c r="E30" s="184">
        <v>2</v>
      </c>
      <c r="F30" s="183">
        <f>161.92/1.2</f>
        <v>134.93333333333334</v>
      </c>
      <c r="G30" s="158" t="s">
        <v>404</v>
      </c>
      <c r="H30" s="156" t="s">
        <v>352</v>
      </c>
      <c r="I30" s="156" t="s">
        <v>353</v>
      </c>
      <c r="J30" s="156" t="s">
        <v>353</v>
      </c>
      <c r="K30" s="158" t="s">
        <v>405</v>
      </c>
      <c r="L30" s="153" t="s">
        <v>406</v>
      </c>
      <c r="M30" s="158" t="s">
        <v>407</v>
      </c>
      <c r="N30" s="156" t="s">
        <v>356</v>
      </c>
      <c r="O30" s="185"/>
    </row>
    <row r="31" spans="1:15" s="138" customFormat="1" ht="63.75">
      <c r="A31" s="175">
        <v>2</v>
      </c>
      <c r="B31" s="181" t="s">
        <v>408</v>
      </c>
      <c r="C31" s="182" t="s">
        <v>403</v>
      </c>
      <c r="D31" s="183">
        <f>140.1/1.2</f>
        <v>116.75</v>
      </c>
      <c r="E31" s="184">
        <v>1</v>
      </c>
      <c r="F31" s="183">
        <f>140.1/1.2</f>
        <v>116.75</v>
      </c>
      <c r="G31" s="158" t="s">
        <v>409</v>
      </c>
      <c r="H31" s="156" t="s">
        <v>352</v>
      </c>
      <c r="I31" s="156" t="s">
        <v>353</v>
      </c>
      <c r="J31" s="156" t="s">
        <v>353</v>
      </c>
      <c r="K31" s="186" t="s">
        <v>410</v>
      </c>
      <c r="L31" s="153" t="s">
        <v>411</v>
      </c>
      <c r="M31" s="158" t="s">
        <v>412</v>
      </c>
      <c r="N31" s="156" t="s">
        <v>356</v>
      </c>
      <c r="O31" s="185"/>
    </row>
    <row r="32" spans="1:15">
      <c r="A32" s="562" t="s">
        <v>144</v>
      </c>
      <c r="B32" s="563"/>
      <c r="C32" s="563"/>
      <c r="D32" s="563"/>
      <c r="E32" s="564"/>
      <c r="F32" s="177">
        <f>F30+F31</f>
        <v>251.68333333333334</v>
      </c>
      <c r="G32" s="562"/>
      <c r="H32" s="563"/>
      <c r="I32" s="563"/>
      <c r="J32" s="563"/>
      <c r="K32" s="563"/>
      <c r="L32" s="563"/>
      <c r="M32" s="563"/>
      <c r="N32" s="563"/>
      <c r="O32" s="564"/>
    </row>
    <row r="33" spans="1:15">
      <c r="A33" s="562" t="s">
        <v>123</v>
      </c>
      <c r="B33" s="563"/>
      <c r="C33" s="563"/>
      <c r="D33" s="563"/>
      <c r="E33" s="564"/>
      <c r="F33" s="187">
        <f>F16+F22+F28+F32+F25</f>
        <v>19948.262333333336</v>
      </c>
      <c r="G33" s="562"/>
      <c r="H33" s="563"/>
      <c r="I33" s="563"/>
      <c r="J33" s="563"/>
      <c r="K33" s="563"/>
      <c r="L33" s="563"/>
      <c r="M33" s="563"/>
      <c r="N33" s="563"/>
      <c r="O33" s="564"/>
    </row>
    <row r="35" spans="1:15">
      <c r="F35" s="188"/>
    </row>
    <row r="39" spans="1:15">
      <c r="F39" s="143"/>
    </row>
  </sheetData>
  <mergeCells count="33">
    <mergeCell ref="A22:E22"/>
    <mergeCell ref="G22:O22"/>
    <mergeCell ref="A26:O26"/>
    <mergeCell ref="A32:E32"/>
    <mergeCell ref="G32:O32"/>
    <mergeCell ref="G28:O28"/>
    <mergeCell ref="A28:E28"/>
    <mergeCell ref="A23:O23"/>
    <mergeCell ref="A25:E25"/>
    <mergeCell ref="G25:O25"/>
    <mergeCell ref="A1:N1"/>
    <mergeCell ref="A2:N2"/>
    <mergeCell ref="A16:E16"/>
    <mergeCell ref="G16:O16"/>
    <mergeCell ref="A17:O17"/>
    <mergeCell ref="B3:B4"/>
    <mergeCell ref="A3:A4"/>
    <mergeCell ref="G33:O33"/>
    <mergeCell ref="C3:C4"/>
    <mergeCell ref="O3:O4"/>
    <mergeCell ref="I3:I4"/>
    <mergeCell ref="J3:J4"/>
    <mergeCell ref="K3:K4"/>
    <mergeCell ref="G3:G4"/>
    <mergeCell ref="E3:E4"/>
    <mergeCell ref="L3:L4"/>
    <mergeCell ref="M3:M4"/>
    <mergeCell ref="N3:N4"/>
    <mergeCell ref="D3:D4"/>
    <mergeCell ref="F3:F4"/>
    <mergeCell ref="A6:O6"/>
    <mergeCell ref="A29:O29"/>
    <mergeCell ref="A33:E33"/>
  </mergeCells>
  <phoneticPr fontId="5" type="noConversion"/>
  <pageMargins left="0.47244094488188981" right="0.27559055118110237" top="0.27559055118110237" bottom="0.27559055118110237" header="0.51181102362204722" footer="0.39370078740157483"/>
  <pageSetup paperSize="9" scale="62" orientation="landscape" r:id="rId1"/>
  <headerFooter alignWithMargins="0">
    <oddFooter>&amp;C12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B24" sqref="A3:H24"/>
    </sheetView>
  </sheetViews>
  <sheetFormatPr defaultRowHeight="12.75"/>
  <cols>
    <col min="1" max="1" width="4.7109375" style="7" customWidth="1"/>
    <col min="2" max="2" width="29.85546875" style="7" customWidth="1"/>
    <col min="3" max="4" width="18.5703125" style="7" customWidth="1"/>
    <col min="5" max="6" width="16.5703125" style="7" customWidth="1"/>
    <col min="7" max="7" width="15.85546875" style="7" customWidth="1"/>
    <col min="8" max="8" width="16.140625" style="7" customWidth="1"/>
    <col min="9" max="10" width="9.140625" style="7"/>
    <col min="11" max="11" width="27.42578125" style="7" customWidth="1"/>
    <col min="12" max="16384" width="9.140625" style="7"/>
  </cols>
  <sheetData>
    <row r="1" spans="1:11">
      <c r="E1" s="235"/>
    </row>
    <row r="2" spans="1:11">
      <c r="G2" s="482"/>
      <c r="H2" s="482"/>
    </row>
    <row r="3" spans="1:11" ht="22.5" customHeight="1">
      <c r="A3" s="486" t="str">
        <f>CONCATENATE("1. Звіт щодо виконання інвестиційної програми ",'Загальна інформація'!B21)</f>
        <v>1. Звіт щодо виконання інвестиційної програми ПрАТ "ПЕЕМ  "Центральна енергетична компанія"</v>
      </c>
      <c r="B3" s="487"/>
      <c r="C3" s="487"/>
      <c r="D3" s="487"/>
      <c r="E3" s="487"/>
      <c r="F3" s="487"/>
      <c r="G3" s="487"/>
      <c r="H3" s="488"/>
    </row>
    <row r="4" spans="1:11" s="3" customFormat="1" ht="39.75" customHeight="1">
      <c r="A4" s="483" t="s">
        <v>0</v>
      </c>
      <c r="B4" s="485" t="s">
        <v>480</v>
      </c>
      <c r="C4" s="483" t="s">
        <v>149</v>
      </c>
      <c r="D4" s="483" t="s">
        <v>156</v>
      </c>
      <c r="E4" s="489" t="s">
        <v>151</v>
      </c>
      <c r="F4" s="490"/>
      <c r="G4" s="483" t="s">
        <v>472</v>
      </c>
      <c r="H4" s="483" t="s">
        <v>473</v>
      </c>
    </row>
    <row r="5" spans="1:11" s="3" customFormat="1" ht="39" customHeight="1">
      <c r="A5" s="484"/>
      <c r="B5" s="484"/>
      <c r="C5" s="484"/>
      <c r="D5" s="484"/>
      <c r="E5" s="232" t="s">
        <v>475</v>
      </c>
      <c r="F5" s="233" t="s">
        <v>476</v>
      </c>
      <c r="G5" s="484"/>
      <c r="H5" s="484"/>
    </row>
    <row r="6" spans="1:11" s="3" customFormat="1" ht="12.75" customHeight="1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  <c r="G6" s="23">
        <v>7</v>
      </c>
      <c r="H6" s="13">
        <v>8</v>
      </c>
    </row>
    <row r="7" spans="1:11" ht="53.25" customHeight="1">
      <c r="A7" s="9">
        <v>1</v>
      </c>
      <c r="B7" s="35" t="s">
        <v>84</v>
      </c>
      <c r="C7" s="12">
        <f>'1.1. Технічний розвиток мереж'!E33</f>
        <v>27009.117760000001</v>
      </c>
      <c r="D7" s="12">
        <f>'1.1. Технічний розвиток мереж'!F33</f>
        <v>27009.117760000001</v>
      </c>
      <c r="E7" s="12">
        <f>'1.1. Технічний розвиток мереж'!G33</f>
        <v>27168.758299999994</v>
      </c>
      <c r="F7" s="12">
        <f>'1.1. Технічний розвиток мереж'!H33</f>
        <v>27968.553460000006</v>
      </c>
      <c r="G7" s="20">
        <f t="shared" ref="G7:G14" si="0">IF(D7=0,0,E7/D7)</f>
        <v>1.0059106166080114</v>
      </c>
      <c r="H7" s="12">
        <f>D7-E7</f>
        <v>-159.64053999999305</v>
      </c>
      <c r="K7" s="320"/>
    </row>
    <row r="8" spans="1:11" ht="42" customHeight="1">
      <c r="A8" s="9">
        <v>2</v>
      </c>
      <c r="B8" s="35" t="s">
        <v>481</v>
      </c>
      <c r="C8" s="12">
        <f>'1.2. Зниження понаднорматива'!D17</f>
        <v>3198.7336800000003</v>
      </c>
      <c r="D8" s="12">
        <f>'1.2. Зниження понаднорматива'!E17</f>
        <v>3198.7336800000003</v>
      </c>
      <c r="E8" s="12">
        <f>'1.2. Зниження понаднорматива'!F17</f>
        <v>2981.0313999999998</v>
      </c>
      <c r="F8" s="12">
        <f>'1.2. Зниження понаднорматива'!G17</f>
        <v>2981.0314000000003</v>
      </c>
      <c r="G8" s="20">
        <f t="shared" si="0"/>
        <v>0.93194110489373394</v>
      </c>
      <c r="H8" s="12">
        <f t="shared" ref="H8:H14" si="1">D8-E8</f>
        <v>217.70228000000043</v>
      </c>
    </row>
    <row r="9" spans="1:11" ht="57.75" customHeight="1">
      <c r="A9" s="9">
        <v>3</v>
      </c>
      <c r="B9" s="35" t="s">
        <v>482</v>
      </c>
      <c r="C9" s="12">
        <f>'1.3. АСДТК'!D13</f>
        <v>0</v>
      </c>
      <c r="D9" s="12">
        <f>'1.3. АСДТК'!E13</f>
        <v>0</v>
      </c>
      <c r="E9" s="12">
        <f>'1.3. АСДТК'!F13</f>
        <v>0</v>
      </c>
      <c r="F9" s="12">
        <f>'1.3. АСДТК'!G13</f>
        <v>0</v>
      </c>
      <c r="G9" s="20">
        <f t="shared" si="0"/>
        <v>0</v>
      </c>
      <c r="H9" s="12">
        <f t="shared" si="1"/>
        <v>0</v>
      </c>
    </row>
    <row r="10" spans="1:11" ht="28.5" customHeight="1">
      <c r="A10" s="9">
        <v>4</v>
      </c>
      <c r="B10" s="35" t="s">
        <v>1</v>
      </c>
      <c r="C10" s="12">
        <f>'1.4. Інформаційні технології'!D22</f>
        <v>362.20220000000006</v>
      </c>
      <c r="D10" s="12">
        <f>'1.4. Інформаційні технології'!E22</f>
        <v>362.20220000000006</v>
      </c>
      <c r="E10" s="12">
        <f>'1.4. Інформаційні технології'!F22</f>
        <v>352.45000000000005</v>
      </c>
      <c r="F10" s="12">
        <f>'1.4. Інформаційні технології'!G22</f>
        <v>352.45000000000005</v>
      </c>
      <c r="G10" s="20">
        <f t="shared" si="0"/>
        <v>0.97307526017235668</v>
      </c>
      <c r="H10" s="12">
        <f t="shared" si="1"/>
        <v>9.7522000000000162</v>
      </c>
    </row>
    <row r="11" spans="1:11" ht="33.75" customHeight="1">
      <c r="A11" s="9">
        <v>5</v>
      </c>
      <c r="B11" s="236" t="s">
        <v>483</v>
      </c>
      <c r="C11" s="12">
        <f>'1.5. Зв''язок'!D14</f>
        <v>253.12599999999998</v>
      </c>
      <c r="D11" s="12">
        <f>'1.5. Зв''язок'!E14</f>
        <v>253.12599999999998</v>
      </c>
      <c r="E11" s="12">
        <f>'1.5. Зв''язок'!F14</f>
        <v>253.12599999999998</v>
      </c>
      <c r="F11" s="12">
        <f>'1.5. Зв''язок'!G14</f>
        <v>253.12599999999998</v>
      </c>
      <c r="G11" s="20">
        <f t="shared" si="0"/>
        <v>1</v>
      </c>
      <c r="H11" s="12">
        <f t="shared" si="1"/>
        <v>0</v>
      </c>
    </row>
    <row r="12" spans="1:11" ht="29.25" customHeight="1">
      <c r="A12" s="9">
        <v>6</v>
      </c>
      <c r="B12" s="236" t="s">
        <v>484</v>
      </c>
      <c r="C12" s="315">
        <f>'1.6. Транспорт'!D10</f>
        <v>478.85999999999996</v>
      </c>
      <c r="D12" s="315">
        <f>'1.6. Транспорт'!E10</f>
        <v>478.85999999999996</v>
      </c>
      <c r="E12" s="12">
        <f>'1.6. Транспорт'!F10</f>
        <v>474.52</v>
      </c>
      <c r="F12" s="315">
        <f>'1.6. Транспорт'!G10</f>
        <v>474.52</v>
      </c>
      <c r="G12" s="20">
        <f t="shared" si="0"/>
        <v>0.99093680825293406</v>
      </c>
      <c r="H12" s="12">
        <f t="shared" si="1"/>
        <v>4.339999999999975</v>
      </c>
    </row>
    <row r="13" spans="1:11" ht="16.5" customHeight="1">
      <c r="A13" s="9">
        <v>7</v>
      </c>
      <c r="B13" s="35" t="s">
        <v>2</v>
      </c>
      <c r="C13" s="315">
        <f>'1.7. Інше'!D9</f>
        <v>82.18</v>
      </c>
      <c r="D13" s="315">
        <f>'1.7. Інше'!E9</f>
        <v>82.18</v>
      </c>
      <c r="E13" s="12">
        <f>'1.7. Інше'!F9</f>
        <v>88.199591999999996</v>
      </c>
      <c r="F13" s="315">
        <f>'1.7. Інше'!G9</f>
        <v>88.2</v>
      </c>
      <c r="G13" s="20">
        <f t="shared" si="0"/>
        <v>1.073248868337795</v>
      </c>
      <c r="H13" s="12">
        <f t="shared" si="1"/>
        <v>-6.0195919999999887</v>
      </c>
    </row>
    <row r="14" spans="1:11" ht="15" customHeight="1">
      <c r="A14" s="9">
        <v>8</v>
      </c>
      <c r="B14" s="11" t="s">
        <v>123</v>
      </c>
      <c r="C14" s="12">
        <f>SUM(C7:C13)</f>
        <v>31384.219640000003</v>
      </c>
      <c r="D14" s="12">
        <f>SUM(D7:D13)</f>
        <v>31384.219640000003</v>
      </c>
      <c r="E14" s="12">
        <f>SUM(E7:E13)</f>
        <v>31318.085291999996</v>
      </c>
      <c r="F14" s="12">
        <f>SUM(F7:F13)</f>
        <v>32117.880860000008</v>
      </c>
      <c r="G14" s="20">
        <f t="shared" si="0"/>
        <v>0.99789275155608081</v>
      </c>
      <c r="H14" s="12">
        <f t="shared" si="1"/>
        <v>66.134348000006867</v>
      </c>
    </row>
    <row r="19" spans="1:8" s="24" customFormat="1" ht="15.75">
      <c r="A19" s="194" t="s">
        <v>520</v>
      </c>
      <c r="B19" s="195"/>
      <c r="C19" s="195"/>
      <c r="D19" s="196" t="s">
        <v>39</v>
      </c>
      <c r="E19" s="195"/>
      <c r="F19" s="313" t="s">
        <v>425</v>
      </c>
      <c r="H19" s="25"/>
    </row>
    <row r="20" spans="1:8" s="27" customFormat="1" ht="15">
      <c r="A20" s="26"/>
      <c r="B20" s="190"/>
      <c r="C20" s="190"/>
      <c r="D20" s="197" t="s">
        <v>40</v>
      </c>
      <c r="E20" s="190"/>
      <c r="F20" s="190"/>
      <c r="H20" s="25"/>
    </row>
    <row r="21" spans="1:8" s="24" customFormat="1">
      <c r="A21" s="28"/>
      <c r="B21" s="193"/>
      <c r="C21" s="193"/>
      <c r="D21" s="198"/>
      <c r="E21" s="193"/>
      <c r="F21" s="193"/>
    </row>
    <row r="22" spans="1:8" s="24" customFormat="1">
      <c r="A22" s="29" t="s">
        <v>434</v>
      </c>
      <c r="B22" s="314" t="s">
        <v>514</v>
      </c>
      <c r="C22" s="193"/>
      <c r="D22" s="198"/>
      <c r="E22" s="193"/>
      <c r="F22" s="193"/>
    </row>
    <row r="23" spans="1:8" s="24" customFormat="1">
      <c r="A23" s="29"/>
      <c r="B23" s="193"/>
      <c r="C23" s="193"/>
      <c r="D23" s="198"/>
      <c r="E23" s="193"/>
      <c r="F23" s="193"/>
    </row>
    <row r="24" spans="1:8" s="24" customFormat="1">
      <c r="A24" s="29" t="s">
        <v>42</v>
      </c>
      <c r="B24" s="193"/>
      <c r="C24" s="193"/>
      <c r="D24" s="198"/>
      <c r="E24" s="193"/>
      <c r="F24" s="193"/>
    </row>
  </sheetData>
  <mergeCells count="9">
    <mergeCell ref="G2:H2"/>
    <mergeCell ref="G4:G5"/>
    <mergeCell ref="B4:B5"/>
    <mergeCell ref="A4:A5"/>
    <mergeCell ref="C4:C5"/>
    <mergeCell ref="D4:D5"/>
    <mergeCell ref="H4:H5"/>
    <mergeCell ref="A3:H3"/>
    <mergeCell ref="E4:F4"/>
  </mergeCells>
  <phoneticPr fontId="0" type="noConversion"/>
  <pageMargins left="0.39370078740157483" right="0.39370078740157483" top="0.59055118110236227" bottom="0.98425196850393704" header="0.51181102362204722" footer="0.51181102362204722"/>
  <pageSetup paperSize="9" scale="90" orientation="landscape" r:id="rId1"/>
  <headerFooter alignWithMargins="0">
    <oddFooter>&amp;C1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J34"/>
  <sheetViews>
    <sheetView workbookViewId="0">
      <selection activeCell="M23" sqref="M23"/>
    </sheetView>
  </sheetViews>
  <sheetFormatPr defaultRowHeight="12.75"/>
  <cols>
    <col min="1" max="1" width="5.28515625" style="40" customWidth="1"/>
    <col min="2" max="2" width="12.42578125" style="40" customWidth="1"/>
    <col min="3" max="3" width="23.28515625" style="40" customWidth="1"/>
    <col min="4" max="4" width="14" style="40" customWidth="1"/>
    <col min="5" max="6" width="15.5703125" style="40" customWidth="1"/>
    <col min="7" max="7" width="15.140625" style="40" customWidth="1"/>
    <col min="8" max="8" width="20.85546875" style="40" customWidth="1"/>
    <col min="9" max="9" width="12.5703125" style="40" customWidth="1"/>
    <col min="10" max="10" width="14.140625" style="40" customWidth="1"/>
    <col min="11" max="16384" width="9.140625" style="40"/>
  </cols>
  <sheetData>
    <row r="2" spans="1:10" ht="25.5" customHeight="1">
      <c r="I2" s="499"/>
      <c r="J2" s="500"/>
    </row>
    <row r="3" spans="1:10" s="36" customFormat="1" ht="23.25" customHeight="1">
      <c r="A3" s="511" t="s">
        <v>86</v>
      </c>
      <c r="B3" s="512"/>
      <c r="C3" s="512"/>
      <c r="D3" s="512"/>
      <c r="E3" s="512"/>
      <c r="F3" s="512"/>
      <c r="G3" s="512"/>
      <c r="H3" s="512"/>
      <c r="I3" s="512"/>
      <c r="J3" s="512"/>
    </row>
    <row r="4" spans="1:10" s="36" customFormat="1" ht="44.25" customHeight="1">
      <c r="A4" s="501" t="s">
        <v>0</v>
      </c>
      <c r="B4" s="503" t="s">
        <v>6</v>
      </c>
      <c r="C4" s="504"/>
      <c r="D4" s="513" t="s">
        <v>110</v>
      </c>
      <c r="E4" s="501" t="s">
        <v>157</v>
      </c>
      <c r="F4" s="501" t="s">
        <v>158</v>
      </c>
      <c r="G4" s="509" t="s">
        <v>151</v>
      </c>
      <c r="H4" s="510"/>
      <c r="I4" s="507" t="s">
        <v>472</v>
      </c>
      <c r="J4" s="507" t="s">
        <v>473</v>
      </c>
    </row>
    <row r="5" spans="1:10" s="36" customFormat="1" ht="54.75" customHeight="1">
      <c r="A5" s="502"/>
      <c r="B5" s="505"/>
      <c r="C5" s="506"/>
      <c r="D5" s="514"/>
      <c r="E5" s="502"/>
      <c r="F5" s="502"/>
      <c r="G5" s="232" t="s">
        <v>468</v>
      </c>
      <c r="H5" s="233" t="s">
        <v>474</v>
      </c>
      <c r="I5" s="508"/>
      <c r="J5" s="508"/>
    </row>
    <row r="6" spans="1:10" s="36" customFormat="1" ht="12" customHeight="1">
      <c r="A6" s="37">
        <v>1</v>
      </c>
      <c r="B6" s="515">
        <v>2</v>
      </c>
      <c r="C6" s="516"/>
      <c r="D6" s="37">
        <v>3</v>
      </c>
      <c r="E6" s="37">
        <v>4</v>
      </c>
      <c r="F6" s="37">
        <v>5</v>
      </c>
      <c r="G6" s="37">
        <v>6</v>
      </c>
      <c r="H6" s="37">
        <v>7</v>
      </c>
      <c r="I6" s="234">
        <v>8</v>
      </c>
      <c r="J6" s="234">
        <v>9</v>
      </c>
    </row>
    <row r="7" spans="1:10" ht="32.25" customHeight="1">
      <c r="A7" s="224" t="s">
        <v>52</v>
      </c>
      <c r="B7" s="498" t="s">
        <v>89</v>
      </c>
      <c r="C7" s="497"/>
      <c r="D7" s="38"/>
      <c r="E7" s="38">
        <f>SUM(E8,E14,E20,E24,E28)</f>
        <v>25844.30157</v>
      </c>
      <c r="F7" s="38">
        <f>SUM(F8,F14,F20,F24,F28)</f>
        <v>25844.30157</v>
      </c>
      <c r="G7" s="38">
        <f>SUM(G8,G14,G20,G24,G28)</f>
        <v>26003.944159999995</v>
      </c>
      <c r="H7" s="38">
        <f>SUM(H8,H14,H20,H24,H28)</f>
        <v>26803.739270000005</v>
      </c>
      <c r="I7" s="39">
        <f t="shared" ref="I7:I33" si="0">IF(F7=0,0,G7/F7)</f>
        <v>1.0061770905113299</v>
      </c>
      <c r="J7" s="38">
        <f t="shared" ref="J7:J33" si="1">F7-G7</f>
        <v>-159.64258999999583</v>
      </c>
    </row>
    <row r="8" spans="1:10" ht="28.5" customHeight="1">
      <c r="A8" s="491" t="s">
        <v>127</v>
      </c>
      <c r="B8" s="498" t="s">
        <v>500</v>
      </c>
      <c r="C8" s="497"/>
      <c r="D8" s="38"/>
      <c r="E8" s="38">
        <f>SUM(E9:E12)</f>
        <v>0</v>
      </c>
      <c r="F8" s="38">
        <f>SUM(F9:F13)</f>
        <v>0</v>
      </c>
      <c r="G8" s="38">
        <f>SUM(G9:G13)</f>
        <v>0</v>
      </c>
      <c r="H8" s="38">
        <f>SUM(H9:H13)</f>
        <v>0</v>
      </c>
      <c r="I8" s="39">
        <f t="shared" si="0"/>
        <v>0</v>
      </c>
      <c r="J8" s="38">
        <f t="shared" si="1"/>
        <v>0</v>
      </c>
    </row>
    <row r="9" spans="1:10" ht="13.5" customHeight="1">
      <c r="A9" s="492"/>
      <c r="B9" s="226" t="s">
        <v>90</v>
      </c>
      <c r="C9" s="225" t="s">
        <v>91</v>
      </c>
      <c r="D9" s="38"/>
      <c r="E9" s="316"/>
      <c r="F9" s="316"/>
      <c r="G9" s="38"/>
      <c r="H9" s="317"/>
      <c r="I9" s="39">
        <f t="shared" si="0"/>
        <v>0</v>
      </c>
      <c r="J9" s="38">
        <f t="shared" si="1"/>
        <v>0</v>
      </c>
    </row>
    <row r="10" spans="1:10" ht="13.5" customHeight="1">
      <c r="A10" s="492"/>
      <c r="B10" s="226" t="s">
        <v>92</v>
      </c>
      <c r="C10" s="225" t="s">
        <v>93</v>
      </c>
      <c r="D10" s="38"/>
      <c r="E10" s="316"/>
      <c r="F10" s="316"/>
      <c r="G10" s="38"/>
      <c r="H10" s="317"/>
      <c r="I10" s="39">
        <f t="shared" si="0"/>
        <v>0</v>
      </c>
      <c r="J10" s="38">
        <f t="shared" si="1"/>
        <v>0</v>
      </c>
    </row>
    <row r="11" spans="1:10" ht="13.5" customHeight="1">
      <c r="A11" s="492"/>
      <c r="B11" s="226" t="s">
        <v>94</v>
      </c>
      <c r="C11" s="225" t="s">
        <v>145</v>
      </c>
      <c r="D11" s="38"/>
      <c r="E11" s="316"/>
      <c r="F11" s="316"/>
      <c r="G11" s="38"/>
      <c r="H11" s="317"/>
      <c r="I11" s="39">
        <f t="shared" si="0"/>
        <v>0</v>
      </c>
      <c r="J11" s="38">
        <f t="shared" si="1"/>
        <v>0</v>
      </c>
    </row>
    <row r="12" spans="1:10" ht="13.5" customHeight="1">
      <c r="A12" s="492"/>
      <c r="B12" s="226" t="s">
        <v>95</v>
      </c>
      <c r="C12" s="225" t="s">
        <v>96</v>
      </c>
      <c r="D12" s="38"/>
      <c r="E12" s="316"/>
      <c r="F12" s="316"/>
      <c r="G12" s="38"/>
      <c r="H12" s="317"/>
      <c r="I12" s="39">
        <f t="shared" si="0"/>
        <v>0</v>
      </c>
      <c r="J12" s="38">
        <f t="shared" si="1"/>
        <v>0</v>
      </c>
    </row>
    <row r="13" spans="1:10" ht="26.25" customHeight="1">
      <c r="A13" s="493"/>
      <c r="B13" s="226" t="s">
        <v>146</v>
      </c>
      <c r="C13" s="226" t="s">
        <v>124</v>
      </c>
      <c r="D13" s="38"/>
      <c r="E13" s="316"/>
      <c r="F13" s="316"/>
      <c r="G13" s="38"/>
      <c r="H13" s="317"/>
      <c r="I13" s="39">
        <f t="shared" si="0"/>
        <v>0</v>
      </c>
      <c r="J13" s="38">
        <f t="shared" si="1"/>
        <v>0</v>
      </c>
    </row>
    <row r="14" spans="1:10" ht="25.5" customHeight="1">
      <c r="A14" s="491" t="s">
        <v>128</v>
      </c>
      <c r="B14" s="496" t="s">
        <v>501</v>
      </c>
      <c r="C14" s="497"/>
      <c r="D14" s="38"/>
      <c r="E14" s="38">
        <f>SUM(E15:E18)</f>
        <v>2789.6257999999998</v>
      </c>
      <c r="F14" s="38">
        <f>SUM(F15:F18)</f>
        <v>2789.6257999999998</v>
      </c>
      <c r="G14" s="38">
        <f>SUM(G15:G18)</f>
        <v>2772.3204000000001</v>
      </c>
      <c r="H14" s="38">
        <f>SUM(H15:H18)</f>
        <v>5214.1877400000003</v>
      </c>
      <c r="I14" s="39">
        <f t="shared" si="0"/>
        <v>0.9937965156473676</v>
      </c>
      <c r="J14" s="38">
        <f t="shared" si="1"/>
        <v>17.305399999999736</v>
      </c>
    </row>
    <row r="15" spans="1:10">
      <c r="A15" s="492"/>
      <c r="B15" s="225" t="s">
        <v>97</v>
      </c>
      <c r="C15" s="225" t="s">
        <v>91</v>
      </c>
      <c r="D15" s="38"/>
      <c r="E15" s="316"/>
      <c r="F15" s="316"/>
      <c r="G15" s="38"/>
      <c r="H15" s="317"/>
      <c r="I15" s="39">
        <f t="shared" si="0"/>
        <v>0</v>
      </c>
      <c r="J15" s="38">
        <f t="shared" si="1"/>
        <v>0</v>
      </c>
    </row>
    <row r="16" spans="1:10" ht="14.25" customHeight="1">
      <c r="A16" s="492"/>
      <c r="B16" s="225" t="s">
        <v>98</v>
      </c>
      <c r="C16" s="225" t="s">
        <v>93</v>
      </c>
      <c r="D16" s="38"/>
      <c r="E16" s="316"/>
      <c r="F16" s="316"/>
      <c r="G16" s="38"/>
      <c r="H16" s="317"/>
      <c r="I16" s="39">
        <f t="shared" si="0"/>
        <v>0</v>
      </c>
      <c r="J16" s="38">
        <f t="shared" si="1"/>
        <v>0</v>
      </c>
    </row>
    <row r="17" spans="1:10" ht="14.25" customHeight="1">
      <c r="A17" s="492"/>
      <c r="B17" s="225" t="s">
        <v>99</v>
      </c>
      <c r="C17" s="225" t="s">
        <v>145</v>
      </c>
      <c r="D17" s="38"/>
      <c r="E17" s="316">
        <f>'2. Детальний звіт'!G45+'2. Детальний звіт'!G47+'2. Детальний звіт'!G48</f>
        <v>1850.2816</v>
      </c>
      <c r="F17" s="316">
        <f>'2. Детальний звіт'!I45+'2. Детальний звіт'!I47+'2. Детальний звіт'!I48</f>
        <v>1850.2816</v>
      </c>
      <c r="G17" s="316">
        <f>'2. Детальний звіт'!L45+'2. Детальний звіт'!L47+'2. Детальний звіт'!L48</f>
        <v>1848.3204000000001</v>
      </c>
      <c r="H17" s="316">
        <f>'2. Детальний звіт'!N45+'2. Детальний звіт'!N47+'2. Детальний звіт'!N48</f>
        <v>2275.31077</v>
      </c>
      <c r="I17" s="39">
        <f t="shared" si="0"/>
        <v>0.99894005323297819</v>
      </c>
      <c r="J17" s="38">
        <f t="shared" si="1"/>
        <v>1.9611999999999625</v>
      </c>
    </row>
    <row r="18" spans="1:10" ht="14.25" customHeight="1">
      <c r="A18" s="492"/>
      <c r="B18" s="226" t="s">
        <v>100</v>
      </c>
      <c r="C18" s="225" t="s">
        <v>96</v>
      </c>
      <c r="D18" s="38"/>
      <c r="E18" s="316">
        <f>'2. Детальний звіт'!G46+'2. Детальний звіт'!G52</f>
        <v>939.34419999999989</v>
      </c>
      <c r="F18" s="316">
        <f>'2. Детальний звіт'!I46+'2. Детальний звіт'!I52</f>
        <v>939.34419999999989</v>
      </c>
      <c r="G18" s="316">
        <f>'2. Детальний звіт'!L46+'2. Детальний звіт'!L52</f>
        <v>924</v>
      </c>
      <c r="H18" s="316">
        <f>'2. Детальний звіт'!N46+'2. Детальний звіт'!N52</f>
        <v>2938.8769700000003</v>
      </c>
      <c r="I18" s="39">
        <f t="shared" si="0"/>
        <v>0.9836649867002959</v>
      </c>
      <c r="J18" s="38">
        <f t="shared" si="1"/>
        <v>15.344199999999887</v>
      </c>
    </row>
    <row r="19" spans="1:10" ht="26.25" customHeight="1">
      <c r="A19" s="493"/>
      <c r="B19" s="226" t="s">
        <v>147</v>
      </c>
      <c r="C19" s="226" t="s">
        <v>124</v>
      </c>
      <c r="D19" s="38"/>
      <c r="E19" s="316">
        <f>'2. Детальний звіт'!G52</f>
        <v>452.35099999999989</v>
      </c>
      <c r="F19" s="316">
        <f>'2. Детальний звіт'!I52</f>
        <v>452.35099999999989</v>
      </c>
      <c r="G19" s="316">
        <f>'2. Детальний звіт'!L52</f>
        <v>445</v>
      </c>
      <c r="H19" s="316">
        <f>'2. Детальний звіт'!N52</f>
        <v>1650</v>
      </c>
      <c r="I19" s="39">
        <f t="shared" si="0"/>
        <v>0.9837493450882171</v>
      </c>
      <c r="J19" s="38">
        <f t="shared" si="1"/>
        <v>7.3509999999998854</v>
      </c>
    </row>
    <row r="20" spans="1:10" s="41" customFormat="1" ht="51.75" customHeight="1">
      <c r="A20" s="491" t="s">
        <v>129</v>
      </c>
      <c r="B20" s="498" t="s">
        <v>502</v>
      </c>
      <c r="C20" s="497"/>
      <c r="D20" s="34"/>
      <c r="E20" s="34">
        <f>SUM(E21:E23)</f>
        <v>0</v>
      </c>
      <c r="F20" s="34">
        <f>SUM(F21:F23)</f>
        <v>0</v>
      </c>
      <c r="G20" s="34">
        <f>SUM(G21:G23)</f>
        <v>0</v>
      </c>
      <c r="H20" s="34">
        <f>SUM(H21:H23)</f>
        <v>0</v>
      </c>
      <c r="I20" s="39">
        <f t="shared" si="0"/>
        <v>0</v>
      </c>
      <c r="J20" s="38">
        <f t="shared" si="1"/>
        <v>0</v>
      </c>
    </row>
    <row r="21" spans="1:10" s="41" customFormat="1">
      <c r="A21" s="492"/>
      <c r="B21" s="228" t="s">
        <v>101</v>
      </c>
      <c r="C21" s="225" t="s">
        <v>91</v>
      </c>
      <c r="D21" s="34"/>
      <c r="E21" s="318"/>
      <c r="F21" s="318"/>
      <c r="G21" s="38"/>
      <c r="H21" s="319"/>
      <c r="I21" s="39">
        <f t="shared" si="0"/>
        <v>0</v>
      </c>
      <c r="J21" s="38">
        <f t="shared" si="1"/>
        <v>0</v>
      </c>
    </row>
    <row r="22" spans="1:10" s="41" customFormat="1">
      <c r="A22" s="492"/>
      <c r="B22" s="228" t="s">
        <v>102</v>
      </c>
      <c r="C22" s="225" t="s">
        <v>93</v>
      </c>
      <c r="D22" s="34"/>
      <c r="E22" s="318"/>
      <c r="F22" s="318"/>
      <c r="G22" s="38"/>
      <c r="H22" s="319"/>
      <c r="I22" s="39">
        <f t="shared" si="0"/>
        <v>0</v>
      </c>
      <c r="J22" s="38">
        <f t="shared" si="1"/>
        <v>0</v>
      </c>
    </row>
    <row r="23" spans="1:10" s="41" customFormat="1" ht="17.25" customHeight="1">
      <c r="A23" s="493"/>
      <c r="B23" s="228" t="s">
        <v>103</v>
      </c>
      <c r="C23" s="225" t="s">
        <v>145</v>
      </c>
      <c r="D23" s="34"/>
      <c r="E23" s="318"/>
      <c r="F23" s="318"/>
      <c r="G23" s="318"/>
      <c r="H23" s="318"/>
      <c r="I23" s="39">
        <f t="shared" si="0"/>
        <v>0</v>
      </c>
      <c r="J23" s="38">
        <f t="shared" si="1"/>
        <v>0</v>
      </c>
    </row>
    <row r="24" spans="1:10" s="41" customFormat="1" ht="25.5" customHeight="1">
      <c r="A24" s="491" t="s">
        <v>130</v>
      </c>
      <c r="B24" s="494" t="s">
        <v>125</v>
      </c>
      <c r="C24" s="495"/>
      <c r="D24" s="34"/>
      <c r="E24" s="34">
        <f>SUM(E25:E27)</f>
        <v>22818.805769999999</v>
      </c>
      <c r="F24" s="34">
        <f>SUM(F25:F27)</f>
        <v>22818.805769999999</v>
      </c>
      <c r="G24" s="34">
        <f>SUM(G25:G27)</f>
        <v>22996.343759999996</v>
      </c>
      <c r="H24" s="34">
        <f>SUM(H25:H27)</f>
        <v>21306.371530000004</v>
      </c>
      <c r="I24" s="39">
        <f t="shared" si="0"/>
        <v>1.0077803366131197</v>
      </c>
      <c r="J24" s="38">
        <f t="shared" si="1"/>
        <v>-177.53798999999708</v>
      </c>
    </row>
    <row r="25" spans="1:10" s="41" customFormat="1">
      <c r="A25" s="492"/>
      <c r="B25" s="227" t="s">
        <v>104</v>
      </c>
      <c r="C25" s="141" t="s">
        <v>336</v>
      </c>
      <c r="D25" s="34"/>
      <c r="E25" s="318">
        <f>'2. Детальний звіт'!G21</f>
        <v>14106.820000000002</v>
      </c>
      <c r="F25" s="318">
        <f>'2. Детальний звіт'!I21</f>
        <v>14106.820000000002</v>
      </c>
      <c r="G25" s="318">
        <f>'2. Детальний звіт'!L21</f>
        <v>14106.81853</v>
      </c>
      <c r="H25" s="318">
        <f>'2. Детальний звіт'!N21</f>
        <v>14106.81853</v>
      </c>
      <c r="I25" s="39">
        <f t="shared" si="0"/>
        <v>0.99999989579508342</v>
      </c>
      <c r="J25" s="38">
        <f t="shared" si="1"/>
        <v>1.470000001063454E-3</v>
      </c>
    </row>
    <row r="26" spans="1:10" s="41" customFormat="1">
      <c r="A26" s="492"/>
      <c r="B26" s="227" t="s">
        <v>105</v>
      </c>
      <c r="C26" s="225" t="s">
        <v>93</v>
      </c>
      <c r="D26" s="34"/>
      <c r="E26" s="318">
        <f>'2. Детальний звіт'!G16+'2. Детальний звіт'!G17+'2. Детальний звіт'!G18+'2. Детальний звіт'!G19+'2. Детальний звіт'!G20</f>
        <v>7320.3517699999993</v>
      </c>
      <c r="F26" s="318">
        <f>'2. Детальний звіт'!I16+'2. Детальний звіт'!I17+'2. Детальний звіт'!I18+'2. Детальний звіт'!I19+'2. Детальний звіт'!I20</f>
        <v>7320.3517699999993</v>
      </c>
      <c r="G26" s="318">
        <f>'2. Детальний звіт'!L16+'2. Детальний звіт'!L17+'2. Детальний звіт'!L18+'2. Детальний звіт'!L19+'2. Детальний звіт'!L20</f>
        <v>7563.9992299999994</v>
      </c>
      <c r="H26" s="318">
        <f>'2. Детальний звіт'!N16+'2. Детальний звіт'!N17+'2. Детальний звіт'!N18+'2. Детальний звіт'!N19+'2. Детальний звіт'!N20</f>
        <v>5874.027000000001</v>
      </c>
      <c r="I26" s="39">
        <f t="shared" si="0"/>
        <v>1.0332835726554164</v>
      </c>
      <c r="J26" s="38">
        <f t="shared" si="1"/>
        <v>-243.64746000000014</v>
      </c>
    </row>
    <row r="27" spans="1:10" s="41" customFormat="1">
      <c r="A27" s="493"/>
      <c r="B27" s="227" t="s">
        <v>106</v>
      </c>
      <c r="C27" s="225" t="s">
        <v>145</v>
      </c>
      <c r="D27" s="34"/>
      <c r="E27" s="318">
        <f>'2. Детальний звіт'!G28</f>
        <v>1391.634</v>
      </c>
      <c r="F27" s="318">
        <f>'2. Детальний звіт'!I28</f>
        <v>1391.634</v>
      </c>
      <c r="G27" s="318">
        <f>'2. Детальний звіт'!L28</f>
        <v>1325.5259999999998</v>
      </c>
      <c r="H27" s="318">
        <f>'2. Детальний звіт'!N28</f>
        <v>1325.5259999999998</v>
      </c>
      <c r="I27" s="39">
        <f t="shared" si="0"/>
        <v>0.95249613044809178</v>
      </c>
      <c r="J27" s="38">
        <f t="shared" si="1"/>
        <v>66.108000000000175</v>
      </c>
    </row>
    <row r="28" spans="1:10" s="41" customFormat="1" ht="27" customHeight="1">
      <c r="A28" s="491" t="s">
        <v>131</v>
      </c>
      <c r="B28" s="494" t="s">
        <v>126</v>
      </c>
      <c r="C28" s="495"/>
      <c r="D28" s="34"/>
      <c r="E28" s="34">
        <f>SUM(E29:E31)</f>
        <v>235.87</v>
      </c>
      <c r="F28" s="34">
        <f>SUM(F29:F31)</f>
        <v>235.87</v>
      </c>
      <c r="G28" s="34">
        <f>SUM(G29:G31)</f>
        <v>235.28</v>
      </c>
      <c r="H28" s="34">
        <f>SUM(H29:H31)</f>
        <v>283.18</v>
      </c>
      <c r="I28" s="39">
        <f t="shared" si="0"/>
        <v>0.99749862212235552</v>
      </c>
      <c r="J28" s="38">
        <f t="shared" si="1"/>
        <v>0.59000000000000341</v>
      </c>
    </row>
    <row r="29" spans="1:10" s="41" customFormat="1">
      <c r="A29" s="492"/>
      <c r="B29" s="228" t="s">
        <v>107</v>
      </c>
      <c r="C29" s="225" t="s">
        <v>91</v>
      </c>
      <c r="D29" s="38"/>
      <c r="E29" s="318"/>
      <c r="F29" s="318"/>
      <c r="G29" s="38"/>
      <c r="H29" s="319"/>
      <c r="I29" s="39">
        <f t="shared" si="0"/>
        <v>0</v>
      </c>
      <c r="J29" s="38">
        <f t="shared" si="1"/>
        <v>0</v>
      </c>
    </row>
    <row r="30" spans="1:10" s="41" customFormat="1">
      <c r="A30" s="492"/>
      <c r="B30" s="228" t="s">
        <v>108</v>
      </c>
      <c r="C30" s="225" t="s">
        <v>93</v>
      </c>
      <c r="D30" s="38"/>
      <c r="E30" s="318">
        <f>'2. Детальний звіт'!G35</f>
        <v>186.45600000000002</v>
      </c>
      <c r="F30" s="318">
        <f>'2. Детальний звіт'!I35</f>
        <v>186.45600000000002</v>
      </c>
      <c r="G30" s="318">
        <f>'2. Детальний звіт'!L35</f>
        <v>187.38</v>
      </c>
      <c r="H30" s="318">
        <f>'2. Детальний звіт'!N35</f>
        <v>187.38</v>
      </c>
      <c r="I30" s="39">
        <f t="shared" si="0"/>
        <v>1.0049555927403784</v>
      </c>
      <c r="J30" s="38">
        <f t="shared" si="1"/>
        <v>-0.92399999999997817</v>
      </c>
    </row>
    <row r="31" spans="1:10" s="41" customFormat="1">
      <c r="A31" s="493"/>
      <c r="B31" s="228" t="s">
        <v>109</v>
      </c>
      <c r="C31" s="225" t="s">
        <v>145</v>
      </c>
      <c r="D31" s="38"/>
      <c r="E31" s="318">
        <f>'2. Детальний звіт'!G49</f>
        <v>49.414000000000001</v>
      </c>
      <c r="F31" s="318">
        <f>'2. Детальний звіт'!I49</f>
        <v>49.414000000000001</v>
      </c>
      <c r="G31" s="318">
        <f>'2. Детальний звіт'!L49</f>
        <v>47.9</v>
      </c>
      <c r="H31" s="318">
        <f>'2. Детальний звіт'!N49</f>
        <v>95.8</v>
      </c>
      <c r="I31" s="39">
        <f t="shared" si="0"/>
        <v>0.96936090986360135</v>
      </c>
      <c r="J31" s="38">
        <f t="shared" si="1"/>
        <v>1.5140000000000029</v>
      </c>
    </row>
    <row r="32" spans="1:10" ht="13.5" customHeight="1">
      <c r="A32" s="224" t="s">
        <v>48</v>
      </c>
      <c r="B32" s="230" t="s">
        <v>2</v>
      </c>
      <c r="C32" s="231"/>
      <c r="D32" s="38"/>
      <c r="E32" s="316">
        <f>'2. Детальний звіт'!G53</f>
        <v>1164.81619</v>
      </c>
      <c r="F32" s="316">
        <f>'2. Детальний звіт'!I53</f>
        <v>1164.81619</v>
      </c>
      <c r="G32" s="316">
        <f>'2. Детальний звіт'!L53</f>
        <v>1164.81414</v>
      </c>
      <c r="H32" s="316">
        <f>'2. Детальний звіт'!N53</f>
        <v>1164.8141900000001</v>
      </c>
      <c r="I32" s="39">
        <f t="shared" si="0"/>
        <v>0.99999824006567073</v>
      </c>
      <c r="J32" s="38">
        <f t="shared" si="1"/>
        <v>2.0500000000538421E-3</v>
      </c>
    </row>
    <row r="33" spans="1:10" ht="13.5" customHeight="1">
      <c r="A33" s="224" t="s">
        <v>83</v>
      </c>
      <c r="B33" s="230" t="s">
        <v>123</v>
      </c>
      <c r="C33" s="231"/>
      <c r="D33" s="38"/>
      <c r="E33" s="38">
        <f>SUM(E7,E32)</f>
        <v>27009.117760000001</v>
      </c>
      <c r="F33" s="38">
        <f>SUM(F7,F32)</f>
        <v>27009.117760000001</v>
      </c>
      <c r="G33" s="38">
        <f>SUM(G7,G32)</f>
        <v>27168.758299999994</v>
      </c>
      <c r="H33" s="38">
        <f>SUM(H7,H32)</f>
        <v>27968.553460000006</v>
      </c>
      <c r="I33" s="39">
        <f t="shared" si="0"/>
        <v>1.0059106166080114</v>
      </c>
      <c r="J33" s="38">
        <f t="shared" si="1"/>
        <v>-159.64053999999305</v>
      </c>
    </row>
    <row r="34" spans="1:10" s="36" customFormat="1"/>
  </sheetData>
  <mergeCells count="22">
    <mergeCell ref="I2:J2"/>
    <mergeCell ref="A8:A13"/>
    <mergeCell ref="B8:C8"/>
    <mergeCell ref="A4:A5"/>
    <mergeCell ref="B4:C5"/>
    <mergeCell ref="F4:F5"/>
    <mergeCell ref="J4:J5"/>
    <mergeCell ref="I4:I5"/>
    <mergeCell ref="G4:H4"/>
    <mergeCell ref="A3:J3"/>
    <mergeCell ref="D4:D5"/>
    <mergeCell ref="E4:E5"/>
    <mergeCell ref="B6:C6"/>
    <mergeCell ref="B7:C7"/>
    <mergeCell ref="A24:A27"/>
    <mergeCell ref="B24:C24"/>
    <mergeCell ref="A28:A31"/>
    <mergeCell ref="B28:C28"/>
    <mergeCell ref="A14:A19"/>
    <mergeCell ref="B14:C14"/>
    <mergeCell ref="A20:A23"/>
    <mergeCell ref="B20:C20"/>
  </mergeCells>
  <phoneticPr fontId="5" type="noConversion"/>
  <pageMargins left="0.86614173228346458" right="0.39370078740157483" top="0.17" bottom="0.16" header="0.17" footer="0.16"/>
  <pageSetup paperSize="9" scale="86" orientation="landscape" r:id="rId1"/>
  <headerFooter alignWithMargins="0">
    <oddFooter>&amp;C2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7"/>
  <sheetViews>
    <sheetView workbookViewId="0">
      <selection activeCell="E1" sqref="E1"/>
    </sheetView>
  </sheetViews>
  <sheetFormatPr defaultRowHeight="12.75"/>
  <cols>
    <col min="1" max="1" width="9.140625" style="7"/>
    <col min="2" max="2" width="38.85546875" style="7" customWidth="1"/>
    <col min="3" max="3" width="13.7109375" style="7" customWidth="1"/>
    <col min="4" max="4" width="15.42578125" style="7" customWidth="1"/>
    <col min="5" max="5" width="15.5703125" style="7" customWidth="1"/>
    <col min="6" max="6" width="14.5703125" style="7" customWidth="1"/>
    <col min="7" max="7" width="14.28515625" style="7" customWidth="1"/>
    <col min="8" max="8" width="13" style="7" customWidth="1"/>
    <col min="9" max="9" width="15" style="7" customWidth="1"/>
    <col min="10" max="16384" width="9.140625" style="7"/>
  </cols>
  <sheetData>
    <row r="1" spans="1:9">
      <c r="E1" s="235"/>
    </row>
    <row r="2" spans="1:9">
      <c r="H2" s="521"/>
      <c r="I2" s="482"/>
    </row>
    <row r="3" spans="1:9" s="3" customFormat="1" ht="22.5" customHeight="1">
      <c r="A3" s="486" t="s">
        <v>478</v>
      </c>
      <c r="B3" s="487"/>
      <c r="C3" s="487"/>
      <c r="D3" s="487"/>
      <c r="E3" s="487"/>
      <c r="F3" s="487"/>
      <c r="G3" s="487"/>
      <c r="H3" s="487"/>
      <c r="I3" s="488"/>
    </row>
    <row r="4" spans="1:9" s="3" customFormat="1" ht="39" customHeight="1">
      <c r="A4" s="483" t="s">
        <v>0</v>
      </c>
      <c r="B4" s="483" t="s">
        <v>6</v>
      </c>
      <c r="C4" s="522" t="s">
        <v>27</v>
      </c>
      <c r="D4" s="522" t="s">
        <v>149</v>
      </c>
      <c r="E4" s="522" t="s">
        <v>150</v>
      </c>
      <c r="F4" s="509" t="s">
        <v>151</v>
      </c>
      <c r="G4" s="510"/>
      <c r="H4" s="519" t="s">
        <v>477</v>
      </c>
      <c r="I4" s="519" t="s">
        <v>473</v>
      </c>
    </row>
    <row r="5" spans="1:9" s="3" customFormat="1" ht="39" customHeight="1">
      <c r="A5" s="484"/>
      <c r="B5" s="484"/>
      <c r="C5" s="523"/>
      <c r="D5" s="523"/>
      <c r="E5" s="523"/>
      <c r="F5" s="232" t="s">
        <v>475</v>
      </c>
      <c r="G5" s="233" t="s">
        <v>476</v>
      </c>
      <c r="H5" s="520"/>
      <c r="I5" s="520"/>
    </row>
    <row r="6" spans="1:9" s="3" customFormat="1">
      <c r="A6" s="5">
        <v>1</v>
      </c>
      <c r="B6" s="6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</row>
    <row r="7" spans="1:9" ht="23.25" customHeight="1">
      <c r="A7" s="31" t="s">
        <v>49</v>
      </c>
      <c r="B7" s="2" t="s">
        <v>7</v>
      </c>
      <c r="C7" s="321"/>
      <c r="D7" s="12">
        <f>SUM(D8:D12,D15)</f>
        <v>1118.07438</v>
      </c>
      <c r="E7" s="12">
        <f>SUM(E8:E12,E15)</f>
        <v>1118.07438</v>
      </c>
      <c r="F7" s="12">
        <f>SUM(F8:F12,F15)</f>
        <v>905.33295999999996</v>
      </c>
      <c r="G7" s="12">
        <f>SUM(G8:G12,G15)</f>
        <v>905.33296000000007</v>
      </c>
      <c r="H7" s="20">
        <f t="shared" ref="H7:H17" si="0">IF(E7=0,0,F7/E7)</f>
        <v>0.80972516336524936</v>
      </c>
      <c r="I7" s="12">
        <f t="shared" ref="I7:I17" si="1">E7-F7</f>
        <v>212.74142000000006</v>
      </c>
    </row>
    <row r="8" spans="1:9" ht="24.75" customHeight="1">
      <c r="A8" s="31" t="s">
        <v>53</v>
      </c>
      <c r="B8" s="247" t="s">
        <v>8</v>
      </c>
      <c r="C8" s="321"/>
      <c r="D8" s="315">
        <f>'2. Детальний звіт'!G63</f>
        <v>50.074379999999998</v>
      </c>
      <c r="E8" s="315">
        <f>'2. Детальний звіт'!I63</f>
        <v>50.074379999999998</v>
      </c>
      <c r="F8" s="315">
        <f>'2. Детальний звіт'!L63</f>
        <v>56.532959999999989</v>
      </c>
      <c r="G8" s="315">
        <f>'2. Детальний звіт'!N63</f>
        <v>56.532959999999989</v>
      </c>
      <c r="H8" s="20">
        <f t="shared" si="0"/>
        <v>1.1289797297540178</v>
      </c>
      <c r="I8" s="12">
        <f t="shared" si="1"/>
        <v>-6.4585799999999907</v>
      </c>
    </row>
    <row r="9" spans="1:9" ht="45" customHeight="1">
      <c r="A9" s="31" t="s">
        <v>54</v>
      </c>
      <c r="B9" s="227" t="s">
        <v>499</v>
      </c>
      <c r="C9" s="321"/>
      <c r="D9" s="315">
        <f>'2. Детальний звіт'!G67</f>
        <v>828</v>
      </c>
      <c r="E9" s="315">
        <f>'2. Детальний звіт'!I67</f>
        <v>828</v>
      </c>
      <c r="F9" s="315">
        <f>'2. Детальний звіт'!L67</f>
        <v>608.79999999999995</v>
      </c>
      <c r="G9" s="315">
        <f>'2. Детальний звіт'!N67</f>
        <v>608.80000000000007</v>
      </c>
      <c r="H9" s="20">
        <f t="shared" si="0"/>
        <v>0.7352657004830917</v>
      </c>
      <c r="I9" s="12">
        <f t="shared" si="1"/>
        <v>219.20000000000005</v>
      </c>
    </row>
    <row r="10" spans="1:9" ht="28.5" customHeight="1">
      <c r="A10" s="517" t="s">
        <v>132</v>
      </c>
      <c r="B10" s="33" t="s">
        <v>496</v>
      </c>
      <c r="C10" s="248"/>
      <c r="D10" s="34"/>
      <c r="E10" s="322"/>
      <c r="F10" s="12"/>
      <c r="G10" s="318"/>
      <c r="H10" s="20">
        <f t="shared" si="0"/>
        <v>0</v>
      </c>
      <c r="I10" s="12">
        <f t="shared" si="1"/>
        <v>0</v>
      </c>
    </row>
    <row r="11" spans="1:9" ht="31.5" customHeight="1">
      <c r="A11" s="517"/>
      <c r="B11" s="141" t="s">
        <v>497</v>
      </c>
      <c r="C11" s="33"/>
      <c r="D11" s="34"/>
      <c r="E11" s="322"/>
      <c r="F11" s="12"/>
      <c r="G11" s="318"/>
      <c r="H11" s="20">
        <f t="shared" si="0"/>
        <v>0</v>
      </c>
      <c r="I11" s="12">
        <f t="shared" si="1"/>
        <v>0</v>
      </c>
    </row>
    <row r="12" spans="1:9" ht="28.5" customHeight="1">
      <c r="A12" s="518" t="s">
        <v>55</v>
      </c>
      <c r="B12" s="2" t="s">
        <v>9</v>
      </c>
      <c r="C12" s="321"/>
      <c r="D12" s="12">
        <f>SUM(D13:D14)</f>
        <v>0</v>
      </c>
      <c r="E12" s="12">
        <f>SUM(E13:E14)</f>
        <v>0</v>
      </c>
      <c r="F12" s="12">
        <f>SUM(F13:F14)</f>
        <v>0</v>
      </c>
      <c r="G12" s="12">
        <f>SUM(G13:G14)</f>
        <v>0</v>
      </c>
      <c r="H12" s="20">
        <f t="shared" si="0"/>
        <v>0</v>
      </c>
      <c r="I12" s="12">
        <f t="shared" si="1"/>
        <v>0</v>
      </c>
    </row>
    <row r="13" spans="1:9" ht="20.25" customHeight="1">
      <c r="A13" s="518"/>
      <c r="B13" s="2" t="s">
        <v>10</v>
      </c>
      <c r="C13" s="321"/>
      <c r="D13" s="315"/>
      <c r="E13" s="315"/>
      <c r="F13" s="12"/>
      <c r="G13" s="315"/>
      <c r="H13" s="20">
        <f t="shared" si="0"/>
        <v>0</v>
      </c>
      <c r="I13" s="12">
        <f t="shared" si="1"/>
        <v>0</v>
      </c>
    </row>
    <row r="14" spans="1:9" ht="18.75" customHeight="1">
      <c r="A14" s="518"/>
      <c r="B14" s="2" t="s">
        <v>11</v>
      </c>
      <c r="C14" s="321"/>
      <c r="D14" s="315"/>
      <c r="E14" s="315"/>
      <c r="F14" s="12"/>
      <c r="G14" s="315"/>
      <c r="H14" s="20">
        <f t="shared" si="0"/>
        <v>0</v>
      </c>
      <c r="I14" s="12">
        <f t="shared" si="1"/>
        <v>0</v>
      </c>
    </row>
    <row r="15" spans="1:9" ht="37.5" customHeight="1">
      <c r="A15" s="31" t="s">
        <v>148</v>
      </c>
      <c r="B15" s="242" t="s">
        <v>498</v>
      </c>
      <c r="C15" s="321"/>
      <c r="D15" s="315">
        <f>'2. Детальний звіт'!G69</f>
        <v>240</v>
      </c>
      <c r="E15" s="315">
        <f>'2. Детальний звіт'!I69</f>
        <v>240</v>
      </c>
      <c r="F15" s="315">
        <f>'2. Детальний звіт'!L69</f>
        <v>240</v>
      </c>
      <c r="G15" s="315">
        <f>'2. Детальний звіт'!N69</f>
        <v>240</v>
      </c>
      <c r="H15" s="20">
        <f t="shared" si="0"/>
        <v>1</v>
      </c>
      <c r="I15" s="12">
        <f t="shared" si="1"/>
        <v>0</v>
      </c>
    </row>
    <row r="16" spans="1:9" ht="20.25" customHeight="1">
      <c r="A16" s="31" t="s">
        <v>50</v>
      </c>
      <c r="B16" s="2" t="s">
        <v>2</v>
      </c>
      <c r="C16" s="321"/>
      <c r="D16" s="315">
        <f>'2. Детальний звіт'!G71</f>
        <v>2080.6593000000003</v>
      </c>
      <c r="E16" s="315">
        <f>'2. Детальний звіт'!I71</f>
        <v>2080.6593000000003</v>
      </c>
      <c r="F16" s="315">
        <f>'2. Детальний звіт'!L71</f>
        <v>2075.6984400000001</v>
      </c>
      <c r="G16" s="315">
        <f>'2. Детальний звіт'!N71</f>
        <v>2075.6984400000001</v>
      </c>
      <c r="H16" s="20">
        <f t="shared" si="0"/>
        <v>0.99761572689964184</v>
      </c>
      <c r="I16" s="12">
        <f t="shared" si="1"/>
        <v>4.9608600000001388</v>
      </c>
    </row>
    <row r="17" spans="1:9" ht="18" customHeight="1">
      <c r="A17" s="1"/>
      <c r="B17" s="2" t="s">
        <v>123</v>
      </c>
      <c r="C17" s="323"/>
      <c r="D17" s="12">
        <f>SUM(D7,D16)</f>
        <v>3198.7336800000003</v>
      </c>
      <c r="E17" s="12">
        <f>SUM(E7,E16)</f>
        <v>3198.7336800000003</v>
      </c>
      <c r="F17" s="12">
        <f>SUM(F7,F16)</f>
        <v>2981.0313999999998</v>
      </c>
      <c r="G17" s="12">
        <f>SUM(G7,G16)</f>
        <v>2981.0314000000003</v>
      </c>
      <c r="H17" s="20">
        <f t="shared" si="0"/>
        <v>0.93194110489373394</v>
      </c>
      <c r="I17" s="12">
        <f t="shared" si="1"/>
        <v>217.70228000000043</v>
      </c>
    </row>
  </sheetData>
  <mergeCells count="12">
    <mergeCell ref="A10:A11"/>
    <mergeCell ref="A12:A14"/>
    <mergeCell ref="H4:H5"/>
    <mergeCell ref="I4:I5"/>
    <mergeCell ref="H2:I2"/>
    <mergeCell ref="A3:I3"/>
    <mergeCell ref="E4:E5"/>
    <mergeCell ref="A4:A5"/>
    <mergeCell ref="B4:B5"/>
    <mergeCell ref="C4:C5"/>
    <mergeCell ref="D4:D5"/>
    <mergeCell ref="F4:G4"/>
  </mergeCells>
  <phoneticPr fontId="5" type="noConversion"/>
  <pageMargins left="0.35433070866141736" right="0.27559055118110237" top="0.98425196850393704" bottom="0.98425196850393704" header="0.51181102362204722" footer="0.51181102362204722"/>
  <pageSetup paperSize="9" scale="96" orientation="landscape" r:id="rId1"/>
  <headerFooter alignWithMargins="0">
    <oddFooter>&amp;C3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4"/>
  <sheetViews>
    <sheetView workbookViewId="0">
      <selection activeCell="E19" sqref="E18:E19"/>
    </sheetView>
  </sheetViews>
  <sheetFormatPr defaultRowHeight="12.75"/>
  <cols>
    <col min="1" max="1" width="5.85546875" style="7" customWidth="1"/>
    <col min="2" max="2" width="30.7109375" style="7" customWidth="1"/>
    <col min="3" max="3" width="19.7109375" style="7" customWidth="1"/>
    <col min="4" max="4" width="15.42578125" style="7" customWidth="1"/>
    <col min="5" max="5" width="15.5703125" style="7" customWidth="1"/>
    <col min="6" max="7" width="14.28515625" style="7" customWidth="1"/>
    <col min="8" max="8" width="13" style="7" customWidth="1"/>
    <col min="9" max="9" width="14" style="7" customWidth="1"/>
    <col min="10" max="16384" width="9.140625" style="7"/>
  </cols>
  <sheetData>
    <row r="1" spans="1:9">
      <c r="E1" s="235"/>
    </row>
    <row r="2" spans="1:9">
      <c r="H2" s="521"/>
      <c r="I2" s="482"/>
    </row>
    <row r="3" spans="1:9" ht="24" customHeight="1">
      <c r="A3" s="486" t="s">
        <v>45</v>
      </c>
      <c r="B3" s="487"/>
      <c r="C3" s="487"/>
      <c r="D3" s="487"/>
      <c r="E3" s="487"/>
      <c r="F3" s="487"/>
      <c r="G3" s="487"/>
      <c r="H3" s="487"/>
      <c r="I3" s="488"/>
    </row>
    <row r="4" spans="1:9" ht="41.25" customHeight="1">
      <c r="A4" s="483" t="s">
        <v>0</v>
      </c>
      <c r="B4" s="483" t="s">
        <v>6</v>
      </c>
      <c r="C4" s="522" t="s">
        <v>27</v>
      </c>
      <c r="D4" s="522" t="s">
        <v>149</v>
      </c>
      <c r="E4" s="522" t="s">
        <v>156</v>
      </c>
      <c r="F4" s="509" t="s">
        <v>151</v>
      </c>
      <c r="G4" s="510"/>
      <c r="H4" s="522" t="s">
        <v>26</v>
      </c>
      <c r="I4" s="522" t="s">
        <v>152</v>
      </c>
    </row>
    <row r="5" spans="1:9" ht="40.5" customHeight="1">
      <c r="A5" s="484"/>
      <c r="B5" s="484"/>
      <c r="C5" s="523"/>
      <c r="D5" s="523"/>
      <c r="E5" s="523"/>
      <c r="F5" s="232" t="s">
        <v>475</v>
      </c>
      <c r="G5" s="233" t="s">
        <v>476</v>
      </c>
      <c r="H5" s="523"/>
      <c r="I5" s="523"/>
    </row>
    <row r="6" spans="1:9" ht="15" customHeight="1">
      <c r="A6" s="5">
        <v>1</v>
      </c>
      <c r="B6" s="5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</row>
    <row r="7" spans="1:9" ht="68.25" customHeight="1">
      <c r="A7" s="31" t="s">
        <v>56</v>
      </c>
      <c r="B7" s="1" t="s">
        <v>133</v>
      </c>
      <c r="C7" s="324"/>
      <c r="D7" s="12">
        <f>SUM(D8:D11)</f>
        <v>0</v>
      </c>
      <c r="E7" s="12">
        <f>SUM(E8:E11)</f>
        <v>0</v>
      </c>
      <c r="F7" s="12">
        <f>SUM(F8:F11)</f>
        <v>0</v>
      </c>
      <c r="G7" s="12">
        <f>SUM(G8:G11)</f>
        <v>0</v>
      </c>
      <c r="H7" s="20">
        <f t="shared" ref="H7:H13" si="0">IF(E7=0,0,F7/E7)</f>
        <v>0</v>
      </c>
      <c r="I7" s="8">
        <f t="shared" ref="I7:I13" si="1">E7-F7</f>
        <v>0</v>
      </c>
    </row>
    <row r="8" spans="1:9" ht="28.5" customHeight="1">
      <c r="A8" s="31" t="s">
        <v>57</v>
      </c>
      <c r="B8" s="1" t="s">
        <v>12</v>
      </c>
      <c r="C8" s="324"/>
      <c r="D8" s="315"/>
      <c r="E8" s="315"/>
      <c r="F8" s="12"/>
      <c r="G8" s="315"/>
      <c r="H8" s="20">
        <f t="shared" si="0"/>
        <v>0</v>
      </c>
      <c r="I8" s="8">
        <f t="shared" si="1"/>
        <v>0</v>
      </c>
    </row>
    <row r="9" spans="1:9" ht="15.75" customHeight="1">
      <c r="A9" s="31" t="s">
        <v>58</v>
      </c>
      <c r="B9" s="1" t="s">
        <v>13</v>
      </c>
      <c r="C9" s="324"/>
      <c r="D9" s="315"/>
      <c r="E9" s="315"/>
      <c r="F9" s="12"/>
      <c r="G9" s="315"/>
      <c r="H9" s="20">
        <f t="shared" si="0"/>
        <v>0</v>
      </c>
      <c r="I9" s="8">
        <f t="shared" si="1"/>
        <v>0</v>
      </c>
    </row>
    <row r="10" spans="1:9" ht="15.75" customHeight="1">
      <c r="A10" s="31" t="s">
        <v>59</v>
      </c>
      <c r="B10" s="1" t="s">
        <v>14</v>
      </c>
      <c r="C10" s="324"/>
      <c r="D10" s="315"/>
      <c r="E10" s="315"/>
      <c r="F10" s="12"/>
      <c r="G10" s="315"/>
      <c r="H10" s="20">
        <f t="shared" si="0"/>
        <v>0</v>
      </c>
      <c r="I10" s="8">
        <f t="shared" si="1"/>
        <v>0</v>
      </c>
    </row>
    <row r="11" spans="1:9" ht="15.75" customHeight="1">
      <c r="A11" s="31" t="s">
        <v>60</v>
      </c>
      <c r="B11" s="1" t="s">
        <v>15</v>
      </c>
      <c r="C11" s="324"/>
      <c r="D11" s="315"/>
      <c r="E11" s="315"/>
      <c r="F11" s="12"/>
      <c r="G11" s="315"/>
      <c r="H11" s="20">
        <f t="shared" si="0"/>
        <v>0</v>
      </c>
      <c r="I11" s="8">
        <f t="shared" si="1"/>
        <v>0</v>
      </c>
    </row>
    <row r="12" spans="1:9" ht="15" customHeight="1">
      <c r="A12" s="31" t="s">
        <v>61</v>
      </c>
      <c r="B12" s="1" t="s">
        <v>2</v>
      </c>
      <c r="C12" s="324"/>
      <c r="D12" s="315"/>
      <c r="E12" s="315"/>
      <c r="F12" s="12"/>
      <c r="G12" s="315"/>
      <c r="H12" s="20">
        <f t="shared" si="0"/>
        <v>0</v>
      </c>
      <c r="I12" s="8">
        <f t="shared" si="1"/>
        <v>0</v>
      </c>
    </row>
    <row r="13" spans="1:9" ht="15.75" customHeight="1">
      <c r="A13" s="1"/>
      <c r="B13" s="1" t="s">
        <v>123</v>
      </c>
      <c r="C13" s="324"/>
      <c r="D13" s="12">
        <f>SUM(D7,D12)</f>
        <v>0</v>
      </c>
      <c r="E13" s="12">
        <f>SUM(E7,E12)</f>
        <v>0</v>
      </c>
      <c r="F13" s="12">
        <f>SUM(F7,F12)</f>
        <v>0</v>
      </c>
      <c r="G13" s="12">
        <f>SUM(G7,G12)</f>
        <v>0</v>
      </c>
      <c r="H13" s="20">
        <f t="shared" si="0"/>
        <v>0</v>
      </c>
      <c r="I13" s="8">
        <f t="shared" si="1"/>
        <v>0</v>
      </c>
    </row>
    <row r="14" spans="1:9">
      <c r="C14" s="325"/>
      <c r="D14" s="325"/>
      <c r="E14" s="325"/>
      <c r="F14" s="325"/>
      <c r="G14" s="325"/>
      <c r="H14" s="325"/>
    </row>
  </sheetData>
  <mergeCells count="10">
    <mergeCell ref="I4:I5"/>
    <mergeCell ref="A3:I3"/>
    <mergeCell ref="F4:G4"/>
    <mergeCell ref="H4:H5"/>
    <mergeCell ref="H2:I2"/>
    <mergeCell ref="A4:A5"/>
    <mergeCell ref="B4:B5"/>
    <mergeCell ref="C4:C5"/>
    <mergeCell ref="D4:D5"/>
    <mergeCell ref="E4:E5"/>
  </mergeCells>
  <phoneticPr fontId="5" type="noConversion"/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Footer xml:space="preserve">&amp;C4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workbookViewId="0">
      <selection activeCell="M10" sqref="M10"/>
    </sheetView>
  </sheetViews>
  <sheetFormatPr defaultRowHeight="12.75"/>
  <cols>
    <col min="1" max="1" width="9.140625" style="7"/>
    <col min="2" max="2" width="30.28515625" style="7" customWidth="1"/>
    <col min="3" max="3" width="13.7109375" style="7" customWidth="1"/>
    <col min="4" max="4" width="15.42578125" style="7" customWidth="1"/>
    <col min="5" max="5" width="15.5703125" style="7" customWidth="1"/>
    <col min="6" max="6" width="15.28515625" style="7" customWidth="1"/>
    <col min="7" max="7" width="14.28515625" style="7" customWidth="1"/>
    <col min="8" max="8" width="13" style="7" customWidth="1"/>
    <col min="9" max="9" width="14.5703125" style="7" customWidth="1"/>
    <col min="10" max="16384" width="9.140625" style="7"/>
  </cols>
  <sheetData>
    <row r="1" spans="1:9">
      <c r="E1" s="235"/>
    </row>
    <row r="2" spans="1:9">
      <c r="H2" s="239"/>
      <c r="I2" s="240"/>
    </row>
    <row r="3" spans="1:9" ht="23.25" customHeight="1">
      <c r="A3" s="486" t="s">
        <v>46</v>
      </c>
      <c r="B3" s="487"/>
      <c r="C3" s="487"/>
      <c r="D3" s="487"/>
      <c r="E3" s="487"/>
      <c r="F3" s="487"/>
      <c r="G3" s="487"/>
      <c r="H3" s="487"/>
      <c r="I3" s="488"/>
    </row>
    <row r="4" spans="1:9" ht="41.25" customHeight="1">
      <c r="A4" s="483" t="s">
        <v>0</v>
      </c>
      <c r="B4" s="483" t="s">
        <v>6</v>
      </c>
      <c r="C4" s="522" t="s">
        <v>27</v>
      </c>
      <c r="D4" s="522" t="s">
        <v>149</v>
      </c>
      <c r="E4" s="522" t="s">
        <v>156</v>
      </c>
      <c r="F4" s="509" t="s">
        <v>151</v>
      </c>
      <c r="G4" s="510"/>
      <c r="H4" s="519" t="s">
        <v>477</v>
      </c>
      <c r="I4" s="519" t="s">
        <v>473</v>
      </c>
    </row>
    <row r="5" spans="1:9" ht="42" customHeight="1">
      <c r="A5" s="484"/>
      <c r="B5" s="484"/>
      <c r="C5" s="523"/>
      <c r="D5" s="523"/>
      <c r="E5" s="523"/>
      <c r="F5" s="232" t="s">
        <v>475</v>
      </c>
      <c r="G5" s="233" t="s">
        <v>476</v>
      </c>
      <c r="H5" s="520"/>
      <c r="I5" s="520"/>
    </row>
    <row r="6" spans="1:9">
      <c r="A6" s="5">
        <v>1</v>
      </c>
      <c r="B6" s="5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</row>
    <row r="7" spans="1:9" ht="54.75" customHeight="1">
      <c r="A7" s="31" t="s">
        <v>62</v>
      </c>
      <c r="B7" s="14" t="s">
        <v>486</v>
      </c>
      <c r="C7" s="18"/>
      <c r="D7" s="12">
        <f>SUM(D8:D11)</f>
        <v>264.70300000000003</v>
      </c>
      <c r="E7" s="12">
        <f>SUM(E8:E11)</f>
        <v>264.70300000000003</v>
      </c>
      <c r="F7" s="12">
        <f>SUM(F8:F11)</f>
        <v>253.45000000000005</v>
      </c>
      <c r="G7" s="12">
        <f>SUM(G8:G11)</f>
        <v>253.45000000000005</v>
      </c>
      <c r="H7" s="20">
        <f t="shared" ref="H7:H18" si="0">IF(E7=0,0,F7/E7)</f>
        <v>0.95748820376044097</v>
      </c>
      <c r="I7" s="8">
        <f t="shared" ref="I7:I18" si="1">E7-F7</f>
        <v>11.252999999999986</v>
      </c>
    </row>
    <row r="8" spans="1:9">
      <c r="A8" s="31" t="s">
        <v>63</v>
      </c>
      <c r="B8" s="1" t="s">
        <v>19</v>
      </c>
      <c r="C8" s="18"/>
      <c r="D8" s="315">
        <f>'2. Детальний звіт'!G81</f>
        <v>163.5</v>
      </c>
      <c r="E8" s="315">
        <f>'2. Детальний звіт'!I81</f>
        <v>163.5</v>
      </c>
      <c r="F8" s="315">
        <f>'2. Детальний звіт'!L81</f>
        <v>163.57000000000002</v>
      </c>
      <c r="G8" s="315">
        <f>'2. Детальний звіт'!N81</f>
        <v>163.57000000000002</v>
      </c>
      <c r="H8" s="20">
        <f t="shared" si="0"/>
        <v>1.0004281345565751</v>
      </c>
      <c r="I8" s="8">
        <f t="shared" si="1"/>
        <v>-7.00000000000216E-2</v>
      </c>
    </row>
    <row r="9" spans="1:9" ht="25.5">
      <c r="A9" s="31" t="s">
        <v>64</v>
      </c>
      <c r="B9" s="1" t="s">
        <v>20</v>
      </c>
      <c r="C9" s="18"/>
      <c r="D9" s="315">
        <f>'2. Детальний звіт'!G86</f>
        <v>10</v>
      </c>
      <c r="E9" s="315">
        <f>'2. Детальний звіт'!I86</f>
        <v>10</v>
      </c>
      <c r="F9" s="315">
        <f>'2. Детальний звіт'!L86</f>
        <v>10.050000000000001</v>
      </c>
      <c r="G9" s="315">
        <f>'2. Детальний звіт'!N86</f>
        <v>10.050000000000001</v>
      </c>
      <c r="H9" s="20">
        <f t="shared" si="0"/>
        <v>1.0050000000000001</v>
      </c>
      <c r="I9" s="8">
        <f t="shared" si="1"/>
        <v>-5.0000000000000711E-2</v>
      </c>
    </row>
    <row r="10" spans="1:9" ht="25.5">
      <c r="A10" s="31" t="s">
        <v>65</v>
      </c>
      <c r="B10" s="1" t="s">
        <v>21</v>
      </c>
      <c r="C10" s="18"/>
      <c r="D10" s="315">
        <f>'2. Детальний звіт'!G88</f>
        <v>6.3000000000000007</v>
      </c>
      <c r="E10" s="315">
        <f>'2. Детальний звіт'!I88</f>
        <v>6.3000000000000007</v>
      </c>
      <c r="F10" s="315">
        <f>'2. Детальний звіт'!L88</f>
        <v>5.8000000000000007</v>
      </c>
      <c r="G10" s="315">
        <f>'2. Детальний звіт'!N88</f>
        <v>5.8000000000000007</v>
      </c>
      <c r="H10" s="20">
        <f t="shared" si="0"/>
        <v>0.92063492063492069</v>
      </c>
      <c r="I10" s="8">
        <f t="shared" si="1"/>
        <v>0.5</v>
      </c>
    </row>
    <row r="11" spans="1:9">
      <c r="A11" s="31" t="s">
        <v>66</v>
      </c>
      <c r="B11" s="141" t="s">
        <v>487</v>
      </c>
      <c r="C11" s="18"/>
      <c r="D11" s="315">
        <f>'2. Детальний звіт'!G92</f>
        <v>84.903000000000006</v>
      </c>
      <c r="E11" s="315">
        <f>'2. Детальний звіт'!I92</f>
        <v>84.903000000000006</v>
      </c>
      <c r="F11" s="315">
        <f>'2. Детальний звіт'!L92</f>
        <v>74.03</v>
      </c>
      <c r="G11" s="315">
        <f>'2. Детальний звіт'!N92</f>
        <v>74.03</v>
      </c>
      <c r="H11" s="20">
        <f t="shared" si="0"/>
        <v>0.8719362095567883</v>
      </c>
      <c r="I11" s="8">
        <f t="shared" si="1"/>
        <v>10.873000000000005</v>
      </c>
    </row>
    <row r="12" spans="1:9" ht="25.5">
      <c r="A12" s="31" t="s">
        <v>67</v>
      </c>
      <c r="B12" s="14" t="s">
        <v>488</v>
      </c>
      <c r="C12" s="18"/>
      <c r="D12" s="12">
        <f>SUM(D13:D15)</f>
        <v>97.499200000000002</v>
      </c>
      <c r="E12" s="12">
        <f>SUM(E13:E15)</f>
        <v>97.499200000000002</v>
      </c>
      <c r="F12" s="12">
        <f>SUM(F13:F15)</f>
        <v>99</v>
      </c>
      <c r="G12" s="12">
        <f>SUM(G13:G15)</f>
        <v>99</v>
      </c>
      <c r="H12" s="20">
        <f t="shared" si="0"/>
        <v>1.0153929468139224</v>
      </c>
      <c r="I12" s="8">
        <f t="shared" si="1"/>
        <v>-1.5007999999999981</v>
      </c>
    </row>
    <row r="13" spans="1:9" ht="25.5">
      <c r="A13" s="31" t="s">
        <v>68</v>
      </c>
      <c r="B13" s="129" t="s">
        <v>309</v>
      </c>
      <c r="C13" s="18"/>
      <c r="D13" s="315">
        <f>'2. Детальний звіт'!G97</f>
        <v>47.499199999999995</v>
      </c>
      <c r="E13" s="315">
        <f>'2. Детальний звіт'!I97</f>
        <v>47.499199999999995</v>
      </c>
      <c r="F13" s="315">
        <f>'2. Детальний звіт'!L97</f>
        <v>47.34</v>
      </c>
      <c r="G13" s="315">
        <f>'2. Детальний звіт'!N97</f>
        <v>47.34</v>
      </c>
      <c r="H13" s="20">
        <f t="shared" si="0"/>
        <v>0.99664836460403561</v>
      </c>
      <c r="I13" s="8">
        <f t="shared" si="1"/>
        <v>0.15919999999999135</v>
      </c>
    </row>
    <row r="14" spans="1:9" ht="25.5">
      <c r="A14" s="31" t="s">
        <v>69</v>
      </c>
      <c r="B14" s="130" t="s">
        <v>311</v>
      </c>
      <c r="C14" s="18"/>
      <c r="D14" s="315">
        <f>'2. Детальний звіт'!G98</f>
        <v>50</v>
      </c>
      <c r="E14" s="315">
        <f>'2. Детальний звіт'!I98</f>
        <v>50</v>
      </c>
      <c r="F14" s="315">
        <f>'2. Детальний звіт'!L98</f>
        <v>51.66</v>
      </c>
      <c r="G14" s="315">
        <f>'2. Детальний звіт'!N98</f>
        <v>51.66</v>
      </c>
      <c r="H14" s="20">
        <f t="shared" si="0"/>
        <v>1.0331999999999999</v>
      </c>
      <c r="I14" s="8">
        <f t="shared" si="1"/>
        <v>-1.6599999999999966</v>
      </c>
    </row>
    <row r="15" spans="1:9">
      <c r="A15" s="142" t="s">
        <v>70</v>
      </c>
      <c r="B15" s="241" t="s">
        <v>485</v>
      </c>
      <c r="C15" s="18"/>
      <c r="D15" s="315"/>
      <c r="E15" s="315"/>
      <c r="F15" s="12"/>
      <c r="G15" s="315"/>
      <c r="H15" s="20">
        <f t="shared" si="0"/>
        <v>0</v>
      </c>
      <c r="I15" s="8">
        <f t="shared" si="1"/>
        <v>0</v>
      </c>
    </row>
    <row r="16" spans="1:9" ht="38.25">
      <c r="A16" s="31" t="s">
        <v>71</v>
      </c>
      <c r="B16" s="14" t="s">
        <v>23</v>
      </c>
      <c r="C16" s="18"/>
      <c r="D16" s="12">
        <f>SUM(D17:D20)</f>
        <v>0</v>
      </c>
      <c r="E16" s="12">
        <f>SUM(E17:E20)</f>
        <v>0</v>
      </c>
      <c r="F16" s="12">
        <f>SUM(F17:F20)</f>
        <v>0</v>
      </c>
      <c r="G16" s="12">
        <f>SUM(G17:G20)</f>
        <v>0</v>
      </c>
      <c r="H16" s="20">
        <f t="shared" si="0"/>
        <v>0</v>
      </c>
      <c r="I16" s="8">
        <f t="shared" si="1"/>
        <v>0</v>
      </c>
    </row>
    <row r="17" spans="1:9">
      <c r="A17" s="31" t="s">
        <v>72</v>
      </c>
      <c r="B17" s="1" t="s">
        <v>24</v>
      </c>
      <c r="C17" s="18"/>
      <c r="D17" s="315"/>
      <c r="E17" s="315"/>
      <c r="F17" s="12"/>
      <c r="G17" s="315"/>
      <c r="H17" s="20">
        <f t="shared" si="0"/>
        <v>0</v>
      </c>
      <c r="I17" s="8">
        <f t="shared" si="1"/>
        <v>0</v>
      </c>
    </row>
    <row r="18" spans="1:9" ht="25.5">
      <c r="A18" s="31" t="s">
        <v>73</v>
      </c>
      <c r="B18" s="141" t="s">
        <v>489</v>
      </c>
      <c r="C18" s="18"/>
      <c r="D18" s="315"/>
      <c r="E18" s="315"/>
      <c r="F18" s="12"/>
      <c r="G18" s="315"/>
      <c r="H18" s="20">
        <f t="shared" si="0"/>
        <v>0</v>
      </c>
      <c r="I18" s="8">
        <f t="shared" si="1"/>
        <v>0</v>
      </c>
    </row>
    <row r="19" spans="1:9">
      <c r="A19" s="142" t="s">
        <v>490</v>
      </c>
      <c r="B19" s="241" t="s">
        <v>485</v>
      </c>
      <c r="C19" s="18"/>
      <c r="D19" s="315"/>
      <c r="E19" s="315"/>
      <c r="F19" s="12"/>
      <c r="G19" s="315"/>
      <c r="H19" s="20"/>
      <c r="I19" s="8"/>
    </row>
    <row r="20" spans="1:9" ht="25.5">
      <c r="A20" s="31" t="s">
        <v>74</v>
      </c>
      <c r="B20" s="1" t="s">
        <v>25</v>
      </c>
      <c r="C20" s="18"/>
      <c r="D20" s="315"/>
      <c r="E20" s="315"/>
      <c r="F20" s="12"/>
      <c r="G20" s="315"/>
      <c r="H20" s="20">
        <f>IF(E20=0,0,F20/E20)</f>
        <v>0</v>
      </c>
      <c r="I20" s="8">
        <f>E20-F20</f>
        <v>0</v>
      </c>
    </row>
    <row r="21" spans="1:9">
      <c r="A21" s="31" t="s">
        <v>75</v>
      </c>
      <c r="B21" s="14" t="s">
        <v>2</v>
      </c>
      <c r="C21" s="18"/>
      <c r="D21" s="315"/>
      <c r="E21" s="315"/>
      <c r="F21" s="12"/>
      <c r="G21" s="315"/>
      <c r="H21" s="20">
        <f>IF(E21=0,0,F21/E21)</f>
        <v>0</v>
      </c>
      <c r="I21" s="8">
        <f>E21-F21</f>
        <v>0</v>
      </c>
    </row>
    <row r="22" spans="1:9">
      <c r="A22" s="1"/>
      <c r="B22" s="14" t="s">
        <v>123</v>
      </c>
      <c r="C22" s="248"/>
      <c r="D22" s="12">
        <f>SUM(D7,D12,D16,D21)</f>
        <v>362.20220000000006</v>
      </c>
      <c r="E22" s="12">
        <f>SUM(E7,E12,E16,E21)</f>
        <v>362.20220000000006</v>
      </c>
      <c r="F22" s="12">
        <f>SUM(F7,F12,F16,F21)</f>
        <v>352.45000000000005</v>
      </c>
      <c r="G22" s="12">
        <f>SUM(G7,G12,G16,G21)</f>
        <v>352.45000000000005</v>
      </c>
      <c r="H22" s="20">
        <f>IF(E22=0,0,F22/E22)</f>
        <v>0.97307526017235668</v>
      </c>
      <c r="I22" s="8">
        <f>E22-F22</f>
        <v>9.7522000000000162</v>
      </c>
    </row>
    <row r="23" spans="1:9">
      <c r="I23" s="22"/>
    </row>
  </sheetData>
  <mergeCells count="9">
    <mergeCell ref="I4:I5"/>
    <mergeCell ref="F4:G4"/>
    <mergeCell ref="H4:H5"/>
    <mergeCell ref="A3:I3"/>
    <mergeCell ref="A4:A5"/>
    <mergeCell ref="B4:B5"/>
    <mergeCell ref="C4:C5"/>
    <mergeCell ref="D4:D5"/>
    <mergeCell ref="E4:E5"/>
  </mergeCells>
  <phoneticPr fontId="5" type="noConversion"/>
  <pageMargins left="0.35433070866141736" right="0.19685039370078741" top="0.98425196850393704" bottom="0.98425196850393704" header="0.51181102362204722" footer="0.51181102362204722"/>
  <pageSetup paperSize="9" scale="92" orientation="landscape" r:id="rId1"/>
  <headerFooter alignWithMargins="0">
    <oddFooter>&amp;C5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5"/>
  <sheetViews>
    <sheetView workbookViewId="0">
      <selection activeCell="J26" sqref="J26"/>
    </sheetView>
  </sheetViews>
  <sheetFormatPr defaultRowHeight="12.75"/>
  <cols>
    <col min="1" max="1" width="9.140625" style="7"/>
    <col min="2" max="2" width="28.7109375" style="7" customWidth="1"/>
    <col min="3" max="3" width="14.28515625" style="7" customWidth="1"/>
    <col min="4" max="4" width="15.42578125" style="7" customWidth="1"/>
    <col min="5" max="5" width="15.5703125" style="7" customWidth="1"/>
    <col min="6" max="6" width="15" style="7" customWidth="1"/>
    <col min="7" max="7" width="16" style="7" customWidth="1"/>
    <col min="8" max="8" width="14.140625" style="7" customWidth="1"/>
    <col min="9" max="9" width="14.85546875" style="7" customWidth="1"/>
    <col min="10" max="16384" width="9.140625" style="7"/>
  </cols>
  <sheetData>
    <row r="1" spans="1:9">
      <c r="E1" s="235"/>
    </row>
    <row r="2" spans="1:9">
      <c r="H2" s="521"/>
      <c r="I2" s="482"/>
    </row>
    <row r="3" spans="1:9" ht="24" customHeight="1">
      <c r="A3" s="486" t="s">
        <v>495</v>
      </c>
      <c r="B3" s="487"/>
      <c r="C3" s="487"/>
      <c r="D3" s="487"/>
      <c r="E3" s="487"/>
      <c r="F3" s="487"/>
      <c r="G3" s="487"/>
      <c r="H3" s="487"/>
      <c r="I3" s="488"/>
    </row>
    <row r="4" spans="1:9" s="3" customFormat="1" ht="39.75" customHeight="1">
      <c r="A4" s="483" t="s">
        <v>0</v>
      </c>
      <c r="B4" s="483" t="s">
        <v>6</v>
      </c>
      <c r="C4" s="522" t="s">
        <v>27</v>
      </c>
      <c r="D4" s="522" t="s">
        <v>149</v>
      </c>
      <c r="E4" s="522" t="s">
        <v>156</v>
      </c>
      <c r="F4" s="509" t="s">
        <v>151</v>
      </c>
      <c r="G4" s="510"/>
      <c r="H4" s="519" t="s">
        <v>477</v>
      </c>
      <c r="I4" s="519" t="s">
        <v>473</v>
      </c>
    </row>
    <row r="5" spans="1:9" s="3" customFormat="1" ht="45" customHeight="1">
      <c r="A5" s="484"/>
      <c r="B5" s="484"/>
      <c r="C5" s="523"/>
      <c r="D5" s="523"/>
      <c r="E5" s="523"/>
      <c r="F5" s="232" t="s">
        <v>475</v>
      </c>
      <c r="G5" s="233" t="s">
        <v>476</v>
      </c>
      <c r="H5" s="523"/>
      <c r="I5" s="523"/>
    </row>
    <row r="6" spans="1:9" s="3" customFormat="1" ht="14.25" customHeight="1">
      <c r="A6" s="5">
        <v>1</v>
      </c>
      <c r="B6" s="5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</row>
    <row r="7" spans="1:9" ht="27.75" customHeight="1">
      <c r="A7" s="31" t="s">
        <v>76</v>
      </c>
      <c r="B7" s="14" t="s">
        <v>16</v>
      </c>
      <c r="C7" s="324"/>
      <c r="D7" s="12">
        <f>SUM(D8:D11)</f>
        <v>253.12599999999998</v>
      </c>
      <c r="E7" s="12">
        <f>SUM(E8:E11)</f>
        <v>253.12599999999998</v>
      </c>
      <c r="F7" s="12">
        <f>SUM(F8:F11)</f>
        <v>253.12599999999998</v>
      </c>
      <c r="G7" s="12">
        <f>SUM(G8:G11)</f>
        <v>253.12599999999998</v>
      </c>
      <c r="H7" s="10">
        <f t="shared" ref="H7:H14" si="0">IF(E7=0,0,F7/E7)</f>
        <v>1</v>
      </c>
      <c r="I7" s="8">
        <f t="shared" ref="I7:I14" si="1">E7-F7</f>
        <v>0</v>
      </c>
    </row>
    <row r="8" spans="1:9" ht="25.5" customHeight="1">
      <c r="A8" s="31" t="s">
        <v>77</v>
      </c>
      <c r="B8" s="141" t="s">
        <v>491</v>
      </c>
      <c r="C8" s="324"/>
      <c r="D8" s="315"/>
      <c r="E8" s="315"/>
      <c r="F8" s="12"/>
      <c r="G8" s="315"/>
      <c r="H8" s="10">
        <f t="shared" si="0"/>
        <v>0</v>
      </c>
      <c r="I8" s="8">
        <f t="shared" si="1"/>
        <v>0</v>
      </c>
    </row>
    <row r="9" spans="1:9" ht="35.25" customHeight="1">
      <c r="A9" s="31" t="s">
        <v>78</v>
      </c>
      <c r="B9" s="141" t="s">
        <v>492</v>
      </c>
      <c r="C9" s="324"/>
      <c r="D9" s="315">
        <f>'2. Детальний звіт'!G102</f>
        <v>253.12599999999998</v>
      </c>
      <c r="E9" s="315">
        <f>'2. Детальний звіт'!I102</f>
        <v>253.12599999999998</v>
      </c>
      <c r="F9" s="315">
        <f>'2. Детальний звіт'!L102</f>
        <v>253.12599999999998</v>
      </c>
      <c r="G9" s="315">
        <f>'2. Детальний звіт'!N102</f>
        <v>253.12599999999998</v>
      </c>
      <c r="H9" s="10">
        <f t="shared" si="0"/>
        <v>1</v>
      </c>
      <c r="I9" s="8">
        <f t="shared" si="1"/>
        <v>0</v>
      </c>
    </row>
    <row r="10" spans="1:9" ht="38.25" customHeight="1">
      <c r="A10" s="31" t="s">
        <v>79</v>
      </c>
      <c r="B10" s="141" t="s">
        <v>493</v>
      </c>
      <c r="C10" s="324"/>
      <c r="D10" s="315"/>
      <c r="E10" s="315"/>
      <c r="F10" s="12"/>
      <c r="G10" s="315"/>
      <c r="H10" s="10">
        <f t="shared" si="0"/>
        <v>0</v>
      </c>
      <c r="I10" s="8">
        <f t="shared" si="1"/>
        <v>0</v>
      </c>
    </row>
    <row r="11" spans="1:9" ht="39" customHeight="1">
      <c r="A11" s="31" t="s">
        <v>80</v>
      </c>
      <c r="B11" s="141" t="s">
        <v>494</v>
      </c>
      <c r="C11" s="324"/>
      <c r="D11" s="315"/>
      <c r="E11" s="315"/>
      <c r="F11" s="12"/>
      <c r="G11" s="315"/>
      <c r="H11" s="10">
        <f t="shared" si="0"/>
        <v>0</v>
      </c>
      <c r="I11" s="8">
        <f t="shared" si="1"/>
        <v>0</v>
      </c>
    </row>
    <row r="12" spans="1:9" ht="27" customHeight="1">
      <c r="A12" s="31" t="s">
        <v>81</v>
      </c>
      <c r="B12" s="14" t="s">
        <v>17</v>
      </c>
      <c r="C12" s="324"/>
      <c r="D12" s="315"/>
      <c r="E12" s="315"/>
      <c r="F12" s="12"/>
      <c r="G12" s="315"/>
      <c r="H12" s="10">
        <f t="shared" si="0"/>
        <v>0</v>
      </c>
      <c r="I12" s="8">
        <f t="shared" si="1"/>
        <v>0</v>
      </c>
    </row>
    <row r="13" spans="1:9" ht="18.75" customHeight="1">
      <c r="A13" s="31" t="s">
        <v>82</v>
      </c>
      <c r="B13" s="14" t="s">
        <v>2</v>
      </c>
      <c r="C13" s="324"/>
      <c r="D13" s="315"/>
      <c r="E13" s="315"/>
      <c r="F13" s="12"/>
      <c r="G13" s="315"/>
      <c r="H13" s="10">
        <f t="shared" si="0"/>
        <v>0</v>
      </c>
      <c r="I13" s="8">
        <f t="shared" si="1"/>
        <v>0</v>
      </c>
    </row>
    <row r="14" spans="1:9" ht="18.75" customHeight="1">
      <c r="A14" s="4"/>
      <c r="B14" s="21" t="s">
        <v>123</v>
      </c>
      <c r="C14" s="326"/>
      <c r="D14" s="12">
        <f>SUM(D7,D12:D13)</f>
        <v>253.12599999999998</v>
      </c>
      <c r="E14" s="12">
        <f>SUM(E7,E12:E13)</f>
        <v>253.12599999999998</v>
      </c>
      <c r="F14" s="12">
        <f>SUM(F7,F12:F13)</f>
        <v>253.12599999999998</v>
      </c>
      <c r="G14" s="12">
        <f>SUM(G7,G12:G13)</f>
        <v>253.12599999999998</v>
      </c>
      <c r="H14" s="10">
        <f t="shared" si="0"/>
        <v>1</v>
      </c>
      <c r="I14" s="8">
        <f t="shared" si="1"/>
        <v>0</v>
      </c>
    </row>
    <row r="15" spans="1:9">
      <c r="C15" s="325"/>
      <c r="D15" s="325"/>
      <c r="E15" s="325"/>
      <c r="F15" s="325"/>
      <c r="G15" s="325"/>
    </row>
  </sheetData>
  <mergeCells count="10">
    <mergeCell ref="H2:I2"/>
    <mergeCell ref="F4:G4"/>
    <mergeCell ref="H4:H5"/>
    <mergeCell ref="A3:I3"/>
    <mergeCell ref="A4:A5"/>
    <mergeCell ref="B4:B5"/>
    <mergeCell ref="C4:C5"/>
    <mergeCell ref="D4:D5"/>
    <mergeCell ref="E4:E5"/>
    <mergeCell ref="I4:I5"/>
  </mergeCells>
  <phoneticPr fontId="5" type="noConversion"/>
  <pageMargins left="0.27559055118110237" right="0.27559055118110237" top="0.98425196850393704" bottom="0.98425196850393704" header="0.51181102362204722" footer="0.51181102362204722"/>
  <pageSetup paperSize="9" orientation="landscape" r:id="rId1"/>
  <headerFooter alignWithMargins="0">
    <oddFooter>&amp;C6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11"/>
  <sheetViews>
    <sheetView workbookViewId="0">
      <selection activeCell="O20" sqref="O20"/>
    </sheetView>
  </sheetViews>
  <sheetFormatPr defaultRowHeight="12.75"/>
  <cols>
    <col min="1" max="1" width="5.42578125" style="19" customWidth="1"/>
    <col min="2" max="2" width="38.85546875" style="19" customWidth="1"/>
    <col min="3" max="3" width="13.7109375" style="16" customWidth="1"/>
    <col min="4" max="4" width="15.42578125" style="15" customWidth="1"/>
    <col min="5" max="5" width="15.5703125" style="15" customWidth="1"/>
    <col min="6" max="6" width="15.140625" style="15" customWidth="1"/>
    <col min="7" max="7" width="14.28515625" style="15" customWidth="1"/>
    <col min="8" max="8" width="13" style="15" customWidth="1"/>
    <col min="9" max="9" width="14.85546875" style="15" customWidth="1"/>
    <col min="10" max="16384" width="9.140625" style="15"/>
  </cols>
  <sheetData>
    <row r="2" spans="1:9" ht="19.5" customHeight="1">
      <c r="H2" s="524"/>
      <c r="I2" s="524"/>
    </row>
    <row r="3" spans="1:9" ht="21" customHeight="1">
      <c r="A3" s="486" t="s">
        <v>479</v>
      </c>
      <c r="B3" s="487"/>
      <c r="C3" s="487"/>
      <c r="D3" s="487"/>
      <c r="E3" s="487"/>
      <c r="F3" s="487"/>
      <c r="G3" s="487"/>
      <c r="H3" s="487"/>
      <c r="I3" s="488"/>
    </row>
    <row r="4" spans="1:9" s="16" customFormat="1" ht="41.25" customHeight="1">
      <c r="A4" s="483" t="s">
        <v>0</v>
      </c>
      <c r="B4" s="483" t="s">
        <v>6</v>
      </c>
      <c r="C4" s="522" t="s">
        <v>27</v>
      </c>
      <c r="D4" s="522" t="s">
        <v>149</v>
      </c>
      <c r="E4" s="522" t="s">
        <v>156</v>
      </c>
      <c r="F4" s="509" t="s">
        <v>151</v>
      </c>
      <c r="G4" s="510"/>
      <c r="H4" s="519" t="s">
        <v>477</v>
      </c>
      <c r="I4" s="519" t="s">
        <v>473</v>
      </c>
    </row>
    <row r="5" spans="1:9" s="16" customFormat="1" ht="41.25" customHeight="1">
      <c r="A5" s="484"/>
      <c r="B5" s="484"/>
      <c r="C5" s="523"/>
      <c r="D5" s="523"/>
      <c r="E5" s="523"/>
      <c r="F5" s="232" t="s">
        <v>475</v>
      </c>
      <c r="G5" s="233" t="s">
        <v>476</v>
      </c>
      <c r="H5" s="523"/>
      <c r="I5" s="523"/>
    </row>
    <row r="6" spans="1:9" s="16" customFormat="1" ht="15.75" customHeight="1">
      <c r="A6" s="5">
        <v>1</v>
      </c>
      <c r="B6" s="5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  <c r="H6" s="17">
        <v>8</v>
      </c>
      <c r="I6" s="17">
        <v>9</v>
      </c>
    </row>
    <row r="7" spans="1:9">
      <c r="A7" s="86" t="s">
        <v>245</v>
      </c>
      <c r="B7" s="134" t="s">
        <v>317</v>
      </c>
      <c r="C7" s="104"/>
      <c r="D7" s="50">
        <v>160.32</v>
      </c>
      <c r="E7" s="50">
        <f>D7</f>
        <v>160.32</v>
      </c>
      <c r="F7" s="67">
        <f>'2. Детальний звіт'!L110</f>
        <v>161.91999999999999</v>
      </c>
      <c r="G7" s="67">
        <f>'2. Детальний звіт'!N110</f>
        <v>161.91999999999996</v>
      </c>
      <c r="H7" s="327">
        <f t="shared" ref="H7:H9" si="0">F7/E7</f>
        <v>1.0099800399201597</v>
      </c>
      <c r="I7" s="328">
        <f t="shared" ref="I7:I9" si="1">E7-F7</f>
        <v>-1.5999999999999943</v>
      </c>
    </row>
    <row r="8" spans="1:9">
      <c r="A8" s="86" t="s">
        <v>246</v>
      </c>
      <c r="B8" s="134" t="s">
        <v>318</v>
      </c>
      <c r="C8" s="106"/>
      <c r="D8" s="50">
        <v>138.6</v>
      </c>
      <c r="E8" s="50">
        <f>D8</f>
        <v>138.6</v>
      </c>
      <c r="F8" s="67">
        <f>'2. Детальний звіт'!L111</f>
        <v>140.1</v>
      </c>
      <c r="G8" s="67">
        <f>'2. Детальний звіт'!N111</f>
        <v>140.1</v>
      </c>
      <c r="H8" s="327">
        <f t="shared" si="0"/>
        <v>1.0108225108225108</v>
      </c>
      <c r="I8" s="328">
        <f t="shared" si="1"/>
        <v>-1.5</v>
      </c>
    </row>
    <row r="9" spans="1:9">
      <c r="A9" s="115" t="s">
        <v>246</v>
      </c>
      <c r="B9" s="85" t="s">
        <v>247</v>
      </c>
      <c r="C9" s="105" t="s">
        <v>283</v>
      </c>
      <c r="D9" s="50">
        <v>179.94</v>
      </c>
      <c r="E9" s="50">
        <f>D9</f>
        <v>179.94</v>
      </c>
      <c r="F9" s="67">
        <f>'2. Детальний звіт'!L112</f>
        <v>172.5</v>
      </c>
      <c r="G9" s="67">
        <f>'2. Детальний звіт'!N112</f>
        <v>172.5</v>
      </c>
      <c r="H9" s="327">
        <f t="shared" si="0"/>
        <v>0.95865288429476492</v>
      </c>
      <c r="I9" s="328">
        <f t="shared" si="1"/>
        <v>7.4399999999999977</v>
      </c>
    </row>
    <row r="10" spans="1:9" s="55" customFormat="1">
      <c r="A10" s="52"/>
      <c r="B10" s="52" t="s">
        <v>123</v>
      </c>
      <c r="C10" s="53"/>
      <c r="D10" s="54">
        <f>SUM(D7:D9)</f>
        <v>478.85999999999996</v>
      </c>
      <c r="E10" s="54">
        <f>SUM(E7:E9)</f>
        <v>478.85999999999996</v>
      </c>
      <c r="F10" s="54">
        <f>SUM(F7:F9)</f>
        <v>474.52</v>
      </c>
      <c r="G10" s="54">
        <f>SUM(G7:G9)</f>
        <v>474.52</v>
      </c>
      <c r="H10" s="68">
        <f>F10/E10</f>
        <v>0.99093680825293406</v>
      </c>
      <c r="I10" s="54">
        <f>E10-F10</f>
        <v>4.339999999999975</v>
      </c>
    </row>
    <row r="11" spans="1:9">
      <c r="D11" s="16"/>
      <c r="E11" s="16"/>
      <c r="F11" s="16"/>
      <c r="G11" s="16"/>
      <c r="H11" s="16"/>
      <c r="I11" s="16"/>
    </row>
  </sheetData>
  <mergeCells count="10">
    <mergeCell ref="I4:I5"/>
    <mergeCell ref="F4:G4"/>
    <mergeCell ref="H4:H5"/>
    <mergeCell ref="A3:I3"/>
    <mergeCell ref="H2:I2"/>
    <mergeCell ref="A4:A5"/>
    <mergeCell ref="B4:B5"/>
    <mergeCell ref="C4:C5"/>
    <mergeCell ref="D4:D5"/>
    <mergeCell ref="E4:E5"/>
  </mergeCells>
  <phoneticPr fontId="5" type="noConversion"/>
  <pageMargins left="0.47244094488188981" right="0.35433070866141736" top="0.98425196850393704" bottom="0.98425196850393704" header="0.51181102362204722" footer="0.51181102362204722"/>
  <pageSetup paperSize="9" scale="96" orientation="landscape" r:id="rId1"/>
  <headerFooter alignWithMargins="0">
    <oddFooter>&amp;C7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"/>
  <sheetViews>
    <sheetView workbookViewId="0">
      <selection activeCell="H5" sqref="H5:I5"/>
    </sheetView>
  </sheetViews>
  <sheetFormatPr defaultRowHeight="12.75"/>
  <cols>
    <col min="1" max="1" width="5.5703125" style="15" customWidth="1"/>
    <col min="2" max="2" width="41.85546875" style="15" customWidth="1"/>
    <col min="3" max="3" width="13.7109375" style="15" customWidth="1"/>
    <col min="4" max="4" width="15.42578125" style="15" customWidth="1"/>
    <col min="5" max="5" width="15.5703125" style="15" customWidth="1"/>
    <col min="6" max="6" width="14.5703125" style="15" customWidth="1"/>
    <col min="7" max="7" width="14.28515625" style="15" customWidth="1"/>
    <col min="8" max="8" width="13" style="15" customWidth="1"/>
    <col min="9" max="9" width="14" style="15" customWidth="1"/>
    <col min="10" max="16384" width="9.140625" style="15"/>
  </cols>
  <sheetData>
    <row r="1" spans="1:9" ht="22.5" customHeight="1">
      <c r="A1" s="486" t="s">
        <v>47</v>
      </c>
      <c r="B1" s="487"/>
      <c r="C1" s="487"/>
      <c r="D1" s="487"/>
      <c r="E1" s="487"/>
      <c r="F1" s="487"/>
      <c r="G1" s="487"/>
      <c r="H1" s="487"/>
      <c r="I1" s="488"/>
    </row>
    <row r="2" spans="1:9" s="16" customFormat="1" ht="39.75" customHeight="1">
      <c r="A2" s="483" t="s">
        <v>0</v>
      </c>
      <c r="B2" s="483" t="s">
        <v>6</v>
      </c>
      <c r="C2" s="522" t="s">
        <v>27</v>
      </c>
      <c r="D2" s="522" t="s">
        <v>149</v>
      </c>
      <c r="E2" s="522" t="s">
        <v>156</v>
      </c>
      <c r="F2" s="509" t="s">
        <v>151</v>
      </c>
      <c r="G2" s="510"/>
      <c r="H2" s="522" t="s">
        <v>472</v>
      </c>
      <c r="I2" s="522" t="s">
        <v>473</v>
      </c>
    </row>
    <row r="3" spans="1:9" s="16" customFormat="1" ht="42.75" customHeight="1">
      <c r="A3" s="484"/>
      <c r="B3" s="484"/>
      <c r="C3" s="523"/>
      <c r="D3" s="523"/>
      <c r="E3" s="523"/>
      <c r="F3" s="232" t="s">
        <v>475</v>
      </c>
      <c r="G3" s="233" t="s">
        <v>476</v>
      </c>
      <c r="H3" s="523"/>
      <c r="I3" s="523"/>
    </row>
    <row r="4" spans="1:9" s="16" customFormat="1" ht="12.75" customHeight="1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</row>
    <row r="5" spans="1:9" s="61" customFormat="1" ht="12.75" customHeight="1">
      <c r="A5" s="58" t="s">
        <v>248</v>
      </c>
      <c r="B5" s="64" t="s">
        <v>249</v>
      </c>
      <c r="C5" s="59"/>
      <c r="D5" s="60">
        <f>D6+D7+D8</f>
        <v>82.18</v>
      </c>
      <c r="E5" s="60">
        <f>E6+E7+E8</f>
        <v>82.18</v>
      </c>
      <c r="F5" s="60">
        <f>F6+F7+F8</f>
        <v>88.199591999999996</v>
      </c>
      <c r="G5" s="60">
        <f t="shared" ref="G5" si="0">G6+G7+G8</f>
        <v>88.2</v>
      </c>
      <c r="H5" s="327"/>
      <c r="I5" s="329"/>
    </row>
    <row r="6" spans="1:9" s="61" customFormat="1" ht="12.75" customHeight="1">
      <c r="A6" s="62" t="s">
        <v>250</v>
      </c>
      <c r="B6" s="65" t="s">
        <v>251</v>
      </c>
      <c r="C6" s="59"/>
      <c r="D6" s="63">
        <v>31.939999999999998</v>
      </c>
      <c r="E6" s="66">
        <f>D6</f>
        <v>31.939999999999998</v>
      </c>
      <c r="F6" s="63">
        <f>'2. Детальний звіт'!L116</f>
        <v>39.999599999999994</v>
      </c>
      <c r="G6" s="63">
        <f>'2. Детальний звіт'!N116</f>
        <v>40</v>
      </c>
      <c r="H6" s="327">
        <f t="shared" ref="H6:H8" si="1">F6/E6</f>
        <v>1.2523356293049466</v>
      </c>
      <c r="I6" s="329">
        <f t="shared" ref="I6:I8" si="2">E6-F6</f>
        <v>-8.0595999999999961</v>
      </c>
    </row>
    <row r="7" spans="1:9" s="19" customFormat="1" ht="12.75" customHeight="1">
      <c r="A7" s="49" t="s">
        <v>252</v>
      </c>
      <c r="B7" s="51" t="s">
        <v>253</v>
      </c>
      <c r="C7" s="18"/>
      <c r="D7" s="56">
        <v>2.04</v>
      </c>
      <c r="E7" s="66">
        <f t="shared" ref="E7:E8" si="3">D7</f>
        <v>2.04</v>
      </c>
      <c r="F7" s="56"/>
      <c r="G7" s="56"/>
      <c r="H7" s="327">
        <f t="shared" si="1"/>
        <v>0</v>
      </c>
      <c r="I7" s="329">
        <f t="shared" si="2"/>
        <v>2.04</v>
      </c>
    </row>
    <row r="8" spans="1:9" s="19" customFormat="1" ht="12.75" customHeight="1">
      <c r="A8" s="49" t="s">
        <v>254</v>
      </c>
      <c r="B8" s="51" t="s">
        <v>255</v>
      </c>
      <c r="C8" s="18"/>
      <c r="D8" s="56">
        <v>48.2</v>
      </c>
      <c r="E8" s="66">
        <f t="shared" si="3"/>
        <v>48.2</v>
      </c>
      <c r="F8" s="56">
        <f>'2. Детальний звіт'!L118</f>
        <v>48.199992000000002</v>
      </c>
      <c r="G8" s="56">
        <f>E8</f>
        <v>48.2</v>
      </c>
      <c r="H8" s="327">
        <f t="shared" si="1"/>
        <v>0.99999983402489623</v>
      </c>
      <c r="I8" s="329">
        <f t="shared" si="2"/>
        <v>8.0000000011182237E-6</v>
      </c>
    </row>
    <row r="9" spans="1:9" s="55" customFormat="1">
      <c r="A9" s="53"/>
      <c r="B9" s="53" t="s">
        <v>123</v>
      </c>
      <c r="C9" s="53"/>
      <c r="D9" s="57">
        <f>D5</f>
        <v>82.18</v>
      </c>
      <c r="E9" s="57">
        <f t="shared" ref="E9:G9" si="4">E5</f>
        <v>82.18</v>
      </c>
      <c r="F9" s="57">
        <f>F5</f>
        <v>88.199591999999996</v>
      </c>
      <c r="G9" s="57">
        <f t="shared" si="4"/>
        <v>88.2</v>
      </c>
      <c r="H9" s="68">
        <f>F9/E9</f>
        <v>1.073248868337795</v>
      </c>
      <c r="I9" s="57">
        <f>E9-F9</f>
        <v>-6.0195919999999887</v>
      </c>
    </row>
  </sheetData>
  <mergeCells count="9">
    <mergeCell ref="A1:I1"/>
    <mergeCell ref="I2:I3"/>
    <mergeCell ref="F2:G2"/>
    <mergeCell ref="H2:H3"/>
    <mergeCell ref="A2:A3"/>
    <mergeCell ref="B2:B3"/>
    <mergeCell ref="C2:C3"/>
    <mergeCell ref="D2:D3"/>
    <mergeCell ref="E2:E3"/>
  </mergeCells>
  <phoneticPr fontId="5" type="noConversion"/>
  <pageMargins left="0.51181102362204722" right="0.35433070866141736" top="0.98425196850393704" bottom="0.98425196850393704" header="0.51181102362204722" footer="0.51181102362204722"/>
  <pageSetup paperSize="9" scale="95" orientation="landscape" r:id="rId1"/>
  <headerFooter alignWithMargins="0">
    <oddFooter>&amp;C8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Загальна інформація</vt:lpstr>
      <vt:lpstr>1. Зведений звіт</vt:lpstr>
      <vt:lpstr>1.1. Технічний розвиток мереж</vt:lpstr>
      <vt:lpstr>1.2. Зниження понаднорматива</vt:lpstr>
      <vt:lpstr>1.3. АСДТК</vt:lpstr>
      <vt:lpstr>1.4. Інформаційні технології</vt:lpstr>
      <vt:lpstr>1.5. Зв'язок</vt:lpstr>
      <vt:lpstr>1.6. Транспорт</vt:lpstr>
      <vt:lpstr>1.7. Інше</vt:lpstr>
      <vt:lpstr>2. Детальний звіт</vt:lpstr>
      <vt:lpstr>4. Перелік закупівель</vt:lpstr>
      <vt:lpstr>'2. Детальний звіт'!Заголовки_для_печати</vt:lpstr>
      <vt:lpstr>'2. Детальний звіт'!Область_печати</vt:lpstr>
      <vt:lpstr>'Загальна інформація'!Область_печати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mkireycevaya</cp:lastModifiedBy>
  <cp:lastPrinted>2013-01-23T08:07:31Z</cp:lastPrinted>
  <dcterms:created xsi:type="dcterms:W3CDTF">1996-10-08T23:32:33Z</dcterms:created>
  <dcterms:modified xsi:type="dcterms:W3CDTF">2013-01-23T08:13:15Z</dcterms:modified>
</cp:coreProperties>
</file>