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20" yWindow="45" windowWidth="28575" windowHeight="12210" tabRatio="793"/>
  </bookViews>
  <sheets>
    <sheet name="ф 6НКРЕ" sheetId="1" r:id="rId1"/>
    <sheet name="расш. 305" sheetId="2" r:id="rId2"/>
    <sheet name="Прочие услуги НКРЕ" sheetId="17" r:id="rId3"/>
    <sheet name="Затраті под прочие услуги" sheetId="18" r:id="rId4"/>
    <sheet name="Прочие счета" sheetId="7" r:id="rId5"/>
    <sheet name="Ф2" sheetId="9" r:id="rId6"/>
    <sheet name="план тариф" sheetId="16" r:id="rId7"/>
    <sheet name="свод расходов" sheetId="15" r:id="rId8"/>
    <sheet name="Лист3" sheetId="3" r:id="rId9"/>
    <sheet name="резерв отпусков" sheetId="4" r:id="rId10"/>
    <sheet name="себестоимость" sheetId="5" r:id="rId11"/>
    <sheet name="все расходы" sheetId="6" r:id="rId12"/>
    <sheet name="свод продаж" sheetId="12" r:id="rId13"/>
    <sheet name="продажи" sheetId="10" r:id="rId14"/>
  </sheets>
  <externalReferences>
    <externalReference r:id="rId15"/>
    <externalReference r:id="rId16"/>
  </externalReferences>
  <definedNames>
    <definedName name="_xlnm._FilterDatabase" localSheetId="11" hidden="1">'все расходы'!$A$3:$H$95</definedName>
    <definedName name="_xlnm._FilterDatabase" localSheetId="13" hidden="1">продажи!$A$8:$F$84</definedName>
  </definedNames>
  <calcPr calcId="124519"/>
  <pivotCaches>
    <pivotCache cacheId="38" r:id="rId17"/>
    <pivotCache cacheId="54" r:id="rId18"/>
  </pivotCaches>
</workbook>
</file>

<file path=xl/calcChain.xml><?xml version="1.0" encoding="utf-8"?>
<calcChain xmlns="http://schemas.openxmlformats.org/spreadsheetml/2006/main">
  <c r="F23" i="17"/>
  <c r="F24"/>
  <c r="F25"/>
  <c r="F26"/>
  <c r="F27"/>
  <c r="F28"/>
  <c r="F29"/>
  <c r="F30"/>
  <c r="F31"/>
  <c r="F22"/>
  <c r="F10"/>
  <c r="F11"/>
  <c r="F9"/>
  <c r="M27" i="1"/>
  <c r="M52"/>
  <c r="O103"/>
  <c r="F92"/>
  <c r="E92"/>
  <c r="F52"/>
  <c r="K29" i="2" l="1"/>
  <c r="M29" s="1"/>
  <c r="K28"/>
  <c r="M28" s="1"/>
  <c r="K27"/>
  <c r="M27" s="1"/>
  <c r="M29" i="1"/>
  <c r="M28"/>
  <c r="M49"/>
  <c r="F29"/>
  <c r="F28"/>
  <c r="F27"/>
  <c r="F49"/>
  <c r="H27" i="18" l="1"/>
  <c r="H64" s="1"/>
  <c r="B73"/>
  <c r="C64"/>
  <c r="D64"/>
  <c r="E64"/>
  <c r="F64"/>
  <c r="G64"/>
  <c r="I64"/>
  <c r="J64"/>
  <c r="K64"/>
  <c r="L64"/>
  <c r="B64"/>
  <c r="C27"/>
  <c r="B27"/>
  <c r="K27"/>
  <c r="D27"/>
  <c r="I27"/>
  <c r="E38"/>
  <c r="G38"/>
  <c r="I38"/>
  <c r="C72"/>
  <c r="E72"/>
  <c r="G72"/>
  <c r="H72"/>
  <c r="I72"/>
  <c r="B72"/>
  <c r="M44" i="1"/>
  <c r="D17" i="2"/>
  <c r="B67" i="18"/>
  <c r="L63"/>
  <c r="C24" i="17"/>
  <c r="L65" i="18"/>
  <c r="C29" i="17" s="1"/>
  <c r="L66" i="18"/>
  <c r="C25" i="17" s="1"/>
  <c r="L50" i="18"/>
  <c r="C10" i="17" s="1"/>
  <c r="L68" i="18"/>
  <c r="C26" i="17" s="1"/>
  <c r="L69" i="18"/>
  <c r="C27" i="17" s="1"/>
  <c r="L70" i="18"/>
  <c r="C28" i="17" s="1"/>
  <c r="L71" i="18"/>
  <c r="C30" i="17" s="1"/>
  <c r="C63" i="18"/>
  <c r="D63"/>
  <c r="E63"/>
  <c r="F63"/>
  <c r="G63"/>
  <c r="H63"/>
  <c r="I63"/>
  <c r="J63"/>
  <c r="K63"/>
  <c r="C65"/>
  <c r="D65"/>
  <c r="E65"/>
  <c r="F65"/>
  <c r="G65"/>
  <c r="H65"/>
  <c r="I65"/>
  <c r="J65"/>
  <c r="K65"/>
  <c r="C66"/>
  <c r="D66"/>
  <c r="E66"/>
  <c r="F66"/>
  <c r="G66"/>
  <c r="H66"/>
  <c r="I66"/>
  <c r="J66"/>
  <c r="K66"/>
  <c r="C50"/>
  <c r="D50"/>
  <c r="E50"/>
  <c r="F50"/>
  <c r="G50"/>
  <c r="H50"/>
  <c r="I50"/>
  <c r="J50"/>
  <c r="K50"/>
  <c r="C68"/>
  <c r="D68"/>
  <c r="E68"/>
  <c r="F68"/>
  <c r="G68"/>
  <c r="H68"/>
  <c r="I68"/>
  <c r="J68"/>
  <c r="K68"/>
  <c r="C69"/>
  <c r="D69"/>
  <c r="E69"/>
  <c r="F69"/>
  <c r="G69"/>
  <c r="H69"/>
  <c r="I69"/>
  <c r="J69"/>
  <c r="K69"/>
  <c r="C70"/>
  <c r="D70"/>
  <c r="E70"/>
  <c r="F70"/>
  <c r="G70"/>
  <c r="H70"/>
  <c r="I70"/>
  <c r="J70"/>
  <c r="K70"/>
  <c r="C71"/>
  <c r="D71"/>
  <c r="E71"/>
  <c r="F71"/>
  <c r="G71"/>
  <c r="H71"/>
  <c r="I71"/>
  <c r="J71"/>
  <c r="K71"/>
  <c r="B71"/>
  <c r="B70"/>
  <c r="B69"/>
  <c r="B68"/>
  <c r="B50"/>
  <c r="B66"/>
  <c r="B65"/>
  <c r="B63"/>
  <c r="M68"/>
  <c r="D26" i="17" s="1"/>
  <c r="M66" i="18"/>
  <c r="D25" i="17" s="1"/>
  <c r="M65" i="18"/>
  <c r="D29" i="17" s="1"/>
  <c r="C52" i="18"/>
  <c r="D52"/>
  <c r="E52"/>
  <c r="F52"/>
  <c r="G52"/>
  <c r="H52"/>
  <c r="I52"/>
  <c r="J52"/>
  <c r="K52"/>
  <c r="L52"/>
  <c r="C9" i="17" s="1"/>
  <c r="B52" i="18"/>
  <c r="C51"/>
  <c r="D51"/>
  <c r="E51"/>
  <c r="F51"/>
  <c r="G51"/>
  <c r="H51"/>
  <c r="I51"/>
  <c r="J51"/>
  <c r="K51"/>
  <c r="L51"/>
  <c r="B51"/>
  <c r="C67"/>
  <c r="D67"/>
  <c r="E67"/>
  <c r="F67"/>
  <c r="G67"/>
  <c r="H67"/>
  <c r="I67"/>
  <c r="J67"/>
  <c r="K67"/>
  <c r="L67"/>
  <c r="C23" i="17" s="1"/>
  <c r="B38" i="18"/>
  <c r="M27"/>
  <c r="N26"/>
  <c r="N28"/>
  <c r="N29"/>
  <c r="N30"/>
  <c r="N31"/>
  <c r="N32"/>
  <c r="N33"/>
  <c r="N34"/>
  <c r="N35"/>
  <c r="N36"/>
  <c r="N25"/>
  <c r="D37"/>
  <c r="L37"/>
  <c r="M70" l="1"/>
  <c r="D28" i="17" s="1"/>
  <c r="M50" i="18"/>
  <c r="D10" i="17" s="1"/>
  <c r="M51" i="18"/>
  <c r="D11" i="17" s="1"/>
  <c r="M69" i="18"/>
  <c r="D27" i="17" s="1"/>
  <c r="L53" i="18"/>
  <c r="N65"/>
  <c r="N50"/>
  <c r="J53"/>
  <c r="H53"/>
  <c r="F53"/>
  <c r="D53"/>
  <c r="I73"/>
  <c r="G73"/>
  <c r="E73"/>
  <c r="C73"/>
  <c r="N66"/>
  <c r="N68"/>
  <c r="N70"/>
  <c r="K53"/>
  <c r="I53"/>
  <c r="G53"/>
  <c r="E53"/>
  <c r="C53"/>
  <c r="H73"/>
  <c r="L38"/>
  <c r="K37"/>
  <c r="K72" s="1"/>
  <c r="L72"/>
  <c r="F37"/>
  <c r="F72" s="1"/>
  <c r="F73" s="1"/>
  <c r="M30" i="1" s="1"/>
  <c r="D72" i="18"/>
  <c r="I77"/>
  <c r="G77"/>
  <c r="E77"/>
  <c r="D73"/>
  <c r="M31" i="1" s="1"/>
  <c r="M68" s="1"/>
  <c r="L73" i="18"/>
  <c r="L77" s="1"/>
  <c r="B53"/>
  <c r="C11" i="17"/>
  <c r="M63" i="18"/>
  <c r="K38"/>
  <c r="C38"/>
  <c r="C77" s="1"/>
  <c r="C22" i="17"/>
  <c r="N63" i="18"/>
  <c r="H38"/>
  <c r="H77" s="1"/>
  <c r="F38"/>
  <c r="D38"/>
  <c r="C31" i="17"/>
  <c r="M52" i="18"/>
  <c r="D9" i="17" s="1"/>
  <c r="M67" i="18"/>
  <c r="D23" i="17" s="1"/>
  <c r="N27" i="18"/>
  <c r="M64"/>
  <c r="D24" i="17" s="1"/>
  <c r="M71" i="18"/>
  <c r="M32"/>
  <c r="M33"/>
  <c r="M35"/>
  <c r="M34"/>
  <c r="M36"/>
  <c r="F31" i="1"/>
  <c r="F30"/>
  <c r="N51" i="18" l="1"/>
  <c r="N69"/>
  <c r="F77"/>
  <c r="N64"/>
  <c r="D22" i="17"/>
  <c r="M53" i="18"/>
  <c r="B77"/>
  <c r="K73"/>
  <c r="K77" s="1"/>
  <c r="D77"/>
  <c r="N52"/>
  <c r="N67"/>
  <c r="J37"/>
  <c r="D30" i="17"/>
  <c r="N71" i="18"/>
  <c r="M26"/>
  <c r="M25"/>
  <c r="M28"/>
  <c r="M31"/>
  <c r="M29"/>
  <c r="M30"/>
  <c r="M37" l="1"/>
  <c r="J38"/>
  <c r="N38" s="1"/>
  <c r="J72"/>
  <c r="N37"/>
  <c r="M38"/>
  <c r="J73" l="1"/>
  <c r="J77" s="1"/>
  <c r="M72"/>
  <c r="E30" i="17"/>
  <c r="N72" i="18" l="1"/>
  <c r="D31" i="17"/>
  <c r="E31" s="1"/>
  <c r="I31" s="1"/>
  <c r="M73" i="18"/>
  <c r="M77" s="1"/>
  <c r="I30" i="17"/>
  <c r="E29"/>
  <c r="I29" s="1"/>
  <c r="E28" l="1"/>
  <c r="I28" s="1"/>
  <c r="E27" l="1"/>
  <c r="I27" s="1"/>
  <c r="E26" l="1"/>
  <c r="I26" s="1"/>
  <c r="E25" l="1"/>
  <c r="I25" s="1"/>
  <c r="E24"/>
  <c r="I24" s="1"/>
  <c r="E23" l="1"/>
  <c r="I23" s="1"/>
  <c r="C21"/>
  <c r="F21"/>
  <c r="F32" s="1"/>
  <c r="D21"/>
  <c r="D32" s="1"/>
  <c r="C32" l="1"/>
  <c r="M74" i="1" s="1"/>
  <c r="E21" i="17"/>
  <c r="E22"/>
  <c r="I22" s="1"/>
  <c r="E32" l="1"/>
  <c r="I21"/>
  <c r="E11"/>
  <c r="I11" s="1"/>
  <c r="F12" l="1"/>
  <c r="F35" s="1"/>
  <c r="E10"/>
  <c r="I10" s="1"/>
  <c r="D12"/>
  <c r="D35" s="1"/>
  <c r="C12" l="1"/>
  <c r="E9"/>
  <c r="J76" i="1"/>
  <c r="C35" i="17" l="1"/>
  <c r="E12"/>
  <c r="E35" s="1"/>
  <c r="I9"/>
  <c r="I75" i="1" l="1"/>
  <c r="J75"/>
  <c r="E69" l="1"/>
  <c r="I74" s="1"/>
  <c r="F66"/>
  <c r="F64"/>
  <c r="F54"/>
  <c r="F50"/>
  <c r="G25" i="7"/>
  <c r="F65" i="1"/>
  <c r="F63"/>
  <c r="F55"/>
  <c r="F62"/>
  <c r="E68" l="1"/>
  <c r="C18" i="2"/>
  <c r="C17"/>
  <c r="C16"/>
  <c r="C14"/>
  <c r="G14" s="1"/>
  <c r="L14" s="1"/>
  <c r="C13"/>
  <c r="C12"/>
  <c r="C11"/>
  <c r="C10"/>
  <c r="C9"/>
  <c r="E67" i="1"/>
  <c r="E66"/>
  <c r="E65"/>
  <c r="E64"/>
  <c r="E63"/>
  <c r="E62"/>
  <c r="E55"/>
  <c r="E54"/>
  <c r="E52"/>
  <c r="E50"/>
  <c r="E49"/>
  <c r="E40" i="16"/>
  <c r="E41"/>
  <c r="E39"/>
  <c r="E36"/>
  <c r="E35"/>
  <c r="E34"/>
  <c r="E33"/>
  <c r="E32"/>
  <c r="C15" i="2" s="1"/>
  <c r="G15" s="1"/>
  <c r="L15" s="1"/>
  <c r="E31" i="16"/>
  <c r="E30"/>
  <c r="E29"/>
  <c r="E28"/>
  <c r="E27"/>
  <c r="E26"/>
  <c r="E23"/>
  <c r="E22"/>
  <c r="E21"/>
  <c r="E20"/>
  <c r="E19"/>
  <c r="E18"/>
  <c r="E9"/>
  <c r="E10"/>
  <c r="E11"/>
  <c r="E12"/>
  <c r="E13"/>
  <c r="E14"/>
  <c r="E15"/>
  <c r="E16"/>
  <c r="E8"/>
  <c r="J128" i="2"/>
  <c r="G18"/>
  <c r="L18" s="1"/>
  <c r="G17"/>
  <c r="L17" s="1"/>
  <c r="H17"/>
  <c r="M17" s="1"/>
  <c r="G16"/>
  <c r="L16" s="1"/>
  <c r="G13"/>
  <c r="L13" s="1"/>
  <c r="G12"/>
  <c r="L12" s="1"/>
  <c r="G11"/>
  <c r="L11" s="1"/>
  <c r="G10"/>
  <c r="G9"/>
  <c r="L9" s="1"/>
  <c r="K8"/>
  <c r="D41" i="16"/>
  <c r="E37"/>
  <c r="D37"/>
  <c r="C37"/>
  <c r="D36"/>
  <c r="D35"/>
  <c r="D34"/>
  <c r="D33"/>
  <c r="D30"/>
  <c r="D29"/>
  <c r="D28"/>
  <c r="D27"/>
  <c r="D26"/>
  <c r="D25"/>
  <c r="C25"/>
  <c r="C17" s="1"/>
  <c r="C6" s="1"/>
  <c r="D24"/>
  <c r="E24" s="1"/>
  <c r="D23"/>
  <c r="D22"/>
  <c r="D21"/>
  <c r="D20"/>
  <c r="D19"/>
  <c r="D18"/>
  <c r="D16"/>
  <c r="D12"/>
  <c r="D11"/>
  <c r="D10"/>
  <c r="D9"/>
  <c r="D8"/>
  <c r="E7" s="1"/>
  <c r="D7"/>
  <c r="C7"/>
  <c r="D23" i="9"/>
  <c r="O84" i="1" s="1"/>
  <c r="D21" i="9"/>
  <c r="O81" i="1" s="1"/>
  <c r="O82" s="1"/>
  <c r="D20" i="9"/>
  <c r="O80" i="1" s="1"/>
  <c r="D19" i="9"/>
  <c r="O79" i="1" s="1"/>
  <c r="D14" i="9"/>
  <c r="F69" i="1"/>
  <c r="D11" i="9"/>
  <c r="D53"/>
  <c r="D51"/>
  <c r="D16" i="2"/>
  <c r="D14"/>
  <c r="D9"/>
  <c r="F33" i="1"/>
  <c r="D54" i="9"/>
  <c r="D52"/>
  <c r="D50"/>
  <c r="D18" i="2"/>
  <c r="D15"/>
  <c r="D12"/>
  <c r="D10"/>
  <c r="F36" i="1"/>
  <c r="F34"/>
  <c r="D11" i="2"/>
  <c r="F37" i="1"/>
  <c r="F35"/>
  <c r="D12" i="9"/>
  <c r="M76" i="1" l="1"/>
  <c r="E30"/>
  <c r="E36" s="1"/>
  <c r="E27"/>
  <c r="E33" s="1"/>
  <c r="E29"/>
  <c r="E35" s="1"/>
  <c r="E28"/>
  <c r="E34" s="1"/>
  <c r="D55" i="9"/>
  <c r="E25" i="16"/>
  <c r="C8" i="2"/>
  <c r="H15"/>
  <c r="M15" s="1"/>
  <c r="H9"/>
  <c r="M9" s="1"/>
  <c r="H11"/>
  <c r="M11" s="1"/>
  <c r="H13"/>
  <c r="M13" s="1"/>
  <c r="H14"/>
  <c r="M14" s="1"/>
  <c r="H10"/>
  <c r="M10" s="1"/>
  <c r="H12"/>
  <c r="M12" s="1"/>
  <c r="H16"/>
  <c r="M16" s="1"/>
  <c r="L10"/>
  <c r="G8"/>
  <c r="L8" s="1"/>
  <c r="C42" i="16"/>
  <c r="E17"/>
  <c r="D17"/>
  <c r="D6" s="1"/>
  <c r="D42" s="1"/>
  <c r="E6" l="1"/>
  <c r="E42" s="1"/>
  <c r="E31" i="1"/>
  <c r="E37" s="1"/>
  <c r="H18" i="2"/>
  <c r="D8"/>
  <c r="F68" i="1" s="1"/>
  <c r="M8" i="2" l="1"/>
  <c r="M18"/>
  <c r="H8"/>
  <c r="D5" i="6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4"/>
  <c r="D26" i="10"/>
  <c r="D10"/>
  <c r="D11"/>
  <c r="D12"/>
  <c r="D13"/>
  <c r="D14"/>
  <c r="D15"/>
  <c r="D16"/>
  <c r="D17"/>
  <c r="D18"/>
  <c r="D19"/>
  <c r="D20"/>
  <c r="D21"/>
  <c r="D22"/>
  <c r="D23"/>
  <c r="D24"/>
  <c r="D25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9"/>
  <c r="D6" i="9"/>
  <c r="D7"/>
  <c r="D9" l="1"/>
  <c r="D16" s="1"/>
  <c r="D25" s="1"/>
  <c r="C83" i="6"/>
  <c r="E10" i="5" l="1"/>
  <c r="E139"/>
  <c r="C62" i="6" s="1"/>
  <c r="D62" s="1"/>
  <c r="E138" i="5"/>
  <c r="C61" i="6" s="1"/>
  <c r="D61" s="1"/>
  <c r="E16" i="5"/>
  <c r="E135"/>
  <c r="E134"/>
  <c r="E133"/>
  <c r="E131"/>
  <c r="E130"/>
  <c r="E129"/>
  <c r="E128"/>
  <c r="E127"/>
  <c r="E125"/>
  <c r="E122"/>
  <c r="E119"/>
  <c r="E117"/>
  <c r="E115"/>
  <c r="E110"/>
  <c r="E108"/>
  <c r="E106"/>
  <c r="E104"/>
  <c r="E102"/>
  <c r="E100"/>
  <c r="E98"/>
  <c r="E95"/>
  <c r="E91"/>
  <c r="E89"/>
  <c r="E87"/>
  <c r="E84"/>
  <c r="E81"/>
  <c r="E80"/>
  <c r="E79"/>
  <c r="E78"/>
  <c r="E77"/>
  <c r="E76"/>
  <c r="E75"/>
  <c r="E74"/>
  <c r="E73"/>
  <c r="E72"/>
  <c r="E69"/>
  <c r="E66"/>
  <c r="E63"/>
  <c r="E60"/>
  <c r="E57"/>
  <c r="E55"/>
  <c r="E53"/>
  <c r="E51"/>
  <c r="E49"/>
  <c r="E45"/>
  <c r="E42"/>
  <c r="E38"/>
  <c r="E34"/>
  <c r="E32"/>
  <c r="E29"/>
  <c r="E26"/>
  <c r="E23"/>
  <c r="E20"/>
  <c r="E13"/>
  <c r="E8"/>
  <c r="E136" s="1"/>
  <c r="Q6" i="4"/>
  <c r="R6"/>
  <c r="G58" i="1"/>
  <c r="G61"/>
  <c r="G60"/>
  <c r="G59"/>
  <c r="L119"/>
  <c r="K119"/>
  <c r="J119"/>
  <c r="I119"/>
  <c r="L117"/>
  <c r="K117"/>
  <c r="J117"/>
  <c r="I117"/>
  <c r="L116"/>
  <c r="K116"/>
  <c r="J116"/>
  <c r="I116"/>
  <c r="L115"/>
  <c r="L118" s="1"/>
  <c r="K115"/>
  <c r="K118" s="1"/>
  <c r="J115"/>
  <c r="J118" s="1"/>
  <c r="I115"/>
  <c r="I118" s="1"/>
  <c r="L112"/>
  <c r="K112"/>
  <c r="J112"/>
  <c r="I112"/>
  <c r="O106"/>
  <c r="N106"/>
  <c r="N105"/>
  <c r="O105"/>
  <c r="M100"/>
  <c r="L100"/>
  <c r="K100"/>
  <c r="H100"/>
  <c r="G100"/>
  <c r="D100"/>
  <c r="C100"/>
  <c r="J99"/>
  <c r="I99"/>
  <c r="H96"/>
  <c r="D96"/>
  <c r="D97" s="1"/>
  <c r="C96"/>
  <c r="H94"/>
  <c r="F94"/>
  <c r="D94"/>
  <c r="C94"/>
  <c r="H93"/>
  <c r="H95" s="1"/>
  <c r="D93"/>
  <c r="C93"/>
  <c r="C95" s="1"/>
  <c r="E96"/>
  <c r="O76"/>
  <c r="N75"/>
  <c r="O72"/>
  <c r="N72"/>
  <c r="J68"/>
  <c r="I67"/>
  <c r="N67" s="1"/>
  <c r="I65"/>
  <c r="N65" s="1"/>
  <c r="L61"/>
  <c r="K61"/>
  <c r="H61"/>
  <c r="D61"/>
  <c r="C61"/>
  <c r="L60"/>
  <c r="K60"/>
  <c r="H60"/>
  <c r="D60"/>
  <c r="C60"/>
  <c r="L59"/>
  <c r="K59"/>
  <c r="H59"/>
  <c r="D59"/>
  <c r="C59"/>
  <c r="L58"/>
  <c r="K58"/>
  <c r="H58"/>
  <c r="D58"/>
  <c r="C58"/>
  <c r="J57"/>
  <c r="O57" s="1"/>
  <c r="I57"/>
  <c r="N57" s="1"/>
  <c r="J56"/>
  <c r="O56" s="1"/>
  <c r="I56"/>
  <c r="N56" s="1"/>
  <c r="J53"/>
  <c r="O53" s="1"/>
  <c r="I53"/>
  <c r="N53" s="1"/>
  <c r="J51"/>
  <c r="O51" s="1"/>
  <c r="I51"/>
  <c r="N51" s="1"/>
  <c r="L48"/>
  <c r="K48"/>
  <c r="H48"/>
  <c r="G48"/>
  <c r="D48"/>
  <c r="C48"/>
  <c r="J44"/>
  <c r="I44"/>
  <c r="N44" s="1"/>
  <c r="J43"/>
  <c r="O43" s="1"/>
  <c r="I43"/>
  <c r="N43" s="1"/>
  <c r="J42"/>
  <c r="O42" s="1"/>
  <c r="I42"/>
  <c r="N42" s="1"/>
  <c r="J41"/>
  <c r="O41" s="1"/>
  <c r="I41"/>
  <c r="N41" s="1"/>
  <c r="J40"/>
  <c r="O40" s="1"/>
  <c r="I40"/>
  <c r="N40" s="1"/>
  <c r="J39"/>
  <c r="O39" s="1"/>
  <c r="I39"/>
  <c r="N39" s="1"/>
  <c r="M38"/>
  <c r="L38"/>
  <c r="K38"/>
  <c r="H38"/>
  <c r="G38"/>
  <c r="F38"/>
  <c r="E38"/>
  <c r="D38"/>
  <c r="J38" s="1"/>
  <c r="O38" s="1"/>
  <c r="C38"/>
  <c r="I38" s="1"/>
  <c r="N38" s="1"/>
  <c r="I37"/>
  <c r="N37" s="1"/>
  <c r="I36"/>
  <c r="N36" s="1"/>
  <c r="I35"/>
  <c r="N35" s="1"/>
  <c r="I34"/>
  <c r="N34" s="1"/>
  <c r="I33"/>
  <c r="N33" s="1"/>
  <c r="M32"/>
  <c r="L32"/>
  <c r="K32"/>
  <c r="H32"/>
  <c r="G32"/>
  <c r="E32"/>
  <c r="D32"/>
  <c r="C32"/>
  <c r="E61"/>
  <c r="M60"/>
  <c r="E60"/>
  <c r="E59"/>
  <c r="M58"/>
  <c r="E58"/>
  <c r="E100" s="1"/>
  <c r="E26"/>
  <c r="L26"/>
  <c r="L47" s="1"/>
  <c r="K26"/>
  <c r="K47" s="1"/>
  <c r="H26"/>
  <c r="H47" s="1"/>
  <c r="G26"/>
  <c r="G47" s="1"/>
  <c r="D26"/>
  <c r="D47" s="1"/>
  <c r="C26"/>
  <c r="I32" l="1"/>
  <c r="N32" s="1"/>
  <c r="C47"/>
  <c r="E47"/>
  <c r="I47" s="1"/>
  <c r="D95"/>
  <c r="C97"/>
  <c r="H97"/>
  <c r="K121"/>
  <c r="L121"/>
  <c r="E141" i="5"/>
  <c r="E145" s="1"/>
  <c r="J121" i="1"/>
  <c r="I121"/>
  <c r="F48"/>
  <c r="J27"/>
  <c r="O27" s="1"/>
  <c r="F26"/>
  <c r="F59"/>
  <c r="J29"/>
  <c r="O29" s="1"/>
  <c r="J69"/>
  <c r="G71"/>
  <c r="J74"/>
  <c r="F58"/>
  <c r="J28"/>
  <c r="O28" s="1"/>
  <c r="F60"/>
  <c r="J60" s="1"/>
  <c r="O60" s="1"/>
  <c r="F124" s="1"/>
  <c r="J30"/>
  <c r="O30" s="1"/>
  <c r="F32"/>
  <c r="J32" s="1"/>
  <c r="O32" s="1"/>
  <c r="J33"/>
  <c r="O33" s="1"/>
  <c r="J34"/>
  <c r="O34" s="1"/>
  <c r="J35"/>
  <c r="O35" s="1"/>
  <c r="J36"/>
  <c r="O36" s="1"/>
  <c r="J37"/>
  <c r="O37" s="1"/>
  <c r="J49"/>
  <c r="O49" s="1"/>
  <c r="I49"/>
  <c r="N49" s="1"/>
  <c r="J50"/>
  <c r="O50" s="1"/>
  <c r="I50"/>
  <c r="N50" s="1"/>
  <c r="J52"/>
  <c r="O52" s="1"/>
  <c r="I52"/>
  <c r="N52" s="1"/>
  <c r="J54"/>
  <c r="O54" s="1"/>
  <c r="I54"/>
  <c r="N54" s="1"/>
  <c r="J62"/>
  <c r="O62" s="1"/>
  <c r="I62"/>
  <c r="N62" s="1"/>
  <c r="J64"/>
  <c r="O64" s="1"/>
  <c r="I64"/>
  <c r="N64" s="1"/>
  <c r="J65"/>
  <c r="O65" s="1"/>
  <c r="J67"/>
  <c r="O67" s="1"/>
  <c r="F61"/>
  <c r="I61" s="1"/>
  <c r="N61" s="1"/>
  <c r="J31"/>
  <c r="O31" s="1"/>
  <c r="J55"/>
  <c r="O55" s="1"/>
  <c r="I55"/>
  <c r="N55" s="1"/>
  <c r="J63"/>
  <c r="O63" s="1"/>
  <c r="J66"/>
  <c r="O66" s="1"/>
  <c r="O75"/>
  <c r="C98"/>
  <c r="C71"/>
  <c r="C70"/>
  <c r="G98"/>
  <c r="G70"/>
  <c r="K98"/>
  <c r="K73"/>
  <c r="K71"/>
  <c r="K70"/>
  <c r="J59"/>
  <c r="I60"/>
  <c r="N60" s="1"/>
  <c r="E124" s="1"/>
  <c r="F96"/>
  <c r="D98"/>
  <c r="D71"/>
  <c r="D70"/>
  <c r="H98"/>
  <c r="H71"/>
  <c r="H70"/>
  <c r="L98"/>
  <c r="L73"/>
  <c r="L71"/>
  <c r="L70"/>
  <c r="N74"/>
  <c r="J48"/>
  <c r="J58"/>
  <c r="O58" s="1"/>
  <c r="I59"/>
  <c r="N59" s="1"/>
  <c r="I63"/>
  <c r="N63" s="1"/>
  <c r="I66"/>
  <c r="N66" s="1"/>
  <c r="O68"/>
  <c r="I69"/>
  <c r="O99"/>
  <c r="J26"/>
  <c r="I27"/>
  <c r="N27" s="1"/>
  <c r="I29"/>
  <c r="N29" s="1"/>
  <c r="I31"/>
  <c r="N31" s="1"/>
  <c r="O44"/>
  <c r="E48"/>
  <c r="I48" s="1"/>
  <c r="N48" s="1"/>
  <c r="M48"/>
  <c r="M59"/>
  <c r="M61"/>
  <c r="I68"/>
  <c r="N68" s="1"/>
  <c r="I26"/>
  <c r="N26" s="1"/>
  <c r="N47" s="1"/>
  <c r="N73" s="1"/>
  <c r="M26"/>
  <c r="I28"/>
  <c r="N28" s="1"/>
  <c r="I30"/>
  <c r="N30" s="1"/>
  <c r="E93"/>
  <c r="E94"/>
  <c r="N99"/>
  <c r="I124" l="1"/>
  <c r="N124"/>
  <c r="O124"/>
  <c r="J124"/>
  <c r="M47"/>
  <c r="M70" s="1"/>
  <c r="E70"/>
  <c r="E71"/>
  <c r="E98" s="1"/>
  <c r="O26"/>
  <c r="M77"/>
  <c r="J61"/>
  <c r="I71"/>
  <c r="I98" s="1"/>
  <c r="N69"/>
  <c r="N71" s="1"/>
  <c r="L122"/>
  <c r="L77"/>
  <c r="E95"/>
  <c r="O100"/>
  <c r="E97"/>
  <c r="N77"/>
  <c r="I70"/>
  <c r="N70" s="1"/>
  <c r="F47"/>
  <c r="G96"/>
  <c r="G94"/>
  <c r="G93"/>
  <c r="K122"/>
  <c r="K77"/>
  <c r="I73"/>
  <c r="I58"/>
  <c r="F100"/>
  <c r="O74"/>
  <c r="O69"/>
  <c r="O47"/>
  <c r="O73" s="1"/>
  <c r="O48"/>
  <c r="J100"/>
  <c r="O61"/>
  <c r="O59"/>
  <c r="G95" l="1"/>
  <c r="I77"/>
  <c r="I122" s="1"/>
  <c r="G97"/>
  <c r="N58"/>
  <c r="N100" s="1"/>
  <c r="I100"/>
  <c r="F93"/>
  <c r="F70"/>
  <c r="J70" s="1"/>
  <c r="O70" s="1"/>
  <c r="F71"/>
  <c r="F98" s="1"/>
  <c r="J47"/>
  <c r="F95" l="1"/>
  <c r="F97"/>
  <c r="J73"/>
  <c r="J71"/>
  <c r="O71" s="1"/>
  <c r="J98" l="1"/>
  <c r="J77"/>
  <c r="O77" s="1"/>
  <c r="O85" s="1"/>
  <c r="O87" s="1"/>
  <c r="O108" s="1"/>
  <c r="J122" l="1"/>
</calcChain>
</file>

<file path=xl/comments1.xml><?xml version="1.0" encoding="utf-8"?>
<comments xmlns="http://schemas.openxmlformats.org/spreadsheetml/2006/main">
  <authors>
    <author>Tanya</author>
  </authors>
  <commentList>
    <comment ref="A26" authorId="0">
      <text>
        <r>
          <rPr>
            <sz val="8"/>
            <color indexed="81"/>
            <rFont val="Tahoma"/>
            <family val="2"/>
            <charset val="204"/>
          </rPr>
          <t>Ця ячейка вміщує 2 службови символа - ознака  першого інформаційного рядка-двокрапка(..). Вони обов'язкові і не підлягають вилученню.</t>
        </r>
      </text>
    </comment>
    <comment ref="A125" authorId="0">
      <text>
        <r>
          <rPr>
            <sz val="8"/>
            <color indexed="81"/>
            <rFont val="Tahoma"/>
            <family val="2"/>
            <charset val="204"/>
          </rPr>
          <t>Ця ячейка вміщує 2 службови символа - ознака останнього інформаційного рядка-дві коми(,,). Вони обов'язкові і не подлягають вилученню.</t>
        </r>
      </text>
    </comment>
  </commentList>
</comments>
</file>

<file path=xl/sharedStrings.xml><?xml version="1.0" encoding="utf-8"?>
<sst xmlns="http://schemas.openxmlformats.org/spreadsheetml/2006/main" count="1847" uniqueCount="736">
  <si>
    <t xml:space="preserve">     З В І Т Н І С Т Ь</t>
  </si>
  <si>
    <t xml:space="preserve">                        Звіт про фінансові результати та виконання кошторису витрат з ліцензованих видів діяльності </t>
  </si>
  <si>
    <t xml:space="preserve">           за _______  _______</t>
  </si>
  <si>
    <t>року</t>
  </si>
  <si>
    <t>Подають</t>
  </si>
  <si>
    <t>Термін подання</t>
  </si>
  <si>
    <t xml:space="preserve">Суб'єкти господарювання, які отримали </t>
  </si>
  <si>
    <t>Форма № 6-НКРЕ-енергопостачання (квартальна)</t>
  </si>
  <si>
    <t>ліцензію на право здійснення господарської діяльності з передачі електричної енергії</t>
  </si>
  <si>
    <t xml:space="preserve">До 10 числа </t>
  </si>
  <si>
    <t>ЗАТВЕРДЖЕНО</t>
  </si>
  <si>
    <t xml:space="preserve">місцевими (локальними) електричними мережами </t>
  </si>
  <si>
    <t xml:space="preserve">місяця, що йде </t>
  </si>
  <si>
    <t xml:space="preserve"> </t>
  </si>
  <si>
    <t>Постанова Національної комісії, що здійснює</t>
  </si>
  <si>
    <t xml:space="preserve">та/або з постачання електричної енергії за  </t>
  </si>
  <si>
    <t xml:space="preserve">через один місяць </t>
  </si>
  <si>
    <t>державне регулювання у сфері енергетики</t>
  </si>
  <si>
    <t xml:space="preserve">регульованим тарифом, з передачі електричної  </t>
  </si>
  <si>
    <t xml:space="preserve">після звітного </t>
  </si>
  <si>
    <t xml:space="preserve">04 жовтня 2012 року № 1257 </t>
  </si>
  <si>
    <t xml:space="preserve">енергії магістральними та міждержавними </t>
  </si>
  <si>
    <t>періоду</t>
  </si>
  <si>
    <t>за погодженням з Держстатом України</t>
  </si>
  <si>
    <t xml:space="preserve">електричними мережами, -  </t>
  </si>
  <si>
    <t xml:space="preserve">Національній комісії, що здійснює державне </t>
  </si>
  <si>
    <t xml:space="preserve">регулювання у сфері енергетики, її територіальному  </t>
  </si>
  <si>
    <t>підрозділу у відповідному регіоні</t>
  </si>
  <si>
    <t>Респондент:</t>
  </si>
  <si>
    <t>Найменування:_______________________________________________________________________________________________________________________________________________</t>
  </si>
  <si>
    <t xml:space="preserve">Місцезнаходження:___________________________________________________________________________________________________________________________________________ </t>
  </si>
  <si>
    <t xml:space="preserve"> (поштовий індекс, область/Автономна Республіка Крим, район, населений пункт, вулиця/провулок, площа тощо, № будинку/корпусу, № квартири/офісу)</t>
  </si>
  <si>
    <t>Перелік витрат  за видами ліцензованої діяльності</t>
  </si>
  <si>
    <t xml:space="preserve">Код </t>
  </si>
  <si>
    <t>Виробництво електричної енергії</t>
  </si>
  <si>
    <t>Передача  електричної енергії</t>
  </si>
  <si>
    <t>Постачання  електричної енергії</t>
  </si>
  <si>
    <t xml:space="preserve">   Усього  електричної енергії</t>
  </si>
  <si>
    <t>Теплоенергія</t>
  </si>
  <si>
    <t>Інша діяльність   (фактично)</t>
  </si>
  <si>
    <t>Усього</t>
  </si>
  <si>
    <t>рядка</t>
  </si>
  <si>
    <t xml:space="preserve"> діючий</t>
  </si>
  <si>
    <t>фактично</t>
  </si>
  <si>
    <t>за розра - хунком</t>
  </si>
  <si>
    <t>тариф</t>
  </si>
  <si>
    <t>А</t>
  </si>
  <si>
    <t>Б</t>
  </si>
  <si>
    <t>..1. Виробнича собiвартiсть продукцiї</t>
  </si>
  <si>
    <t>005</t>
  </si>
  <si>
    <t xml:space="preserve">    у т. ч.: матеріальні витрати</t>
  </si>
  <si>
    <t>010</t>
  </si>
  <si>
    <t xml:space="preserve">               витрати на оплату працi</t>
  </si>
  <si>
    <t>015</t>
  </si>
  <si>
    <t xml:space="preserve">               вiдрахування на соцiальнi заходи</t>
  </si>
  <si>
    <t>020</t>
  </si>
  <si>
    <t xml:space="preserve">               амортизацiя</t>
  </si>
  <si>
    <t>025</t>
  </si>
  <si>
    <t xml:space="preserve">               іншi витрати</t>
  </si>
  <si>
    <t>030</t>
  </si>
  <si>
    <t>2. Адмiнiстративнi витрати</t>
  </si>
  <si>
    <t>035</t>
  </si>
  <si>
    <t xml:space="preserve">     у т. ч.: матерiальнi витрати</t>
  </si>
  <si>
    <t>040</t>
  </si>
  <si>
    <t xml:space="preserve">                витрати на оплату працi</t>
  </si>
  <si>
    <t>045</t>
  </si>
  <si>
    <t xml:space="preserve">                вiдрахування на соцiальнi заходи</t>
  </si>
  <si>
    <t>050</t>
  </si>
  <si>
    <t xml:space="preserve">                амортизацiя</t>
  </si>
  <si>
    <t>055</t>
  </si>
  <si>
    <t xml:space="preserve">                 іншi витрати</t>
  </si>
  <si>
    <t>060</t>
  </si>
  <si>
    <t>3. Витрати на збут продукцiї</t>
  </si>
  <si>
    <t>065</t>
  </si>
  <si>
    <t>070</t>
  </si>
  <si>
    <t>075</t>
  </si>
  <si>
    <t>080</t>
  </si>
  <si>
    <t>085</t>
  </si>
  <si>
    <t xml:space="preserve">                іншi витрати</t>
  </si>
  <si>
    <t>090</t>
  </si>
  <si>
    <t>4. Iншi операцiйнi витрати</t>
  </si>
  <si>
    <t>095</t>
  </si>
  <si>
    <t>5. Усього:  операційні  витрати</t>
  </si>
  <si>
    <t xml:space="preserve">    Матерiальнi витрати</t>
  </si>
  <si>
    <t xml:space="preserve">    у т. ч.: виробничі послуги</t>
  </si>
  <si>
    <t xml:space="preserve">               сировина та  матеріали</t>
  </si>
  <si>
    <t xml:space="preserve">                лічильники</t>
  </si>
  <si>
    <t xml:space="preserve">                паливо</t>
  </si>
  <si>
    <t xml:space="preserve">      у т. ч.: технологічне  паливо</t>
  </si>
  <si>
    <t xml:space="preserve">            на ремонт </t>
  </si>
  <si>
    <t xml:space="preserve">            на енергію для господарських потреб</t>
  </si>
  <si>
    <t xml:space="preserve">            на використання ел. мереж ін. ліцензіатів    </t>
  </si>
  <si>
    <t xml:space="preserve">            інші матеріальні витрати</t>
  </si>
  <si>
    <t xml:space="preserve">    Витрати на оплату працi</t>
  </si>
  <si>
    <t xml:space="preserve">    Вiдрахування на соцiальнi заходи</t>
  </si>
  <si>
    <t xml:space="preserve">    Амортизацiя</t>
  </si>
  <si>
    <t xml:space="preserve">    Iншi операційні витрати </t>
  </si>
  <si>
    <t>у т. ч.: плата за землю</t>
  </si>
  <si>
    <t xml:space="preserve">           витрати на зв’язок</t>
  </si>
  <si>
    <t xml:space="preserve">           витрати на службові відрядження</t>
  </si>
  <si>
    <t xml:space="preserve">           збір за першу реєстрацію транспортного засобу</t>
  </si>
  <si>
    <t xml:space="preserve">            утримання технологічного транспорту</t>
  </si>
  <si>
    <t xml:space="preserve">           інвентаризація землі</t>
  </si>
  <si>
    <t xml:space="preserve">           інші </t>
  </si>
  <si>
    <t>Обсяг продукцiї (робiт, послуг)</t>
  </si>
  <si>
    <t>X</t>
  </si>
  <si>
    <t>Постійні витрати</t>
  </si>
  <si>
    <t>Прибуток за видами діяльності</t>
  </si>
  <si>
    <t>Купована енергiя</t>
  </si>
  <si>
    <t>Усього витрат, включаючи вартiсть купованої енергії</t>
  </si>
  <si>
    <t xml:space="preserve">Чистий дохід (виручка) від реалізації продукції  (товарів, робіт, послуг)               </t>
  </si>
  <si>
    <t xml:space="preserve">          у т. ч. за реактивну енергію</t>
  </si>
  <si>
    <t>337</t>
  </si>
  <si>
    <t>Інші операційні доходи</t>
  </si>
  <si>
    <t>Фінансові результати від операційної діяльності</t>
  </si>
  <si>
    <t xml:space="preserve">  Доходи від участі в капіталі</t>
  </si>
  <si>
    <t xml:space="preserve">  Інші фінансові доходи</t>
  </si>
  <si>
    <t xml:space="preserve">  Інші доходи </t>
  </si>
  <si>
    <t xml:space="preserve">  Фінансові витрати </t>
  </si>
  <si>
    <t xml:space="preserve">          у т. ч. відсоток за банківський кредит</t>
  </si>
  <si>
    <t xml:space="preserve">   Втрати від участі в капіталі</t>
  </si>
  <si>
    <t xml:space="preserve">   Інші витрати</t>
  </si>
  <si>
    <t>Фінансові результати від звичайної діяльності до оподаткування</t>
  </si>
  <si>
    <t>Податок на прибуток від звичайоної діяльності</t>
  </si>
  <si>
    <t>Прибуток</t>
  </si>
  <si>
    <t xml:space="preserve">                          Довідкові дані:</t>
  </si>
  <si>
    <t>І. За видами діяльності (виробництво, передача, постачання)</t>
  </si>
  <si>
    <t>Корисний відпуск (млн кВт·год.)</t>
  </si>
  <si>
    <t>500</t>
  </si>
  <si>
    <t>Операційні витрати (коп./кВт·год)</t>
  </si>
  <si>
    <t>505</t>
  </si>
  <si>
    <t xml:space="preserve">Паливна складова  (коп./кВт·год) </t>
  </si>
  <si>
    <t>510</t>
  </si>
  <si>
    <t>Постійні витрати (коп./кВт·год)</t>
  </si>
  <si>
    <t>515</t>
  </si>
  <si>
    <t>Середній тариф (коп./кВт·год)</t>
  </si>
  <si>
    <t>520</t>
  </si>
  <si>
    <t>Прибуток (коп./кВт·год)</t>
  </si>
  <si>
    <t>525</t>
  </si>
  <si>
    <t>Рентабельність за видами діяльності, у відсотках</t>
  </si>
  <si>
    <t>530</t>
  </si>
  <si>
    <t xml:space="preserve">Середньооблікова чисельність штатних працівників,  осіб </t>
  </si>
  <si>
    <t>540</t>
  </si>
  <si>
    <t>Середньомісячна заробітна плата  штатних працівників, грн</t>
  </si>
  <si>
    <t>545</t>
  </si>
  <si>
    <t>Первісна вартість основних засобів, тис. грн</t>
  </si>
  <si>
    <t>550</t>
  </si>
  <si>
    <t xml:space="preserve">       у т. ч. виробничих засобів, тис. грн</t>
  </si>
  <si>
    <t>555</t>
  </si>
  <si>
    <t>Залишкова вартість основних засобів, тис. грн</t>
  </si>
  <si>
    <t>560</t>
  </si>
  <si>
    <t>565</t>
  </si>
  <si>
    <t>Знос основних засобів, тис. грн</t>
  </si>
  <si>
    <t>570</t>
  </si>
  <si>
    <t>575</t>
  </si>
  <si>
    <t>Вартість активів (капіталу), тис. грн</t>
  </si>
  <si>
    <t>580</t>
  </si>
  <si>
    <t>Рентабельнісь активів, у відсотках</t>
  </si>
  <si>
    <t>585</t>
  </si>
  <si>
    <t>ІІ. За видами продукції (енергія)</t>
  </si>
  <si>
    <t>Обсяг купованої енергії (млн кВт·год., тис./Гкал)</t>
  </si>
  <si>
    <t>590</t>
  </si>
  <si>
    <t xml:space="preserve">        у т. ч. з Оптового ринку електроенергії </t>
  </si>
  <si>
    <t>595</t>
  </si>
  <si>
    <t xml:space="preserve"> закупівельна ціна (коп./кВт·год, грн./Гкал)</t>
  </si>
  <si>
    <t>600</t>
  </si>
  <si>
    <t>Корисний відпуск (млн кВт·год, тис./Гкал)</t>
  </si>
  <si>
    <t>605</t>
  </si>
  <si>
    <t xml:space="preserve">        у т. ч. власним споживачам</t>
  </si>
  <si>
    <t>610</t>
  </si>
  <si>
    <t>Операційні витрати (коп./кВт·год, грн./Гкал)</t>
  </si>
  <si>
    <t>615</t>
  </si>
  <si>
    <t xml:space="preserve">Паливна складова (коп./кВт·год, грн./Гкал) </t>
  </si>
  <si>
    <t>620</t>
  </si>
  <si>
    <t>Купована електрична енергія, теплова енергія (коп./кВт·год, грн./Гкал)</t>
  </si>
  <si>
    <t>625</t>
  </si>
  <si>
    <t>Постійні витрати (коп./кВт·год., грн./Гкал)</t>
  </si>
  <si>
    <t>630</t>
  </si>
  <si>
    <t>Середній роздрібний тариф (коп./кВт·год, грн/Гкал)</t>
  </si>
  <si>
    <t>635</t>
  </si>
  <si>
    <t>Ціна 1 т. у. п., грн</t>
  </si>
  <si>
    <t>640</t>
  </si>
  <si>
    <t>Прибуток (коп./кВт·год, грн./Гкал)</t>
  </si>
  <si>
    <t>645</t>
  </si>
  <si>
    <t xml:space="preserve">Рентабельність продукції, у відсотках                   </t>
  </si>
  <si>
    <t>650</t>
  </si>
  <si>
    <t>IІІ. За податковим обліком</t>
  </si>
  <si>
    <t>Амортизацiя</t>
  </si>
  <si>
    <t>,,Податок на прибуток</t>
  </si>
  <si>
    <t xml:space="preserve">Керівник суб'єкта господарювання     </t>
  </si>
  <si>
    <t>М.П.</t>
  </si>
  <si>
    <t xml:space="preserve">  </t>
  </si>
  <si>
    <t>(підпис)</t>
  </si>
  <si>
    <t>(ініціали, прізвище)</t>
  </si>
  <si>
    <t xml:space="preserve">Головний бухгалтер суб'єкта господарювання     </t>
  </si>
  <si>
    <t xml:space="preserve">Керівник територіального підрозділу НКРЕ у відповідному регіоні </t>
  </si>
  <si>
    <t>Виконавець: ________________________________</t>
  </si>
  <si>
    <r>
      <t>Факс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>_____________________</t>
    </r>
  </si>
  <si>
    <r>
      <t>Електронна пошта</t>
    </r>
    <r>
      <rPr>
        <b/>
        <sz val="12"/>
        <rFont val="Times New Roman"/>
        <family val="1"/>
        <charset val="204"/>
      </rPr>
      <t>:</t>
    </r>
    <r>
      <rPr>
        <sz val="12"/>
        <rFont val="Times New Roman"/>
        <family val="1"/>
        <charset val="204"/>
      </rPr>
      <t>______________</t>
    </r>
  </si>
  <si>
    <t>Телефон: ___________________________________</t>
  </si>
  <si>
    <t>Счет</t>
  </si>
  <si>
    <t>Сальдо на начало периода</t>
  </si>
  <si>
    <t>Обороты за период</t>
  </si>
  <si>
    <t>Статьи затрат</t>
  </si>
  <si>
    <t>Дебет</t>
  </si>
  <si>
    <t>Кредит</t>
  </si>
  <si>
    <t>&lt;...&gt;</t>
  </si>
  <si>
    <t>91255 Налоги на ЗП общепроизводственного персонала</t>
  </si>
  <si>
    <t>92255 Налоги на ЗП административного персонала</t>
  </si>
  <si>
    <t>Итого</t>
  </si>
  <si>
    <t>31.03.2013</t>
  </si>
  <si>
    <t xml:space="preserve">Операция (бухгалтерский и налоговый учет) 00000000077 от 31.03.2013 12:00:07
резерв </t>
  </si>
  <si>
    <t>&lt;...&gt;
Загальновиробничий персонал
91250 Начисленная ЗП общепроизводственного персонала</t>
  </si>
  <si>
    <t>Операция (бухгалтерский и налоговый учет) 00000000077 от 31.03.2013 12:00:07
резерв</t>
  </si>
  <si>
    <t>&lt;...&gt;
Апарат управління
92250 Начисленная ЗП административного персонала</t>
  </si>
  <si>
    <t>Статья затрат</t>
  </si>
  <si>
    <t>Работы хозспособом</t>
  </si>
  <si>
    <t>Услуги исходящие</t>
  </si>
  <si>
    <t>Итог</t>
  </si>
  <si>
    <t>Сумма</t>
  </si>
  <si>
    <t>01 Операционная деятельность</t>
  </si>
  <si>
    <t>01 01 Операционная деятельность лицензионная</t>
  </si>
  <si>
    <t>01 01 02 Материальные затраты операционной деятельности</t>
  </si>
  <si>
    <t>01 01 02 01 Сырье и материлы (материалы на ТО электрооборудования)</t>
  </si>
  <si>
    <t xml:space="preserve">231 Материалы на ТО оборудования до 35кВ </t>
  </si>
  <si>
    <t>01 01 02 02 Ремонт электрооборудования хоз.способом</t>
  </si>
  <si>
    <t>232 Материалы на ремонт оборудования до 35 кВ</t>
  </si>
  <si>
    <t>232 Ремонт оборудования до 35 кВ</t>
  </si>
  <si>
    <t>01 01 02 03 Ремонт зданий и сооружений хоз.способом</t>
  </si>
  <si>
    <t>23 Ремонт производственных помещений</t>
  </si>
  <si>
    <t>232 Материалы на ремонт производственных помещений</t>
  </si>
  <si>
    <t>01 01 02 04 Ремонт и содержан ие автотранспорта хоз.способом</t>
  </si>
  <si>
    <t>23 Ремонт грузового транспорта</t>
  </si>
  <si>
    <t>232 ТО грузового транспорта</t>
  </si>
  <si>
    <t>233 Материалы на ремонт грузового транспорта</t>
  </si>
  <si>
    <t>01 01 02 05 Топливо</t>
  </si>
  <si>
    <t>232 ГСМ грузового транспорта</t>
  </si>
  <si>
    <t>232 ГСМ легкового транспорта</t>
  </si>
  <si>
    <t>01 01 02 06 Инструмент</t>
  </si>
  <si>
    <t>232 Инструмент</t>
  </si>
  <si>
    <t>91 Инструмент</t>
  </si>
  <si>
    <t>01 01 02 07 Спецодежда</t>
  </si>
  <si>
    <t>232 Спецодежда</t>
  </si>
  <si>
    <t>91 Спецодежда</t>
  </si>
  <si>
    <t>01 01 02 08 Средства индивидуальной защиты</t>
  </si>
  <si>
    <t xml:space="preserve"> 231 Средства индивидуальной защиты</t>
  </si>
  <si>
    <t xml:space="preserve"> 232 Средства индивидуальной защиты</t>
  </si>
  <si>
    <t>01 01 02 10 Моющие средства</t>
  </si>
  <si>
    <t>232 Моющие средства</t>
  </si>
  <si>
    <t>01 01 02 11 Канцтовары</t>
  </si>
  <si>
    <t>231 канцтовары</t>
  </si>
  <si>
    <t>232 канцтовары</t>
  </si>
  <si>
    <t>91 канцтовары</t>
  </si>
  <si>
    <t>01 01 02 12 Бумага</t>
  </si>
  <si>
    <t>231 бумага</t>
  </si>
  <si>
    <t>232 бумага</t>
  </si>
  <si>
    <t>91 бумага</t>
  </si>
  <si>
    <t>01 01 02 13 Литература и бланки</t>
  </si>
  <si>
    <t>232 Литература и бланки</t>
  </si>
  <si>
    <t>91 Литература и бланки</t>
  </si>
  <si>
    <t>01 01 02 15  Прочие материальные затраты</t>
  </si>
  <si>
    <t>232 Прочие материальные расходы</t>
  </si>
  <si>
    <t>913056 Прочие материальные расходы</t>
  </si>
  <si>
    <t>01 01 03 Энергоресурсы</t>
  </si>
  <si>
    <t>01 01 03 01 Электроэнергия активная</t>
  </si>
  <si>
    <t>231 Электроэнергия активная</t>
  </si>
  <si>
    <t>01 01 03 02 Реактивная электроэнергия</t>
  </si>
  <si>
    <t>23235 Электроэнергия реактивная</t>
  </si>
  <si>
    <t>01 01 03 03 Газ</t>
  </si>
  <si>
    <t>231 газ</t>
  </si>
  <si>
    <t>01 01 03 05 Вода питьевая</t>
  </si>
  <si>
    <t>231 вода питьевая</t>
  </si>
  <si>
    <t>01 01 03 06 Канализация</t>
  </si>
  <si>
    <t>231 канализация</t>
  </si>
  <si>
    <t>01 01 04 Услуги сторонних организаций</t>
  </si>
  <si>
    <t>01 01 04 01 Производственные услуги</t>
  </si>
  <si>
    <t>231  Производственные услуги (поверка приборов учета, транспортные услуги, обрезка деревьев и т.д.)</t>
  </si>
  <si>
    <t>91210 Производственные услуги (поверка приборов учета, транспортные услуги, обрезка деревьев и т.д.)</t>
  </si>
  <si>
    <t>01 01 04 02 Ремонт оборудования подрядным способом</t>
  </si>
  <si>
    <t>231 Ремонт оборудования подрядным способом</t>
  </si>
  <si>
    <t>231 ТО оборудования подрядным способом</t>
  </si>
  <si>
    <t>01 01 04 04 Ремонт и содержание транспорта подрядным способом</t>
  </si>
  <si>
    <t>232 ТО груз. авто</t>
  </si>
  <si>
    <t>91 ТО груз. авто</t>
  </si>
  <si>
    <t>01 01 04 05 Затраты на связь</t>
  </si>
  <si>
    <t>91275 Затраты на стационарную связь</t>
  </si>
  <si>
    <t>01 01 04 06 Командировочные расходы</t>
  </si>
  <si>
    <t>231 Командировочные расходы проезд</t>
  </si>
  <si>
    <t>231 Командировочные расходы проживание</t>
  </si>
  <si>
    <t>231 Командировочные расходы суточные</t>
  </si>
  <si>
    <t>231 Компенсація витрат на проїзд</t>
  </si>
  <si>
    <t>233 Командировочные расходы проживание</t>
  </si>
  <si>
    <t>91212 Компенсація витрат на проїзд</t>
  </si>
  <si>
    <t>91285 Командировочные расходы суточные</t>
  </si>
  <si>
    <t>912851 Командировочные расходы проезд</t>
  </si>
  <si>
    <t>912852 Командировочные расходы проживание</t>
  </si>
  <si>
    <t>01 01 04 08 Повышение квалификации персонала</t>
  </si>
  <si>
    <t>231 Повышение квалификации персонала (учеба производственного персонала)</t>
  </si>
  <si>
    <t>913051 Повышение квалификации персонала (учеба производственного персонала)</t>
  </si>
  <si>
    <t>01 01 04 10 Аренда</t>
  </si>
  <si>
    <t>231 Производственная аренда</t>
  </si>
  <si>
    <t>913054 Производственная аренда</t>
  </si>
  <si>
    <t>01 01 04 12 Вывоз мусора</t>
  </si>
  <si>
    <t>231  Утилизация твердых отходов</t>
  </si>
  <si>
    <t>01 01 04 19 Медосмотр</t>
  </si>
  <si>
    <t>913052 Затраты по охране труда  медосмотр)</t>
  </si>
  <si>
    <t>01 01 04 20 Прочие УСО</t>
  </si>
  <si>
    <t>91211 Прочие УСО</t>
  </si>
  <si>
    <t>01 02 Операционная деятельность не лицензионная</t>
  </si>
  <si>
    <t>01 02 02 Материальные затраты операционной деятельности</t>
  </si>
  <si>
    <t>01 02 02 01 Сырье и материалы (материалы на ТО электрооборудования)</t>
  </si>
  <si>
    <t xml:space="preserve">231-02 Материалы на ТО оборудования до 35кВ </t>
  </si>
  <si>
    <t xml:space="preserve">91-02 Материалы на ТО оборудования до 35кВ </t>
  </si>
  <si>
    <t>01 02 02 02 Ремонт электрооборудования хоз.способом</t>
  </si>
  <si>
    <t>231-02 Ремонт оборудования до 35 кВ</t>
  </si>
  <si>
    <t>01 02 02 06 Инструмент</t>
  </si>
  <si>
    <t>232-02 Инструмент</t>
  </si>
  <si>
    <t>01 02 02 07 Спецодежда</t>
  </si>
  <si>
    <t>01 02 02 08 Средства индивидуальной защиты</t>
  </si>
  <si>
    <t>23 Средства индивидуальной защиты не ЛД</t>
  </si>
  <si>
    <t>01 02 02 10 Моющие средства</t>
  </si>
  <si>
    <t>231-02 Моющие средства</t>
  </si>
  <si>
    <t>01 02 02 11 Канцтовары</t>
  </si>
  <si>
    <t>232-02 Канцтовары</t>
  </si>
  <si>
    <t>01 02 02 12 Бумага</t>
  </si>
  <si>
    <t>232 -2 бумага</t>
  </si>
  <si>
    <t>01 02 02 15 Прочие материальные затраты</t>
  </si>
  <si>
    <t>232-02 Прочие материальные расходы не ЛД</t>
  </si>
  <si>
    <t>01 02 03 Энергоресурсы</t>
  </si>
  <si>
    <t>01 02 03 01 Электроэнергия активная</t>
  </si>
  <si>
    <t>23235 Электроэнергия активная</t>
  </si>
  <si>
    <t>01 02 03 02 Реактивная электроэнергия</t>
  </si>
  <si>
    <t>01 02 03 05 Вода питьевая</t>
  </si>
  <si>
    <t>913057 вода питьевая</t>
  </si>
  <si>
    <t>01 02 04 Услуги сторонних организаций</t>
  </si>
  <si>
    <t>01 02 04 05 Затраты на связь</t>
  </si>
  <si>
    <t>01 02 04 06 Командировочные расходы</t>
  </si>
  <si>
    <t>232-02 Компенсація витрат на проїзд</t>
  </si>
  <si>
    <t>23 Производственные расходы</t>
  </si>
  <si>
    <t>231 Амортизация (пр)</t>
  </si>
  <si>
    <t>231 Налоги на ЗП общепроизводственного персонала</t>
  </si>
  <si>
    <t>231 Начисленная ЗП общепроизводственного персонала</t>
  </si>
  <si>
    <t>232 Налоги на ЗП общепроизводственного персонала</t>
  </si>
  <si>
    <t>232 Начисленная ЗП общепроизводственного персонала</t>
  </si>
  <si>
    <t>91 Общепроизводственные расходы</t>
  </si>
  <si>
    <t>91250 Начисленная ЗП общепроизводственного персонала</t>
  </si>
  <si>
    <t>91260 Амортизационные отчисления ОС, НМА и НА</t>
  </si>
  <si>
    <t xml:space="preserve">Себестоимость в бух. Учете </t>
  </si>
  <si>
    <t>Резерв отпусков ЗП</t>
  </si>
  <si>
    <t>Резерв отпусков налоги</t>
  </si>
  <si>
    <t xml:space="preserve">Итого расчетная себестоимость </t>
  </si>
  <si>
    <t>Отклонение (сняла с материальных затрат по ремонту электрооборудования)</t>
  </si>
  <si>
    <t>сумма</t>
  </si>
  <si>
    <t>92 Проездные билеты</t>
  </si>
  <si>
    <t>92 Прочие материальные расходы</t>
  </si>
  <si>
    <t>01 01 02 16 Ремонт оргтехники</t>
  </si>
  <si>
    <t>92 Командировочные расходы админ. персонала суточные</t>
  </si>
  <si>
    <t>92 Командировочные расходы админ.персонала проезд</t>
  </si>
  <si>
    <t>92 Командировочные расходы админ.персонала проживание</t>
  </si>
  <si>
    <t>9230531 Юридические услуги сторонних организаций</t>
  </si>
  <si>
    <t>9230534 Консультативные услуги сторонних организаций</t>
  </si>
  <si>
    <t>9230535 Услуги депозитария сторонних организаций</t>
  </si>
  <si>
    <t>9230536 Обслуживание оргтехники сторонних организаций</t>
  </si>
  <si>
    <t>9230550 Обслуживание 1С</t>
  </si>
  <si>
    <t>01 01 04 13 Страхование транспорта, водителей, пожарных дружин</t>
  </si>
  <si>
    <t>01 01 04 14 Подписка</t>
  </si>
  <si>
    <t>01 01 04 15 Почтовые затраты</t>
  </si>
  <si>
    <t>01 01 04 16 РКО</t>
  </si>
  <si>
    <t>01 01 04 17 Публикации в СМИ</t>
  </si>
  <si>
    <t xml:space="preserve">92305945 Публикация </t>
  </si>
  <si>
    <t>01 01 04 18 Госпошлина</t>
  </si>
  <si>
    <t>01 01 04 21 Интернет</t>
  </si>
  <si>
    <t>92250 Начисленная ЗП административного персонала</t>
  </si>
  <si>
    <t>922601 Амортизационные отчисления ОС, НМА и НА</t>
  </si>
  <si>
    <t>9230592 Плата за лицензию</t>
  </si>
  <si>
    <t xml:space="preserve">92305941 Налог на транспорт </t>
  </si>
  <si>
    <t>92305942 Земельный налог</t>
  </si>
  <si>
    <t>92305944 Сбор за пользование радиочастным ресурсом</t>
  </si>
  <si>
    <t xml:space="preserve">6 НКРЕ </t>
  </si>
  <si>
    <t>Расшифровки</t>
  </si>
  <si>
    <t xml:space="preserve">Подрасшифровки </t>
  </si>
  <si>
    <t>Материальные</t>
  </si>
  <si>
    <t>Сырье и материалы</t>
  </si>
  <si>
    <t>Ремонт</t>
  </si>
  <si>
    <t>ГСМ</t>
  </si>
  <si>
    <t>Прочие</t>
  </si>
  <si>
    <t xml:space="preserve">ОТ </t>
  </si>
  <si>
    <t>Хознужды</t>
  </si>
  <si>
    <t>Электроэнергия</t>
  </si>
  <si>
    <t>Коммунальные услуги</t>
  </si>
  <si>
    <t>Производственные услуги</t>
  </si>
  <si>
    <t>содержание транспорта</t>
  </si>
  <si>
    <t>Связь</t>
  </si>
  <si>
    <t>Командировочные</t>
  </si>
  <si>
    <t>УСО</t>
  </si>
  <si>
    <t>Повышение квалификации</t>
  </si>
  <si>
    <t>Аренда</t>
  </si>
  <si>
    <t>Амортизация</t>
  </si>
  <si>
    <t>Налоги на ЗП</t>
  </si>
  <si>
    <t>ЗП</t>
  </si>
  <si>
    <t>Страхование</t>
  </si>
  <si>
    <t>Налог на транспорт</t>
  </si>
  <si>
    <t>Земельный налог</t>
  </si>
  <si>
    <t>Статьи доходов</t>
  </si>
  <si>
    <t>Доход операционной деятельности (от реализации товаров, работ, услуг)</t>
  </si>
  <si>
    <t>Доход от продажи необоротных активов</t>
  </si>
  <si>
    <t>946 Затраты от обесценивания запасов</t>
  </si>
  <si>
    <t>948 Пеня, штрафы</t>
  </si>
  <si>
    <t>949 Аренда жилья</t>
  </si>
  <si>
    <t>949 Культ.мас. 0,3%</t>
  </si>
  <si>
    <t>949 Прочие расходы неоперационной деятельности</t>
  </si>
  <si>
    <t>949 Прочие услуги сторонних организаций</t>
  </si>
  <si>
    <t>949 Расходы по больничным листам (5 дней)</t>
  </si>
  <si>
    <t>949 Роуминг, международные звонки</t>
  </si>
  <si>
    <t>Оприходован металлом</t>
  </si>
  <si>
    <t>Статьи неоперационных расходов</t>
  </si>
  <si>
    <t>Списание ОС</t>
  </si>
  <si>
    <t>Звіт про фінансові результати (Звіт про сукупний дохід)</t>
  </si>
  <si>
    <t>І. ФІНАНСОВІ РЕЗУЛЬТАТИ</t>
  </si>
  <si>
    <t>Стаття</t>
  </si>
  <si>
    <t>Код рядка</t>
  </si>
  <si>
    <t>За звітний період</t>
  </si>
  <si>
    <t>Чистий дохід від реалізації продукції (товарів, робіт, послуг)</t>
  </si>
  <si>
    <t>Собівартість реалізованої продукції (товарів, робіт, послуг)</t>
  </si>
  <si>
    <t>Валовий:</t>
  </si>
  <si>
    <t>прибуток</t>
  </si>
  <si>
    <t>збиток</t>
  </si>
  <si>
    <t>Адміністративні витрати</t>
  </si>
  <si>
    <t>Витрати на збут</t>
  </si>
  <si>
    <t>Інші операційні витрати</t>
  </si>
  <si>
    <t>Фінансовий результат від операційної діяльності:</t>
  </si>
  <si>
    <t>Дохід від участі в капіталі</t>
  </si>
  <si>
    <t>Інші фінансові доходи</t>
  </si>
  <si>
    <t>Інші доходи</t>
  </si>
  <si>
    <t>Фінансові витрати</t>
  </si>
  <si>
    <t>Втрати від участі в капіталі</t>
  </si>
  <si>
    <t>Інші витрати</t>
  </si>
  <si>
    <t>Фінансовий результат до оподаткування:</t>
  </si>
  <si>
    <t>Витрати (дохід) з податку на прибуток</t>
  </si>
  <si>
    <t>Прибуток (збиток) від припиненої діяльності після оподаткування</t>
  </si>
  <si>
    <t>Чистий фінансовий результат:</t>
  </si>
  <si>
    <t>II. СУКУПНИЙ ДОХІД</t>
  </si>
  <si>
    <t>Дооцінка (уцінка) необоротних активів</t>
  </si>
  <si>
    <t>Дооцінка (уцінка) фінансових інструментів</t>
  </si>
  <si>
    <t>Накопичені курсові різниці</t>
  </si>
  <si>
    <t>Частка іншого сукупного доходу асоційованих та спільних підприємств</t>
  </si>
  <si>
    <t>Інший сукупний дохід</t>
  </si>
  <si>
    <t>Інший сукупний дохід до оподаткування</t>
  </si>
  <si>
    <t>Податок на прибуток, пов'язаний з іншим сукупним доходом</t>
  </si>
  <si>
    <t>Інший сукупний дохід після оподаткування</t>
  </si>
  <si>
    <t>Сукупний дохід (сума рядків 2350, 2355 та 2460)</t>
  </si>
  <si>
    <t>III. ЕЛЕМЕНТИ ОПЕРАЦІЙНИХ ВИТРАТ</t>
  </si>
  <si>
    <t>Назва статті</t>
  </si>
  <si>
    <t>Матеріальні затрати</t>
  </si>
  <si>
    <t>Витрати на оплату праці</t>
  </si>
  <si>
    <t>Відрахування на соціальні заходи</t>
  </si>
  <si>
    <t>Амортизація</t>
  </si>
  <si>
    <t>Разом</t>
  </si>
  <si>
    <t>ІV. РОЗРАХУНОК ПОКАЗНИКІВ ПРИБУТКОВОСТІ АКЦІЙ</t>
  </si>
  <si>
    <t>Середньорічна кількість простих акцій</t>
  </si>
  <si>
    <t>Скоригована середньорічна кількість простих акцій</t>
  </si>
  <si>
    <t>Чистий прибуток (збиток) на одну просту акцію</t>
  </si>
  <si>
    <t>Скоригований чистий прибуток (збиток) на одну просту акцію</t>
  </si>
  <si>
    <t>Дивіденди на одну просту акцію</t>
  </si>
  <si>
    <t>Бух. Счет</t>
  </si>
  <si>
    <t>Продажи</t>
  </si>
  <si>
    <t>Период: 1 квартал 2013 г.</t>
  </si>
  <si>
    <t>Показатели: Сумма продажи в грн; Сумма продажи без скидок в грн; Количество (в базовых единицах); Сумма скидки в грн; % скидки;</t>
  </si>
  <si>
    <t>Группировки строк: Номенклатура (Элементы);</t>
  </si>
  <si>
    <t>Дополнительные поля:
Базовая единица измерения (Вместе с измерениями, После группировки);</t>
  </si>
  <si>
    <t>Сортировка: Контрагент.Наименование (По возрастанию); Номенклатура.Наименование (По возрастанию);</t>
  </si>
  <si>
    <t>Номенклатура, Базовая единица измерения</t>
  </si>
  <si>
    <t>Сумма продажи в грн</t>
  </si>
  <si>
    <t xml:space="preserve"> Підключення відгалужень від опори 0,4кВ до ящика зовнішнього обліку електроенергії, грн</t>
  </si>
  <si>
    <t>Аренда  электросетей наружного освещения согласно дог.№243 от 20.10.2006, грн</t>
  </si>
  <si>
    <t>Аренда  электросетей наружного освещения согласно дог.№290 от 29.11.2005, грн</t>
  </si>
  <si>
    <t>Аренда недвижимого имущества согласно дог.№069 от 01.10.2010, грн</t>
  </si>
  <si>
    <t>Аренда недвижимого имущества согласно дог.№270 от 01.12.2010, грн</t>
  </si>
  <si>
    <t>Аренда недвижимого имущества согласно дог.№406 от 28,12,2012, грн</t>
  </si>
  <si>
    <t>Видача технічних умов, грн</t>
  </si>
  <si>
    <t>Визначення місця пошкодження та випробування, грн</t>
  </si>
  <si>
    <t>Виклик інспектора, грн</t>
  </si>
  <si>
    <t>Випробування засобів захисту підвищеною напругою, грн</t>
  </si>
  <si>
    <t>Випробування силової кабельної лінії 0,4 кВ, грн</t>
  </si>
  <si>
    <t>Випробування силової кабельної лінії 6 кВ, грн</t>
  </si>
  <si>
    <t>Високовольтні випробування електрообладнання та повний аналіз, грн</t>
  </si>
  <si>
    <t>Витрати на перевірку наявності кола між заземлювачами, грн</t>
  </si>
  <si>
    <t>Витрати по використанню тепловізору ТН9100WL, грн</t>
  </si>
  <si>
    <t>Відключення однофазного електролічильника, грн</t>
  </si>
  <si>
    <t>Відключення споживача від технологичних мереж, грн</t>
  </si>
  <si>
    <t>Відповідальне зберігання , грн</t>
  </si>
  <si>
    <t>Госповерка трансформатора, грн</t>
  </si>
  <si>
    <t>Демонтаж  лічильника електроенергії , грн</t>
  </si>
  <si>
    <t>Демонтаж та монтаж лічильників електроенергії з подальшою, грн</t>
  </si>
  <si>
    <t>За перетікання реактивної електроенергії у березні 2013р., грн</t>
  </si>
  <si>
    <t>За перетікання реактивної електроенергії у лютому 2013р., грн</t>
  </si>
  <si>
    <t>За перетікання реактивної електроенергії у січні 2013р., грн</t>
  </si>
  <si>
    <t>Замена трансформаторов тока, грн</t>
  </si>
  <si>
    <t>Измерение изоляции,петля "фаза-нуль", заземление напряжением до 1 кВ, грн</t>
  </si>
  <si>
    <t>Компенсация за коммунальные услуги, грн</t>
  </si>
  <si>
    <t>Монтаж трифазного відгалуження з чотирма утримними ізольваними, грн</t>
  </si>
  <si>
    <t>Обеспечение заявленной мощности на границе балансовой принадлежности, грн</t>
  </si>
  <si>
    <t>Огляд електрообладнання  згідно.дог.№211 от 22.08.2011, грн</t>
  </si>
  <si>
    <t>Огляд електрообладнання  згідно.дог.№39 от 01.02.2013, грн</t>
  </si>
  <si>
    <t>Оперативно-техническое обслуживание электрооборудования согласно дог. № 070 от 04.04.2007, грн</t>
  </si>
  <si>
    <t>Оперативно-техническое обслуживание электрооборудования согласно дог. № 097 от 13.07.2009, грн</t>
  </si>
  <si>
    <t>Оперативно-техническое обслуживание электрооборудования согласно дог. № 111 от 01.06.2010, грн</t>
  </si>
  <si>
    <t>Оперативно-техническое обслуживание электрооборудования согласно дог. № 222 от 06.10.2006, грн</t>
  </si>
  <si>
    <t>Оперативно-техническое обслуживание электрооборудования согласно дог. № 259 от 01.10.2007, грн</t>
  </si>
  <si>
    <t>Оперативно-техническое обслуживание электрооборудования согласно дог. № 261 от 13.11.2006, грн</t>
  </si>
  <si>
    <t>Оренда   опор згідно дог.№263 от 01.08.2012 , грн</t>
  </si>
  <si>
    <t>Осмотр  электрооборудования согласно дог. № 294 от 01.10.2012, грн</t>
  </si>
  <si>
    <t>Осмотр  электрооборудования согласно дог. № 313 от 01.10.2012, грн</t>
  </si>
  <si>
    <t>Осмотр электрооборудования согл.дог.№71 от 21.03.2011, грн</t>
  </si>
  <si>
    <t>Осмотр электрооборудования согласно дог. № 021(ежегодный) от 21.02.2005, грн</t>
  </si>
  <si>
    <t>Осмотр электрооборудования согласно дог. № 026 от 27.02.2007, грн</t>
  </si>
  <si>
    <t>Осмотр электрооборудования согласно дог. № 035 от 05.03.2007, грн</t>
  </si>
  <si>
    <t>Осмотр электрооборудования согласно дог. № 061 от 30.04.2010, грн</t>
  </si>
  <si>
    <t>Осмотр электрооборудования согласно дог. № 066 от 02.04.2007, грн</t>
  </si>
  <si>
    <t>Осмотр электрооборудования согласно дог. № 158 от 26.06.2007, грн</t>
  </si>
  <si>
    <t>Осмотр электрооборудования согласно дог. № 194 от 25.09.2006, грн</t>
  </si>
  <si>
    <t>Осмотр электрооборудования согласно дог. № 240 от 24.09.2008, грн</t>
  </si>
  <si>
    <t>Осмотр электрооборудования согласно дог. № 246от 14.11.2005, грн</t>
  </si>
  <si>
    <t>Осмотр электрооборудования согласно дог. № № 017 от 01.01..2008, грн</t>
  </si>
  <si>
    <t>Оформлення та нагляд за роботами в охоронній зоні, грн</t>
  </si>
  <si>
    <t>Первинне підключення  споживача, грн</t>
  </si>
  <si>
    <t>Повторне підключення  споживача, грн</t>
  </si>
  <si>
    <t>Погодження проектної документації, грн</t>
  </si>
  <si>
    <t>Послуги з передачі ел./енергії 1 клас, МВт*г</t>
  </si>
  <si>
    <t>Послуги з передачі ел./енергії 2 клас, МВт*г</t>
  </si>
  <si>
    <t>Послуги з утримання технологічних мереж спільного використання, грн</t>
  </si>
  <si>
    <t>Проверка электросчетчика электроэнергии с помощью переносного компьютера, грн</t>
  </si>
  <si>
    <t>Ремонт кабельной линии КЛ 0,4 кВ , грн</t>
  </si>
  <si>
    <t>Роботи з демонтажу кабеля та підвіски проводів ПЛ 10кВ, грн</t>
  </si>
  <si>
    <t>Роботи з монтажу повторного заземлення на опорі, грн</t>
  </si>
  <si>
    <t>Тех.обсл. электрооборудования согласно дог. № 026 от 27.02.2007, грн</t>
  </si>
  <si>
    <t>Тех.обсл. электрооборудования согласно дог. № 061 от 30.04.2010, грн</t>
  </si>
  <si>
    <t>Тех.обсл. электрооборудования согласно дог. № № 017 от 01.01..2008, грн</t>
  </si>
  <si>
    <t>Тех.обслуживание згідно.дог.№39 от 01.02.2013, грн</t>
  </si>
  <si>
    <t>Тех.обслуживание согласно дог. № 246от 14.11.2005, грн</t>
  </si>
  <si>
    <t>Техническое обслуживание  электрооборудования согласно дог. № 294 от 01.10.2012, грн</t>
  </si>
  <si>
    <t>Техническое обслуживание электрооборудования согласно дог. № 066 от 02.04.2007, грн</t>
  </si>
  <si>
    <t>Техническое обслуживание электрооборудования согласно дог. № 158 от 26.06.2007, грн</t>
  </si>
  <si>
    <t>Техническое обслуживание электрооборудования согласно дог. № 194 от 25.09.2006, грн</t>
  </si>
  <si>
    <t>Техническое обслуживание электрооборудования согласно дог. № 240 от 24.09.2008, грн</t>
  </si>
  <si>
    <t>Техническое обслуживание электрооборудования согласно дог. № 313 от 01.10.2012, грн</t>
  </si>
  <si>
    <t>Технічне обслуговування електрообладнання  згідно.дог.№211 от 22.08.2011, грн</t>
  </si>
  <si>
    <t>Узгодження проектної документації на електрозабезпечення об'єкта, грн</t>
  </si>
  <si>
    <t>Эксплуатация автокрана МАЗ, грн</t>
  </si>
  <si>
    <t>Сумма, тыс.грн. без НДС</t>
  </si>
  <si>
    <t>6 НКРЕ</t>
  </si>
  <si>
    <t>Расшифровка</t>
  </si>
  <si>
    <t>Услуги</t>
  </si>
  <si>
    <t>подключение - отключение</t>
  </si>
  <si>
    <t>Выдача ТУ</t>
  </si>
  <si>
    <t>ЭТЛ</t>
  </si>
  <si>
    <t>Вызов инспектора</t>
  </si>
  <si>
    <t>ответственное хранение</t>
  </si>
  <si>
    <t>Метрология поверка</t>
  </si>
  <si>
    <t>Метрология ремонт</t>
  </si>
  <si>
    <t>Реактив</t>
  </si>
  <si>
    <t>Компенсация коммунальных услуг</t>
  </si>
  <si>
    <t>Присоединение</t>
  </si>
  <si>
    <t>ОТО</t>
  </si>
  <si>
    <t>Работы в охранной зоне</t>
  </si>
  <si>
    <t>транзит</t>
  </si>
  <si>
    <t>ЗОЕ</t>
  </si>
  <si>
    <t>ремонт</t>
  </si>
  <si>
    <t>транспортные</t>
  </si>
  <si>
    <t>Названия строк</t>
  </si>
  <si>
    <t>Общий итог</t>
  </si>
  <si>
    <t>(пусто)</t>
  </si>
  <si>
    <t>Сумма по полю Сумма, тыс.грн. без НДС</t>
  </si>
  <si>
    <t>Квартал</t>
  </si>
  <si>
    <t>Названия столбцов</t>
  </si>
  <si>
    <t>квартал</t>
  </si>
  <si>
    <t>1 Итог</t>
  </si>
  <si>
    <t>703(продажи)</t>
  </si>
  <si>
    <t>сумма, тис.грн.</t>
  </si>
  <si>
    <t>Сумма по полю сумма, тис.грн.</t>
  </si>
  <si>
    <t>судебный сбор</t>
  </si>
  <si>
    <t>71 сч.</t>
  </si>
  <si>
    <t>92 сч.</t>
  </si>
  <si>
    <t>остаточная стоимость необоротных активов при продаже</t>
  </si>
  <si>
    <t xml:space="preserve">затраты по авансовым отчетам </t>
  </si>
  <si>
    <t>94 сч.</t>
  </si>
  <si>
    <t>73 прочие финансовые доходы</t>
  </si>
  <si>
    <t>73сч.</t>
  </si>
  <si>
    <t>94 прочие расходы</t>
  </si>
  <si>
    <t>74 сч.</t>
  </si>
  <si>
    <t>95 сч.</t>
  </si>
  <si>
    <t>97 сч.</t>
  </si>
  <si>
    <t>Тарифи (та їх структура)   у 2013р.</t>
  </si>
  <si>
    <t>Перелік складових частин витрат з ліцензованого виду діяльності, що включаються в розрахунок тарифу </t>
  </si>
  <si>
    <t>Код рядка </t>
  </si>
  <si>
    <t xml:space="preserve">Діючий тариф на січень - лютий </t>
  </si>
  <si>
    <t>Діючий тариф на березень - грудень</t>
  </si>
  <si>
    <r>
      <t>1. Операційні витрати</t>
    </r>
    <r>
      <rPr>
        <sz val="12"/>
        <rFont val="Times New Roman"/>
        <family val="1"/>
        <charset val="204"/>
      </rPr>
      <t> </t>
    </r>
  </si>
  <si>
    <r>
      <t>1</t>
    </r>
    <r>
      <rPr>
        <sz val="12"/>
        <rFont val="Times New Roman"/>
        <family val="1"/>
        <charset val="204"/>
      </rPr>
      <t> </t>
    </r>
  </si>
  <si>
    <t>Матеріальні витрати </t>
  </si>
  <si>
    <t>1.1 </t>
  </si>
  <si>
    <t>- виробничі послуги </t>
  </si>
  <si>
    <t>1.1.1 </t>
  </si>
  <si>
    <t xml:space="preserve"> - сировина і матеріали</t>
  </si>
  <si>
    <t>1.1.2 </t>
  </si>
  <si>
    <t>. лічильники</t>
  </si>
  <si>
    <t>- паливо </t>
  </si>
  <si>
    <t>1.1.3 </t>
  </si>
  <si>
    <t xml:space="preserve"> витрати на ремонт господарчим і підрядним способами</t>
  </si>
  <si>
    <t>1.1.4 </t>
  </si>
  <si>
    <t xml:space="preserve"> витрати на ел. ен. для госп.</t>
  </si>
  <si>
    <t>1.1.5 </t>
  </si>
  <si>
    <t>Витрати на оплату праці </t>
  </si>
  <si>
    <t>1.2 </t>
  </si>
  <si>
    <t>Відрахування на соціальні заходи </t>
  </si>
  <si>
    <t>1.3 </t>
  </si>
  <si>
    <t>Амортизація </t>
  </si>
  <si>
    <t>1.4 </t>
  </si>
  <si>
    <t>Інші операційні витрати: </t>
  </si>
  <si>
    <t>1.5 </t>
  </si>
  <si>
    <t>- плата за землю </t>
  </si>
  <si>
    <t>1.5.1 </t>
  </si>
  <si>
    <t>- комунальний податок </t>
  </si>
  <si>
    <t>1.5.3 </t>
  </si>
  <si>
    <t>- витрати на зв'язок </t>
  </si>
  <si>
    <t>1.5.4 </t>
  </si>
  <si>
    <t>- витрати на службові відрядження </t>
  </si>
  <si>
    <t>1.5.6 </t>
  </si>
  <si>
    <t>- податок на транспорт </t>
  </si>
  <si>
    <t>1.5.7 </t>
  </si>
  <si>
    <t xml:space="preserve"> - утримання транспорту</t>
  </si>
  <si>
    <t>1.5.8 </t>
  </si>
  <si>
    <t>- інвентаризація землі </t>
  </si>
  <si>
    <t>1.5.9 </t>
  </si>
  <si>
    <t xml:space="preserve"> - інші витрати:</t>
  </si>
  <si>
    <t>1.5.10 </t>
  </si>
  <si>
    <t>підвищення кваліфікації персоналу</t>
  </si>
  <si>
    <t>витрати на заходи з охорони праці</t>
  </si>
  <si>
    <t>послуги сторонніх організацій</t>
  </si>
  <si>
    <t>оренда</t>
  </si>
  <si>
    <t>аудиторські послуги</t>
  </si>
  <si>
    <t>витрати на господарчі потреби</t>
  </si>
  <si>
    <t>витрати на комунальні прослуги</t>
  </si>
  <si>
    <t>страхування транспорту,водіїв, пожежних дружин</t>
  </si>
  <si>
    <t>інші</t>
  </si>
  <si>
    <t>5 днів</t>
  </si>
  <si>
    <t>Коригування витрат</t>
  </si>
  <si>
    <r>
      <t>2. Витрати з прибутку на:</t>
    </r>
    <r>
      <rPr>
        <sz val="12"/>
        <rFont val="Times New Roman"/>
        <family val="1"/>
        <charset val="204"/>
      </rPr>
      <t> </t>
    </r>
  </si>
  <si>
    <t>- дивіденди / базу нарахування </t>
  </si>
  <si>
    <t>2.1. </t>
  </si>
  <si>
    <t>- розвиток виробництва / виробничі інвестиції </t>
  </si>
  <si>
    <t>2.2 </t>
  </si>
  <si>
    <t>- податок на прибуток </t>
  </si>
  <si>
    <t>2.4 </t>
  </si>
  <si>
    <t xml:space="preserve"> -інші цілі</t>
  </si>
  <si>
    <t>2.5</t>
  </si>
  <si>
    <r>
      <t>3. Всього від реалізації електроенергії</t>
    </r>
    <r>
      <rPr>
        <sz val="12"/>
        <rFont val="Times New Roman"/>
        <family val="1"/>
        <charset val="204"/>
      </rPr>
      <t> </t>
    </r>
  </si>
  <si>
    <t>№</t>
  </si>
  <si>
    <t>Перелік витрат за
видами ліцензованої діяльності</t>
  </si>
  <si>
    <t>Передача е/е</t>
  </si>
  <si>
    <t>Постачання е/е</t>
  </si>
  <si>
    <t>Всього е/е</t>
  </si>
  <si>
    <t>Інша продукція</t>
  </si>
  <si>
    <t>Інша діяльн.</t>
  </si>
  <si>
    <t>Всього</t>
  </si>
  <si>
    <t xml:space="preserve">За діючим
тарифом </t>
  </si>
  <si>
    <t>Фак-
тично</t>
  </si>
  <si>
    <t>За діючим
тарифом</t>
  </si>
  <si>
    <t>Фактично</t>
  </si>
  <si>
    <t>За розрах.</t>
  </si>
  <si>
    <t>Звіт</t>
  </si>
  <si>
    <t>лікарняні (перші 5 днів)</t>
  </si>
  <si>
    <t>інші витрати по операційній діяльності</t>
  </si>
  <si>
    <t>лицензия</t>
  </si>
  <si>
    <t>РКО</t>
  </si>
  <si>
    <t>Публикация</t>
  </si>
  <si>
    <t>Почтовые</t>
  </si>
  <si>
    <t>Госпошлина</t>
  </si>
  <si>
    <t>Прочие налоги</t>
  </si>
  <si>
    <t>Подписка</t>
  </si>
  <si>
    <t>виплати профкому</t>
  </si>
  <si>
    <t>штрафи</t>
  </si>
  <si>
    <t>Генеральний директор - Голова правління</t>
  </si>
  <si>
    <t>Корса М.В.</t>
  </si>
  <si>
    <t xml:space="preserve"> Головний бухгалтер</t>
  </si>
  <si>
    <t>Марчук Н.О.</t>
  </si>
  <si>
    <t>Вик. Кірейцева М.М.</t>
  </si>
  <si>
    <t>(0562) 31-03-85</t>
  </si>
  <si>
    <t>План закриття  1 квартал 2013р.</t>
  </si>
  <si>
    <t>Звіт ПрАТ "ПЕЕМ "Центральна енергетична компанія" щодо надходження та використання коштів від  видів діяльності пов'язаних та не пов'язаних з ліцензованою за  12 місяців  2012р.</t>
  </si>
  <si>
    <t>За 1 квартал 2013 року</t>
  </si>
  <si>
    <t>Види діяльності повязані з ліцензованою</t>
  </si>
  <si>
    <t>тис.грн. без ПДВ</t>
  </si>
  <si>
    <t>Найменування</t>
  </si>
  <si>
    <t>Нарахований дохід</t>
  </si>
  <si>
    <t>Витрати</t>
  </si>
  <si>
    <t>Надходження грошових коштів</t>
  </si>
  <si>
    <t>Видача ТУ</t>
  </si>
  <si>
    <t>Повторне підключення споживачів</t>
  </si>
  <si>
    <t>Позапланова перевірка приладів обліку</t>
  </si>
  <si>
    <t xml:space="preserve">Інші, крім ліцензованого, види діяльності  </t>
  </si>
  <si>
    <t>Послуги з монтажу, технічного обслуговування і ремонту електроустаткування споживачів</t>
  </si>
  <si>
    <t>Допуск в ТП</t>
  </si>
  <si>
    <t>Ответственное хранение</t>
  </si>
  <si>
    <t>Транспортные</t>
  </si>
  <si>
    <t>Послуги з монтажу, технічного обслуговування і ремонту контрольно-вимірювальної апаратури.</t>
  </si>
  <si>
    <t>Послуги лабораторій з проведення вимірів.</t>
  </si>
  <si>
    <t>Послуги з надання в оренду невиробничих приміщень</t>
  </si>
  <si>
    <t>* Прибуток, отриманий  від видів діяльності пов'язаних та не пов'язаних з ліцензованою, спрямовано на виконання технічного обслуговування та ремонти електрообладнання.</t>
  </si>
  <si>
    <t>в.о. Генерального директора - Голови правління</t>
  </si>
  <si>
    <t>Іващук Ф.С.</t>
  </si>
  <si>
    <t>Услуги за 1 квартал 2013г.</t>
  </si>
  <si>
    <t>Вид услуг</t>
  </si>
  <si>
    <t xml:space="preserve"> ЗП</t>
  </si>
  <si>
    <t>Общехоз. расх.</t>
  </si>
  <si>
    <t xml:space="preserve"> ГСМ</t>
  </si>
  <si>
    <t xml:space="preserve"> Амортизация</t>
  </si>
  <si>
    <t xml:space="preserve"> Оплата услуг Госповерки</t>
  </si>
  <si>
    <t xml:space="preserve"> Материалы</t>
  </si>
  <si>
    <t xml:space="preserve"> Спецодежда, инструмент</t>
  </si>
  <si>
    <t>Прибыль</t>
  </si>
  <si>
    <t xml:space="preserve"> НДС</t>
  </si>
  <si>
    <t xml:space="preserve"> Всего доход</t>
  </si>
  <si>
    <t>Затрати</t>
  </si>
  <si>
    <t>Метрология (поверка)</t>
  </si>
  <si>
    <t>Метрология (ремонт)</t>
  </si>
  <si>
    <t>Отключение - подключение</t>
  </si>
  <si>
    <t>Услуги ЭТЛ</t>
  </si>
  <si>
    <t>грн. с НДС</t>
  </si>
  <si>
    <t>грн. без НДС</t>
  </si>
  <si>
    <t>% прибіли</t>
  </si>
  <si>
    <t xml:space="preserve">Затраті по Запорожью за 1 квартал </t>
  </si>
  <si>
    <t xml:space="preserve">Начисленній доход разложен по фактическим затратім, кроме амортизации. Материальніе подогнані </t>
  </si>
  <si>
    <t>інше</t>
  </si>
  <si>
    <t>(три) місяці</t>
  </si>
  <si>
    <t>Розшифровка  інших операційних витрат (р. 305 , ст.13) ПрАТ "ПЕЕМ "Центральна енергетична компанія"
 за   3 місяці 2013р.</t>
  </si>
</sst>
</file>

<file path=xl/styles.xml><?xml version="1.0" encoding="utf-8"?>
<styleSheet xmlns="http://schemas.openxmlformats.org/spreadsheetml/2006/main">
  <numFmts count="13">
    <numFmt numFmtId="43" formatCode="_-* #,##0.00_р_._-;\-* #,##0.00_р_._-;_-* &quot;-&quot;??_р_._-;_-@_-"/>
    <numFmt numFmtId="164" formatCode="0.000"/>
    <numFmt numFmtId="165" formatCode="#,##0.000"/>
    <numFmt numFmtId="166" formatCode="#,##0.0"/>
    <numFmt numFmtId="167" formatCode="0.0"/>
    <numFmt numFmtId="168" formatCode="_-* #,##0_р_._-;\-* #,##0_р_._-;_-* &quot;-&quot;??_р_._-;_-@_-"/>
    <numFmt numFmtId="169" formatCode="_-* #,##0.0_р_._-;\-* #,##0.0_р_._-;_-* &quot;-&quot;?_р_._-;_-@_-"/>
    <numFmt numFmtId="170" formatCode="0.00;[Red]0.00"/>
    <numFmt numFmtId="171" formatCode="_-* #,##0\ _г_р_н_._-;\-* #,##0\ _г_р_н_._-;_-* &quot;-&quot;??\ _г_р_н_._-;_-@_-"/>
    <numFmt numFmtId="172" formatCode="_(* #,##0_);_(* \(#,##0\);_(* &quot;-&quot;??_);_(@_)"/>
    <numFmt numFmtId="173" formatCode="0;[Red]0"/>
    <numFmt numFmtId="174" formatCode="0.00;[Red]\-0.00"/>
    <numFmt numFmtId="175" formatCode="#,##0.00;[Red]\-#,##0.00"/>
  </numFmts>
  <fonts count="51">
    <font>
      <sz val="10"/>
      <color theme="1"/>
      <name val="Arial Cyr"/>
      <family val="2"/>
      <charset val="204"/>
    </font>
    <font>
      <sz val="10"/>
      <color theme="1"/>
      <name val="Arial Cyr"/>
      <family val="2"/>
      <charset val="204"/>
    </font>
    <font>
      <sz val="10"/>
      <color rgb="FFFF0000"/>
      <name val="Arial Cyr"/>
      <family val="2"/>
      <charset val="204"/>
    </font>
    <font>
      <b/>
      <sz val="14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sz val="14"/>
      <name val="Times New Roman"/>
      <family val="1"/>
      <charset val="204"/>
    </font>
    <font>
      <sz val="13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0"/>
      <name val="Times New Roman Cyr"/>
      <charset val="204"/>
    </font>
    <font>
      <sz val="16"/>
      <name val="Times New Roman"/>
      <family val="1"/>
      <charset val="204"/>
    </font>
    <font>
      <sz val="8"/>
      <color indexed="81"/>
      <name val="Tahoma"/>
      <family val="2"/>
      <charset val="204"/>
    </font>
    <font>
      <sz val="8"/>
      <name val="Arial"/>
      <family val="2"/>
    </font>
    <font>
      <sz val="10"/>
      <name val="Arial"/>
      <family val="2"/>
    </font>
    <font>
      <b/>
      <sz val="8"/>
      <color indexed="59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rgb="FFFF0000"/>
      <name val="Arial"/>
      <family val="2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2"/>
      <name val="Arial"/>
      <family val="2"/>
    </font>
    <font>
      <b/>
      <sz val="14"/>
      <name val="Arial Cyr"/>
      <charset val="204"/>
    </font>
    <font>
      <b/>
      <sz val="10"/>
      <name val="Times New Roman"/>
      <family val="1"/>
      <charset val="204"/>
    </font>
    <font>
      <sz val="10"/>
      <color indexed="8"/>
      <name val="Arial Cyr"/>
      <family val="2"/>
      <charset val="204"/>
    </font>
    <font>
      <b/>
      <sz val="13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i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sz val="11"/>
      <name val="Times New Roman"/>
      <family val="1"/>
    </font>
    <font>
      <b/>
      <sz val="11"/>
      <name val="Times New Roman"/>
      <family val="1"/>
      <charset val="204"/>
    </font>
    <font>
      <sz val="10"/>
      <color indexed="8"/>
      <name val="Arial Cyr"/>
      <charset val="204"/>
    </font>
    <font>
      <sz val="9"/>
      <name val="Times New Roman"/>
      <family val="1"/>
    </font>
    <font>
      <b/>
      <sz val="10"/>
      <color theme="1"/>
      <name val="Arial Cyr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" fillId="0" borderId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8" fillId="0" borderId="0"/>
  </cellStyleXfs>
  <cellXfs count="617">
    <xf numFmtId="0" fontId="0" fillId="0" borderId="0" xfId="0"/>
    <xf numFmtId="0" fontId="4" fillId="0" borderId="0" xfId="0" applyFont="1" applyFill="1"/>
    <xf numFmtId="0" fontId="3" fillId="0" borderId="0" xfId="0" applyFont="1" applyFill="1" applyAlignment="1" applyProtection="1">
      <alignment horizontal="center"/>
      <protection locked="0"/>
    </xf>
    <xf numFmtId="0" fontId="3" fillId="0" borderId="0" xfId="0" applyFont="1" applyFill="1" applyAlignment="1" applyProtection="1">
      <protection locked="0"/>
    </xf>
    <xf numFmtId="1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6" fillId="3" borderId="1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Alignment="1" applyProtection="1">
      <alignment horizontal="center" vertical="top" wrapText="1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Fill="1" applyAlignment="1" applyProtection="1">
      <alignment horizontal="center"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7" fillId="0" borderId="0" xfId="0" applyFont="1" applyFill="1" applyAlignment="1" applyProtection="1">
      <alignment wrapText="1"/>
      <protection locked="0"/>
    </xf>
    <xf numFmtId="0" fontId="7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0" xfId="0" applyFont="1" applyFill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7" fillId="0" borderId="0" xfId="0" applyFont="1" applyFill="1" applyAlignment="1" applyProtection="1">
      <alignment horizontal="right" vertical="top"/>
      <protection locked="0"/>
    </xf>
    <xf numFmtId="0" fontId="7" fillId="0" borderId="0" xfId="0" applyFont="1" applyFill="1" applyAlignment="1"/>
    <xf numFmtId="0" fontId="7" fillId="0" borderId="0" xfId="0" applyFont="1" applyFill="1"/>
    <xf numFmtId="0" fontId="7" fillId="0" borderId="0" xfId="0" applyFont="1" applyFill="1" applyAlignment="1" applyProtection="1">
      <protection locked="0"/>
    </xf>
    <xf numFmtId="0" fontId="7" fillId="0" borderId="7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4" fillId="0" borderId="0" xfId="0" applyFont="1" applyFill="1" applyProtection="1">
      <protection locked="0"/>
    </xf>
    <xf numFmtId="0" fontId="9" fillId="0" borderId="0" xfId="0" applyFont="1" applyFill="1" applyAlignment="1" applyProtection="1">
      <alignment wrapText="1"/>
      <protection locked="0"/>
    </xf>
    <xf numFmtId="0" fontId="7" fillId="0" borderId="0" xfId="0" applyFont="1" applyBorder="1" applyAlignment="1">
      <alignment horizontal="left" vertical="center" wrapText="1"/>
    </xf>
    <xf numFmtId="0" fontId="4" fillId="0" borderId="0" xfId="0" applyFont="1" applyFill="1" applyBorder="1"/>
    <xf numFmtId="0" fontId="4" fillId="0" borderId="0" xfId="0" applyFont="1" applyFill="1" applyAlignment="1" applyProtection="1">
      <alignment vertical="top" wrapText="1"/>
      <protection locked="0"/>
    </xf>
    <xf numFmtId="0" fontId="11" fillId="0" borderId="0" xfId="0" applyFont="1" applyFill="1" applyProtection="1">
      <protection locked="0"/>
    </xf>
    <xf numFmtId="0" fontId="10" fillId="0" borderId="0" xfId="0" applyFont="1" applyFill="1" applyProtection="1">
      <protection locked="0"/>
    </xf>
    <xf numFmtId="0" fontId="10" fillId="0" borderId="0" xfId="0" applyFont="1" applyFill="1"/>
    <xf numFmtId="0" fontId="9" fillId="0" borderId="4" xfId="0" applyFont="1" applyFill="1" applyBorder="1" applyAlignment="1" applyProtection="1">
      <alignment horizontal="center"/>
      <protection locked="0"/>
    </xf>
    <xf numFmtId="0" fontId="9" fillId="0" borderId="0" xfId="0" applyFont="1" applyFill="1"/>
    <xf numFmtId="0" fontId="9" fillId="0" borderId="7" xfId="0" applyFont="1" applyFill="1" applyBorder="1" applyAlignment="1" applyProtection="1">
      <alignment horizontal="center"/>
      <protection locked="0"/>
    </xf>
    <xf numFmtId="0" fontId="9" fillId="0" borderId="4" xfId="0" applyFont="1" applyFill="1" applyBorder="1" applyAlignment="1" applyProtection="1">
      <alignment horizontal="center" vertical="center"/>
      <protection locked="0"/>
    </xf>
    <xf numFmtId="0" fontId="9" fillId="0" borderId="9" xfId="0" applyFont="1" applyFill="1" applyBorder="1" applyAlignment="1" applyProtection="1">
      <alignment horizontal="center" vertical="center"/>
      <protection locked="0"/>
    </xf>
    <xf numFmtId="0" fontId="9" fillId="0" borderId="2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9" fillId="0" borderId="13" xfId="0" applyFont="1" applyFill="1" applyBorder="1" applyAlignment="1" applyProtection="1">
      <alignment horizontal="center" vertical="center"/>
      <protection locked="0"/>
    </xf>
    <xf numFmtId="0" fontId="9" fillId="0" borderId="21" xfId="0" applyFont="1" applyFill="1" applyBorder="1" applyAlignment="1" applyProtection="1">
      <alignment horizontal="center" vertical="center"/>
      <protection locked="0"/>
    </xf>
    <xf numFmtId="0" fontId="9" fillId="0" borderId="22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/>
    <xf numFmtId="1" fontId="9" fillId="0" borderId="23" xfId="0" applyNumberFormat="1" applyFont="1" applyFill="1" applyBorder="1"/>
    <xf numFmtId="49" fontId="9" fillId="0" borderId="24" xfId="0" applyNumberFormat="1" applyFont="1" applyFill="1" applyBorder="1" applyAlignment="1">
      <alignment horizontal="center" vertical="center"/>
    </xf>
    <xf numFmtId="1" fontId="9" fillId="4" borderId="25" xfId="0" applyNumberFormat="1" applyFont="1" applyFill="1" applyBorder="1" applyAlignment="1" applyProtection="1">
      <alignment horizontal="right"/>
    </xf>
    <xf numFmtId="1" fontId="9" fillId="4" borderId="26" xfId="0" applyNumberFormat="1" applyFont="1" applyFill="1" applyBorder="1" applyAlignment="1" applyProtection="1">
      <alignment horizontal="right"/>
    </xf>
    <xf numFmtId="1" fontId="9" fillId="4" borderId="27" xfId="0" applyNumberFormat="1" applyFont="1" applyFill="1" applyBorder="1" applyAlignment="1" applyProtection="1">
      <alignment horizontal="right"/>
    </xf>
    <xf numFmtId="1" fontId="9" fillId="4" borderId="28" xfId="0" applyNumberFormat="1" applyFont="1" applyFill="1" applyBorder="1" applyAlignment="1" applyProtection="1">
      <alignment horizontal="right"/>
    </xf>
    <xf numFmtId="1" fontId="9" fillId="4" borderId="29" xfId="0" applyNumberFormat="1" applyFont="1" applyFill="1" applyBorder="1" applyAlignment="1" applyProtection="1">
      <alignment horizontal="right"/>
    </xf>
    <xf numFmtId="1" fontId="9" fillId="4" borderId="30" xfId="0" applyNumberFormat="1" applyFont="1" applyFill="1" applyBorder="1" applyAlignment="1" applyProtection="1">
      <alignment horizontal="right"/>
    </xf>
    <xf numFmtId="1" fontId="9" fillId="0" borderId="31" xfId="0" applyNumberFormat="1" applyFont="1" applyFill="1" applyBorder="1"/>
    <xf numFmtId="49" fontId="9" fillId="0" borderId="32" xfId="0" applyNumberFormat="1" applyFont="1" applyFill="1" applyBorder="1" applyAlignment="1">
      <alignment horizontal="center" vertical="center"/>
    </xf>
    <xf numFmtId="1" fontId="9" fillId="0" borderId="33" xfId="0" applyNumberFormat="1" applyFont="1" applyFill="1" applyBorder="1" applyAlignment="1" applyProtection="1">
      <alignment horizontal="right"/>
      <protection locked="0"/>
    </xf>
    <xf numFmtId="1" fontId="9" fillId="0" borderId="34" xfId="0" applyNumberFormat="1" applyFont="1" applyFill="1" applyBorder="1" applyAlignment="1" applyProtection="1">
      <alignment horizontal="right"/>
      <protection locked="0"/>
    </xf>
    <xf numFmtId="1" fontId="9" fillId="0" borderId="35" xfId="0" applyNumberFormat="1" applyFont="1" applyFill="1" applyBorder="1" applyAlignment="1" applyProtection="1">
      <alignment horizontal="right"/>
      <protection locked="0"/>
    </xf>
    <xf numFmtId="1" fontId="9" fillId="0" borderId="36" xfId="0" applyNumberFormat="1" applyFont="1" applyFill="1" applyBorder="1" applyAlignment="1" applyProtection="1">
      <alignment horizontal="right"/>
      <protection locked="0"/>
    </xf>
    <xf numFmtId="1" fontId="9" fillId="0" borderId="37" xfId="0" applyNumberFormat="1" applyFont="1" applyFill="1" applyBorder="1" applyAlignment="1" applyProtection="1">
      <alignment horizontal="right"/>
      <protection locked="0"/>
    </xf>
    <xf numFmtId="1" fontId="9" fillId="4" borderId="33" xfId="0" applyNumberFormat="1" applyFont="1" applyFill="1" applyBorder="1" applyAlignment="1" applyProtection="1">
      <alignment horizontal="right"/>
    </xf>
    <xf numFmtId="1" fontId="9" fillId="4" borderId="38" xfId="0" applyNumberFormat="1" applyFont="1" applyFill="1" applyBorder="1" applyAlignment="1" applyProtection="1">
      <alignment horizontal="right"/>
    </xf>
    <xf numFmtId="1" fontId="9" fillId="0" borderId="39" xfId="0" applyNumberFormat="1" applyFont="1" applyFill="1" applyBorder="1" applyAlignment="1" applyProtection="1">
      <alignment horizontal="right"/>
      <protection locked="0"/>
    </xf>
    <xf numFmtId="1" fontId="9" fillId="4" borderId="35" xfId="0" applyNumberFormat="1" applyFont="1" applyFill="1" applyBorder="1" applyAlignment="1" applyProtection="1">
      <alignment horizontal="right"/>
    </xf>
    <xf numFmtId="1" fontId="9" fillId="4" borderId="39" xfId="0" applyNumberFormat="1" applyFont="1" applyFill="1" applyBorder="1" applyAlignment="1" applyProtection="1">
      <alignment horizontal="right"/>
    </xf>
    <xf numFmtId="9" fontId="9" fillId="0" borderId="35" xfId="0" applyNumberFormat="1" applyFont="1" applyFill="1" applyBorder="1" applyAlignment="1" applyProtection="1">
      <alignment horizontal="right"/>
      <protection locked="0"/>
    </xf>
    <xf numFmtId="1" fontId="9" fillId="0" borderId="40" xfId="0" applyNumberFormat="1" applyFont="1" applyFill="1" applyBorder="1" applyAlignment="1" applyProtection="1">
      <alignment horizontal="right"/>
      <protection locked="0"/>
    </xf>
    <xf numFmtId="1" fontId="9" fillId="4" borderId="41" xfId="0" applyNumberFormat="1" applyFont="1" applyFill="1" applyBorder="1" applyAlignment="1" applyProtection="1">
      <alignment horizontal="right"/>
    </xf>
    <xf numFmtId="1" fontId="9" fillId="4" borderId="42" xfId="0" applyNumberFormat="1" applyFont="1" applyFill="1" applyBorder="1" applyAlignment="1" applyProtection="1">
      <alignment horizontal="right"/>
    </xf>
    <xf numFmtId="1" fontId="9" fillId="4" borderId="1" xfId="0" applyNumberFormat="1" applyFont="1" applyFill="1" applyBorder="1" applyAlignment="1" applyProtection="1">
      <alignment horizontal="right"/>
    </xf>
    <xf numFmtId="1" fontId="9" fillId="4" borderId="37" xfId="0" applyNumberFormat="1" applyFont="1" applyFill="1" applyBorder="1" applyAlignment="1" applyProtection="1">
      <alignment horizontal="right"/>
    </xf>
    <xf numFmtId="0" fontId="10" fillId="0" borderId="0" xfId="0" applyFont="1" applyFill="1" applyBorder="1"/>
    <xf numFmtId="0" fontId="10" fillId="0" borderId="43" xfId="0" applyFont="1" applyFill="1" applyBorder="1"/>
    <xf numFmtId="1" fontId="11" fillId="0" borderId="0" xfId="0" applyNumberFormat="1" applyFont="1" applyFill="1" applyBorder="1" applyAlignment="1" applyProtection="1">
      <alignment horizontal="right"/>
      <protection locked="0"/>
    </xf>
    <xf numFmtId="1" fontId="11" fillId="0" borderId="0" xfId="0" applyNumberFormat="1" applyFont="1" applyFill="1" applyBorder="1" applyAlignment="1" applyProtection="1">
      <alignment horizontal="right"/>
    </xf>
    <xf numFmtId="0" fontId="11" fillId="0" borderId="0" xfId="0" applyFont="1" applyFill="1" applyBorder="1" applyAlignment="1" applyProtection="1">
      <alignment vertical="center" wrapText="1"/>
      <protection locked="0"/>
    </xf>
    <xf numFmtId="49" fontId="11" fillId="0" borderId="0" xfId="0" applyNumberFormat="1" applyFont="1" applyFill="1" applyBorder="1" applyAlignment="1" applyProtection="1">
      <alignment horizontal="center"/>
      <protection locked="0"/>
    </xf>
    <xf numFmtId="1" fontId="9" fillId="0" borderId="44" xfId="0" applyNumberFormat="1" applyFont="1" applyFill="1" applyBorder="1" applyAlignment="1" applyProtection="1">
      <alignment horizontal="right"/>
      <protection locked="0"/>
    </xf>
    <xf numFmtId="1" fontId="9" fillId="0" borderId="45" xfId="0" applyNumberFormat="1" applyFont="1" applyFill="1" applyBorder="1" applyAlignment="1" applyProtection="1">
      <alignment horizontal="right"/>
      <protection locked="0"/>
    </xf>
    <xf numFmtId="1" fontId="9" fillId="0" borderId="0" xfId="0" applyNumberFormat="1" applyFont="1" applyFill="1" applyBorder="1" applyAlignment="1" applyProtection="1">
      <alignment horizontal="right"/>
      <protection locked="0"/>
    </xf>
    <xf numFmtId="1" fontId="9" fillId="0" borderId="46" xfId="0" applyNumberFormat="1" applyFont="1" applyFill="1" applyBorder="1" applyAlignment="1" applyProtection="1">
      <alignment horizontal="right"/>
      <protection locked="0"/>
    </xf>
    <xf numFmtId="1" fontId="9" fillId="0" borderId="47" xfId="0" applyNumberFormat="1" applyFont="1" applyFill="1" applyBorder="1"/>
    <xf numFmtId="49" fontId="9" fillId="0" borderId="48" xfId="0" applyNumberFormat="1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 applyProtection="1">
      <alignment horizontal="right"/>
      <protection locked="0"/>
    </xf>
    <xf numFmtId="1" fontId="9" fillId="0" borderId="50" xfId="0" applyNumberFormat="1" applyFont="1" applyFill="1" applyBorder="1" applyAlignment="1" applyProtection="1">
      <alignment horizontal="right"/>
      <protection locked="0"/>
    </xf>
    <xf numFmtId="1" fontId="9" fillId="0" borderId="51" xfId="0" applyNumberFormat="1" applyFont="1" applyFill="1" applyBorder="1" applyAlignment="1" applyProtection="1">
      <alignment horizontal="right"/>
      <protection locked="0"/>
    </xf>
    <xf numFmtId="1" fontId="9" fillId="0" borderId="52" xfId="0" applyNumberFormat="1" applyFont="1" applyFill="1" applyBorder="1" applyAlignment="1" applyProtection="1">
      <alignment horizontal="right"/>
      <protection locked="0"/>
    </xf>
    <xf numFmtId="1" fontId="9" fillId="4" borderId="49" xfId="0" applyNumberFormat="1" applyFont="1" applyFill="1" applyBorder="1" applyAlignment="1" applyProtection="1">
      <alignment horizontal="right"/>
    </xf>
    <xf numFmtId="1" fontId="9" fillId="4" borderId="53" xfId="0" applyNumberFormat="1" applyFont="1" applyFill="1" applyBorder="1" applyAlignment="1" applyProtection="1">
      <alignment horizontal="right"/>
    </xf>
    <xf numFmtId="1" fontId="9" fillId="0" borderId="54" xfId="0" applyNumberFormat="1" applyFont="1" applyFill="1" applyBorder="1" applyAlignment="1" applyProtection="1">
      <alignment horizontal="right"/>
      <protection locked="0"/>
    </xf>
    <xf numFmtId="1" fontId="9" fillId="4" borderId="54" xfId="0" applyNumberFormat="1" applyFont="1" applyFill="1" applyBorder="1" applyAlignment="1" applyProtection="1">
      <alignment horizontal="right"/>
    </xf>
    <xf numFmtId="1" fontId="13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center" vertical="center"/>
    </xf>
    <xf numFmtId="1" fontId="9" fillId="0" borderId="24" xfId="0" applyNumberFormat="1" applyFont="1" applyFill="1" applyBorder="1" applyAlignment="1">
      <alignment horizontal="center" vertical="center"/>
    </xf>
    <xf numFmtId="1" fontId="9" fillId="4" borderId="24" xfId="0" applyNumberFormat="1" applyFont="1" applyFill="1" applyBorder="1" applyAlignment="1" applyProtection="1">
      <alignment horizontal="right"/>
    </xf>
    <xf numFmtId="1" fontId="9" fillId="0" borderId="32" xfId="0" applyNumberFormat="1" applyFont="1" applyFill="1" applyBorder="1" applyAlignment="1">
      <alignment horizontal="center" vertical="center"/>
    </xf>
    <xf numFmtId="1" fontId="9" fillId="4" borderId="55" xfId="0" applyNumberFormat="1" applyFont="1" applyFill="1" applyBorder="1" applyAlignment="1" applyProtection="1">
      <alignment horizontal="right"/>
    </xf>
    <xf numFmtId="1" fontId="9" fillId="4" borderId="36" xfId="0" applyNumberFormat="1" applyFont="1" applyFill="1" applyBorder="1" applyAlignment="1" applyProtection="1">
      <alignment horizontal="right"/>
    </xf>
    <xf numFmtId="0" fontId="10" fillId="0" borderId="0" xfId="0" applyFont="1" applyFill="1" applyAlignment="1">
      <alignment wrapText="1"/>
    </xf>
    <xf numFmtId="0" fontId="14" fillId="0" borderId="31" xfId="0" applyFont="1" applyFill="1" applyBorder="1" applyAlignment="1" applyProtection="1">
      <alignment vertical="center"/>
      <protection locked="0"/>
    </xf>
    <xf numFmtId="1" fontId="9" fillId="0" borderId="55" xfId="0" applyNumberFormat="1" applyFont="1" applyFill="1" applyBorder="1" applyAlignment="1" applyProtection="1">
      <alignment horizontal="right"/>
      <protection locked="0"/>
    </xf>
    <xf numFmtId="1" fontId="9" fillId="0" borderId="32" xfId="0" applyNumberFormat="1" applyFont="1" applyFill="1" applyBorder="1" applyAlignment="1" applyProtection="1">
      <alignment horizontal="right"/>
      <protection locked="0"/>
    </xf>
    <xf numFmtId="0" fontId="14" fillId="0" borderId="31" xfId="0" applyFont="1" applyFill="1" applyBorder="1" applyAlignment="1" applyProtection="1">
      <alignment vertical="center" wrapText="1"/>
      <protection locked="0"/>
    </xf>
    <xf numFmtId="1" fontId="9" fillId="0" borderId="56" xfId="0" applyNumberFormat="1" applyFont="1" applyFill="1" applyBorder="1" applyAlignment="1" applyProtection="1">
      <alignment horizontal="right"/>
      <protection locked="0"/>
    </xf>
    <xf numFmtId="1" fontId="9" fillId="0" borderId="8" xfId="0" applyNumberFormat="1" applyFont="1" applyFill="1" applyBorder="1" applyAlignment="1" applyProtection="1">
      <alignment horizontal="right"/>
      <protection locked="0"/>
    </xf>
    <xf numFmtId="1" fontId="9" fillId="0" borderId="57" xfId="0" applyNumberFormat="1" applyFont="1" applyFill="1" applyBorder="1" applyAlignment="1" applyProtection="1">
      <alignment horizontal="right"/>
      <protection locked="0"/>
    </xf>
    <xf numFmtId="1" fontId="9" fillId="0" borderId="58" xfId="0" applyNumberFormat="1" applyFont="1" applyFill="1" applyBorder="1" applyAlignment="1" applyProtection="1">
      <alignment horizontal="right"/>
      <protection locked="0"/>
    </xf>
    <xf numFmtId="1" fontId="9" fillId="4" borderId="35" xfId="0" applyNumberFormat="1" applyFont="1" applyFill="1" applyBorder="1" applyAlignment="1" applyProtection="1">
      <alignment horizontal="right"/>
      <protection locked="0"/>
    </xf>
    <xf numFmtId="1" fontId="9" fillId="4" borderId="39" xfId="0" applyNumberFormat="1" applyFont="1" applyFill="1" applyBorder="1" applyAlignment="1" applyProtection="1">
      <alignment horizontal="right"/>
      <protection locked="0"/>
    </xf>
    <xf numFmtId="1" fontId="9" fillId="4" borderId="36" xfId="0" applyNumberFormat="1" applyFont="1" applyFill="1" applyBorder="1" applyAlignment="1" applyProtection="1">
      <alignment horizontal="right"/>
      <protection locked="0"/>
    </xf>
    <xf numFmtId="1" fontId="9" fillId="4" borderId="37" xfId="0" applyNumberFormat="1" applyFont="1" applyFill="1" applyBorder="1" applyAlignment="1" applyProtection="1">
      <alignment horizontal="right"/>
      <protection locked="0"/>
    </xf>
    <xf numFmtId="1" fontId="9" fillId="4" borderId="32" xfId="0" applyNumberFormat="1" applyFont="1" applyFill="1" applyBorder="1" applyAlignment="1" applyProtection="1">
      <alignment horizontal="right"/>
      <protection locked="0"/>
    </xf>
    <xf numFmtId="1" fontId="9" fillId="0" borderId="59" xfId="0" applyNumberFormat="1" applyFont="1" applyFill="1" applyBorder="1"/>
    <xf numFmtId="1" fontId="9" fillId="0" borderId="60" xfId="0" applyNumberFormat="1" applyFont="1" applyFill="1" applyBorder="1" applyAlignment="1">
      <alignment horizontal="center" vertical="center"/>
    </xf>
    <xf numFmtId="1" fontId="9" fillId="4" borderId="45" xfId="0" applyNumberFormat="1" applyFont="1" applyFill="1" applyBorder="1" applyAlignment="1" applyProtection="1">
      <alignment horizontal="right"/>
      <protection locked="0"/>
    </xf>
    <xf numFmtId="1" fontId="9" fillId="4" borderId="61" xfId="0" applyNumberFormat="1" applyFont="1" applyFill="1" applyBorder="1" applyAlignment="1" applyProtection="1">
      <alignment horizontal="right"/>
      <protection locked="0"/>
    </xf>
    <xf numFmtId="1" fontId="9" fillId="4" borderId="62" xfId="0" applyNumberFormat="1" applyFont="1" applyFill="1" applyBorder="1" applyAlignment="1" applyProtection="1">
      <alignment horizontal="right"/>
      <protection locked="0"/>
    </xf>
    <xf numFmtId="1" fontId="9" fillId="4" borderId="46" xfId="0" applyNumberFormat="1" applyFont="1" applyFill="1" applyBorder="1" applyAlignment="1" applyProtection="1">
      <alignment horizontal="right"/>
      <protection locked="0"/>
    </xf>
    <xf numFmtId="1" fontId="9" fillId="4" borderId="57" xfId="0" applyNumberFormat="1" applyFont="1" applyFill="1" applyBorder="1" applyAlignment="1" applyProtection="1">
      <alignment horizontal="right"/>
    </xf>
    <xf numFmtId="1" fontId="9" fillId="4" borderId="63" xfId="0" applyNumberFormat="1" applyFont="1" applyFill="1" applyBorder="1" applyAlignment="1" applyProtection="1">
      <alignment horizontal="right"/>
    </xf>
    <xf numFmtId="1" fontId="9" fillId="4" borderId="56" xfId="0" applyNumberFormat="1" applyFont="1" applyFill="1" applyBorder="1" applyAlignment="1" applyProtection="1">
      <alignment horizontal="right"/>
      <protection locked="0"/>
    </xf>
    <xf numFmtId="1" fontId="9" fillId="4" borderId="8" xfId="0" applyNumberFormat="1" applyFont="1" applyFill="1" applyBorder="1" applyAlignment="1" applyProtection="1">
      <alignment horizontal="right"/>
      <protection locked="0"/>
    </xf>
    <xf numFmtId="1" fontId="9" fillId="4" borderId="14" xfId="0" applyNumberFormat="1" applyFont="1" applyFill="1" applyBorder="1" applyAlignment="1" applyProtection="1">
      <alignment horizontal="right"/>
      <protection locked="0"/>
    </xf>
    <xf numFmtId="1" fontId="9" fillId="4" borderId="34" xfId="0" applyNumberFormat="1" applyFont="1" applyFill="1" applyBorder="1" applyAlignment="1" applyProtection="1">
      <alignment horizontal="right"/>
      <protection locked="0"/>
    </xf>
    <xf numFmtId="1" fontId="10" fillId="0" borderId="0" xfId="0" applyNumberFormat="1" applyFont="1" applyFill="1"/>
    <xf numFmtId="1" fontId="9" fillId="4" borderId="34" xfId="0" applyNumberFormat="1" applyFont="1" applyFill="1" applyBorder="1" applyAlignment="1" applyProtection="1">
      <alignment horizontal="right"/>
    </xf>
    <xf numFmtId="1" fontId="9" fillId="4" borderId="32" xfId="0" applyNumberFormat="1" applyFont="1" applyFill="1" applyBorder="1" applyAlignment="1" applyProtection="1">
      <alignment horizontal="right"/>
    </xf>
    <xf numFmtId="1" fontId="9" fillId="0" borderId="14" xfId="0" applyNumberFormat="1" applyFont="1" applyFill="1" applyBorder="1" applyAlignment="1" applyProtection="1">
      <alignment horizontal="right"/>
      <protection locked="0"/>
    </xf>
    <xf numFmtId="0" fontId="14" fillId="0" borderId="31" xfId="0" applyFont="1" applyFill="1" applyBorder="1" applyAlignment="1" applyProtection="1">
      <alignment horizontal="left" vertical="center" wrapText="1"/>
      <protection locked="0"/>
    </xf>
    <xf numFmtId="1" fontId="9" fillId="0" borderId="41" xfId="0" applyNumberFormat="1" applyFont="1" applyFill="1" applyBorder="1" applyAlignment="1" applyProtection="1">
      <alignment horizontal="right"/>
      <protection locked="0"/>
    </xf>
    <xf numFmtId="1" fontId="9" fillId="0" borderId="42" xfId="0" applyNumberFormat="1" applyFont="1" applyFill="1" applyBorder="1" applyAlignment="1" applyProtection="1">
      <alignment horizontal="right"/>
      <protection locked="0"/>
    </xf>
    <xf numFmtId="1" fontId="9" fillId="0" borderId="1" xfId="0" applyNumberFormat="1" applyFont="1" applyFill="1" applyBorder="1" applyAlignment="1" applyProtection="1">
      <alignment horizontal="right"/>
      <protection locked="0"/>
    </xf>
    <xf numFmtId="0" fontId="9" fillId="0" borderId="31" xfId="0" applyFont="1" applyFill="1" applyBorder="1" applyAlignment="1" applyProtection="1">
      <alignment horizontal="left" vertical="center"/>
      <protection locked="0"/>
    </xf>
    <xf numFmtId="1" fontId="9" fillId="0" borderId="62" xfId="0" applyNumberFormat="1" applyFont="1" applyFill="1" applyBorder="1" applyAlignment="1" applyProtection="1">
      <alignment horizontal="right"/>
      <protection locked="0"/>
    </xf>
    <xf numFmtId="1" fontId="9" fillId="0" borderId="64" xfId="0" applyNumberFormat="1" applyFont="1" applyFill="1" applyBorder="1" applyAlignment="1" applyProtection="1">
      <alignment horizontal="right"/>
      <protection locked="0"/>
    </xf>
    <xf numFmtId="1" fontId="9" fillId="0" borderId="61" xfId="0" applyNumberFormat="1" applyFont="1" applyFill="1" applyBorder="1" applyAlignment="1" applyProtection="1">
      <alignment horizontal="right"/>
      <protection locked="0"/>
    </xf>
    <xf numFmtId="1" fontId="9" fillId="0" borderId="65" xfId="0" applyNumberFormat="1" applyFont="1" applyFill="1" applyBorder="1"/>
    <xf numFmtId="1" fontId="9" fillId="0" borderId="55" xfId="0" applyNumberFormat="1" applyFont="1" applyFill="1" applyBorder="1" applyAlignment="1">
      <alignment horizontal="center" vertical="center"/>
    </xf>
    <xf numFmtId="1" fontId="9" fillId="5" borderId="32" xfId="0" applyNumberFormat="1" applyFont="1" applyFill="1" applyBorder="1" applyAlignment="1" applyProtection="1">
      <alignment horizontal="center"/>
    </xf>
    <xf numFmtId="1" fontId="9" fillId="4" borderId="40" xfId="0" applyNumberFormat="1" applyFont="1" applyFill="1" applyBorder="1" applyAlignment="1" applyProtection="1">
      <alignment horizontal="right"/>
    </xf>
    <xf numFmtId="1" fontId="9" fillId="5" borderId="35" xfId="0" applyNumberFormat="1" applyFont="1" applyFill="1" applyBorder="1" applyAlignment="1" applyProtection="1">
      <alignment horizontal="center"/>
    </xf>
    <xf numFmtId="1" fontId="9" fillId="5" borderId="34" xfId="0" applyNumberFormat="1" applyFont="1" applyFill="1" applyBorder="1" applyAlignment="1" applyProtection="1">
      <alignment horizontal="center"/>
    </xf>
    <xf numFmtId="1" fontId="9" fillId="5" borderId="36" xfId="0" applyNumberFormat="1" applyFont="1" applyFill="1" applyBorder="1" applyAlignment="1" applyProtection="1">
      <alignment horizontal="center"/>
    </xf>
    <xf numFmtId="1" fontId="9" fillId="5" borderId="37" xfId="0" applyNumberFormat="1" applyFont="1" applyFill="1" applyBorder="1" applyAlignment="1" applyProtection="1">
      <alignment horizontal="center"/>
    </xf>
    <xf numFmtId="1" fontId="9" fillId="5" borderId="39" xfId="0" applyNumberFormat="1" applyFont="1" applyFill="1" applyBorder="1" applyAlignment="1" applyProtection="1">
      <alignment horizontal="center"/>
    </xf>
    <xf numFmtId="1" fontId="9" fillId="0" borderId="31" xfId="0" applyNumberFormat="1" applyFont="1" applyFill="1" applyBorder="1" applyAlignment="1">
      <alignment wrapText="1"/>
    </xf>
    <xf numFmtId="0" fontId="9" fillId="0" borderId="31" xfId="0" applyFont="1" applyFill="1" applyBorder="1" applyAlignment="1" applyProtection="1">
      <alignment vertical="center" wrapText="1"/>
      <protection locked="0"/>
    </xf>
    <xf numFmtId="1" fontId="9" fillId="0" borderId="63" xfId="0" applyNumberFormat="1" applyFont="1" applyFill="1" applyBorder="1" applyAlignment="1" applyProtection="1">
      <alignment horizontal="right"/>
      <protection locked="0"/>
    </xf>
    <xf numFmtId="1" fontId="9" fillId="0" borderId="32" xfId="0" applyNumberFormat="1" applyFont="1" applyFill="1" applyBorder="1" applyAlignment="1" applyProtection="1">
      <alignment horizontal="center"/>
    </xf>
    <xf numFmtId="0" fontId="14" fillId="0" borderId="32" xfId="0" applyFont="1" applyFill="1" applyBorder="1" applyAlignment="1" applyProtection="1">
      <alignment vertical="center"/>
      <protection locked="0"/>
    </xf>
    <xf numFmtId="3" fontId="9" fillId="0" borderId="36" xfId="0" applyNumberFormat="1" applyFont="1" applyFill="1" applyBorder="1" applyAlignment="1" applyProtection="1">
      <alignment horizontal="right"/>
      <protection locked="0"/>
    </xf>
    <xf numFmtId="3" fontId="9" fillId="0" borderId="37" xfId="0" applyNumberFormat="1" applyFont="1" applyFill="1" applyBorder="1" applyAlignment="1" applyProtection="1">
      <alignment horizontal="right"/>
      <protection locked="0"/>
    </xf>
    <xf numFmtId="3" fontId="9" fillId="4" borderId="42" xfId="0" applyNumberFormat="1" applyFont="1" applyFill="1" applyBorder="1" applyAlignment="1" applyProtection="1">
      <alignment horizontal="right"/>
    </xf>
    <xf numFmtId="3" fontId="9" fillId="4" borderId="41" xfId="0" applyNumberFormat="1" applyFont="1" applyFill="1" applyBorder="1" applyAlignment="1" applyProtection="1">
      <alignment horizontal="right"/>
    </xf>
    <xf numFmtId="0" fontId="9" fillId="0" borderId="31" xfId="0" applyFont="1" applyFill="1" applyBorder="1" applyAlignment="1" applyProtection="1">
      <alignment vertical="center"/>
      <protection locked="0"/>
    </xf>
    <xf numFmtId="1" fontId="9" fillId="0" borderId="37" xfId="0" applyNumberFormat="1" applyFont="1" applyFill="1" applyBorder="1" applyAlignment="1" applyProtection="1">
      <alignment horizontal="center"/>
    </xf>
    <xf numFmtId="1" fontId="9" fillId="0" borderId="32" xfId="0" applyNumberFormat="1" applyFont="1" applyFill="1" applyBorder="1" applyAlignment="1" applyProtection="1">
      <alignment horizontal="right"/>
    </xf>
    <xf numFmtId="1" fontId="9" fillId="5" borderId="55" xfId="0" applyNumberFormat="1" applyFont="1" applyFill="1" applyBorder="1" applyAlignment="1" applyProtection="1">
      <alignment horizontal="center"/>
    </xf>
    <xf numFmtId="1" fontId="9" fillId="5" borderId="33" xfId="0" applyNumberFormat="1" applyFont="1" applyFill="1" applyBorder="1" applyAlignment="1" applyProtection="1">
      <alignment horizontal="center"/>
    </xf>
    <xf numFmtId="1" fontId="9" fillId="5" borderId="40" xfId="0" applyNumberFormat="1" applyFont="1" applyFill="1" applyBorder="1" applyAlignment="1" applyProtection="1">
      <alignment horizontal="center"/>
    </xf>
    <xf numFmtId="1" fontId="9" fillId="5" borderId="42" xfId="0" applyNumberFormat="1" applyFont="1" applyFill="1" applyBorder="1" applyAlignment="1" applyProtection="1">
      <alignment horizontal="center"/>
    </xf>
    <xf numFmtId="1" fontId="9" fillId="5" borderId="38" xfId="0" applyNumberFormat="1" applyFont="1" applyFill="1" applyBorder="1" applyAlignment="1" applyProtection="1">
      <alignment horizontal="center"/>
    </xf>
    <xf numFmtId="1" fontId="9" fillId="0" borderId="66" xfId="0" applyNumberFormat="1" applyFont="1" applyFill="1" applyBorder="1" applyAlignment="1" applyProtection="1">
      <alignment horizontal="right"/>
      <protection locked="0"/>
    </xf>
    <xf numFmtId="43" fontId="10" fillId="0" borderId="0" xfId="0" applyNumberFormat="1" applyFont="1" applyFill="1"/>
    <xf numFmtId="1" fontId="9" fillId="0" borderId="48" xfId="0" applyNumberFormat="1" applyFont="1" applyFill="1" applyBorder="1" applyAlignment="1">
      <alignment horizontal="center" vertical="center"/>
    </xf>
    <xf numFmtId="1" fontId="9" fillId="5" borderId="49" xfId="0" applyNumberFormat="1" applyFont="1" applyFill="1" applyBorder="1" applyAlignment="1" applyProtection="1">
      <alignment horizontal="center"/>
    </xf>
    <xf numFmtId="1" fontId="9" fillId="5" borderId="54" xfId="0" applyNumberFormat="1" applyFont="1" applyFill="1" applyBorder="1" applyAlignment="1" applyProtection="1">
      <alignment horizontal="center"/>
    </xf>
    <xf numFmtId="1" fontId="9" fillId="5" borderId="51" xfId="0" applyNumberFormat="1" applyFont="1" applyFill="1" applyBorder="1" applyAlignment="1" applyProtection="1">
      <alignment horizontal="center"/>
    </xf>
    <xf numFmtId="1" fontId="9" fillId="5" borderId="53" xfId="0" applyNumberFormat="1" applyFont="1" applyFill="1" applyBorder="1" applyAlignment="1" applyProtection="1">
      <alignment horizontal="center"/>
    </xf>
    <xf numFmtId="1" fontId="9" fillId="5" borderId="48" xfId="0" applyNumberFormat="1" applyFont="1" applyFill="1" applyBorder="1" applyAlignment="1" applyProtection="1">
      <alignment horizontal="center"/>
    </xf>
    <xf numFmtId="1" fontId="9" fillId="0" borderId="0" xfId="0" applyNumberFormat="1" applyFont="1" applyFill="1" applyBorder="1" applyAlignment="1" applyProtection="1"/>
    <xf numFmtId="0" fontId="13" fillId="0" borderId="0" xfId="0" applyFont="1" applyFill="1" applyBorder="1" applyAlignment="1" applyProtection="1">
      <alignment horizontal="center" vertical="center"/>
      <protection locked="0"/>
    </xf>
    <xf numFmtId="1" fontId="9" fillId="0" borderId="0" xfId="0" applyNumberFormat="1" applyFont="1" applyFill="1" applyBorder="1" applyAlignment="1" applyProtection="1">
      <alignment horizontal="center"/>
      <protection locked="0"/>
    </xf>
    <xf numFmtId="1" fontId="9" fillId="0" borderId="22" xfId="0" applyNumberFormat="1" applyFont="1" applyFill="1" applyBorder="1" applyAlignment="1" applyProtection="1">
      <alignment horizontal="center"/>
      <protection locked="0"/>
    </xf>
    <xf numFmtId="0" fontId="14" fillId="0" borderId="22" xfId="0" applyFont="1" applyFill="1" applyBorder="1" applyProtection="1">
      <protection locked="0"/>
    </xf>
    <xf numFmtId="49" fontId="9" fillId="0" borderId="12" xfId="0" applyNumberFormat="1" applyFont="1" applyFill="1" applyBorder="1" applyAlignment="1" applyProtection="1">
      <alignment horizontal="center"/>
      <protection locked="0"/>
    </xf>
    <xf numFmtId="1" fontId="9" fillId="0" borderId="67" xfId="0" applyNumberFormat="1" applyFont="1" applyFill="1" applyBorder="1" applyAlignment="1" applyProtection="1">
      <alignment horizontal="right"/>
    </xf>
    <xf numFmtId="1" fontId="9" fillId="0" borderId="15" xfId="0" applyNumberFormat="1" applyFont="1" applyFill="1" applyBorder="1" applyAlignment="1" applyProtection="1">
      <alignment horizontal="right"/>
    </xf>
    <xf numFmtId="1" fontId="9" fillId="0" borderId="68" xfId="0" applyNumberFormat="1" applyFont="1" applyFill="1" applyBorder="1" applyAlignment="1" applyProtection="1">
      <alignment horizontal="right"/>
    </xf>
    <xf numFmtId="1" fontId="9" fillId="0" borderId="16" xfId="0" applyNumberFormat="1" applyFont="1" applyFill="1" applyBorder="1" applyAlignment="1" applyProtection="1">
      <alignment horizontal="right"/>
    </xf>
    <xf numFmtId="1" fontId="9" fillId="0" borderId="68" xfId="0" applyNumberFormat="1" applyFont="1" applyFill="1" applyBorder="1" applyAlignment="1" applyProtection="1">
      <alignment horizontal="right"/>
      <protection locked="0"/>
    </xf>
    <xf numFmtId="1" fontId="9" fillId="0" borderId="16" xfId="0" applyNumberFormat="1" applyFont="1" applyFill="1" applyBorder="1" applyAlignment="1" applyProtection="1">
      <alignment horizontal="right"/>
      <protection locked="0"/>
    </xf>
    <xf numFmtId="1" fontId="9" fillId="0" borderId="67" xfId="0" applyNumberFormat="1" applyFont="1" applyFill="1" applyBorder="1" applyAlignment="1" applyProtection="1">
      <alignment horizontal="right"/>
      <protection locked="0"/>
    </xf>
    <xf numFmtId="1" fontId="9" fillId="0" borderId="15" xfId="0" applyNumberFormat="1" applyFont="1" applyFill="1" applyBorder="1" applyAlignment="1" applyProtection="1">
      <alignment horizontal="right"/>
      <protection locked="0"/>
    </xf>
    <xf numFmtId="0" fontId="9" fillId="0" borderId="22" xfId="0" applyFont="1" applyFill="1" applyBorder="1" applyProtection="1">
      <protection locked="0"/>
    </xf>
    <xf numFmtId="0" fontId="14" fillId="0" borderId="2" xfId="0" applyFont="1" applyFill="1" applyBorder="1" applyAlignment="1" applyProtection="1">
      <alignment vertical="center" wrapText="1"/>
      <protection locked="0"/>
    </xf>
    <xf numFmtId="49" fontId="9" fillId="0" borderId="22" xfId="0" applyNumberFormat="1" applyFont="1" applyFill="1" applyBorder="1" applyAlignment="1" applyProtection="1">
      <alignment horizontal="center"/>
      <protection locked="0"/>
    </xf>
    <xf numFmtId="0" fontId="9" fillId="0" borderId="69" xfId="0" applyFont="1" applyFill="1" applyBorder="1" applyProtection="1">
      <protection locked="0"/>
    </xf>
    <xf numFmtId="0" fontId="9" fillId="0" borderId="20" xfId="0" applyFont="1" applyFill="1" applyBorder="1" applyProtection="1">
      <protection locked="0"/>
    </xf>
    <xf numFmtId="0" fontId="9" fillId="0" borderId="70" xfId="0" applyFont="1" applyFill="1" applyBorder="1" applyProtection="1">
      <protection locked="0"/>
    </xf>
    <xf numFmtId="0" fontId="9" fillId="0" borderId="21" xfId="0" applyFont="1" applyFill="1" applyBorder="1" applyProtection="1">
      <protection locked="0"/>
    </xf>
    <xf numFmtId="164" fontId="9" fillId="0" borderId="22" xfId="0" applyNumberFormat="1" applyFont="1" applyFill="1" applyBorder="1" applyAlignment="1" applyProtection="1">
      <alignment horizontal="center"/>
    </xf>
    <xf numFmtId="0" fontId="9" fillId="0" borderId="65" xfId="0" applyFont="1" applyFill="1" applyBorder="1" applyAlignment="1" applyProtection="1">
      <alignment vertical="center"/>
      <protection locked="0"/>
    </xf>
    <xf numFmtId="49" fontId="9" fillId="0" borderId="55" xfId="0" applyNumberFormat="1" applyFont="1" applyFill="1" applyBorder="1" applyAlignment="1" applyProtection="1">
      <alignment horizontal="center"/>
    </xf>
    <xf numFmtId="165" fontId="9" fillId="0" borderId="25" xfId="0" applyNumberFormat="1" applyFont="1" applyFill="1" applyBorder="1" applyAlignment="1" applyProtection="1">
      <alignment horizontal="right"/>
      <protection locked="0"/>
    </xf>
    <xf numFmtId="165" fontId="9" fillId="0" borderId="26" xfId="0" applyNumberFormat="1" applyFont="1" applyFill="1" applyBorder="1" applyAlignment="1" applyProtection="1">
      <alignment horizontal="right"/>
      <protection locked="0"/>
    </xf>
    <xf numFmtId="164" fontId="9" fillId="5" borderId="25" xfId="0" applyNumberFormat="1" applyFont="1" applyFill="1" applyBorder="1" applyAlignment="1" applyProtection="1">
      <alignment horizontal="center"/>
    </xf>
    <xf numFmtId="164" fontId="9" fillId="5" borderId="30" xfId="0" applyNumberFormat="1" applyFont="1" applyFill="1" applyBorder="1" applyAlignment="1" applyProtection="1">
      <alignment horizontal="center"/>
    </xf>
    <xf numFmtId="164" fontId="9" fillId="5" borderId="42" xfId="0" applyNumberFormat="1" applyFont="1" applyFill="1" applyBorder="1" applyAlignment="1" applyProtection="1">
      <alignment horizontal="center"/>
    </xf>
    <xf numFmtId="164" fontId="9" fillId="5" borderId="38" xfId="0" applyNumberFormat="1" applyFont="1" applyFill="1" applyBorder="1" applyAlignment="1" applyProtection="1">
      <alignment horizontal="center"/>
    </xf>
    <xf numFmtId="164" fontId="9" fillId="5" borderId="55" xfId="0" applyNumberFormat="1" applyFont="1" applyFill="1" applyBorder="1" applyAlignment="1" applyProtection="1">
      <alignment horizontal="center"/>
    </xf>
    <xf numFmtId="164" fontId="9" fillId="5" borderId="41" xfId="0" applyNumberFormat="1" applyFont="1" applyFill="1" applyBorder="1" applyAlignment="1" applyProtection="1">
      <alignment horizontal="center"/>
    </xf>
    <xf numFmtId="49" fontId="9" fillId="0" borderId="32" xfId="0" applyNumberFormat="1" applyFont="1" applyFill="1" applyBorder="1" applyAlignment="1" applyProtection="1">
      <alignment horizontal="center"/>
    </xf>
    <xf numFmtId="2" fontId="9" fillId="4" borderId="35" xfId="0" applyNumberFormat="1" applyFont="1" applyFill="1" applyBorder="1" applyAlignment="1" applyProtection="1">
      <alignment horizontal="right"/>
    </xf>
    <xf numFmtId="2" fontId="9" fillId="4" borderId="39" xfId="0" applyNumberFormat="1" applyFont="1" applyFill="1" applyBorder="1" applyAlignment="1" applyProtection="1">
      <alignment horizontal="right"/>
    </xf>
    <xf numFmtId="2" fontId="9" fillId="5" borderId="35" xfId="0" applyNumberFormat="1" applyFont="1" applyFill="1" applyBorder="1" applyAlignment="1" applyProtection="1">
      <alignment horizontal="center"/>
    </xf>
    <xf numFmtId="2" fontId="9" fillId="5" borderId="39" xfId="0" applyNumberFormat="1" applyFont="1" applyFill="1" applyBorder="1" applyAlignment="1" applyProtection="1">
      <alignment horizontal="center"/>
    </xf>
    <xf numFmtId="2" fontId="9" fillId="5" borderId="36" xfId="0" applyNumberFormat="1" applyFont="1" applyFill="1" applyBorder="1" applyAlignment="1" applyProtection="1">
      <alignment horizontal="center"/>
    </xf>
    <xf numFmtId="2" fontId="9" fillId="5" borderId="40" xfId="0" applyNumberFormat="1" applyFont="1" applyFill="1" applyBorder="1" applyAlignment="1" applyProtection="1">
      <alignment horizontal="center"/>
    </xf>
    <xf numFmtId="2" fontId="9" fillId="5" borderId="32" xfId="0" applyNumberFormat="1" applyFont="1" applyFill="1" applyBorder="1" applyAlignment="1" applyProtection="1">
      <alignment horizontal="center"/>
    </xf>
    <xf numFmtId="2" fontId="9" fillId="5" borderId="34" xfId="0" applyNumberFormat="1" applyFont="1" applyFill="1" applyBorder="1" applyAlignment="1" applyProtection="1">
      <alignment horizontal="center"/>
    </xf>
    <xf numFmtId="2" fontId="9" fillId="4" borderId="36" xfId="0" applyNumberFormat="1" applyFont="1" applyFill="1" applyBorder="1" applyAlignment="1" applyProtection="1">
      <alignment horizontal="right"/>
    </xf>
    <xf numFmtId="2" fontId="9" fillId="4" borderId="37" xfId="0" applyNumberFormat="1" applyFont="1" applyFill="1" applyBorder="1" applyAlignment="1" applyProtection="1">
      <alignment horizontal="right"/>
    </xf>
    <xf numFmtId="1" fontId="9" fillId="5" borderId="66" xfId="0" applyNumberFormat="1" applyFont="1" applyFill="1" applyBorder="1" applyAlignment="1" applyProtection="1">
      <alignment horizontal="center"/>
    </xf>
    <xf numFmtId="49" fontId="9" fillId="0" borderId="31" xfId="0" applyNumberFormat="1" applyFont="1" applyFill="1" applyBorder="1" applyAlignment="1" applyProtection="1">
      <alignment horizontal="center"/>
    </xf>
    <xf numFmtId="49" fontId="9" fillId="0" borderId="59" xfId="0" applyNumberFormat="1" applyFont="1" applyFill="1" applyBorder="1" applyAlignment="1" applyProtection="1">
      <alignment horizontal="center"/>
    </xf>
    <xf numFmtId="1" fontId="9" fillId="5" borderId="45" xfId="0" applyNumberFormat="1" applyFont="1" applyFill="1" applyBorder="1" applyAlignment="1" applyProtection="1">
      <alignment horizontal="center"/>
    </xf>
    <xf numFmtId="1" fontId="9" fillId="5" borderId="44" xfId="0" applyNumberFormat="1" applyFont="1" applyFill="1" applyBorder="1" applyAlignment="1" applyProtection="1">
      <alignment horizontal="center"/>
    </xf>
    <xf numFmtId="1" fontId="9" fillId="5" borderId="61" xfId="0" applyNumberFormat="1" applyFont="1" applyFill="1" applyBorder="1" applyAlignment="1" applyProtection="1">
      <alignment horizontal="center"/>
    </xf>
    <xf numFmtId="1" fontId="9" fillId="5" borderId="62" xfId="0" applyNumberFormat="1" applyFont="1" applyFill="1" applyBorder="1" applyAlignment="1" applyProtection="1">
      <alignment horizontal="center"/>
    </xf>
    <xf numFmtId="1" fontId="9" fillId="5" borderId="46" xfId="0" applyNumberFormat="1" applyFont="1" applyFill="1" applyBorder="1" applyAlignment="1" applyProtection="1">
      <alignment horizontal="center"/>
    </xf>
    <xf numFmtId="1" fontId="9" fillId="5" borderId="60" xfId="0" applyNumberFormat="1" applyFont="1" applyFill="1" applyBorder="1" applyAlignment="1" applyProtection="1">
      <alignment horizontal="center"/>
    </xf>
    <xf numFmtId="0" fontId="14" fillId="0" borderId="59" xfId="0" applyFont="1" applyFill="1" applyBorder="1" applyAlignment="1" applyProtection="1">
      <alignment vertical="center"/>
      <protection locked="0"/>
    </xf>
    <xf numFmtId="49" fontId="9" fillId="0" borderId="60" xfId="0" applyNumberFormat="1" applyFont="1" applyFill="1" applyBorder="1" applyAlignment="1" applyProtection="1">
      <alignment horizontal="center"/>
    </xf>
    <xf numFmtId="2" fontId="9" fillId="5" borderId="49" xfId="0" applyNumberFormat="1" applyFont="1" applyFill="1" applyBorder="1" applyAlignment="1" applyProtection="1">
      <alignment horizontal="center"/>
    </xf>
    <xf numFmtId="2" fontId="9" fillId="5" borderId="54" xfId="0" applyNumberFormat="1" applyFont="1" applyFill="1" applyBorder="1" applyAlignment="1" applyProtection="1">
      <alignment horizontal="center"/>
    </xf>
    <xf numFmtId="2" fontId="9" fillId="5" borderId="37" xfId="0" applyNumberFormat="1" applyFont="1" applyFill="1" applyBorder="1" applyAlignment="1" applyProtection="1">
      <alignment horizontal="center"/>
    </xf>
    <xf numFmtId="2" fontId="9" fillId="5" borderId="48" xfId="0" applyNumberFormat="1" applyFont="1" applyFill="1" applyBorder="1" applyAlignment="1" applyProtection="1">
      <alignment horizontal="center"/>
    </xf>
    <xf numFmtId="2" fontId="9" fillId="5" borderId="51" xfId="0" applyNumberFormat="1" applyFont="1" applyFill="1" applyBorder="1" applyAlignment="1" applyProtection="1">
      <alignment horizontal="center"/>
    </xf>
    <xf numFmtId="2" fontId="9" fillId="4" borderId="54" xfId="0" applyNumberFormat="1" applyFont="1" applyFill="1" applyBorder="1" applyAlignment="1" applyProtection="1">
      <alignment horizontal="right"/>
    </xf>
    <xf numFmtId="0" fontId="14" fillId="0" borderId="2" xfId="0" applyFont="1" applyFill="1" applyBorder="1" applyAlignment="1" applyProtection="1">
      <alignment vertical="center"/>
      <protection locked="0"/>
    </xf>
    <xf numFmtId="49" fontId="9" fillId="0" borderId="69" xfId="0" applyNumberFormat="1" applyFont="1" applyFill="1" applyBorder="1" applyAlignment="1" applyProtection="1">
      <alignment horizontal="center"/>
      <protection locked="0"/>
    </xf>
    <xf numFmtId="0" fontId="13" fillId="0" borderId="3" xfId="0" applyFont="1" applyFill="1" applyBorder="1" applyAlignment="1" applyProtection="1">
      <alignment horizontal="center"/>
      <protection locked="0"/>
    </xf>
    <xf numFmtId="0" fontId="13" fillId="0" borderId="70" xfId="0" applyFont="1" applyFill="1" applyBorder="1" applyProtection="1">
      <protection locked="0"/>
    </xf>
    <xf numFmtId="0" fontId="13" fillId="0" borderId="13" xfId="0" applyFont="1" applyFill="1" applyBorder="1" applyProtection="1">
      <protection locked="0"/>
    </xf>
    <xf numFmtId="0" fontId="13" fillId="0" borderId="69" xfId="0" applyFont="1" applyFill="1" applyBorder="1" applyProtection="1">
      <protection locked="0"/>
    </xf>
    <xf numFmtId="0" fontId="13" fillId="0" borderId="20" xfId="0" applyFont="1" applyFill="1" applyBorder="1" applyProtection="1">
      <protection locked="0"/>
    </xf>
    <xf numFmtId="0" fontId="13" fillId="0" borderId="21" xfId="0" applyFont="1" applyFill="1" applyBorder="1" applyProtection="1">
      <protection locked="0"/>
    </xf>
    <xf numFmtId="0" fontId="13" fillId="0" borderId="20" xfId="0" applyFont="1" applyFill="1" applyBorder="1" applyAlignment="1" applyProtection="1">
      <alignment horizontal="center"/>
      <protection locked="0"/>
    </xf>
    <xf numFmtId="3" fontId="9" fillId="0" borderId="24" xfId="0" applyNumberFormat="1" applyFont="1" applyFill="1" applyBorder="1" applyAlignment="1" applyProtection="1">
      <alignment horizontal="center"/>
    </xf>
    <xf numFmtId="0" fontId="13" fillId="0" borderId="70" xfId="0" applyFont="1" applyFill="1" applyBorder="1" applyAlignment="1" applyProtection="1">
      <alignment horizontal="center"/>
      <protection locked="0"/>
    </xf>
    <xf numFmtId="0" fontId="14" fillId="0" borderId="24" xfId="0" applyFont="1" applyFill="1" applyBorder="1" applyAlignment="1" applyProtection="1">
      <alignment vertical="center"/>
      <protection locked="0"/>
    </xf>
    <xf numFmtId="49" fontId="9" fillId="0" borderId="26" xfId="0" applyNumberFormat="1" applyFont="1" applyFill="1" applyBorder="1" applyAlignment="1" applyProtection="1">
      <alignment horizontal="center"/>
    </xf>
    <xf numFmtId="3" fontId="9" fillId="5" borderId="25" xfId="0" applyNumberFormat="1" applyFont="1" applyFill="1" applyBorder="1" applyAlignment="1" applyProtection="1">
      <alignment horizontal="center"/>
    </xf>
    <xf numFmtId="3" fontId="9" fillId="5" borderId="26" xfId="0" applyNumberFormat="1" applyFont="1" applyFill="1" applyBorder="1" applyAlignment="1" applyProtection="1">
      <alignment horizontal="center"/>
    </xf>
    <xf numFmtId="3" fontId="9" fillId="5" borderId="27" xfId="0" applyNumberFormat="1" applyFont="1" applyFill="1" applyBorder="1" applyAlignment="1" applyProtection="1">
      <alignment horizontal="center"/>
    </xf>
    <xf numFmtId="3" fontId="9" fillId="5" borderId="28" xfId="0" applyNumberFormat="1" applyFont="1" applyFill="1" applyBorder="1" applyAlignment="1" applyProtection="1">
      <alignment horizontal="center"/>
    </xf>
    <xf numFmtId="3" fontId="9" fillId="5" borderId="30" xfId="0" applyNumberFormat="1" applyFont="1" applyFill="1" applyBorder="1" applyAlignment="1" applyProtection="1">
      <alignment horizontal="center"/>
    </xf>
    <xf numFmtId="165" fontId="9" fillId="0" borderId="27" xfId="0" applyNumberFormat="1" applyFont="1" applyFill="1" applyBorder="1" applyAlignment="1" applyProtection="1">
      <alignment horizontal="right"/>
      <protection locked="0"/>
    </xf>
    <xf numFmtId="165" fontId="9" fillId="0" borderId="29" xfId="0" applyNumberFormat="1" applyFont="1" applyFill="1" applyBorder="1" applyAlignment="1" applyProtection="1">
      <alignment horizontal="right"/>
      <protection locked="0"/>
    </xf>
    <xf numFmtId="165" fontId="9" fillId="0" borderId="30" xfId="0" applyNumberFormat="1" applyFont="1" applyFill="1" applyBorder="1" applyAlignment="1" applyProtection="1">
      <alignment horizontal="right"/>
      <protection locked="0"/>
    </xf>
    <xf numFmtId="3" fontId="9" fillId="5" borderId="24" xfId="0" applyNumberFormat="1" applyFont="1" applyFill="1" applyBorder="1" applyAlignment="1" applyProtection="1">
      <alignment horizontal="center"/>
    </xf>
    <xf numFmtId="0" fontId="9" fillId="0" borderId="32" xfId="0" applyFont="1" applyFill="1" applyBorder="1" applyAlignment="1" applyProtection="1">
      <alignment vertical="center"/>
      <protection locked="0"/>
    </xf>
    <xf numFmtId="49" fontId="9" fillId="0" borderId="34" xfId="0" applyNumberFormat="1" applyFont="1" applyFill="1" applyBorder="1" applyAlignment="1" applyProtection="1">
      <alignment horizontal="center"/>
    </xf>
    <xf numFmtId="49" fontId="9" fillId="5" borderId="45" xfId="0" applyNumberFormat="1" applyFont="1" applyFill="1" applyBorder="1" applyAlignment="1" applyProtection="1">
      <alignment horizontal="center"/>
    </xf>
    <xf numFmtId="3" fontId="9" fillId="5" borderId="44" xfId="0" applyNumberFormat="1" applyFont="1" applyFill="1" applyBorder="1" applyAlignment="1" applyProtection="1">
      <alignment horizontal="center"/>
    </xf>
    <xf numFmtId="3" fontId="9" fillId="5" borderId="62" xfId="0" applyNumberFormat="1" applyFont="1" applyFill="1" applyBorder="1" applyAlignment="1" applyProtection="1">
      <alignment horizontal="center"/>
    </xf>
    <xf numFmtId="3" fontId="9" fillId="5" borderId="64" xfId="0" applyNumberFormat="1" applyFont="1" applyFill="1" applyBorder="1" applyAlignment="1" applyProtection="1">
      <alignment horizontal="center"/>
    </xf>
    <xf numFmtId="3" fontId="9" fillId="5" borderId="45" xfId="0" applyNumberFormat="1" applyFont="1" applyFill="1" applyBorder="1" applyAlignment="1" applyProtection="1">
      <alignment horizontal="center"/>
    </xf>
    <xf numFmtId="3" fontId="9" fillId="5" borderId="61" xfId="0" applyNumberFormat="1" applyFont="1" applyFill="1" applyBorder="1" applyAlignment="1" applyProtection="1">
      <alignment horizontal="center"/>
    </xf>
    <xf numFmtId="165" fontId="9" fillId="0" borderId="36" xfId="0" applyNumberFormat="1" applyFont="1" applyFill="1" applyBorder="1" applyAlignment="1" applyProtection="1">
      <alignment horizontal="right"/>
      <protection locked="0"/>
    </xf>
    <xf numFmtId="165" fontId="9" fillId="0" borderId="37" xfId="0" applyNumberFormat="1" applyFont="1" applyFill="1" applyBorder="1" applyAlignment="1" applyProtection="1">
      <alignment horizontal="right"/>
      <protection locked="0"/>
    </xf>
    <xf numFmtId="49" fontId="9" fillId="5" borderId="60" xfId="0" applyNumberFormat="1" applyFont="1" applyFill="1" applyBorder="1" applyAlignment="1" applyProtection="1">
      <alignment horizontal="center"/>
    </xf>
    <xf numFmtId="0" fontId="9" fillId="0" borderId="9" xfId="0" applyFont="1" applyFill="1" applyBorder="1" applyAlignment="1" applyProtection="1">
      <alignment horizontal="left" vertical="center"/>
      <protection locked="0"/>
    </xf>
    <xf numFmtId="49" fontId="9" fillId="0" borderId="48" xfId="0" applyNumberFormat="1" applyFont="1" applyFill="1" applyBorder="1" applyAlignment="1" applyProtection="1">
      <alignment horizontal="center"/>
    </xf>
    <xf numFmtId="49" fontId="9" fillId="5" borderId="49" xfId="0" applyNumberFormat="1" applyFont="1" applyFill="1" applyBorder="1" applyAlignment="1" applyProtection="1">
      <alignment horizontal="center"/>
    </xf>
    <xf numFmtId="3" fontId="9" fillId="5" borderId="50" xfId="0" applyNumberFormat="1" applyFont="1" applyFill="1" applyBorder="1" applyAlignment="1" applyProtection="1">
      <alignment horizontal="center"/>
    </xf>
    <xf numFmtId="3" fontId="9" fillId="5" borderId="51" xfId="0" applyNumberFormat="1" applyFont="1" applyFill="1" applyBorder="1" applyAlignment="1" applyProtection="1">
      <alignment horizontal="center"/>
    </xf>
    <xf numFmtId="3" fontId="9" fillId="5" borderId="52" xfId="0" applyNumberFormat="1" applyFont="1" applyFill="1" applyBorder="1" applyAlignment="1" applyProtection="1">
      <alignment horizontal="center"/>
    </xf>
    <xf numFmtId="3" fontId="9" fillId="5" borderId="49" xfId="0" applyNumberFormat="1" applyFont="1" applyFill="1" applyBorder="1" applyAlignment="1" applyProtection="1">
      <alignment horizontal="center"/>
    </xf>
    <xf numFmtId="3" fontId="9" fillId="5" borderId="54" xfId="0" applyNumberFormat="1" applyFont="1" applyFill="1" applyBorder="1" applyAlignment="1" applyProtection="1">
      <alignment horizontal="center"/>
    </xf>
    <xf numFmtId="2" fontId="9" fillId="4" borderId="51" xfId="0" applyNumberFormat="1" applyFont="1" applyFill="1" applyBorder="1" applyAlignment="1" applyProtection="1">
      <alignment horizontal="right"/>
    </xf>
    <xf numFmtId="2" fontId="9" fillId="4" borderId="53" xfId="0" applyNumberFormat="1" applyFont="1" applyFill="1" applyBorder="1" applyAlignment="1" applyProtection="1">
      <alignment horizontal="right"/>
    </xf>
    <xf numFmtId="2" fontId="9" fillId="4" borderId="49" xfId="0" applyNumberFormat="1" applyFont="1" applyFill="1" applyBorder="1" applyAlignment="1" applyProtection="1">
      <alignment horizontal="right"/>
    </xf>
    <xf numFmtId="49" fontId="9" fillId="5" borderId="48" xfId="0" applyNumberFormat="1" applyFont="1" applyFill="1" applyBorder="1" applyAlignment="1" applyProtection="1">
      <alignment horizontal="center"/>
    </xf>
    <xf numFmtId="0" fontId="14" fillId="0" borderId="23" xfId="0" applyFont="1" applyFill="1" applyBorder="1" applyAlignment="1" applyProtection="1">
      <alignment vertical="center"/>
      <protection locked="0"/>
    </xf>
    <xf numFmtId="49" fontId="9" fillId="0" borderId="23" xfId="0" applyNumberFormat="1" applyFont="1" applyFill="1" applyBorder="1" applyAlignment="1" applyProtection="1">
      <alignment horizontal="center"/>
    </xf>
    <xf numFmtId="49" fontId="9" fillId="5" borderId="25" xfId="0" applyNumberFormat="1" applyFont="1" applyFill="1" applyBorder="1" applyAlignment="1" applyProtection="1">
      <alignment horizontal="center"/>
    </xf>
    <xf numFmtId="49" fontId="9" fillId="5" borderId="24" xfId="0" applyNumberFormat="1" applyFont="1" applyFill="1" applyBorder="1" applyAlignment="1" applyProtection="1">
      <alignment horizontal="center"/>
    </xf>
    <xf numFmtId="49" fontId="9" fillId="5" borderId="33" xfId="0" applyNumberFormat="1" applyFont="1" applyFill="1" applyBorder="1" applyAlignment="1" applyProtection="1">
      <alignment horizontal="center"/>
    </xf>
    <xf numFmtId="3" fontId="9" fillId="5" borderId="34" xfId="0" applyNumberFormat="1" applyFont="1" applyFill="1" applyBorder="1" applyAlignment="1" applyProtection="1">
      <alignment horizontal="center"/>
    </xf>
    <xf numFmtId="3" fontId="9" fillId="5" borderId="36" xfId="0" applyNumberFormat="1" applyFont="1" applyFill="1" applyBorder="1" applyAlignment="1" applyProtection="1">
      <alignment horizontal="center"/>
    </xf>
    <xf numFmtId="3" fontId="9" fillId="5" borderId="40" xfId="0" applyNumberFormat="1" applyFont="1" applyFill="1" applyBorder="1" applyAlignment="1" applyProtection="1">
      <alignment horizontal="center"/>
    </xf>
    <xf numFmtId="3" fontId="9" fillId="5" borderId="35" xfId="0" applyNumberFormat="1" applyFont="1" applyFill="1" applyBorder="1" applyAlignment="1" applyProtection="1">
      <alignment horizontal="center"/>
    </xf>
    <xf numFmtId="165" fontId="9" fillId="0" borderId="33" xfId="0" applyNumberFormat="1" applyFont="1" applyFill="1" applyBorder="1" applyAlignment="1" applyProtection="1">
      <alignment horizontal="right"/>
      <protection locked="0"/>
    </xf>
    <xf numFmtId="165" fontId="9" fillId="0" borderId="39" xfId="0" applyNumberFormat="1" applyFont="1" applyFill="1" applyBorder="1" applyAlignment="1" applyProtection="1">
      <alignment horizontal="right"/>
      <protection locked="0"/>
    </xf>
    <xf numFmtId="49" fontId="9" fillId="5" borderId="55" xfId="0" applyNumberFormat="1" applyFont="1" applyFill="1" applyBorder="1" applyAlignment="1" applyProtection="1">
      <alignment horizontal="center"/>
    </xf>
    <xf numFmtId="2" fontId="9" fillId="4" borderId="40" xfId="0" applyNumberFormat="1" applyFont="1" applyFill="1" applyBorder="1" applyAlignment="1" applyProtection="1">
      <alignment horizontal="right"/>
    </xf>
    <xf numFmtId="2" fontId="9" fillId="4" borderId="34" xfId="0" applyNumberFormat="1" applyFont="1" applyFill="1" applyBorder="1" applyAlignment="1" applyProtection="1">
      <alignment horizontal="right"/>
    </xf>
    <xf numFmtId="49" fontId="9" fillId="5" borderId="35" xfId="0" applyNumberFormat="1" applyFont="1" applyFill="1" applyBorder="1" applyAlignment="1" applyProtection="1">
      <alignment horizontal="center"/>
    </xf>
    <xf numFmtId="49" fontId="9" fillId="5" borderId="32" xfId="0" applyNumberFormat="1" applyFont="1" applyFill="1" applyBorder="1" applyAlignment="1" applyProtection="1">
      <alignment horizontal="center"/>
    </xf>
    <xf numFmtId="3" fontId="9" fillId="5" borderId="39" xfId="0" applyNumberFormat="1" applyFont="1" applyFill="1" applyBorder="1" applyAlignment="1" applyProtection="1">
      <alignment horizontal="center"/>
    </xf>
    <xf numFmtId="2" fontId="9" fillId="0" borderId="36" xfId="0" applyNumberFormat="1" applyFont="1" applyFill="1" applyBorder="1" applyAlignment="1" applyProtection="1">
      <alignment horizontal="right"/>
      <protection locked="0"/>
    </xf>
    <xf numFmtId="2" fontId="9" fillId="0" borderId="37" xfId="0" applyNumberFormat="1" applyFont="1" applyFill="1" applyBorder="1" applyAlignment="1" applyProtection="1">
      <alignment horizontal="right"/>
      <protection locked="0"/>
    </xf>
    <xf numFmtId="2" fontId="9" fillId="0" borderId="35" xfId="0" applyNumberFormat="1" applyFont="1" applyFill="1" applyBorder="1" applyAlignment="1" applyProtection="1">
      <alignment horizontal="right"/>
      <protection locked="0"/>
    </xf>
    <xf numFmtId="2" fontId="9" fillId="0" borderId="39" xfId="0" applyNumberFormat="1" applyFont="1" applyFill="1" applyBorder="1" applyAlignment="1" applyProtection="1">
      <alignment horizontal="right"/>
      <protection locked="0"/>
    </xf>
    <xf numFmtId="0" fontId="14" fillId="0" borderId="47" xfId="0" applyFont="1" applyFill="1" applyBorder="1" applyAlignment="1" applyProtection="1">
      <alignment vertical="center"/>
      <protection locked="0"/>
    </xf>
    <xf numFmtId="2" fontId="9" fillId="4" borderId="52" xfId="0" applyNumberFormat="1" applyFont="1" applyFill="1" applyBorder="1" applyAlignment="1" applyProtection="1">
      <alignment horizontal="right"/>
    </xf>
    <xf numFmtId="2" fontId="9" fillId="4" borderId="50" xfId="0" applyNumberFormat="1" applyFont="1" applyFill="1" applyBorder="1" applyAlignment="1" applyProtection="1">
      <alignment horizontal="right"/>
    </xf>
    <xf numFmtId="166" fontId="9" fillId="0" borderId="25" xfId="0" applyNumberFormat="1" applyFont="1" applyFill="1" applyBorder="1" applyAlignment="1" applyProtection="1">
      <alignment horizontal="right"/>
      <protection locked="0"/>
    </xf>
    <xf numFmtId="166" fontId="9" fillId="0" borderId="30" xfId="0" applyNumberFormat="1" applyFont="1" applyFill="1" applyBorder="1" applyAlignment="1" applyProtection="1">
      <alignment horizontal="right"/>
      <protection locked="0"/>
    </xf>
    <xf numFmtId="3" fontId="9" fillId="4" borderId="27" xfId="0" applyNumberFormat="1" applyFont="1" applyFill="1" applyBorder="1" applyAlignment="1" applyProtection="1">
      <alignment horizontal="right"/>
    </xf>
    <xf numFmtId="3" fontId="9" fillId="4" borderId="29" xfId="0" applyNumberFormat="1" applyFont="1" applyFill="1" applyBorder="1" applyAlignment="1" applyProtection="1">
      <alignment horizontal="right"/>
    </xf>
    <xf numFmtId="166" fontId="9" fillId="0" borderId="26" xfId="0" applyNumberFormat="1" applyFont="1" applyFill="1" applyBorder="1" applyAlignment="1" applyProtection="1">
      <alignment horizontal="right"/>
      <protection locked="0"/>
    </xf>
    <xf numFmtId="3" fontId="9" fillId="4" borderId="30" xfId="0" applyNumberFormat="1" applyFont="1" applyFill="1" applyBorder="1" applyAlignment="1" applyProtection="1">
      <alignment horizontal="right"/>
    </xf>
    <xf numFmtId="1" fontId="9" fillId="0" borderId="9" xfId="0" applyNumberFormat="1" applyFont="1" applyFill="1" applyBorder="1"/>
    <xf numFmtId="1" fontId="9" fillId="0" borderId="17" xfId="0" applyNumberFormat="1" applyFont="1" applyFill="1" applyBorder="1" applyAlignment="1">
      <alignment horizontal="center" vertical="center"/>
    </xf>
    <xf numFmtId="3" fontId="9" fillId="5" borderId="17" xfId="0" applyNumberFormat="1" applyFont="1" applyFill="1" applyBorder="1" applyAlignment="1" applyProtection="1">
      <alignment horizontal="center"/>
    </xf>
    <xf numFmtId="3" fontId="9" fillId="5" borderId="9" xfId="0" applyNumberFormat="1" applyFont="1" applyFill="1" applyBorder="1" applyAlignment="1" applyProtection="1">
      <alignment horizontal="center"/>
    </xf>
    <xf numFmtId="1" fontId="9" fillId="0" borderId="0" xfId="0" applyNumberFormat="1" applyFont="1" applyFill="1" applyBorder="1"/>
    <xf numFmtId="1" fontId="9" fillId="0" borderId="0" xfId="0" applyNumberFormat="1" applyFont="1" applyFill="1" applyBorder="1" applyAlignment="1">
      <alignment horizontal="center" vertical="center"/>
    </xf>
    <xf numFmtId="166" fontId="9" fillId="0" borderId="0" xfId="0" applyNumberFormat="1" applyFont="1" applyFill="1" applyBorder="1" applyAlignment="1" applyProtection="1">
      <alignment horizontal="right"/>
      <protection locked="0"/>
    </xf>
    <xf numFmtId="166" fontId="9" fillId="0" borderId="0" xfId="0" applyNumberFormat="1" applyFont="1" applyFill="1" applyBorder="1" applyAlignment="1" applyProtection="1">
      <alignment horizontal="right"/>
    </xf>
    <xf numFmtId="3" fontId="9" fillId="0" borderId="0" xfId="0" applyNumberFormat="1" applyFont="1" applyFill="1" applyBorder="1" applyAlignment="1" applyProtection="1">
      <alignment horizontal="center"/>
    </xf>
    <xf numFmtId="0" fontId="9" fillId="0" borderId="0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/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/>
    <xf numFmtId="167" fontId="9" fillId="0" borderId="0" xfId="0" applyNumberFormat="1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6" fillId="0" borderId="0" xfId="0" applyFont="1" applyFill="1" applyAlignment="1" applyProtection="1">
      <alignment horizontal="left" vertical="center" indent="8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vertical="center"/>
      <protection locked="0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/>
    <xf numFmtId="0" fontId="16" fillId="0" borderId="0" xfId="0" applyFont="1" applyFill="1" applyAlignment="1"/>
    <xf numFmtId="0" fontId="10" fillId="0" borderId="0" xfId="0" applyNumberFormat="1" applyFont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0" fillId="0" borderId="0" xfId="0" applyFont="1"/>
    <xf numFmtId="0" fontId="10" fillId="0" borderId="0" xfId="0" applyFont="1" applyProtection="1">
      <protection locked="0"/>
    </xf>
    <xf numFmtId="0" fontId="11" fillId="0" borderId="0" xfId="0" applyFont="1"/>
    <xf numFmtId="0" fontId="10" fillId="0" borderId="0" xfId="0" applyFont="1" applyAlignment="1">
      <alignment horizontal="center"/>
    </xf>
    <xf numFmtId="0" fontId="10" fillId="0" borderId="0" xfId="0" applyNumberFormat="1" applyFont="1"/>
    <xf numFmtId="0" fontId="19" fillId="7" borderId="71" xfId="3" applyNumberFormat="1" applyFont="1" applyFill="1" applyBorder="1" applyAlignment="1">
      <alignment horizontal="left" vertical="top" wrapText="1"/>
    </xf>
    <xf numFmtId="1" fontId="18" fillId="8" borderId="71" xfId="3" applyNumberFormat="1" applyFont="1" applyFill="1" applyBorder="1" applyAlignment="1">
      <alignment horizontal="left" vertical="top" wrapText="1"/>
    </xf>
    <xf numFmtId="0" fontId="18" fillId="8" borderId="71" xfId="3" applyNumberFormat="1" applyFont="1" applyFill="1" applyBorder="1" applyAlignment="1">
      <alignment horizontal="right" vertical="top" wrapText="1"/>
    </xf>
    <xf numFmtId="4" fontId="18" fillId="8" borderId="71" xfId="3" applyNumberFormat="1" applyFont="1" applyFill="1" applyBorder="1" applyAlignment="1">
      <alignment horizontal="right" vertical="top" wrapText="1"/>
    </xf>
    <xf numFmtId="0" fontId="18" fillId="0" borderId="71" xfId="3" applyNumberFormat="1" applyFont="1" applyBorder="1" applyAlignment="1">
      <alignment horizontal="left" vertical="top" wrapText="1" indent="2"/>
    </xf>
    <xf numFmtId="0" fontId="18" fillId="0" borderId="71" xfId="3" applyNumberFormat="1" applyFont="1" applyBorder="1" applyAlignment="1">
      <alignment horizontal="right" vertical="top" wrapText="1"/>
    </xf>
    <xf numFmtId="4" fontId="18" fillId="0" borderId="71" xfId="3" applyNumberFormat="1" applyFont="1" applyBorder="1" applyAlignment="1">
      <alignment horizontal="right" vertical="top" wrapText="1"/>
    </xf>
    <xf numFmtId="0" fontId="19" fillId="7" borderId="71" xfId="3" applyNumberFormat="1" applyFont="1" applyFill="1" applyBorder="1" applyAlignment="1">
      <alignment horizontal="left" vertical="top"/>
    </xf>
    <xf numFmtId="0" fontId="19" fillId="7" borderId="71" xfId="3" applyNumberFormat="1" applyFont="1" applyFill="1" applyBorder="1" applyAlignment="1">
      <alignment horizontal="right" vertical="top" wrapText="1"/>
    </xf>
    <xf numFmtId="4" fontId="19" fillId="7" borderId="71" xfId="3" applyNumberFormat="1" applyFont="1" applyFill="1" applyBorder="1" applyAlignment="1">
      <alignment horizontal="right" vertical="top" wrapText="1"/>
    </xf>
    <xf numFmtId="0" fontId="18" fillId="0" borderId="71" xfId="3" applyNumberFormat="1" applyFont="1" applyBorder="1" applyAlignment="1">
      <alignment horizontal="left" vertical="top"/>
    </xf>
    <xf numFmtId="0" fontId="18" fillId="0" borderId="71" xfId="3" applyNumberFormat="1" applyFont="1" applyBorder="1" applyAlignment="1">
      <alignment horizontal="left" vertical="top" wrapText="1"/>
    </xf>
    <xf numFmtId="1" fontId="18" fillId="0" borderId="71" xfId="3" applyNumberFormat="1" applyFont="1" applyBorder="1" applyAlignment="1">
      <alignment horizontal="left" vertical="top"/>
    </xf>
    <xf numFmtId="4" fontId="0" fillId="0" borderId="0" xfId="0" applyNumberFormat="1"/>
    <xf numFmtId="0" fontId="20" fillId="6" borderId="71" xfId="4" applyNumberFormat="1" applyFont="1" applyFill="1" applyBorder="1" applyAlignment="1">
      <alignment horizontal="left" vertical="top" wrapText="1"/>
    </xf>
    <xf numFmtId="0" fontId="20" fillId="6" borderId="71" xfId="4" applyNumberFormat="1" applyFont="1" applyFill="1" applyBorder="1" applyAlignment="1">
      <alignment horizontal="center" vertical="top" wrapText="1"/>
    </xf>
    <xf numFmtId="0" fontId="20" fillId="6" borderId="71" xfId="4" applyNumberFormat="1" applyFont="1" applyFill="1" applyBorder="1" applyAlignment="1">
      <alignment horizontal="left" vertical="top"/>
    </xf>
    <xf numFmtId="4" fontId="20" fillId="6" borderId="71" xfId="4" applyNumberFormat="1" applyFont="1" applyFill="1" applyBorder="1" applyAlignment="1">
      <alignment horizontal="right" vertical="top" wrapText="1"/>
    </xf>
    <xf numFmtId="2" fontId="20" fillId="6" borderId="71" xfId="4" applyNumberFormat="1" applyFont="1" applyFill="1" applyBorder="1" applyAlignment="1">
      <alignment horizontal="right" vertical="top" wrapText="1"/>
    </xf>
    <xf numFmtId="0" fontId="20" fillId="6" borderId="71" xfId="4" applyNumberFormat="1" applyFont="1" applyFill="1" applyBorder="1" applyAlignment="1">
      <alignment horizontal="right" vertical="top" wrapText="1"/>
    </xf>
    <xf numFmtId="0" fontId="22" fillId="6" borderId="71" xfId="4" applyNumberFormat="1" applyFont="1" applyFill="1" applyBorder="1" applyAlignment="1">
      <alignment horizontal="left" vertical="top" wrapText="1"/>
    </xf>
    <xf numFmtId="0" fontId="22" fillId="6" borderId="71" xfId="4" applyNumberFormat="1" applyFont="1" applyFill="1" applyBorder="1" applyAlignment="1">
      <alignment horizontal="right" vertical="top" wrapText="1"/>
    </xf>
    <xf numFmtId="4" fontId="22" fillId="6" borderId="71" xfId="4" applyNumberFormat="1" applyFont="1" applyFill="1" applyBorder="1" applyAlignment="1">
      <alignment horizontal="right" vertical="top" wrapText="1"/>
    </xf>
    <xf numFmtId="2" fontId="22" fillId="6" borderId="71" xfId="4" applyNumberFormat="1" applyFont="1" applyFill="1" applyBorder="1" applyAlignment="1">
      <alignment horizontal="right" vertical="top" wrapText="1"/>
    </xf>
    <xf numFmtId="4" fontId="21" fillId="6" borderId="71" xfId="4" applyNumberFormat="1" applyFont="1" applyFill="1" applyBorder="1" applyAlignment="1">
      <alignment horizontal="right" vertical="top" wrapText="1"/>
    </xf>
    <xf numFmtId="2" fontId="21" fillId="6" borderId="71" xfId="4" applyNumberFormat="1" applyFont="1" applyFill="1" applyBorder="1" applyAlignment="1">
      <alignment horizontal="right" vertical="top" wrapText="1"/>
    </xf>
    <xf numFmtId="0" fontId="18" fillId="0" borderId="0" xfId="4"/>
    <xf numFmtId="0" fontId="23" fillId="0" borderId="0" xfId="4" applyFont="1"/>
    <xf numFmtId="4" fontId="2" fillId="0" borderId="0" xfId="0" applyNumberFormat="1" applyFont="1"/>
    <xf numFmtId="0" fontId="2" fillId="0" borderId="0" xfId="0" applyFont="1"/>
    <xf numFmtId="0" fontId="18" fillId="0" borderId="0" xfId="5"/>
    <xf numFmtId="0" fontId="18" fillId="0" borderId="71" xfId="5" applyNumberFormat="1" applyFont="1" applyFill="1" applyBorder="1" applyAlignment="1">
      <alignment horizontal="left" vertical="top" wrapText="1" indent="8"/>
    </xf>
    <xf numFmtId="4" fontId="18" fillId="0" borderId="71" xfId="5" applyNumberFormat="1" applyFont="1" applyFill="1" applyBorder="1" applyAlignment="1">
      <alignment horizontal="right" vertical="top" wrapText="1"/>
    </xf>
    <xf numFmtId="0" fontId="18" fillId="0" borderId="71" xfId="5" applyNumberFormat="1" applyFont="1" applyFill="1" applyBorder="1" applyAlignment="1">
      <alignment horizontal="right" vertical="top" wrapText="1"/>
    </xf>
    <xf numFmtId="0" fontId="0" fillId="0" borderId="0" xfId="0" applyFill="1"/>
    <xf numFmtId="2" fontId="18" fillId="0" borderId="71" xfId="5" applyNumberFormat="1" applyFont="1" applyFill="1" applyBorder="1" applyAlignment="1">
      <alignment horizontal="right" vertical="top" wrapText="1"/>
    </xf>
    <xf numFmtId="0" fontId="18" fillId="0" borderId="71" xfId="5" applyNumberFormat="1" applyFont="1" applyFill="1" applyBorder="1" applyAlignment="1">
      <alignment horizontal="left" vertical="top" wrapText="1" indent="10"/>
    </xf>
    <xf numFmtId="0" fontId="18" fillId="0" borderId="71" xfId="5" applyNumberFormat="1" applyFont="1" applyFill="1" applyBorder="1" applyAlignment="1">
      <alignment horizontal="left" vertical="top" wrapText="1" indent="4"/>
    </xf>
    <xf numFmtId="0" fontId="19" fillId="7" borderId="71" xfId="6" applyNumberFormat="1" applyFont="1" applyFill="1" applyBorder="1" applyAlignment="1">
      <alignment horizontal="left" vertical="top" wrapText="1"/>
    </xf>
    <xf numFmtId="1" fontId="18" fillId="8" borderId="71" xfId="6" applyNumberFormat="1" applyFont="1" applyFill="1" applyBorder="1" applyAlignment="1">
      <alignment horizontal="left" vertical="top" wrapText="1"/>
    </xf>
    <xf numFmtId="0" fontId="18" fillId="8" borderId="71" xfId="6" applyNumberFormat="1" applyFont="1" applyFill="1" applyBorder="1" applyAlignment="1">
      <alignment horizontal="right" vertical="top" wrapText="1"/>
    </xf>
    <xf numFmtId="4" fontId="18" fillId="8" borderId="71" xfId="6" applyNumberFormat="1" applyFont="1" applyFill="1" applyBorder="1" applyAlignment="1">
      <alignment horizontal="right" vertical="top" wrapText="1"/>
    </xf>
    <xf numFmtId="0" fontId="18" fillId="0" borderId="71" xfId="6" applyNumberFormat="1" applyFont="1" applyBorder="1" applyAlignment="1">
      <alignment horizontal="left" vertical="top" wrapText="1" indent="2"/>
    </xf>
    <xf numFmtId="0" fontId="18" fillId="0" borderId="71" xfId="6" applyNumberFormat="1" applyFont="1" applyBorder="1" applyAlignment="1">
      <alignment horizontal="right" vertical="top" wrapText="1"/>
    </xf>
    <xf numFmtId="4" fontId="18" fillId="0" borderId="71" xfId="6" applyNumberFormat="1" applyFont="1" applyBorder="1" applyAlignment="1">
      <alignment horizontal="right" vertical="top" wrapText="1"/>
    </xf>
    <xf numFmtId="0" fontId="19" fillId="7" borderId="71" xfId="6" applyNumberFormat="1" applyFont="1" applyFill="1" applyBorder="1" applyAlignment="1">
      <alignment horizontal="left" vertical="top"/>
    </xf>
    <xf numFmtId="0" fontId="19" fillId="7" borderId="71" xfId="6" applyNumberFormat="1" applyFont="1" applyFill="1" applyBorder="1" applyAlignment="1">
      <alignment horizontal="right" vertical="top" wrapText="1"/>
    </xf>
    <xf numFmtId="4" fontId="19" fillId="7" borderId="71" xfId="6" applyNumberFormat="1" applyFont="1" applyFill="1" applyBorder="1" applyAlignment="1">
      <alignment horizontal="right" vertical="top" wrapText="1"/>
    </xf>
    <xf numFmtId="2" fontId="18" fillId="0" borderId="71" xfId="6" applyNumberFormat="1" applyFont="1" applyBorder="1" applyAlignment="1">
      <alignment horizontal="right" vertical="top" wrapText="1"/>
    </xf>
    <xf numFmtId="2" fontId="18" fillId="8" borderId="71" xfId="6" applyNumberFormat="1" applyFont="1" applyFill="1" applyBorder="1" applyAlignment="1">
      <alignment horizontal="right" vertical="top" wrapText="1"/>
    </xf>
    <xf numFmtId="2" fontId="19" fillId="7" borderId="71" xfId="6" applyNumberFormat="1" applyFont="1" applyFill="1" applyBorder="1" applyAlignment="1">
      <alignment horizontal="right" vertical="top" wrapText="1"/>
    </xf>
    <xf numFmtId="49" fontId="0" fillId="0" borderId="0" xfId="0" applyNumberFormat="1"/>
    <xf numFmtId="0" fontId="27" fillId="0" borderId="37" xfId="0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  <xf numFmtId="49" fontId="27" fillId="0" borderId="43" xfId="0" applyNumberFormat="1" applyFont="1" applyBorder="1" applyAlignment="1">
      <alignment horizontal="center" vertical="center" wrapText="1"/>
    </xf>
    <xf numFmtId="49" fontId="27" fillId="0" borderId="43" xfId="0" applyNumberFormat="1" applyFont="1" applyBorder="1" applyAlignment="1">
      <alignment vertical="center" wrapText="1"/>
    </xf>
    <xf numFmtId="49" fontId="27" fillId="0" borderId="73" xfId="0" applyNumberFormat="1" applyFont="1" applyBorder="1" applyAlignment="1">
      <alignment vertical="center" wrapText="1"/>
    </xf>
    <xf numFmtId="49" fontId="28" fillId="0" borderId="46" xfId="0" applyNumberFormat="1" applyFont="1" applyBorder="1" applyAlignment="1">
      <alignment vertical="center" wrapText="1"/>
    </xf>
    <xf numFmtId="49" fontId="27" fillId="0" borderId="38" xfId="0" applyNumberFormat="1" applyFont="1" applyBorder="1" applyAlignment="1">
      <alignment horizontal="left" vertical="center" wrapText="1" indent="1"/>
    </xf>
    <xf numFmtId="49" fontId="27" fillId="0" borderId="74" xfId="0" applyNumberFormat="1" applyFont="1" applyBorder="1" applyAlignment="1">
      <alignment horizontal="left" vertical="center" wrapText="1" indent="1"/>
    </xf>
    <xf numFmtId="49" fontId="27" fillId="0" borderId="73" xfId="0" applyNumberFormat="1" applyFont="1" applyBorder="1" applyAlignment="1">
      <alignment horizontal="justify" vertical="center" wrapText="1"/>
    </xf>
    <xf numFmtId="49" fontId="24" fillId="0" borderId="43" xfId="0" applyNumberFormat="1" applyFont="1" applyBorder="1" applyAlignment="1">
      <alignment vertical="center" wrapText="1"/>
    </xf>
    <xf numFmtId="49" fontId="26" fillId="0" borderId="43" xfId="0" applyNumberFormat="1" applyFont="1" applyBorder="1" applyAlignment="1">
      <alignment vertical="center" wrapText="1"/>
    </xf>
    <xf numFmtId="0" fontId="27" fillId="0" borderId="43" xfId="0" applyFont="1" applyBorder="1" applyAlignment="1">
      <alignment horizontal="center" vertical="center" wrapText="1"/>
    </xf>
    <xf numFmtId="0" fontId="27" fillId="0" borderId="43" xfId="0" applyFont="1" applyBorder="1" applyAlignment="1">
      <alignment vertical="center" wrapText="1"/>
    </xf>
    <xf numFmtId="0" fontId="27" fillId="0" borderId="73" xfId="0" applyFont="1" applyBorder="1" applyAlignment="1">
      <alignment horizontal="center" vertical="center" wrapText="1"/>
    </xf>
    <xf numFmtId="0" fontId="27" fillId="0" borderId="74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center" vertical="center" wrapText="1"/>
    </xf>
    <xf numFmtId="0" fontId="26" fillId="0" borderId="43" xfId="0" applyFont="1" applyBorder="1" applyAlignment="1">
      <alignment horizontal="center" vertical="center" wrapText="1"/>
    </xf>
    <xf numFmtId="49" fontId="28" fillId="0" borderId="43" xfId="0" applyNumberFormat="1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wrapText="1"/>
    </xf>
    <xf numFmtId="0" fontId="27" fillId="0" borderId="38" xfId="0" applyFont="1" applyBorder="1" applyAlignment="1">
      <alignment horizontal="center" wrapText="1"/>
    </xf>
    <xf numFmtId="0" fontId="27" fillId="0" borderId="38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wrapText="1"/>
    </xf>
    <xf numFmtId="0" fontId="24" fillId="0" borderId="38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15" fillId="0" borderId="73" xfId="2" applyNumberFormat="1" applyFont="1" applyBorder="1" applyAlignment="1">
      <alignment vertical="center" wrapText="1"/>
    </xf>
    <xf numFmtId="0" fontId="29" fillId="0" borderId="0" xfId="7" applyNumberFormat="1" applyFont="1" applyAlignment="1">
      <alignment horizontal="left" vertical="top"/>
    </xf>
    <xf numFmtId="0" fontId="18" fillId="0" borderId="0" xfId="7"/>
    <xf numFmtId="0" fontId="18" fillId="0" borderId="0" xfId="7" applyNumberFormat="1" applyAlignment="1">
      <alignment horizontal="left" vertical="top"/>
    </xf>
    <xf numFmtId="0" fontId="20" fillId="6" borderId="71" xfId="7" applyNumberFormat="1" applyFont="1" applyFill="1" applyBorder="1" applyAlignment="1">
      <alignment horizontal="left" vertical="top" wrapText="1"/>
    </xf>
    <xf numFmtId="0" fontId="20" fillId="6" borderId="71" xfId="7" applyNumberFormat="1" applyFont="1" applyFill="1" applyBorder="1" applyAlignment="1">
      <alignment horizontal="center" vertical="top" wrapText="1"/>
    </xf>
    <xf numFmtId="0" fontId="22" fillId="6" borderId="71" xfId="7" applyNumberFormat="1" applyFont="1" applyFill="1" applyBorder="1" applyAlignment="1">
      <alignment horizontal="left" vertical="top" wrapText="1"/>
    </xf>
    <xf numFmtId="2" fontId="22" fillId="6" borderId="71" xfId="7" applyNumberFormat="1" applyFont="1" applyFill="1" applyBorder="1" applyAlignment="1">
      <alignment horizontal="right" vertical="top" wrapText="1"/>
    </xf>
    <xf numFmtId="4" fontId="22" fillId="6" borderId="71" xfId="7" applyNumberFormat="1" applyFont="1" applyFill="1" applyBorder="1" applyAlignment="1">
      <alignment horizontal="right" vertical="top" wrapText="1"/>
    </xf>
    <xf numFmtId="43" fontId="0" fillId="0" borderId="0" xfId="1" applyFont="1"/>
    <xf numFmtId="43" fontId="20" fillId="6" borderId="71" xfId="1" applyFont="1" applyFill="1" applyBorder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1" pivotButton="1" applyFont="1"/>
    <xf numFmtId="0" fontId="0" fillId="0" borderId="0" xfId="0" applyAlignment="1">
      <alignment horizontal="left" indent="2"/>
    </xf>
    <xf numFmtId="0" fontId="20" fillId="6" borderId="0" xfId="4" applyNumberFormat="1" applyFont="1" applyFill="1" applyBorder="1" applyAlignment="1">
      <alignment horizontal="left" vertical="top" wrapText="1"/>
    </xf>
    <xf numFmtId="168" fontId="27" fillId="0" borderId="43" xfId="1" applyNumberFormat="1" applyFont="1" applyBorder="1" applyAlignment="1">
      <alignment horizontal="center" vertical="center" wrapText="1"/>
    </xf>
    <xf numFmtId="168" fontId="24" fillId="0" borderId="43" xfId="1" applyNumberFormat="1" applyFont="1" applyBorder="1" applyAlignment="1">
      <alignment horizontal="center" vertical="center" wrapText="1"/>
    </xf>
    <xf numFmtId="168" fontId="27" fillId="0" borderId="37" xfId="1" applyNumberFormat="1" applyFont="1" applyBorder="1" applyAlignment="1">
      <alignment horizontal="center" vertical="center" wrapText="1"/>
    </xf>
    <xf numFmtId="168" fontId="24" fillId="0" borderId="37" xfId="1" applyNumberFormat="1" applyFont="1" applyBorder="1" applyAlignment="1">
      <alignment horizontal="center" vertical="center" wrapText="1"/>
    </xf>
    <xf numFmtId="168" fontId="24" fillId="0" borderId="46" xfId="1" applyNumberFormat="1" applyFont="1" applyBorder="1" applyAlignment="1">
      <alignment horizontal="center" wrapText="1"/>
    </xf>
    <xf numFmtId="168" fontId="24" fillId="0" borderId="38" xfId="1" applyNumberFormat="1" applyFont="1" applyBorder="1" applyAlignment="1">
      <alignment horizontal="center" wrapText="1"/>
    </xf>
    <xf numFmtId="168" fontId="27" fillId="0" borderId="46" xfId="1" applyNumberFormat="1" applyFont="1" applyBorder="1" applyAlignment="1">
      <alignment horizontal="center" wrapText="1"/>
    </xf>
    <xf numFmtId="168" fontId="27" fillId="0" borderId="38" xfId="1" applyNumberFormat="1" applyFont="1" applyBorder="1" applyAlignment="1">
      <alignment horizontal="center" wrapText="1"/>
    </xf>
    <xf numFmtId="168" fontId="0" fillId="0" borderId="43" xfId="1" applyNumberFormat="1" applyFont="1" applyBorder="1" applyAlignment="1">
      <alignment horizontal="center"/>
    </xf>
    <xf numFmtId="168" fontId="0" fillId="0" borderId="0" xfId="1" applyNumberFormat="1" applyFont="1" applyAlignment="1">
      <alignment horizontal="center"/>
    </xf>
    <xf numFmtId="170" fontId="5" fillId="0" borderId="0" xfId="8" applyNumberFormat="1" applyFont="1" applyFill="1"/>
    <xf numFmtId="170" fontId="5" fillId="9" borderId="0" xfId="8" applyNumberFormat="1" applyFont="1" applyFill="1"/>
    <xf numFmtId="170" fontId="31" fillId="0" borderId="0" xfId="8" applyNumberFormat="1" applyFont="1" applyFill="1" applyAlignment="1">
      <alignment horizontal="right"/>
    </xf>
    <xf numFmtId="170" fontId="9" fillId="0" borderId="0" xfId="8" applyNumberFormat="1" applyFont="1" applyFill="1" applyAlignment="1">
      <alignment horizontal="center" vertical="top" wrapText="1"/>
    </xf>
    <xf numFmtId="170" fontId="9" fillId="0" borderId="73" xfId="8" applyNumberFormat="1" applyFont="1" applyFill="1" applyBorder="1" applyAlignment="1">
      <alignment vertical="top" wrapText="1"/>
    </xf>
    <xf numFmtId="170" fontId="9" fillId="0" borderId="73" xfId="8" applyNumberFormat="1" applyFont="1" applyFill="1" applyBorder="1" applyAlignment="1">
      <alignment horizontal="center" vertical="top" wrapText="1"/>
    </xf>
    <xf numFmtId="0" fontId="7" fillId="0" borderId="43" xfId="8" applyFont="1" applyFill="1" applyBorder="1" applyAlignment="1">
      <alignment horizontal="center" vertical="top" wrapText="1"/>
    </xf>
    <xf numFmtId="0" fontId="3" fillId="9" borderId="43" xfId="8" applyFont="1" applyFill="1" applyBorder="1" applyAlignment="1">
      <alignment horizontal="center" vertical="top" wrapText="1"/>
    </xf>
    <xf numFmtId="170" fontId="13" fillId="0" borderId="43" xfId="8" applyNumberFormat="1" applyFont="1" applyFill="1" applyBorder="1" applyAlignment="1">
      <alignment vertical="top" wrapText="1"/>
    </xf>
    <xf numFmtId="170" fontId="13" fillId="0" borderId="43" xfId="8" applyNumberFormat="1" applyFont="1" applyFill="1" applyBorder="1" applyAlignment="1">
      <alignment horizontal="center" vertical="top" wrapText="1"/>
    </xf>
    <xf numFmtId="171" fontId="33" fillId="0" borderId="43" xfId="9" applyNumberFormat="1" applyFont="1" applyFill="1" applyBorder="1" applyAlignment="1">
      <alignment vertical="top" wrapText="1"/>
    </xf>
    <xf numFmtId="171" fontId="33" fillId="9" borderId="43" xfId="9" applyNumberFormat="1" applyFont="1" applyFill="1" applyBorder="1" applyAlignment="1">
      <alignment vertical="top" wrapText="1"/>
    </xf>
    <xf numFmtId="170" fontId="9" fillId="0" borderId="43" xfId="8" applyNumberFormat="1" applyFont="1" applyFill="1" applyBorder="1" applyAlignment="1">
      <alignment vertical="top" wrapText="1"/>
    </xf>
    <xf numFmtId="170" fontId="9" fillId="0" borderId="43" xfId="8" applyNumberFormat="1" applyFont="1" applyFill="1" applyBorder="1" applyAlignment="1">
      <alignment horizontal="center" vertical="top" wrapText="1"/>
    </xf>
    <xf numFmtId="171" fontId="8" fillId="0" borderId="43" xfId="9" applyNumberFormat="1" applyFont="1" applyFill="1" applyBorder="1" applyAlignment="1">
      <alignment vertical="top" wrapText="1"/>
    </xf>
    <xf numFmtId="171" fontId="8" fillId="9" borderId="43" xfId="9" applyNumberFormat="1" applyFont="1" applyFill="1" applyBorder="1" applyAlignment="1">
      <alignment vertical="top" wrapText="1"/>
    </xf>
    <xf numFmtId="170" fontId="34" fillId="0" borderId="43" xfId="8" applyNumberFormat="1" applyFont="1" applyFill="1" applyBorder="1" applyAlignment="1">
      <alignment vertical="top" wrapText="1"/>
    </xf>
    <xf numFmtId="170" fontId="34" fillId="0" borderId="43" xfId="8" applyNumberFormat="1" applyFont="1" applyFill="1" applyBorder="1" applyAlignment="1">
      <alignment horizontal="center" vertical="top" wrapText="1"/>
    </xf>
    <xf numFmtId="0" fontId="35" fillId="0" borderId="43" xfId="8" applyFont="1" applyBorder="1" applyAlignment="1">
      <alignment vertical="top" wrapText="1"/>
    </xf>
    <xf numFmtId="172" fontId="9" fillId="0" borderId="43" xfId="9" applyNumberFormat="1" applyFont="1" applyBorder="1"/>
    <xf numFmtId="0" fontId="35" fillId="0" borderId="43" xfId="8" applyFont="1" applyFill="1" applyBorder="1" applyAlignment="1">
      <alignment vertical="top" wrapText="1"/>
    </xf>
    <xf numFmtId="173" fontId="13" fillId="0" borderId="43" xfId="8" applyNumberFormat="1" applyFont="1" applyFill="1" applyBorder="1" applyAlignment="1">
      <alignment horizontal="center" vertical="top" wrapText="1"/>
    </xf>
    <xf numFmtId="170" fontId="13" fillId="0" borderId="0" xfId="8" applyNumberFormat="1" applyFont="1" applyFill="1" applyBorder="1" applyAlignment="1">
      <alignment vertical="top" wrapText="1"/>
    </xf>
    <xf numFmtId="170" fontId="13" fillId="0" borderId="0" xfId="8" applyNumberFormat="1" applyFont="1" applyFill="1" applyBorder="1" applyAlignment="1">
      <alignment horizontal="center" vertical="top" wrapText="1"/>
    </xf>
    <xf numFmtId="0" fontId="36" fillId="0" borderId="0" xfId="0" applyFont="1" applyFill="1" applyAlignment="1">
      <alignment horizontal="centerContinuous" wrapText="1"/>
    </xf>
    <xf numFmtId="0" fontId="36" fillId="0" borderId="0" xfId="0" applyFont="1" applyFill="1" applyAlignment="1">
      <alignment horizontal="centerContinuous"/>
    </xf>
    <xf numFmtId="0" fontId="37" fillId="0" borderId="0" xfId="0" applyFont="1" applyFill="1"/>
    <xf numFmtId="0" fontId="14" fillId="0" borderId="0" xfId="0" applyFont="1" applyFill="1" applyAlignment="1">
      <alignment horizontal="center"/>
    </xf>
    <xf numFmtId="0" fontId="14" fillId="0" borderId="0" xfId="0" applyFont="1" applyFill="1"/>
    <xf numFmtId="0" fontId="38" fillId="0" borderId="0" xfId="0" applyFont="1" applyFill="1" applyAlignment="1">
      <alignment horizontal="right"/>
    </xf>
    <xf numFmtId="0" fontId="9" fillId="0" borderId="43" xfId="0" applyFont="1" applyFill="1" applyBorder="1" applyAlignment="1">
      <alignment horizontal="center" vertical="center" wrapText="1"/>
    </xf>
    <xf numFmtId="0" fontId="38" fillId="0" borderId="43" xfId="0" applyFont="1" applyFill="1" applyBorder="1" applyAlignment="1">
      <alignment horizontal="center"/>
    </xf>
    <xf numFmtId="0" fontId="38" fillId="0" borderId="43" xfId="0" applyFont="1" applyFill="1" applyBorder="1" applyAlignment="1">
      <alignment vertical="top" wrapText="1"/>
    </xf>
    <xf numFmtId="168" fontId="38" fillId="0" borderId="43" xfId="10" applyNumberFormat="1" applyFont="1" applyFill="1" applyBorder="1" applyAlignment="1">
      <alignment horizontal="left"/>
    </xf>
    <xf numFmtId="168" fontId="39" fillId="0" borderId="43" xfId="10" applyNumberFormat="1" applyFont="1" applyFill="1" applyBorder="1" applyAlignment="1">
      <alignment horizontal="left"/>
    </xf>
    <xf numFmtId="168" fontId="38" fillId="0" borderId="43" xfId="0" applyNumberFormat="1" applyFont="1" applyFill="1" applyBorder="1" applyAlignment="1">
      <alignment horizontal="left"/>
    </xf>
    <xf numFmtId="0" fontId="38" fillId="0" borderId="0" xfId="0" applyFont="1" applyFill="1"/>
    <xf numFmtId="0" fontId="14" fillId="0" borderId="43" xfId="0" applyFont="1" applyFill="1" applyBorder="1" applyAlignment="1">
      <alignment horizontal="center"/>
    </xf>
    <xf numFmtId="0" fontId="14" fillId="0" borderId="43" xfId="0" applyFont="1" applyFill="1" applyBorder="1" applyAlignment="1">
      <alignment vertical="top" wrapText="1"/>
    </xf>
    <xf numFmtId="172" fontId="9" fillId="0" borderId="43" xfId="9" applyNumberFormat="1" applyFont="1" applyBorder="1" applyAlignment="1">
      <alignment horizontal="right"/>
    </xf>
    <xf numFmtId="172" fontId="9" fillId="0" borderId="43" xfId="9" applyNumberFormat="1" applyFont="1" applyBorder="1" applyAlignment="1">
      <alignment horizontal="left"/>
    </xf>
    <xf numFmtId="9" fontId="40" fillId="0" borderId="43" xfId="0" applyNumberFormat="1" applyFont="1" applyFill="1" applyBorder="1" applyAlignment="1">
      <alignment horizontal="left"/>
    </xf>
    <xf numFmtId="168" fontId="14" fillId="0" borderId="43" xfId="0" applyNumberFormat="1" applyFont="1" applyFill="1" applyBorder="1" applyAlignment="1">
      <alignment horizontal="left"/>
    </xf>
    <xf numFmtId="172" fontId="9" fillId="0" borderId="43" xfId="9" applyNumberFormat="1" applyFont="1" applyFill="1" applyBorder="1" applyAlignment="1">
      <alignment horizontal="left"/>
    </xf>
    <xf numFmtId="0" fontId="41" fillId="0" borderId="43" xfId="0" applyFont="1" applyFill="1" applyBorder="1" applyAlignment="1">
      <alignment horizontal="right" vertical="top" wrapText="1"/>
    </xf>
    <xf numFmtId="168" fontId="14" fillId="0" borderId="43" xfId="10" applyNumberFormat="1" applyFont="1" applyFill="1" applyBorder="1" applyAlignment="1">
      <alignment horizontal="left"/>
    </xf>
    <xf numFmtId="168" fontId="40" fillId="0" borderId="43" xfId="0" applyNumberFormat="1" applyFont="1" applyFill="1" applyBorder="1" applyAlignment="1">
      <alignment horizontal="left"/>
    </xf>
    <xf numFmtId="168" fontId="14" fillId="0" borderId="43" xfId="10" applyNumberFormat="1" applyFont="1" applyFill="1" applyBorder="1"/>
    <xf numFmtId="168" fontId="40" fillId="0" borderId="43" xfId="0" applyNumberFormat="1" applyFont="1" applyFill="1" applyBorder="1"/>
    <xf numFmtId="168" fontId="14" fillId="0" borderId="43" xfId="0" applyNumberFormat="1" applyFont="1" applyFill="1" applyBorder="1"/>
    <xf numFmtId="169" fontId="14" fillId="0" borderId="0" xfId="0" applyNumberFormat="1" applyFont="1" applyFill="1"/>
    <xf numFmtId="0" fontId="13" fillId="0" borderId="0" xfId="0" applyFont="1" applyFill="1"/>
    <xf numFmtId="168" fontId="13" fillId="0" borderId="0" xfId="0" applyNumberFormat="1" applyFont="1" applyFill="1"/>
    <xf numFmtId="49" fontId="26" fillId="0" borderId="0" xfId="0" applyNumberFormat="1" applyFont="1" applyAlignment="1">
      <alignment vertical="center"/>
    </xf>
    <xf numFmtId="0" fontId="7" fillId="0" borderId="7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 wrapText="1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Fill="1" applyAlignment="1" applyProtection="1">
      <alignment horizontal="left" wrapText="1"/>
      <protection locked="0"/>
    </xf>
    <xf numFmtId="0" fontId="7" fillId="0" borderId="7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0" xfId="0" applyFont="1" applyFill="1" applyAlignment="1">
      <alignment horizontal="left"/>
    </xf>
    <xf numFmtId="0" fontId="7" fillId="0" borderId="8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0" fillId="0" borderId="10" xfId="0" applyFont="1" applyFill="1" applyBorder="1" applyAlignment="1" applyProtection="1">
      <alignment horizontal="center" vertical="top"/>
      <protection locked="0"/>
    </xf>
    <xf numFmtId="0" fontId="9" fillId="0" borderId="12" xfId="0" applyFont="1" applyFill="1" applyBorder="1" applyAlignment="1" applyProtection="1">
      <alignment horizontal="center" vertical="center" wrapText="1"/>
      <protection locked="0"/>
    </xf>
    <xf numFmtId="0" fontId="9" fillId="0" borderId="14" xfId="0" applyFont="1" applyFill="1" applyBorder="1" applyAlignment="1" applyProtection="1">
      <alignment horizontal="center" vertical="center" wrapText="1"/>
      <protection locked="0"/>
    </xf>
    <xf numFmtId="0" fontId="9" fillId="0" borderId="17" xfId="0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Fill="1" applyBorder="1" applyAlignment="1" applyProtection="1">
      <alignment horizontal="center" vertical="center" wrapText="1"/>
      <protection locked="0"/>
    </xf>
    <xf numFmtId="0" fontId="9" fillId="0" borderId="3" xfId="0" applyFont="1" applyFill="1" applyBorder="1" applyAlignment="1" applyProtection="1">
      <alignment horizontal="center" vertical="center" wrapText="1"/>
      <protection locked="0"/>
    </xf>
    <xf numFmtId="0" fontId="9" fillId="0" borderId="13" xfId="0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Fill="1" applyBorder="1" applyAlignment="1" applyProtection="1">
      <alignment horizontal="center" vertical="center"/>
      <protection locked="0"/>
    </xf>
    <xf numFmtId="0" fontId="9" fillId="0" borderId="13" xfId="0" applyFont="1" applyFill="1" applyBorder="1" applyAlignment="1" applyProtection="1">
      <alignment horizontal="center" vertical="center"/>
      <protection locked="0"/>
    </xf>
    <xf numFmtId="0" fontId="9" fillId="0" borderId="3" xfId="0" applyFont="1" applyFill="1" applyBorder="1" applyAlignment="1" applyProtection="1">
      <alignment horizontal="center" vertical="center"/>
      <protection locked="0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18" xfId="0" applyFont="1" applyFill="1" applyBorder="1" applyAlignment="1" applyProtection="1">
      <alignment horizontal="center" vertical="center"/>
      <protection locked="0"/>
    </xf>
    <xf numFmtId="1" fontId="9" fillId="0" borderId="0" xfId="0" applyNumberFormat="1" applyFont="1" applyFill="1" applyBorder="1" applyAlignment="1" applyProtection="1">
      <alignment horizontal="center"/>
    </xf>
    <xf numFmtId="1" fontId="9" fillId="0" borderId="0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64" xfId="0" applyFont="1" applyFill="1" applyBorder="1" applyAlignment="1">
      <alignment horizontal="center" vertical="center"/>
    </xf>
    <xf numFmtId="0" fontId="9" fillId="0" borderId="16" xfId="0" applyFont="1" applyFill="1" applyBorder="1" applyAlignment="1" applyProtection="1">
      <alignment horizontal="center" vertical="center"/>
      <protection locked="0"/>
    </xf>
    <xf numFmtId="0" fontId="9" fillId="0" borderId="19" xfId="0" applyFont="1" applyFill="1" applyBorder="1" applyAlignment="1" applyProtection="1">
      <alignment horizontal="center" vertical="center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0" fontId="9" fillId="0" borderId="9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/>
    </xf>
    <xf numFmtId="170" fontId="30" fillId="0" borderId="0" xfId="8" applyNumberFormat="1" applyFont="1" applyFill="1" applyAlignment="1">
      <alignment horizontal="center"/>
    </xf>
    <xf numFmtId="0" fontId="9" fillId="0" borderId="43" xfId="0" applyFont="1" applyFill="1" applyBorder="1" applyAlignment="1">
      <alignment horizontal="center" vertical="center" wrapText="1"/>
    </xf>
    <xf numFmtId="0" fontId="14" fillId="0" borderId="73" xfId="0" applyFont="1" applyFill="1" applyBorder="1" applyAlignment="1">
      <alignment horizontal="center"/>
    </xf>
    <xf numFmtId="0" fontId="14" fillId="0" borderId="74" xfId="0" applyFont="1" applyFill="1" applyBorder="1" applyAlignment="1">
      <alignment horizontal="center"/>
    </xf>
    <xf numFmtId="0" fontId="9" fillId="0" borderId="73" xfId="0" applyFont="1" applyFill="1" applyBorder="1" applyAlignment="1">
      <alignment horizontal="center" vertical="center" wrapText="1"/>
    </xf>
    <xf numFmtId="0" fontId="9" fillId="0" borderId="74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24" fillId="0" borderId="46" xfId="0" applyFont="1" applyBorder="1" applyAlignment="1">
      <alignment horizontal="center" wrapText="1"/>
    </xf>
    <xf numFmtId="0" fontId="24" fillId="0" borderId="38" xfId="0" applyFont="1" applyBorder="1" applyAlignment="1">
      <alignment horizontal="center" wrapText="1"/>
    </xf>
    <xf numFmtId="0" fontId="27" fillId="0" borderId="46" xfId="0" applyFont="1" applyBorder="1" applyAlignment="1">
      <alignment horizontal="center" wrapText="1"/>
    </xf>
    <xf numFmtId="0" fontId="27" fillId="0" borderId="38" xfId="0" applyFont="1" applyBorder="1" applyAlignment="1">
      <alignment horizontal="center" wrapText="1"/>
    </xf>
    <xf numFmtId="0" fontId="27" fillId="0" borderId="43" xfId="0" applyFont="1" applyBorder="1" applyAlignment="1">
      <alignment horizontal="center" wrapText="1"/>
    </xf>
    <xf numFmtId="0" fontId="19" fillId="7" borderId="71" xfId="3" applyNumberFormat="1" applyFont="1" applyFill="1" applyBorder="1" applyAlignment="1">
      <alignment horizontal="left" vertical="top" wrapText="1"/>
    </xf>
    <xf numFmtId="0" fontId="18" fillId="0" borderId="71" xfId="3" applyNumberFormat="1" applyFont="1" applyBorder="1" applyAlignment="1">
      <alignment horizontal="right" vertical="top" wrapText="1"/>
    </xf>
    <xf numFmtId="4" fontId="18" fillId="0" borderId="72" xfId="3" applyNumberFormat="1" applyFont="1" applyBorder="1" applyAlignment="1">
      <alignment horizontal="right" vertical="top" wrapText="1"/>
    </xf>
    <xf numFmtId="0" fontId="19" fillId="7" borderId="71" xfId="6" applyNumberFormat="1" applyFont="1" applyFill="1" applyBorder="1" applyAlignment="1">
      <alignment horizontal="left" vertical="top" wrapText="1"/>
    </xf>
    <xf numFmtId="0" fontId="18" fillId="0" borderId="0" xfId="7" applyNumberFormat="1" applyAlignment="1">
      <alignment horizontal="left" vertical="top" wrapText="1"/>
    </xf>
    <xf numFmtId="0" fontId="0" fillId="0" borderId="0" xfId="0" applyNumberFormat="1"/>
    <xf numFmtId="0" fontId="42" fillId="0" borderId="0" xfId="0" applyFont="1" applyAlignment="1">
      <alignment horizontal="center" vertical="center" wrapText="1"/>
    </xf>
    <xf numFmtId="0" fontId="43" fillId="0" borderId="0" xfId="0" applyFont="1"/>
    <xf numFmtId="0" fontId="42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4" fillId="0" borderId="0" xfId="0" applyFont="1" applyAlignment="1">
      <alignment horizontal="right"/>
    </xf>
    <xf numFmtId="0" fontId="43" fillId="0" borderId="43" xfId="0" applyFont="1" applyBorder="1" applyAlignment="1">
      <alignment horizontal="center" vertical="center" wrapText="1"/>
    </xf>
    <xf numFmtId="0" fontId="43" fillId="0" borderId="43" xfId="0" applyFont="1" applyBorder="1"/>
    <xf numFmtId="0" fontId="43" fillId="0" borderId="43" xfId="0" applyFont="1" applyBorder="1" applyAlignment="1">
      <alignment vertical="top" wrapText="1"/>
    </xf>
    <xf numFmtId="43" fontId="43" fillId="0" borderId="43" xfId="10" applyFont="1" applyFill="1" applyBorder="1"/>
    <xf numFmtId="43" fontId="43" fillId="0" borderId="43" xfId="0" applyNumberFormat="1" applyFont="1" applyFill="1" applyBorder="1"/>
    <xf numFmtId="43" fontId="43" fillId="0" borderId="0" xfId="0" applyNumberFormat="1" applyFont="1"/>
    <xf numFmtId="10" fontId="43" fillId="0" borderId="0" xfId="0" applyNumberFormat="1" applyFont="1"/>
    <xf numFmtId="0" fontId="42" fillId="0" borderId="43" xfId="0" applyFont="1" applyBorder="1"/>
    <xf numFmtId="0" fontId="42" fillId="0" borderId="43" xfId="0" applyFont="1" applyBorder="1" applyAlignment="1">
      <alignment vertical="top" wrapText="1"/>
    </xf>
    <xf numFmtId="43" fontId="42" fillId="0" borderId="43" xfId="0" applyNumberFormat="1" applyFont="1" applyFill="1" applyBorder="1"/>
    <xf numFmtId="0" fontId="42" fillId="0" borderId="0" xfId="0" applyFont="1"/>
    <xf numFmtId="0" fontId="45" fillId="0" borderId="43" xfId="0" applyFont="1" applyBorder="1" applyAlignment="1">
      <alignment horizontal="right" vertical="top" wrapText="1"/>
    </xf>
    <xf numFmtId="0" fontId="43" fillId="0" borderId="43" xfId="0" applyFont="1" applyBorder="1" applyAlignment="1">
      <alignment vertical="top"/>
    </xf>
    <xf numFmtId="0" fontId="42" fillId="0" borderId="43" xfId="0" applyFont="1" applyBorder="1" applyAlignment="1">
      <alignment horizontal="center" vertical="center" wrapText="1"/>
    </xf>
    <xf numFmtId="0" fontId="43" fillId="0" borderId="0" xfId="0" applyFont="1" applyFill="1"/>
    <xf numFmtId="0" fontId="42" fillId="11" borderId="43" xfId="0" applyFont="1" applyFill="1" applyBorder="1" applyAlignment="1">
      <alignment vertical="top" wrapText="1"/>
    </xf>
    <xf numFmtId="0" fontId="43" fillId="0" borderId="0" xfId="0" applyFont="1" applyAlignment="1">
      <alignment horizontal="left" vertical="center" wrapText="1"/>
    </xf>
    <xf numFmtId="0" fontId="46" fillId="0" borderId="0" xfId="0" applyFont="1" applyFill="1"/>
    <xf numFmtId="0" fontId="47" fillId="0" borderId="0" xfId="0" applyFont="1" applyFill="1"/>
    <xf numFmtId="0" fontId="48" fillId="0" borderId="0" xfId="0" applyFont="1" applyFill="1" applyAlignment="1">
      <alignment horizontal="center"/>
    </xf>
    <xf numFmtId="0" fontId="48" fillId="0" borderId="0" xfId="0" applyFont="1" applyFill="1"/>
    <xf numFmtId="0" fontId="49" fillId="0" borderId="0" xfId="0" applyFont="1" applyFill="1"/>
    <xf numFmtId="168" fontId="50" fillId="0" borderId="0" xfId="1" applyNumberFormat="1" applyFont="1" applyAlignment="1">
      <alignment horizontal="center"/>
    </xf>
    <xf numFmtId="168" fontId="50" fillId="0" borderId="0" xfId="1" applyNumberFormat="1" applyFont="1" applyAlignment="1">
      <alignment horizontal="center"/>
    </xf>
    <xf numFmtId="0" fontId="50" fillId="0" borderId="43" xfId="0" applyFont="1" applyBorder="1" applyAlignment="1">
      <alignment horizontal="center" vertical="center" wrapText="1"/>
    </xf>
    <xf numFmtId="0" fontId="50" fillId="0" borderId="43" xfId="0" applyFont="1" applyFill="1" applyBorder="1" applyAlignment="1">
      <alignment horizontal="center" vertical="center" wrapText="1"/>
    </xf>
    <xf numFmtId="0" fontId="0" fillId="0" borderId="43" xfId="0" applyBorder="1"/>
    <xf numFmtId="168" fontId="0" fillId="0" borderId="43" xfId="1" applyNumberFormat="1" applyFont="1" applyBorder="1"/>
    <xf numFmtId="168" fontId="0" fillId="0" borderId="43" xfId="0" applyNumberFormat="1" applyBorder="1"/>
    <xf numFmtId="168" fontId="0" fillId="0" borderId="43" xfId="1" applyNumberFormat="1" applyFont="1" applyFill="1" applyBorder="1"/>
    <xf numFmtId="168" fontId="0" fillId="10" borderId="43" xfId="1" applyNumberFormat="1" applyFont="1" applyFill="1" applyBorder="1"/>
    <xf numFmtId="0" fontId="50" fillId="0" borderId="43" xfId="0" applyFont="1" applyBorder="1"/>
    <xf numFmtId="168" fontId="50" fillId="0" borderId="43" xfId="1" applyNumberFormat="1" applyFont="1" applyBorder="1"/>
    <xf numFmtId="168" fontId="50" fillId="0" borderId="43" xfId="0" applyNumberFormat="1" applyFont="1" applyBorder="1"/>
    <xf numFmtId="168" fontId="43" fillId="0" borderId="0" xfId="0" applyNumberFormat="1" applyFont="1"/>
    <xf numFmtId="43" fontId="43" fillId="0" borderId="0" xfId="1" applyFont="1"/>
    <xf numFmtId="0" fontId="0" fillId="10" borderId="43" xfId="0" applyFill="1" applyBorder="1"/>
    <xf numFmtId="168" fontId="0" fillId="10" borderId="43" xfId="0" applyNumberFormat="1" applyFill="1" applyBorder="1"/>
    <xf numFmtId="0" fontId="0" fillId="0" borderId="43" xfId="0" applyFill="1" applyBorder="1"/>
    <xf numFmtId="168" fontId="0" fillId="0" borderId="43" xfId="0" applyNumberFormat="1" applyFill="1" applyBorder="1"/>
    <xf numFmtId="43" fontId="43" fillId="0" borderId="0" xfId="1" applyFont="1" applyFill="1"/>
    <xf numFmtId="0" fontId="20" fillId="6" borderId="71" xfId="11" applyNumberFormat="1" applyFont="1" applyFill="1" applyBorder="1" applyAlignment="1">
      <alignment horizontal="left" vertical="top" wrapText="1"/>
    </xf>
    <xf numFmtId="174" fontId="20" fillId="6" borderId="71" xfId="11" applyNumberFormat="1" applyFont="1" applyFill="1" applyBorder="1" applyAlignment="1">
      <alignment horizontal="right" vertical="top" wrapText="1"/>
    </xf>
    <xf numFmtId="175" fontId="20" fillId="6" borderId="71" xfId="11" applyNumberFormat="1" applyFont="1" applyFill="1" applyBorder="1" applyAlignment="1">
      <alignment horizontal="right" vertical="top" wrapText="1"/>
    </xf>
    <xf numFmtId="0" fontId="20" fillId="13" borderId="71" xfId="11" applyNumberFormat="1" applyFont="1" applyFill="1" applyBorder="1" applyAlignment="1">
      <alignment horizontal="left" vertical="top" wrapText="1"/>
    </xf>
    <xf numFmtId="175" fontId="20" fillId="13" borderId="71" xfId="11" applyNumberFormat="1" applyFont="1" applyFill="1" applyBorder="1" applyAlignment="1">
      <alignment horizontal="right" vertical="top" wrapText="1"/>
    </xf>
    <xf numFmtId="1" fontId="9" fillId="9" borderId="39" xfId="0" applyNumberFormat="1" applyFont="1" applyFill="1" applyBorder="1" applyAlignment="1" applyProtection="1">
      <alignment horizontal="right"/>
      <protection locked="0"/>
    </xf>
    <xf numFmtId="166" fontId="9" fillId="9" borderId="54" xfId="0" applyNumberFormat="1" applyFont="1" applyFill="1" applyBorder="1" applyAlignment="1" applyProtection="1">
      <alignment horizontal="right"/>
    </xf>
    <xf numFmtId="3" fontId="9" fillId="0" borderId="27" xfId="0" applyNumberFormat="1" applyFont="1" applyFill="1" applyBorder="1" applyAlignment="1" applyProtection="1">
      <alignment horizontal="right"/>
      <protection locked="0"/>
    </xf>
    <xf numFmtId="3" fontId="9" fillId="9" borderId="29" xfId="0" applyNumberFormat="1" applyFont="1" applyFill="1" applyBorder="1" applyAlignment="1" applyProtection="1">
      <alignment horizontal="right"/>
      <protection locked="0"/>
    </xf>
    <xf numFmtId="43" fontId="24" fillId="0" borderId="43" xfId="10" applyFont="1" applyFill="1" applyBorder="1"/>
    <xf numFmtId="43" fontId="43" fillId="12" borderId="43" xfId="0" applyNumberFormat="1" applyFont="1" applyFill="1" applyBorder="1"/>
  </cellXfs>
  <cellStyles count="12">
    <cellStyle name="Iau?iue" xfId="8"/>
    <cellStyle name="Обычный" xfId="0" builtinId="0"/>
    <cellStyle name="Обычный_Budget_2004_ожидаемый_сводный" xfId="2"/>
    <cellStyle name="Обычный_все расходы" xfId="5"/>
    <cellStyle name="Обычный_Затраті под прочие услуги" xfId="11"/>
    <cellStyle name="Обычный_Лист10" xfId="7"/>
    <cellStyle name="Обычный_Лист4" xfId="3"/>
    <cellStyle name="Обычный_Лист5" xfId="4"/>
    <cellStyle name="Обычный_Прочие статьи" xfId="6"/>
    <cellStyle name="Финансовый" xfId="1" builtinId="3"/>
    <cellStyle name="Финансовый 2" xfId="9"/>
    <cellStyle name="Финансовый 2 2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3;&#1086;&#1074;&#1072;&#1103;%20&#1087;&#1072;&#1087;&#1082;&#1072;\&#1086;&#1090;&#1095;&#1077;&#1090;&#1099;%20&#1087;&#1077;&#1088;&#1077;&#1076;%20&#1053;&#1050;&#1056;&#1045;\2013&#1075;\&#1060;%203%20&#1053;&#1050;&#1056;&#1045;\3-NKRE%20&#1079;&#1072;%20%201%20&#1082;&#1074;&#1072;&#1088;&#1090;&#1072;&#1083;%202013&#1088;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1;&#1086;&#1103;&#1085;%20&#1053;&#1072;&#1090;&#1072;&#1083;&#1100;&#1103;\&#1060;11%20%202013&#1075;%20&#1080;%20&#1055;&#1088;&#1086;&#1095;&#1080;&#1077;%20&#1091;&#1089;&#1083;&#1091;&#1075;&#1080;%201%20&#1082;&#1074;.%20&#1086;&#1090;&#1095;&#1077;&#1090;%20&#1053;&#1050;&#1056;&#1045;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Форма 3-НКРЕ"/>
      <sheetName val="Лист1"/>
    </sheetNames>
    <sheetDataSet>
      <sheetData sheetId="0" refreshError="1"/>
      <sheetData sheetId="1">
        <row r="17">
          <cell r="C17">
            <v>371596.80200000003</v>
          </cell>
          <cell r="L17">
            <v>369790</v>
          </cell>
          <cell r="N17">
            <v>23499770.800000004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Отчет НКРЕ Прочие услуги"/>
      <sheetName val="Свод поступлений"/>
      <sheetName val="база поступлений"/>
      <sheetName val="Свод оплат"/>
      <sheetName val="Ф11 "/>
      <sheetName val="база оплат"/>
      <sheetName val="Ф11 рабочая"/>
    </sheetNames>
    <sheetDataSet>
      <sheetData sheetId="0">
        <row r="9">
          <cell r="F9">
            <v>19.350141666666669</v>
          </cell>
        </row>
        <row r="10">
          <cell r="F10">
            <v>20.460891666666665</v>
          </cell>
        </row>
        <row r="11">
          <cell r="F11">
            <v>20.640933333333336</v>
          </cell>
        </row>
        <row r="22">
          <cell r="F22">
            <v>5.0901416666666668</v>
          </cell>
        </row>
        <row r="23">
          <cell r="F23">
            <v>3.0405333333333329</v>
          </cell>
        </row>
        <row r="24">
          <cell r="F24">
            <v>218.56997499999997</v>
          </cell>
        </row>
        <row r="25">
          <cell r="F25">
            <v>0.12640000000000001</v>
          </cell>
        </row>
        <row r="26">
          <cell r="F26">
            <v>34.992000000000004</v>
          </cell>
        </row>
        <row r="27">
          <cell r="F27">
            <v>7.4798583333333326</v>
          </cell>
        </row>
        <row r="28">
          <cell r="F28">
            <v>0.30078333333333335</v>
          </cell>
        </row>
        <row r="29">
          <cell r="F29">
            <v>3.5179749999999999</v>
          </cell>
        </row>
        <row r="30">
          <cell r="F30">
            <v>21.041333333333334</v>
          </cell>
        </row>
        <row r="31">
          <cell r="F31">
            <v>10.5725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kireycevaya" refreshedDate="41393.428229513891" createdVersion="3" refreshedVersion="3" minRefreshableVersion="3" recordCount="92">
  <cacheSource type="worksheet">
    <worksheetSource ref="A3:H95" sheet="все расходы"/>
  </cacheSource>
  <cacheFields count="8">
    <cacheField name="Статья затрат" numFmtId="0">
      <sharedItems/>
    </cacheField>
    <cacheField name="квартал" numFmtId="0">
      <sharedItems containsSemiMixedTypes="0" containsString="0" containsNumber="1" containsInteger="1" minValue="1" maxValue="1" count="1">
        <n v="1"/>
      </sharedItems>
    </cacheField>
    <cacheField name="сумма" numFmtId="0">
      <sharedItems containsSemiMixedTypes="0" containsString="0" containsNumber="1" minValue="6.32" maxValue="7212274.2800000003"/>
    </cacheField>
    <cacheField name="сумма, тис.грн." numFmtId="4">
      <sharedItems containsSemiMixedTypes="0" containsString="0" containsNumber="1" minValue="6.3200000000000001E-3" maxValue="7212.2742800000005"/>
    </cacheField>
    <cacheField name="Счет" numFmtId="0">
      <sharedItems containsSemiMixedTypes="0" containsString="0" containsNumber="1" minValue="23.91" maxValue="92" count="2">
        <n v="23.91"/>
        <n v="92"/>
      </sharedItems>
    </cacheField>
    <cacheField name="6 НКРЕ " numFmtId="0">
      <sharedItems count="5">
        <s v="Материальные"/>
        <s v="Прочие"/>
        <s v="Амортизация"/>
        <s v="Налоги на ЗП"/>
        <s v="ЗП"/>
      </sharedItems>
    </cacheField>
    <cacheField name="Расшифровки" numFmtId="0">
      <sharedItems containsBlank="1" count="12">
        <s v="Сырье и материалы"/>
        <s v="Ремонт"/>
        <s v="содержание транспорта"/>
        <s v="ГСМ"/>
        <s v="Прочие"/>
        <s v="Электроэнергия"/>
        <s v="Производственные услуги"/>
        <s v="Связь"/>
        <s v="Командировочные"/>
        <m/>
        <s v="Налог на транспорт"/>
        <s v="Земельный налог"/>
      </sharedItems>
    </cacheField>
    <cacheField name="Подрасшифровки " numFmtId="0">
      <sharedItems containsBlank="1" count="9">
        <m/>
        <s v="ОТ "/>
        <s v="Хознужды"/>
        <s v="Коммунальные услуги"/>
        <s v="Повышение квалификации"/>
        <s v="Аренда"/>
        <s v="УСО"/>
        <s v="Страхование"/>
        <s v="Прочие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kireycevaya" refreshedDate="41393.575282754631" createdVersion="3" refreshedVersion="3" minRefreshableVersion="3" recordCount="76">
  <cacheSource type="worksheet">
    <worksheetSource ref="A8:F84" sheet="продажи"/>
  </cacheSource>
  <cacheFields count="6">
    <cacheField name="Номенклатура, Базовая единица измерения" numFmtId="0">
      <sharedItems/>
    </cacheField>
    <cacheField name="Квартал" numFmtId="0">
      <sharedItems containsSemiMixedTypes="0" containsString="0" containsNumber="1" containsInteger="1" minValue="1" maxValue="1" count="1">
        <n v="1"/>
      </sharedItems>
    </cacheField>
    <cacheField name="Сумма продажи в грн" numFmtId="0">
      <sharedItems containsSemiMixedTypes="0" containsString="0" containsNumber="1" minValue="46.49" maxValue="21308122.899999999"/>
    </cacheField>
    <cacheField name="Сумма, тыс.грн. без НДС" numFmtId="43">
      <sharedItems containsSemiMixedTypes="0" containsString="0" containsNumber="1" minValue="3.8741666666666667E-2" maxValue="17756.769083333333"/>
    </cacheField>
    <cacheField name="6 НКРЕ" numFmtId="0">
      <sharedItems count="3">
        <s v="Услуги"/>
        <s v="Реактив"/>
        <s v="транзит"/>
      </sharedItems>
    </cacheField>
    <cacheField name="Расшифровка" numFmtId="0">
      <sharedItems containsBlank="1" count="16">
        <s v="подключение - отключение"/>
        <s v="Аренда"/>
        <s v="Выдача ТУ"/>
        <s v="ЭТЛ"/>
        <s v="Вызов инспектора"/>
        <s v="ответственное хранение"/>
        <s v="Метрология поверка"/>
        <s v="Метрология ремонт"/>
        <m/>
        <s v="Компенсация коммунальных услуг"/>
        <s v="Присоединение"/>
        <s v="ОТО"/>
        <s v="Работы в охранной зоне"/>
        <s v="ЗОЕ"/>
        <s v="ремонт"/>
        <s v="транспортные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">
  <r>
    <s v="01 01 02 01 Сырье и материлы (материалы на ТО электрооборудования)"/>
    <x v="0"/>
    <n v="66225.820000000007"/>
    <n v="66.225820000000013"/>
    <x v="0"/>
    <x v="0"/>
    <x v="0"/>
    <x v="0"/>
  </r>
  <r>
    <s v="01 01 02 02 Ремонт электрооборудования хоз.способом"/>
    <x v="0"/>
    <n v="225348.05000000002"/>
    <n v="225.34805000000003"/>
    <x v="0"/>
    <x v="0"/>
    <x v="1"/>
    <x v="0"/>
  </r>
  <r>
    <s v="01 01 02 03 Ремонт зданий и сооружений хоз.способом"/>
    <x v="0"/>
    <n v="27870.63"/>
    <n v="27.870630000000002"/>
    <x v="0"/>
    <x v="0"/>
    <x v="1"/>
    <x v="0"/>
  </r>
  <r>
    <s v="01 01 02 04 Ремонт и содержан ие автотранспорта хоз.способом"/>
    <x v="0"/>
    <n v="14569.04"/>
    <n v="14.569040000000001"/>
    <x v="0"/>
    <x v="1"/>
    <x v="2"/>
    <x v="0"/>
  </r>
  <r>
    <s v="01 01 02 05 Топливо"/>
    <x v="0"/>
    <n v="324691.05"/>
    <n v="324.69104999999996"/>
    <x v="0"/>
    <x v="0"/>
    <x v="3"/>
    <x v="0"/>
  </r>
  <r>
    <s v="01 01 02 06 Инструмент"/>
    <x v="0"/>
    <n v="8168.11"/>
    <n v="8.1681100000000004"/>
    <x v="0"/>
    <x v="0"/>
    <x v="1"/>
    <x v="0"/>
  </r>
  <r>
    <s v="01 01 02 07 Спецодежда"/>
    <x v="0"/>
    <n v="27438.92"/>
    <n v="27.43892"/>
    <x v="0"/>
    <x v="1"/>
    <x v="4"/>
    <x v="1"/>
  </r>
  <r>
    <s v="01 01 02 08 Средства индивидуальной защиты"/>
    <x v="0"/>
    <n v="708.97"/>
    <n v="0.70896999999999999"/>
    <x v="0"/>
    <x v="1"/>
    <x v="4"/>
    <x v="1"/>
  </r>
  <r>
    <s v="01 01 02 10 Моющие средства"/>
    <x v="0"/>
    <n v="10749.17"/>
    <n v="10.749169999999999"/>
    <x v="0"/>
    <x v="1"/>
    <x v="4"/>
    <x v="2"/>
  </r>
  <r>
    <s v="01 01 02 11 Канцтовары"/>
    <x v="0"/>
    <n v="1280.02"/>
    <n v="1.2800199999999999"/>
    <x v="0"/>
    <x v="1"/>
    <x v="4"/>
    <x v="2"/>
  </r>
  <r>
    <s v="01 01 02 12 Бумага"/>
    <x v="0"/>
    <n v="7231.62"/>
    <n v="7.2316199999999995"/>
    <x v="0"/>
    <x v="1"/>
    <x v="4"/>
    <x v="2"/>
  </r>
  <r>
    <s v="01 01 02 13 Литература и бланки"/>
    <x v="0"/>
    <n v="2125.14"/>
    <n v="2.12514"/>
    <x v="0"/>
    <x v="1"/>
    <x v="4"/>
    <x v="2"/>
  </r>
  <r>
    <s v="01 01 02 15  Прочие материальные затраты"/>
    <x v="0"/>
    <n v="20452.47"/>
    <n v="20.452470000000002"/>
    <x v="0"/>
    <x v="0"/>
    <x v="1"/>
    <x v="0"/>
  </r>
  <r>
    <s v="01 01 03 01 Электроэнергия активная"/>
    <x v="0"/>
    <n v="274546.84999999998"/>
    <n v="274.54684999999995"/>
    <x v="0"/>
    <x v="0"/>
    <x v="5"/>
    <x v="0"/>
  </r>
  <r>
    <s v="01 01 03 02 Реактивная электроэнергия"/>
    <x v="0"/>
    <n v="21.49"/>
    <n v="2.1489999999999999E-2"/>
    <x v="0"/>
    <x v="0"/>
    <x v="5"/>
    <x v="0"/>
  </r>
  <r>
    <s v="01 01 03 03 Газ"/>
    <x v="0"/>
    <n v="141120.46"/>
    <n v="141.12045999999998"/>
    <x v="0"/>
    <x v="1"/>
    <x v="4"/>
    <x v="3"/>
  </r>
  <r>
    <s v="01 01 03 05 Вода питьевая"/>
    <x v="0"/>
    <n v="1766.04"/>
    <n v="1.7660400000000001"/>
    <x v="0"/>
    <x v="1"/>
    <x v="4"/>
    <x v="3"/>
  </r>
  <r>
    <s v="01 01 03 06 Канализация"/>
    <x v="0"/>
    <n v="1896.07"/>
    <n v="1.8960699999999999"/>
    <x v="0"/>
    <x v="1"/>
    <x v="4"/>
    <x v="3"/>
  </r>
  <r>
    <s v="01 01 04 01 Производственные услуги"/>
    <x v="0"/>
    <n v="60637.67"/>
    <n v="60.63767"/>
    <x v="0"/>
    <x v="0"/>
    <x v="6"/>
    <x v="0"/>
  </r>
  <r>
    <s v="01 01 04 02 Ремонт оборудования подрядным способом"/>
    <x v="0"/>
    <n v="570163.04"/>
    <n v="570.16304000000002"/>
    <x v="0"/>
    <x v="0"/>
    <x v="1"/>
    <x v="0"/>
  </r>
  <r>
    <s v="01 01 04 04 Ремонт и содержание транспорта подрядным способом"/>
    <x v="0"/>
    <n v="11067.62"/>
    <n v="11.067620000000002"/>
    <x v="0"/>
    <x v="1"/>
    <x v="2"/>
    <x v="0"/>
  </r>
  <r>
    <s v="01 01 04 05 Затраты на связь"/>
    <x v="0"/>
    <n v="23221.79"/>
    <n v="23.221790000000002"/>
    <x v="0"/>
    <x v="1"/>
    <x v="7"/>
    <x v="0"/>
  </r>
  <r>
    <s v="231 Командировочные расходы проезд"/>
    <x v="0"/>
    <n v="3736.08"/>
    <n v="3.7360799999999998"/>
    <x v="0"/>
    <x v="1"/>
    <x v="8"/>
    <x v="0"/>
  </r>
  <r>
    <s v="231 Командировочные расходы проживание"/>
    <x v="0"/>
    <n v="26703.32"/>
    <n v="26.703319999999998"/>
    <x v="0"/>
    <x v="1"/>
    <x v="8"/>
    <x v="0"/>
  </r>
  <r>
    <s v="231 Командировочные расходы суточные"/>
    <x v="0"/>
    <n v="20380.41"/>
    <n v="20.380410000000001"/>
    <x v="0"/>
    <x v="1"/>
    <x v="8"/>
    <x v="0"/>
  </r>
  <r>
    <s v="231 Компенсація витрат на проїзд"/>
    <x v="0"/>
    <n v="2585.39"/>
    <n v="2.5853899999999999"/>
    <x v="0"/>
    <x v="1"/>
    <x v="8"/>
    <x v="0"/>
  </r>
  <r>
    <s v="233 Командировочные расходы проживание"/>
    <x v="0"/>
    <n v="84.74"/>
    <n v="8.4739999999999996E-2"/>
    <x v="0"/>
    <x v="1"/>
    <x v="8"/>
    <x v="0"/>
  </r>
  <r>
    <s v="91212 Компенсація витрат на проїзд"/>
    <x v="0"/>
    <n v="161.6"/>
    <n v="0.16159999999999999"/>
    <x v="0"/>
    <x v="1"/>
    <x v="8"/>
    <x v="0"/>
  </r>
  <r>
    <s v="91285 Командировочные расходы суточные"/>
    <x v="0"/>
    <n v="4860"/>
    <n v="4.8600000000000003"/>
    <x v="0"/>
    <x v="1"/>
    <x v="8"/>
    <x v="0"/>
  </r>
  <r>
    <s v="912851 Командировочные расходы проезд"/>
    <x v="0"/>
    <n v="681.92"/>
    <n v="0.68191999999999997"/>
    <x v="0"/>
    <x v="1"/>
    <x v="8"/>
    <x v="0"/>
  </r>
  <r>
    <s v="912852 Командировочные расходы проживание"/>
    <x v="0"/>
    <n v="4050.5"/>
    <n v="4.0505000000000004"/>
    <x v="0"/>
    <x v="1"/>
    <x v="8"/>
    <x v="0"/>
  </r>
  <r>
    <s v="01 01 04 08 Повышение квалификации персонала"/>
    <x v="0"/>
    <n v="20365"/>
    <n v="20.364999999999998"/>
    <x v="0"/>
    <x v="1"/>
    <x v="4"/>
    <x v="4"/>
  </r>
  <r>
    <s v="01 01 04 10 Аренда"/>
    <x v="0"/>
    <n v="13314.82"/>
    <n v="13.314819999999999"/>
    <x v="0"/>
    <x v="1"/>
    <x v="4"/>
    <x v="5"/>
  </r>
  <r>
    <s v="01 01 04 12 Вывоз мусора"/>
    <x v="0"/>
    <n v="879.87"/>
    <n v="0.87987000000000004"/>
    <x v="0"/>
    <x v="1"/>
    <x v="4"/>
    <x v="3"/>
  </r>
  <r>
    <s v="01 01 04 19 Медосмотр"/>
    <x v="0"/>
    <n v="3326.86"/>
    <n v="3.3268599999999999"/>
    <x v="0"/>
    <x v="1"/>
    <x v="4"/>
    <x v="1"/>
  </r>
  <r>
    <s v="01 01 04 20 Прочие УСО"/>
    <x v="0"/>
    <n v="512.39"/>
    <n v="0.51239000000000001"/>
    <x v="0"/>
    <x v="1"/>
    <x v="4"/>
    <x v="6"/>
  </r>
  <r>
    <s v="01 02 02 01 Сырье и материалы (материалы на ТО электрооборудования)"/>
    <x v="0"/>
    <n v="1444.66"/>
    <n v="1.4446600000000001"/>
    <x v="0"/>
    <x v="0"/>
    <x v="0"/>
    <x v="0"/>
  </r>
  <r>
    <s v="01 02 02 02 Ремонт электрооборудования хоз.способом"/>
    <x v="0"/>
    <n v="1955.2"/>
    <n v="1.9552"/>
    <x v="0"/>
    <x v="0"/>
    <x v="1"/>
    <x v="0"/>
  </r>
  <r>
    <s v="01 02 02 06 Инструмент"/>
    <x v="0"/>
    <n v="5815.91"/>
    <n v="5.8159099999999997"/>
    <x v="0"/>
    <x v="0"/>
    <x v="1"/>
    <x v="0"/>
  </r>
  <r>
    <s v="01 02 02 07 Спецодежда"/>
    <x v="0"/>
    <n v="140"/>
    <n v="0.14000000000000001"/>
    <x v="0"/>
    <x v="1"/>
    <x v="4"/>
    <x v="1"/>
  </r>
  <r>
    <s v="01 02 02 08 Средства индивидуальной защиты"/>
    <x v="0"/>
    <n v="332.5"/>
    <n v="0.33250000000000002"/>
    <x v="0"/>
    <x v="1"/>
    <x v="4"/>
    <x v="1"/>
  </r>
  <r>
    <s v="01 02 02 10 Моющие средства"/>
    <x v="0"/>
    <n v="560.12"/>
    <n v="0.56011999999999995"/>
    <x v="0"/>
    <x v="1"/>
    <x v="4"/>
    <x v="2"/>
  </r>
  <r>
    <s v="01 02 02 11 Канцтовары"/>
    <x v="0"/>
    <n v="9.52"/>
    <n v="9.5199999999999989E-3"/>
    <x v="0"/>
    <x v="1"/>
    <x v="4"/>
    <x v="2"/>
  </r>
  <r>
    <s v="01 02 02 12 Бумага"/>
    <x v="0"/>
    <n v="73.05"/>
    <n v="7.3050000000000004E-2"/>
    <x v="0"/>
    <x v="1"/>
    <x v="4"/>
    <x v="2"/>
  </r>
  <r>
    <s v="01 02 03 01 Электроэнергия активная"/>
    <x v="0"/>
    <n v="38924.46"/>
    <n v="38.924459999999996"/>
    <x v="0"/>
    <x v="0"/>
    <x v="5"/>
    <x v="0"/>
  </r>
  <r>
    <s v="01 02 03 02 Реактивная электроэнергия"/>
    <x v="0"/>
    <n v="16033.15"/>
    <n v="16.033149999999999"/>
    <x v="0"/>
    <x v="0"/>
    <x v="5"/>
    <x v="0"/>
  </r>
  <r>
    <s v="01 02 03 05 Вода питьевая"/>
    <x v="0"/>
    <n v="6.32"/>
    <n v="6.3200000000000001E-3"/>
    <x v="0"/>
    <x v="1"/>
    <x v="4"/>
    <x v="3"/>
  </r>
  <r>
    <s v="01 02 04 05 Затраты на связь"/>
    <x v="0"/>
    <n v="49.87"/>
    <n v="4.9869999999999998E-2"/>
    <x v="0"/>
    <x v="1"/>
    <x v="7"/>
    <x v="0"/>
  </r>
  <r>
    <s v="232-02 Компенсація витрат на проїзд"/>
    <x v="0"/>
    <n v="506.86"/>
    <n v="0.50685999999999998"/>
    <x v="0"/>
    <x v="1"/>
    <x v="8"/>
    <x v="0"/>
  </r>
  <r>
    <s v="231 Амортизация (пр)"/>
    <x v="0"/>
    <n v="1571.77"/>
    <n v="1.5717699999999999"/>
    <x v="0"/>
    <x v="2"/>
    <x v="9"/>
    <x v="0"/>
  </r>
  <r>
    <s v="231 Налоги на ЗП общепроизводственного персонала"/>
    <x v="0"/>
    <n v="30411.26"/>
    <n v="30.411259999999999"/>
    <x v="0"/>
    <x v="3"/>
    <x v="9"/>
    <x v="0"/>
  </r>
  <r>
    <s v="231 Начисленная ЗП общепроизводственного персонала"/>
    <x v="0"/>
    <n v="82059.539999999994"/>
    <n v="82.059539999999998"/>
    <x v="0"/>
    <x v="4"/>
    <x v="9"/>
    <x v="0"/>
  </r>
  <r>
    <s v="232 Налоги на ЗП общепроизводственного персонала"/>
    <x v="0"/>
    <n v="1733723.47"/>
    <n v="1733.7234699999999"/>
    <x v="0"/>
    <x v="3"/>
    <x v="9"/>
    <x v="0"/>
  </r>
  <r>
    <s v="232 Начисленная ЗП общепроизводственного персонала"/>
    <x v="0"/>
    <n v="4796788.45"/>
    <n v="4796.78845"/>
    <x v="0"/>
    <x v="4"/>
    <x v="9"/>
    <x v="0"/>
  </r>
  <r>
    <s v="91250 Начисленная ЗП общепроизводственного персонала"/>
    <x v="0"/>
    <n v="792797.46"/>
    <n v="792.79746"/>
    <x v="0"/>
    <x v="4"/>
    <x v="9"/>
    <x v="0"/>
  </r>
  <r>
    <s v="91255 Налоги на ЗП общепроизводственного персонала"/>
    <x v="0"/>
    <n v="293628.77"/>
    <n v="293.62877000000003"/>
    <x v="0"/>
    <x v="3"/>
    <x v="9"/>
    <x v="0"/>
  </r>
  <r>
    <s v="91260 Амортизационные отчисления ОС, НМА и НА"/>
    <x v="0"/>
    <n v="7212274.2800000003"/>
    <n v="7212.2742800000005"/>
    <x v="0"/>
    <x v="2"/>
    <x v="9"/>
    <x v="0"/>
  </r>
  <r>
    <s v="Резерв отпусков ЗП"/>
    <x v="0"/>
    <n v="201507.77"/>
    <n v="201.50776999999999"/>
    <x v="0"/>
    <x v="4"/>
    <x v="9"/>
    <x v="0"/>
  </r>
  <r>
    <s v="Резерв отпусков налоги"/>
    <x v="0"/>
    <n v="74678.740000000005"/>
    <n v="74.678740000000005"/>
    <x v="0"/>
    <x v="3"/>
    <x v="9"/>
    <x v="0"/>
  </r>
  <r>
    <s v="01 01 02 05 Топливо"/>
    <x v="0"/>
    <n v="113229.66"/>
    <n v="113.22966000000001"/>
    <x v="1"/>
    <x v="0"/>
    <x v="3"/>
    <x v="0"/>
  </r>
  <r>
    <s v="01 01 02 11 Канцтовары"/>
    <x v="0"/>
    <n v="34.020000000000003"/>
    <n v="3.4020000000000002E-2"/>
    <x v="1"/>
    <x v="1"/>
    <x v="4"/>
    <x v="2"/>
  </r>
  <r>
    <s v="92 Проездные билеты"/>
    <x v="0"/>
    <n v="3480"/>
    <n v="3.48"/>
    <x v="1"/>
    <x v="1"/>
    <x v="4"/>
    <x v="2"/>
  </r>
  <r>
    <s v="92 Прочие материальные расходы"/>
    <x v="0"/>
    <n v="3360.5"/>
    <n v="3.3605"/>
    <x v="1"/>
    <x v="0"/>
    <x v="1"/>
    <x v="0"/>
  </r>
  <r>
    <s v="01 01 02 16 Ремонт оргтехники"/>
    <x v="0"/>
    <n v="10369.629999999999"/>
    <n v="10.369629999999999"/>
    <x v="1"/>
    <x v="0"/>
    <x v="1"/>
    <x v="0"/>
  </r>
  <r>
    <s v="01 01 04 04 Ремонт и содержание транспорта подрядным способом"/>
    <x v="0"/>
    <n v="42553.84"/>
    <n v="42.553839999999994"/>
    <x v="1"/>
    <x v="1"/>
    <x v="2"/>
    <x v="0"/>
  </r>
  <r>
    <s v="01 01 04 05 Затраты на связь"/>
    <x v="0"/>
    <n v="59067.59"/>
    <n v="59.067589999999996"/>
    <x v="1"/>
    <x v="1"/>
    <x v="7"/>
    <x v="0"/>
  </r>
  <r>
    <s v="92 Командировочные расходы админ. персонала суточные"/>
    <x v="0"/>
    <n v="3090"/>
    <n v="3.09"/>
    <x v="1"/>
    <x v="1"/>
    <x v="8"/>
    <x v="0"/>
  </r>
  <r>
    <s v="92 Командировочные расходы админ.персонала проезд"/>
    <x v="0"/>
    <n v="3474.11"/>
    <n v="3.47411"/>
    <x v="1"/>
    <x v="1"/>
    <x v="8"/>
    <x v="0"/>
  </r>
  <r>
    <s v="92 Командировочные расходы админ.персонала проживание"/>
    <x v="0"/>
    <n v="22439"/>
    <n v="22.439"/>
    <x v="1"/>
    <x v="1"/>
    <x v="8"/>
    <x v="0"/>
  </r>
  <r>
    <s v="01 01 04 08 Повышение квалификации персонала"/>
    <x v="0"/>
    <n v="7926.9"/>
    <n v="7.9268999999999998"/>
    <x v="1"/>
    <x v="1"/>
    <x v="4"/>
    <x v="4"/>
  </r>
  <r>
    <s v="9230531 Юридические услуги сторонних организаций"/>
    <x v="0"/>
    <n v="39999.99"/>
    <n v="39.999989999999997"/>
    <x v="1"/>
    <x v="1"/>
    <x v="4"/>
    <x v="6"/>
  </r>
  <r>
    <s v="9230534 Консультативные услуги сторонних организаций"/>
    <x v="0"/>
    <n v="120869.97"/>
    <n v="120.86997"/>
    <x v="1"/>
    <x v="1"/>
    <x v="4"/>
    <x v="6"/>
  </r>
  <r>
    <s v="9230535 Услуги депозитария сторонних организаций"/>
    <x v="0"/>
    <n v="1612.72"/>
    <n v="1.6127199999999999"/>
    <x v="1"/>
    <x v="1"/>
    <x v="4"/>
    <x v="6"/>
  </r>
  <r>
    <s v="9230536 Обслуживание оргтехники сторонних организаций"/>
    <x v="0"/>
    <n v="10387.49"/>
    <n v="10.38749"/>
    <x v="1"/>
    <x v="1"/>
    <x v="4"/>
    <x v="6"/>
  </r>
  <r>
    <s v="9230550 Обслуживание 1С"/>
    <x v="0"/>
    <n v="2100"/>
    <n v="2.1"/>
    <x v="1"/>
    <x v="1"/>
    <x v="4"/>
    <x v="6"/>
  </r>
  <r>
    <s v="01 01 04 10 Аренда"/>
    <x v="0"/>
    <n v="69837.5"/>
    <n v="69.837500000000006"/>
    <x v="1"/>
    <x v="1"/>
    <x v="4"/>
    <x v="5"/>
  </r>
  <r>
    <s v="01 01 04 13 Страхование транспорта, водителей, пожарных дружин"/>
    <x v="0"/>
    <n v="24650.49"/>
    <n v="24.650490000000001"/>
    <x v="1"/>
    <x v="1"/>
    <x v="4"/>
    <x v="7"/>
  </r>
  <r>
    <s v="01 01 04 14 Подписка"/>
    <x v="0"/>
    <n v="6470.2"/>
    <n v="6.4702000000000002"/>
    <x v="1"/>
    <x v="1"/>
    <x v="4"/>
    <x v="8"/>
  </r>
  <r>
    <s v="01 01 04 15 Почтовые затраты"/>
    <x v="0"/>
    <n v="844.77"/>
    <n v="0.84477000000000002"/>
    <x v="1"/>
    <x v="1"/>
    <x v="4"/>
    <x v="8"/>
  </r>
  <r>
    <s v="01 01 04 16 РКО"/>
    <x v="0"/>
    <n v="1610.13"/>
    <n v="1.6101300000000001"/>
    <x v="1"/>
    <x v="1"/>
    <x v="4"/>
    <x v="8"/>
  </r>
  <r>
    <s v="01 01 04 17 Публикации в СМИ"/>
    <x v="0"/>
    <n v="2260"/>
    <n v="2.2599999999999998"/>
    <x v="1"/>
    <x v="1"/>
    <x v="4"/>
    <x v="8"/>
  </r>
  <r>
    <s v="01 01 04 18 Госпошлина"/>
    <x v="0"/>
    <n v="71687.5"/>
    <n v="71.6875"/>
    <x v="1"/>
    <x v="1"/>
    <x v="4"/>
    <x v="8"/>
  </r>
  <r>
    <s v="01 01 04 20 Прочие УСО"/>
    <x v="0"/>
    <n v="4890.5200000000004"/>
    <n v="4.8905200000000004"/>
    <x v="1"/>
    <x v="1"/>
    <x v="4"/>
    <x v="6"/>
  </r>
  <r>
    <s v="01 01 04 21 Интернет"/>
    <x v="0"/>
    <n v="17837.28"/>
    <n v="17.83728"/>
    <x v="1"/>
    <x v="1"/>
    <x v="7"/>
    <x v="0"/>
  </r>
  <r>
    <s v="92250 Начисленная ЗП административного персонала"/>
    <x v="0"/>
    <n v="2227618.4500000002"/>
    <n v="2227.6184500000004"/>
    <x v="1"/>
    <x v="4"/>
    <x v="9"/>
    <x v="0"/>
  </r>
  <r>
    <s v="92255 Налоги на ЗП административного персонала"/>
    <x v="0"/>
    <n v="363371.75"/>
    <n v="363.37175000000002"/>
    <x v="1"/>
    <x v="3"/>
    <x v="9"/>
    <x v="0"/>
  </r>
  <r>
    <s v="922601 Амортизационные отчисления ОС, НМА и НА"/>
    <x v="0"/>
    <n v="8066.1"/>
    <n v="8.0661000000000005"/>
    <x v="1"/>
    <x v="2"/>
    <x v="9"/>
    <x v="0"/>
  </r>
  <r>
    <s v="9230592 Плата за лицензию"/>
    <x v="0"/>
    <n v="27530.85"/>
    <n v="27.530849999999997"/>
    <x v="1"/>
    <x v="1"/>
    <x v="4"/>
    <x v="8"/>
  </r>
  <r>
    <s v="92305941 Налог на транспорт "/>
    <x v="0"/>
    <n v="147.80000000000001"/>
    <n v="0.14780000000000001"/>
    <x v="1"/>
    <x v="1"/>
    <x v="10"/>
    <x v="0"/>
  </r>
  <r>
    <s v="92305942 Земельный налог"/>
    <x v="0"/>
    <n v="117690.12"/>
    <n v="117.69011999999999"/>
    <x v="1"/>
    <x v="1"/>
    <x v="11"/>
    <x v="0"/>
  </r>
  <r>
    <s v="92305944 Сбор за пользование радиочастным ресурсом"/>
    <x v="0"/>
    <n v="163.63999999999999"/>
    <n v="0.16363999999999998"/>
    <x v="1"/>
    <x v="1"/>
    <x v="4"/>
    <x v="8"/>
  </r>
  <r>
    <s v="92305945 Публикация "/>
    <x v="0"/>
    <n v="93.33"/>
    <n v="9.3329999999999996E-2"/>
    <x v="1"/>
    <x v="1"/>
    <x v="4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6">
  <r>
    <s v=" Підключення відгалужень від опори 0,4кВ до ящика зовнішнього обліку електроенергії, грн"/>
    <x v="0"/>
    <n v="264.64999999999998"/>
    <n v="0.22054166666666664"/>
    <x v="0"/>
    <x v="0"/>
  </r>
  <r>
    <s v="Аренда  электросетей наружного освещения согласно дог.№243 от 20.10.2006, грн"/>
    <x v="0"/>
    <n v="1144.47"/>
    <n v="0.95372500000000004"/>
    <x v="0"/>
    <x v="1"/>
  </r>
  <r>
    <s v="Аренда  электросетей наружного освещения согласно дог.№290 от 29.11.2005, грн"/>
    <x v="0"/>
    <n v="1000.77"/>
    <n v="0.83397500000000002"/>
    <x v="0"/>
    <x v="1"/>
  </r>
  <r>
    <s v="Аренда недвижимого имущества согласно дог.№069 от 01.10.2010, грн"/>
    <x v="0"/>
    <n v="2052.87"/>
    <n v="1.7107249999999998"/>
    <x v="0"/>
    <x v="1"/>
  </r>
  <r>
    <s v="Аренда недвижимого имущества согласно дог.№270 от 01.12.2010, грн"/>
    <x v="0"/>
    <n v="1092.3"/>
    <n v="0.91025"/>
    <x v="0"/>
    <x v="1"/>
  </r>
  <r>
    <s v="Аренда недвижимого имущества согласно дог.№406 от 28,12,2012, грн"/>
    <x v="0"/>
    <n v="4087.5"/>
    <n v="3.40625"/>
    <x v="0"/>
    <x v="1"/>
  </r>
  <r>
    <s v="Видача технічних умов, грн"/>
    <x v="0"/>
    <n v="18404.04"/>
    <n v="15.3367"/>
    <x v="0"/>
    <x v="2"/>
  </r>
  <r>
    <s v="Визначення місця пошкодження та випробування, грн"/>
    <x v="0"/>
    <n v="10675.44"/>
    <n v="8.8962000000000003"/>
    <x v="0"/>
    <x v="3"/>
  </r>
  <r>
    <s v="Виклик інспектора, грн"/>
    <x v="0"/>
    <n v="6674.45"/>
    <n v="5.5620416666666666"/>
    <x v="0"/>
    <x v="4"/>
  </r>
  <r>
    <s v="Випробування засобів захисту підвищеною напругою, грн"/>
    <x v="0"/>
    <n v="97.26"/>
    <n v="8.1050000000000011E-2"/>
    <x v="0"/>
    <x v="3"/>
  </r>
  <r>
    <s v="Випробування силової кабельної лінії 0,4 кВ, грн"/>
    <x v="0"/>
    <n v="463.3"/>
    <n v="0.38608333333333333"/>
    <x v="0"/>
    <x v="3"/>
  </r>
  <r>
    <s v="Випробування силової кабельної лінії 6 кВ, грн"/>
    <x v="0"/>
    <n v="1623.02"/>
    <n v="1.3525166666666666"/>
    <x v="0"/>
    <x v="3"/>
  </r>
  <r>
    <s v="Високовольтні випробування електрообладнання та повний аналіз, грн"/>
    <x v="0"/>
    <n v="6379.7"/>
    <n v="5.3164166666666661"/>
    <x v="0"/>
    <x v="3"/>
  </r>
  <r>
    <s v="Витрати на перевірку наявності кола між заземлювачами, грн"/>
    <x v="0"/>
    <n v="360.41"/>
    <n v="0.30034166666666667"/>
    <x v="0"/>
    <x v="3"/>
  </r>
  <r>
    <s v="Витрати по використанню тепловізору ТН9100WL, грн"/>
    <x v="0"/>
    <n v="1067.2"/>
    <n v="0.88933333333333342"/>
    <x v="0"/>
    <x v="3"/>
  </r>
  <r>
    <s v="Відключення однофазного електролічильника, грн"/>
    <x v="0"/>
    <n v="82.58"/>
    <n v="6.8816666666666665E-2"/>
    <x v="0"/>
    <x v="0"/>
  </r>
  <r>
    <s v="Відключення споживача від технологичних мереж, грн"/>
    <x v="0"/>
    <n v="6692.06"/>
    <n v="5.576716666666667"/>
    <x v="0"/>
    <x v="0"/>
  </r>
  <r>
    <s v="Відповідальне зберігання , грн"/>
    <x v="0"/>
    <n v="151.68"/>
    <n v="0.15168000000000001"/>
    <x v="0"/>
    <x v="5"/>
  </r>
  <r>
    <s v="Госповерка трансформатора, грн"/>
    <x v="0"/>
    <n v="2598.29"/>
    <n v="2.1652416666666667"/>
    <x v="0"/>
    <x v="6"/>
  </r>
  <r>
    <s v="Демонтаж  лічильника електроенергії , грн"/>
    <x v="0"/>
    <n v="88.1"/>
    <n v="7.3416666666666658E-2"/>
    <x v="0"/>
    <x v="7"/>
  </r>
  <r>
    <s v="Демонтаж та монтаж лічильників електроенергії з подальшою, грн"/>
    <x v="0"/>
    <n v="2963.48"/>
    <n v="2.4695666666666667"/>
    <x v="0"/>
    <x v="7"/>
  </r>
  <r>
    <s v="За перетікання реактивної електроенергії у березні 2013р., грн"/>
    <x v="0"/>
    <n v="656270.39"/>
    <n v="546.89199166666663"/>
    <x v="1"/>
    <x v="8"/>
  </r>
  <r>
    <s v="За перетікання реактивної електроенергії у лютому 2013р., грн"/>
    <x v="0"/>
    <n v="636087.81000000006"/>
    <n v="530.07317499999999"/>
    <x v="1"/>
    <x v="8"/>
  </r>
  <r>
    <s v="За перетікання реактивної електроенергії у січні 2013р., грн"/>
    <x v="0"/>
    <n v="555709.79"/>
    <n v="463.09149166666668"/>
    <x v="1"/>
    <x v="8"/>
  </r>
  <r>
    <s v="Замена трансформаторов тока, грн"/>
    <x v="0"/>
    <n v="2516.1799999999998"/>
    <n v="2.0968166666666663"/>
    <x v="0"/>
    <x v="7"/>
  </r>
  <r>
    <s v="Измерение изоляции,петля &quot;фаза-нуль&quot;, заземление напряжением до 1 кВ, грн"/>
    <x v="0"/>
    <n v="4369.3100000000004"/>
    <n v="3.6410916666666671"/>
    <x v="0"/>
    <x v="3"/>
  </r>
  <r>
    <s v="Компенсация за коммунальные услуги, грн"/>
    <x v="0"/>
    <n v="3636.06"/>
    <n v="3.0300500000000001"/>
    <x v="0"/>
    <x v="9"/>
  </r>
  <r>
    <s v="Монтаж трифазного відгалуження з чотирма утримними ізольваними, грн"/>
    <x v="0"/>
    <n v="213.96"/>
    <n v="0.17830000000000001"/>
    <x v="0"/>
    <x v="0"/>
  </r>
  <r>
    <s v="Обеспечение заявленной мощности на границе балансовой принадлежности, грн"/>
    <x v="0"/>
    <n v="114605"/>
    <n v="95.504166666666663"/>
    <x v="0"/>
    <x v="10"/>
  </r>
  <r>
    <s v="Огляд електрообладнання  згідно.дог.№211 от 22.08.2011, грн"/>
    <x v="0"/>
    <n v="724.26"/>
    <n v="0.60355000000000003"/>
    <x v="0"/>
    <x v="11"/>
  </r>
  <r>
    <s v="Огляд електрообладнання  згідно.дог.№39 от 01.02.2013, грн"/>
    <x v="0"/>
    <n v="475.1"/>
    <n v="0.39591666666666669"/>
    <x v="0"/>
    <x v="11"/>
  </r>
  <r>
    <s v="Оперативно-техническое обслуживание электрооборудования согласно дог. № 070 от 04.04.2007, грн"/>
    <x v="0"/>
    <n v="2747.99"/>
    <n v="2.2899916666666664"/>
    <x v="0"/>
    <x v="11"/>
  </r>
  <r>
    <s v="Оперативно-техническое обслуживание электрооборудования согласно дог. № 097 от 13.07.2009, грн"/>
    <x v="0"/>
    <n v="615.86"/>
    <n v="0.51321666666666665"/>
    <x v="0"/>
    <x v="11"/>
  </r>
  <r>
    <s v="Оперативно-техническое обслуживание электрооборудования согласно дог. № 111 от 01.06.2010, грн"/>
    <x v="0"/>
    <n v="4064.72"/>
    <n v="3.3872666666666666"/>
    <x v="0"/>
    <x v="11"/>
  </r>
  <r>
    <s v="Оперативно-техническое обслуживание электрооборудования согласно дог. № 222 от 06.10.2006, грн"/>
    <x v="0"/>
    <n v="567.24"/>
    <n v="0.47270000000000001"/>
    <x v="0"/>
    <x v="11"/>
  </r>
  <r>
    <s v="Оперативно-техническое обслуживание электрооборудования согласно дог. № 259 от 01.10.2007, грн"/>
    <x v="0"/>
    <n v="14321.58"/>
    <n v="11.93465"/>
    <x v="0"/>
    <x v="11"/>
  </r>
  <r>
    <s v="Оперативно-техническое обслуживание электрооборудования согласно дог. № 261 от 13.11.2006, грн"/>
    <x v="0"/>
    <n v="544.29999999999995"/>
    <n v="0.45358333333333328"/>
    <x v="0"/>
    <x v="11"/>
  </r>
  <r>
    <s v="Оренда   опор згідно дог.№263 от 01.08.2012 , грн"/>
    <x v="0"/>
    <n v="720"/>
    <n v="0.6"/>
    <x v="0"/>
    <x v="11"/>
  </r>
  <r>
    <s v="Осмотр  электрооборудования согласно дог. № 294 от 01.10.2012, грн"/>
    <x v="0"/>
    <n v="727.53"/>
    <n v="0.60627500000000001"/>
    <x v="0"/>
    <x v="11"/>
  </r>
  <r>
    <s v="Осмотр  электрооборудования согласно дог. № 313 от 01.10.2012, грн"/>
    <x v="0"/>
    <n v="1241.31"/>
    <n v="1.0344249999999999"/>
    <x v="0"/>
    <x v="11"/>
  </r>
  <r>
    <s v="Осмотр электрооборудования согл.дог.№71 от 21.03.2011, грн"/>
    <x v="0"/>
    <n v="46.49"/>
    <n v="3.8741666666666667E-2"/>
    <x v="0"/>
    <x v="11"/>
  </r>
  <r>
    <s v="Осмотр электрооборудования согласно дог. № 021(ежегодный) от 21.02.2005, грн"/>
    <x v="0"/>
    <n v="619.04999999999995"/>
    <n v="0.51587499999999997"/>
    <x v="0"/>
    <x v="11"/>
  </r>
  <r>
    <s v="Осмотр электрооборудования согласно дог. № 026 от 27.02.2007, грн"/>
    <x v="0"/>
    <n v="647.13"/>
    <n v="0.53927499999999995"/>
    <x v="0"/>
    <x v="11"/>
  </r>
  <r>
    <s v="Осмотр электрооборудования согласно дог. № 035 от 05.03.2007, грн"/>
    <x v="0"/>
    <n v="709.71"/>
    <n v="0.59142499999999998"/>
    <x v="0"/>
    <x v="11"/>
  </r>
  <r>
    <s v="Осмотр электрооборудования согласно дог. № 061 от 30.04.2010, грн"/>
    <x v="0"/>
    <n v="1357.5"/>
    <n v="1.1312500000000001"/>
    <x v="0"/>
    <x v="11"/>
  </r>
  <r>
    <s v="Осмотр электрооборудования согласно дог. № 066 от 02.04.2007, грн"/>
    <x v="0"/>
    <n v="868.53"/>
    <n v="0.72377499999999995"/>
    <x v="0"/>
    <x v="11"/>
  </r>
  <r>
    <s v="Осмотр электрооборудования согласно дог. № 158 от 26.06.2007, грн"/>
    <x v="0"/>
    <n v="357.18"/>
    <n v="0.29765000000000003"/>
    <x v="0"/>
    <x v="11"/>
  </r>
  <r>
    <s v="Осмотр электрооборудования согласно дог. № 194 от 25.09.2006, грн"/>
    <x v="0"/>
    <n v="966.63"/>
    <n v="0.80552500000000005"/>
    <x v="0"/>
    <x v="11"/>
  </r>
  <r>
    <s v="Осмотр электрооборудования согласно дог. № 240 от 24.09.2008, грн"/>
    <x v="0"/>
    <n v="728.16"/>
    <n v="0.60680000000000001"/>
    <x v="0"/>
    <x v="11"/>
  </r>
  <r>
    <s v="Осмотр электрооборудования согласно дог. № 246от 14.11.2005, грн"/>
    <x v="0"/>
    <n v="482.7"/>
    <n v="0.40225"/>
    <x v="0"/>
    <x v="11"/>
  </r>
  <r>
    <s v="Осмотр электрооборудования согласно дог. № № 017 от 01.01..2008, грн"/>
    <x v="0"/>
    <n v="116.42"/>
    <n v="9.7016666666666668E-2"/>
    <x v="0"/>
    <x v="11"/>
  </r>
  <r>
    <s v="Оформлення та нагляд за роботами в охоронній зоні, грн"/>
    <x v="0"/>
    <n v="3542.01"/>
    <n v="2.9516750000000003"/>
    <x v="0"/>
    <x v="12"/>
  </r>
  <r>
    <s v="Первинне підключення  споживача, грн"/>
    <x v="0"/>
    <n v="7190.96"/>
    <n v="5.9924666666666671"/>
    <x v="0"/>
    <x v="0"/>
  </r>
  <r>
    <s v="Повторне підключення  споживача, грн"/>
    <x v="0"/>
    <n v="10122.299999999999"/>
    <n v="8.4352499999999999"/>
    <x v="0"/>
    <x v="0"/>
  </r>
  <r>
    <s v="Погодження проектної документації, грн"/>
    <x v="0"/>
    <n v="116.78"/>
    <n v="9.7316666666666662E-2"/>
    <x v="0"/>
    <x v="2"/>
  </r>
  <r>
    <s v="Послуги з передачі ел./енергії 1 клас, МВт*г"/>
    <x v="0"/>
    <n v="6630776.8700000001"/>
    <n v="5525.6473916666664"/>
    <x v="2"/>
    <x v="8"/>
  </r>
  <r>
    <s v="Послуги з передачі ел./енергії 2 клас, МВт*г"/>
    <x v="0"/>
    <n v="21308122.899999999"/>
    <n v="17756.769083333333"/>
    <x v="2"/>
    <x v="8"/>
  </r>
  <r>
    <s v="Послуги з утримання технологічних мереж спільного використання, грн"/>
    <x v="0"/>
    <n v="295417.23"/>
    <n v="246.18102499999998"/>
    <x v="0"/>
    <x v="13"/>
  </r>
  <r>
    <s v="Проверка электросчетчика электроэнергии с помощью переносного компьютера, грн"/>
    <x v="0"/>
    <n v="15620.28"/>
    <n v="13.0169"/>
    <x v="0"/>
    <x v="6"/>
  </r>
  <r>
    <s v="Ремонт кабельной линии КЛ 0,4 кВ , грн"/>
    <x v="0"/>
    <n v="2910.9"/>
    <n v="2.4257500000000003"/>
    <x v="0"/>
    <x v="14"/>
  </r>
  <r>
    <s v="Роботи з демонтажу кабеля та підвіски проводів ПЛ 10кВ, грн"/>
    <x v="0"/>
    <n v="2746.73"/>
    <n v="2.2889416666666667"/>
    <x v="0"/>
    <x v="14"/>
  </r>
  <r>
    <s v="Роботи з монтажу повторного заземлення на опорі, грн"/>
    <x v="0"/>
    <n v="3318.2"/>
    <n v="2.7651666666666666"/>
    <x v="0"/>
    <x v="14"/>
  </r>
  <r>
    <s v="Тех.обсл. электрооборудования согласно дог. № 026 от 27.02.2007, грн"/>
    <x v="0"/>
    <n v="698.47"/>
    <n v="0.58205833333333334"/>
    <x v="0"/>
    <x v="11"/>
  </r>
  <r>
    <s v="Тех.обсл. электрооборудования согласно дог. № 061 от 30.04.2010, грн"/>
    <x v="0"/>
    <n v="1502.26"/>
    <n v="1.2518833333333332"/>
    <x v="0"/>
    <x v="11"/>
  </r>
  <r>
    <s v="Тех.обсл. электрооборудования согласно дог. № № 017 от 01.01..2008, грн"/>
    <x v="0"/>
    <n v="226.37"/>
    <n v="0.18864166666666668"/>
    <x v="0"/>
    <x v="11"/>
  </r>
  <r>
    <s v="Тех.обслуживание згідно.дог.№39 от 01.02.2013, грн"/>
    <x v="0"/>
    <n v="992.26"/>
    <n v="0.8268833333333333"/>
    <x v="0"/>
    <x v="11"/>
  </r>
  <r>
    <s v="Тех.обслуживание согласно дог. № 246от 14.11.2005, грн"/>
    <x v="0"/>
    <n v="2546.42"/>
    <n v="2.1220166666666667"/>
    <x v="0"/>
    <x v="11"/>
  </r>
  <r>
    <s v="Техническое обслуживание  электрооборудования согласно дог. № 294 от 01.10.2012, грн"/>
    <x v="0"/>
    <n v="857.08"/>
    <n v="0.71423333333333339"/>
    <x v="0"/>
    <x v="11"/>
  </r>
  <r>
    <s v="Техническое обслуживание электрооборудования согласно дог. № 066 от 02.04.2007, грн"/>
    <x v="0"/>
    <n v="1550.47"/>
    <n v="1.2920583333333333"/>
    <x v="0"/>
    <x v="11"/>
  </r>
  <r>
    <s v="Техническое обслуживание электрооборудования согласно дог. № 158 от 26.06.2007, грн"/>
    <x v="0"/>
    <n v="1417.88"/>
    <n v="1.1815666666666667"/>
    <x v="0"/>
    <x v="11"/>
  </r>
  <r>
    <s v="Техническое обслуживание электрооборудования согласно дог. № 194 от 25.09.2006, грн"/>
    <x v="0"/>
    <n v="1117.28"/>
    <n v="0.9310666666666666"/>
    <x v="0"/>
    <x v="11"/>
  </r>
  <r>
    <s v="Техническое обслуживание электрооборудования согласно дог. № 240 от 24.09.2008, грн"/>
    <x v="0"/>
    <n v="949.16"/>
    <n v="0.7909666666666666"/>
    <x v="0"/>
    <x v="11"/>
  </r>
  <r>
    <s v="Техническое обслуживание электрооборудования согласно дог. № 313 от 01.10.2012, грн"/>
    <x v="0"/>
    <n v="1320.78"/>
    <n v="1.1006499999999999"/>
    <x v="0"/>
    <x v="11"/>
  </r>
  <r>
    <s v="Технічне обслуговування електрообладнання  згідно.дог.№211 от 22.08.2011, грн"/>
    <x v="0"/>
    <n v="2719.3"/>
    <n v="2.2660833333333334"/>
    <x v="0"/>
    <x v="11"/>
  </r>
  <r>
    <s v="Узгодження проектної документації на електрозабезпечення об'єкта, грн"/>
    <x v="0"/>
    <n v="4309.49"/>
    <n v="3.5912416666666664"/>
    <x v="0"/>
    <x v="2"/>
  </r>
  <r>
    <s v="Эксплуатация автокрана МАЗ, грн"/>
    <x v="0"/>
    <n v="360.94"/>
    <n v="0.30078333333333335"/>
    <x v="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38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E46" firstHeaderRow="1" firstDataRow="3" firstDataCol="1"/>
  <pivotFields count="8">
    <pivotField showAll="0"/>
    <pivotField axis="axisCol" showAll="0">
      <items count="2">
        <item x="0"/>
        <item t="default"/>
      </items>
    </pivotField>
    <pivotField showAll="0"/>
    <pivotField dataField="1" numFmtId="4" showAll="0"/>
    <pivotField axis="axisCol" showAll="0">
      <items count="3">
        <item x="0"/>
        <item x="1"/>
        <item t="default"/>
      </items>
    </pivotField>
    <pivotField axis="axisRow" showAll="0">
      <items count="6">
        <item x="2"/>
        <item x="4"/>
        <item x="0"/>
        <item x="3"/>
        <item x="1"/>
        <item t="default"/>
      </items>
    </pivotField>
    <pivotField axis="axisRow" showAll="0">
      <items count="13">
        <item x="3"/>
        <item x="11"/>
        <item x="8"/>
        <item x="10"/>
        <item x="6"/>
        <item x="4"/>
        <item x="1"/>
        <item x="7"/>
        <item x="2"/>
        <item x="0"/>
        <item x="5"/>
        <item x="9"/>
        <item t="default"/>
      </items>
    </pivotField>
    <pivotField axis="axisRow" showAll="0">
      <items count="10">
        <item x="5"/>
        <item x="3"/>
        <item x="1"/>
        <item x="4"/>
        <item x="8"/>
        <item x="7"/>
        <item x="6"/>
        <item x="2"/>
        <item x="0"/>
        <item t="default"/>
      </items>
    </pivotField>
  </pivotFields>
  <rowFields count="3">
    <field x="5"/>
    <field x="6"/>
    <field x="7"/>
  </rowFields>
  <rowItems count="41">
    <i>
      <x/>
    </i>
    <i r="1">
      <x v="11"/>
    </i>
    <i r="2">
      <x v="8"/>
    </i>
    <i>
      <x v="1"/>
    </i>
    <i r="1">
      <x v="11"/>
    </i>
    <i r="2">
      <x v="8"/>
    </i>
    <i>
      <x v="2"/>
    </i>
    <i r="1">
      <x/>
    </i>
    <i r="2">
      <x v="8"/>
    </i>
    <i r="1">
      <x v="4"/>
    </i>
    <i r="2">
      <x v="8"/>
    </i>
    <i r="1">
      <x v="6"/>
    </i>
    <i r="2">
      <x v="8"/>
    </i>
    <i r="1">
      <x v="9"/>
    </i>
    <i r="2">
      <x v="8"/>
    </i>
    <i r="1">
      <x v="10"/>
    </i>
    <i r="2">
      <x v="8"/>
    </i>
    <i>
      <x v="3"/>
    </i>
    <i r="1">
      <x v="11"/>
    </i>
    <i r="2">
      <x v="8"/>
    </i>
    <i>
      <x v="4"/>
    </i>
    <i r="1">
      <x v="1"/>
    </i>
    <i r="2">
      <x v="8"/>
    </i>
    <i r="1">
      <x v="2"/>
    </i>
    <i r="2">
      <x v="8"/>
    </i>
    <i r="1">
      <x v="3"/>
    </i>
    <i r="2">
      <x v="8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7"/>
    </i>
    <i r="2">
      <x v="8"/>
    </i>
    <i r="1">
      <x v="8"/>
    </i>
    <i r="2">
      <x v="8"/>
    </i>
    <i t="grand">
      <x/>
    </i>
  </rowItems>
  <colFields count="2">
    <field x="1"/>
    <field x="4"/>
  </colFields>
  <colItems count="4">
    <i>
      <x/>
      <x/>
    </i>
    <i r="1">
      <x v="1"/>
    </i>
    <i t="default">
      <x/>
    </i>
    <i t="grand">
      <x/>
    </i>
  </colItems>
  <dataFields count="1">
    <dataField name="Сумма по полю сумма, тис.грн." fld="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2" cacheId="5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C25" firstHeaderRow="1" firstDataRow="2" firstDataCol="1"/>
  <pivotFields count="6">
    <pivotField showAll="0"/>
    <pivotField axis="axisCol" showAll="0">
      <items count="2">
        <item x="0"/>
        <item t="default"/>
      </items>
    </pivotField>
    <pivotField showAll="0"/>
    <pivotField dataField="1" numFmtId="43" showAll="0"/>
    <pivotField axis="axisRow" showAll="0">
      <items count="4">
        <item x="1"/>
        <item x="2"/>
        <item x="0"/>
        <item t="default"/>
      </items>
    </pivotField>
    <pivotField axis="axisRow" showAll="0">
      <items count="17">
        <item x="1"/>
        <item x="2"/>
        <item x="4"/>
        <item x="13"/>
        <item x="9"/>
        <item x="6"/>
        <item x="7"/>
        <item x="5"/>
        <item x="11"/>
        <item x="0"/>
        <item x="10"/>
        <item x="12"/>
        <item x="14"/>
        <item x="15"/>
        <item x="3"/>
        <item x="8"/>
        <item t="default"/>
      </items>
    </pivotField>
  </pivotFields>
  <rowFields count="2">
    <field x="4"/>
    <field x="5"/>
  </rowFields>
  <rowItems count="21">
    <i>
      <x/>
    </i>
    <i r="1">
      <x v="15"/>
    </i>
    <i>
      <x v="1"/>
    </i>
    <i r="1">
      <x v="1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grand">
      <x/>
    </i>
  </rowItems>
  <colFields count="1">
    <field x="1"/>
  </colFields>
  <colItems count="2">
    <i>
      <x/>
    </i>
    <i t="grand">
      <x/>
    </i>
  </colItems>
  <dataFields count="1">
    <dataField name="Сумма по полю Сумма, тыс.грн. без НДС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IP237"/>
  <sheetViews>
    <sheetView tabSelected="1" topLeftCell="A16" workbookViewId="0">
      <pane xSplit="2" ySplit="10" topLeftCell="C26" activePane="bottomRight" state="frozen"/>
      <selection activeCell="A16" sqref="A16"/>
      <selection pane="topRight" activeCell="C16" sqref="C16"/>
      <selection pane="bottomLeft" activeCell="A26" sqref="A26"/>
      <selection pane="bottomRight" activeCell="G27" sqref="G27"/>
    </sheetView>
  </sheetViews>
  <sheetFormatPr defaultRowHeight="12.75"/>
  <cols>
    <col min="1" max="1" width="57.28515625" style="332" customWidth="1"/>
    <col min="2" max="2" width="9.140625" style="335"/>
    <col min="3" max="4" width="9.140625" style="334"/>
    <col min="5" max="5" width="11.28515625" style="334" customWidth="1"/>
    <col min="6" max="6" width="12.28515625" style="334" customWidth="1"/>
    <col min="7" max="12" width="9.140625" style="334"/>
    <col min="13" max="13" width="11.7109375" style="334" customWidth="1"/>
    <col min="14" max="16" width="9.140625" style="334"/>
    <col min="17" max="16384" width="9.140625" style="332"/>
  </cols>
  <sheetData>
    <row r="1" spans="1:17" s="1" customFormat="1" ht="18.75">
      <c r="A1" s="499" t="s">
        <v>0</v>
      </c>
      <c r="B1" s="499"/>
      <c r="C1" s="499"/>
      <c r="D1" s="499"/>
      <c r="E1" s="499"/>
      <c r="F1" s="499"/>
      <c r="G1" s="499"/>
      <c r="H1" s="499"/>
      <c r="I1" s="499"/>
      <c r="J1" s="499"/>
      <c r="K1" s="499"/>
      <c r="L1" s="499"/>
      <c r="M1" s="499"/>
      <c r="N1" s="499"/>
      <c r="O1" s="499"/>
    </row>
    <row r="2" spans="1:17" s="1" customFormat="1" ht="18.75">
      <c r="A2" s="500" t="s">
        <v>1</v>
      </c>
      <c r="B2" s="500"/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0"/>
    </row>
    <row r="3" spans="1:17" s="1" customFormat="1" ht="24">
      <c r="A3" s="2"/>
      <c r="B3" s="2"/>
      <c r="C3" s="2"/>
      <c r="D3" s="2"/>
      <c r="E3" s="3" t="s">
        <v>2</v>
      </c>
      <c r="F3" s="4">
        <v>3</v>
      </c>
      <c r="G3" s="5" t="s">
        <v>734</v>
      </c>
      <c r="H3" s="6">
        <v>2013</v>
      </c>
      <c r="I3" s="2" t="s">
        <v>3</v>
      </c>
      <c r="J3" s="2"/>
      <c r="K3" s="2"/>
      <c r="L3" s="2"/>
      <c r="M3" s="2"/>
      <c r="N3" s="2"/>
      <c r="O3" s="2"/>
    </row>
    <row r="4" spans="1:17" s="1" customFormat="1" ht="19.5" thickBot="1">
      <c r="A4" s="501"/>
      <c r="B4" s="501"/>
      <c r="C4" s="501"/>
      <c r="D4" s="501"/>
      <c r="E4" s="501"/>
      <c r="F4" s="501"/>
      <c r="G4" s="501"/>
      <c r="H4" s="501"/>
      <c r="I4" s="501"/>
      <c r="J4" s="501"/>
      <c r="K4" s="501"/>
      <c r="L4" s="501"/>
      <c r="M4" s="501"/>
      <c r="N4" s="501"/>
      <c r="O4" s="501"/>
    </row>
    <row r="5" spans="1:17" s="1" customFormat="1" ht="19.5" thickBot="1">
      <c r="A5" s="502" t="s">
        <v>4</v>
      </c>
      <c r="B5" s="503"/>
      <c r="C5" s="504" t="s">
        <v>5</v>
      </c>
      <c r="D5" s="505"/>
      <c r="E5" s="7"/>
      <c r="F5" s="7"/>
      <c r="G5" s="7"/>
      <c r="H5" s="7"/>
      <c r="I5" s="7"/>
      <c r="J5" s="8"/>
      <c r="K5" s="9"/>
      <c r="L5" s="10"/>
      <c r="M5" s="10"/>
      <c r="N5" s="10"/>
      <c r="O5" s="10"/>
    </row>
    <row r="6" spans="1:17" s="1" customFormat="1" ht="18.75">
      <c r="A6" s="11" t="s">
        <v>6</v>
      </c>
      <c r="B6" s="12"/>
      <c r="C6" s="504"/>
      <c r="D6" s="505"/>
      <c r="E6" s="7"/>
      <c r="F6" s="7"/>
      <c r="G6" s="7"/>
      <c r="H6" s="7"/>
      <c r="I6" s="506" t="s">
        <v>7</v>
      </c>
      <c r="J6" s="506"/>
      <c r="K6" s="506"/>
      <c r="L6" s="506"/>
      <c r="M6" s="506"/>
      <c r="N6" s="506"/>
      <c r="O6" s="13"/>
    </row>
    <row r="7" spans="1:17" s="1" customFormat="1" ht="18.75">
      <c r="A7" s="495" t="s">
        <v>8</v>
      </c>
      <c r="B7" s="496"/>
      <c r="C7" s="497" t="s">
        <v>9</v>
      </c>
      <c r="D7" s="498"/>
      <c r="E7" s="14"/>
      <c r="F7" s="14"/>
      <c r="G7" s="15"/>
      <c r="H7" s="15"/>
      <c r="I7" s="16" t="s">
        <v>10</v>
      </c>
      <c r="J7" s="16"/>
      <c r="K7" s="16"/>
      <c r="L7" s="16"/>
      <c r="M7" s="16"/>
      <c r="N7" s="10"/>
      <c r="O7" s="10"/>
    </row>
    <row r="8" spans="1:17" s="1" customFormat="1" ht="18.75">
      <c r="A8" s="495" t="s">
        <v>11</v>
      </c>
      <c r="B8" s="496"/>
      <c r="C8" s="497" t="s">
        <v>12</v>
      </c>
      <c r="D8" s="498"/>
      <c r="E8" s="7"/>
      <c r="F8" s="7"/>
      <c r="G8" s="7" t="s">
        <v>13</v>
      </c>
      <c r="H8" s="7"/>
      <c r="I8" s="506" t="s">
        <v>14</v>
      </c>
      <c r="J8" s="506"/>
      <c r="K8" s="506"/>
      <c r="L8" s="506"/>
      <c r="M8" s="506"/>
      <c r="N8" s="10"/>
      <c r="O8" s="10"/>
    </row>
    <row r="9" spans="1:17" s="1" customFormat="1" ht="18.75">
      <c r="A9" s="495" t="s">
        <v>15</v>
      </c>
      <c r="B9" s="496"/>
      <c r="C9" s="497" t="s">
        <v>16</v>
      </c>
      <c r="D9" s="498"/>
      <c r="E9" s="7"/>
      <c r="F9" s="7"/>
      <c r="G9" s="7"/>
      <c r="H9" s="7"/>
      <c r="I9" s="16" t="s">
        <v>17</v>
      </c>
      <c r="J9" s="16"/>
      <c r="K9" s="16"/>
      <c r="L9" s="16"/>
      <c r="M9" s="10"/>
      <c r="N9" s="10"/>
      <c r="O9" s="10"/>
    </row>
    <row r="10" spans="1:17" s="1" customFormat="1" ht="18.75">
      <c r="A10" s="495" t="s">
        <v>18</v>
      </c>
      <c r="B10" s="496"/>
      <c r="C10" s="497" t="s">
        <v>19</v>
      </c>
      <c r="D10" s="498"/>
      <c r="E10" s="7"/>
      <c r="F10" s="7"/>
      <c r="G10" s="7"/>
      <c r="H10" s="7"/>
      <c r="I10" s="510" t="s">
        <v>20</v>
      </c>
      <c r="J10" s="510"/>
      <c r="K10" s="510"/>
      <c r="L10" s="510"/>
      <c r="M10" s="10"/>
      <c r="N10" s="10"/>
      <c r="O10" s="10"/>
    </row>
    <row r="11" spans="1:17" s="1" customFormat="1" ht="18.75">
      <c r="A11" s="495" t="s">
        <v>21</v>
      </c>
      <c r="B11" s="496"/>
      <c r="C11" s="497" t="s">
        <v>22</v>
      </c>
      <c r="D11" s="498"/>
      <c r="E11" s="7"/>
      <c r="F11" s="7"/>
      <c r="G11" s="7"/>
      <c r="H11" s="7"/>
      <c r="I11" s="17" t="s">
        <v>23</v>
      </c>
      <c r="J11" s="18"/>
      <c r="K11" s="10"/>
      <c r="L11" s="10"/>
      <c r="M11" s="10"/>
      <c r="N11" s="10"/>
      <c r="O11" s="10"/>
    </row>
    <row r="12" spans="1:17" s="1" customFormat="1" ht="18.75">
      <c r="A12" s="19" t="s">
        <v>24</v>
      </c>
      <c r="B12" s="20"/>
      <c r="C12" s="19"/>
      <c r="D12" s="21"/>
      <c r="E12" s="7"/>
      <c r="F12" s="7"/>
      <c r="G12" s="7"/>
      <c r="H12" s="7"/>
      <c r="I12" s="17"/>
      <c r="J12" s="18"/>
      <c r="K12" s="10"/>
      <c r="L12" s="10"/>
      <c r="M12" s="10"/>
      <c r="N12" s="10"/>
      <c r="O12" s="10"/>
    </row>
    <row r="13" spans="1:17" s="1" customFormat="1" ht="18.75">
      <c r="A13" s="19" t="s">
        <v>25</v>
      </c>
      <c r="B13" s="20"/>
      <c r="C13" s="19"/>
      <c r="D13" s="21"/>
      <c r="E13" s="7"/>
      <c r="F13" s="7"/>
      <c r="G13" s="7"/>
      <c r="H13" s="7"/>
      <c r="I13" s="7"/>
      <c r="J13" s="17"/>
      <c r="K13" s="18"/>
      <c r="L13" s="10"/>
      <c r="M13" s="10"/>
      <c r="N13" s="3"/>
      <c r="O13" s="3"/>
    </row>
    <row r="14" spans="1:17" s="1" customFormat="1" ht="18.75">
      <c r="A14" s="495" t="s">
        <v>26</v>
      </c>
      <c r="B14" s="511"/>
      <c r="C14" s="19"/>
      <c r="D14" s="21"/>
      <c r="E14" s="7"/>
      <c r="F14" s="7"/>
      <c r="G14" s="7"/>
      <c r="H14" s="7"/>
      <c r="I14" s="7"/>
      <c r="J14" s="10"/>
      <c r="K14" s="10"/>
      <c r="L14" s="10"/>
      <c r="M14" s="10"/>
      <c r="N14" s="10"/>
      <c r="O14" s="10"/>
      <c r="P14" s="507"/>
      <c r="Q14" s="508"/>
    </row>
    <row r="15" spans="1:17" s="1" customFormat="1" ht="19.5" thickBot="1">
      <c r="A15" s="22" t="s">
        <v>27</v>
      </c>
      <c r="B15" s="23"/>
      <c r="C15" s="22"/>
      <c r="D15" s="24"/>
      <c r="E15" s="7"/>
      <c r="F15" s="7"/>
      <c r="G15" s="7"/>
      <c r="H15" s="7"/>
      <c r="I15" s="7"/>
      <c r="J15" s="10"/>
      <c r="K15" s="10"/>
      <c r="L15" s="10"/>
      <c r="M15" s="10"/>
      <c r="N15" s="10"/>
      <c r="O15" s="10"/>
      <c r="P15" s="507"/>
      <c r="Q15" s="508"/>
    </row>
    <row r="16" spans="1:17" s="1" customFormat="1" ht="19.5" thickBot="1">
      <c r="A16" s="25"/>
      <c r="B16" s="25"/>
      <c r="C16" s="26"/>
      <c r="D16" s="26"/>
      <c r="E16" s="27"/>
      <c r="F16" s="27"/>
      <c r="G16" s="27"/>
      <c r="H16" s="27"/>
      <c r="J16" s="28"/>
      <c r="K16" s="28"/>
      <c r="L16" s="28"/>
      <c r="M16" s="28"/>
      <c r="N16" s="28"/>
      <c r="O16" s="28"/>
      <c r="P16" s="19"/>
      <c r="Q16" s="29"/>
    </row>
    <row r="17" spans="1:18" s="1" customFormat="1" ht="18.75">
      <c r="A17" s="512" t="s">
        <v>28</v>
      </c>
      <c r="B17" s="513"/>
      <c r="C17" s="513"/>
      <c r="D17" s="513"/>
      <c r="E17" s="513"/>
      <c r="F17" s="513"/>
      <c r="G17" s="513"/>
      <c r="H17" s="513"/>
      <c r="I17" s="513"/>
      <c r="J17" s="513"/>
      <c r="K17" s="513"/>
      <c r="L17" s="513"/>
      <c r="M17" s="513"/>
      <c r="N17" s="513"/>
      <c r="O17" s="514"/>
      <c r="P17" s="19"/>
      <c r="Q17" s="20"/>
    </row>
    <row r="18" spans="1:18" s="1" customFormat="1" ht="18.75">
      <c r="A18" s="507" t="s">
        <v>29</v>
      </c>
      <c r="B18" s="508"/>
      <c r="C18" s="508"/>
      <c r="D18" s="508"/>
      <c r="E18" s="508"/>
      <c r="F18" s="508"/>
      <c r="G18" s="508"/>
      <c r="H18" s="508"/>
      <c r="I18" s="508"/>
      <c r="J18" s="508"/>
      <c r="K18" s="508"/>
      <c r="L18" s="508"/>
      <c r="M18" s="508"/>
      <c r="N18" s="508"/>
      <c r="O18" s="509"/>
      <c r="P18" s="507"/>
      <c r="Q18" s="508"/>
      <c r="R18" s="30"/>
    </row>
    <row r="19" spans="1:18" s="1" customFormat="1" ht="18.75">
      <c r="A19" s="507" t="s">
        <v>30</v>
      </c>
      <c r="B19" s="508"/>
      <c r="C19" s="508"/>
      <c r="D19" s="508"/>
      <c r="E19" s="508"/>
      <c r="F19" s="508"/>
      <c r="G19" s="508"/>
      <c r="H19" s="508"/>
      <c r="I19" s="508"/>
      <c r="J19" s="508"/>
      <c r="K19" s="508"/>
      <c r="L19" s="508"/>
      <c r="M19" s="508"/>
      <c r="N19" s="508"/>
      <c r="O19" s="509"/>
      <c r="P19" s="19"/>
      <c r="Q19" s="20"/>
      <c r="R19" s="30"/>
    </row>
    <row r="20" spans="1:18" s="1" customFormat="1" ht="19.5" thickBot="1">
      <c r="A20" s="515" t="s">
        <v>31</v>
      </c>
      <c r="B20" s="516"/>
      <c r="C20" s="516"/>
      <c r="D20" s="516"/>
      <c r="E20" s="516"/>
      <c r="F20" s="516"/>
      <c r="G20" s="516"/>
      <c r="H20" s="516"/>
      <c r="I20" s="516"/>
      <c r="J20" s="516"/>
      <c r="K20" s="516"/>
      <c r="L20" s="516"/>
      <c r="M20" s="516"/>
      <c r="N20" s="516"/>
      <c r="O20" s="517"/>
      <c r="P20" s="31"/>
      <c r="R20" s="30"/>
    </row>
    <row r="21" spans="1:18" s="34" customFormat="1" ht="13.5" thickBot="1">
      <c r="A21" s="518"/>
      <c r="B21" s="518"/>
      <c r="C21" s="518"/>
      <c r="D21" s="518"/>
      <c r="E21" s="518"/>
      <c r="F21" s="518"/>
      <c r="G21" s="518"/>
      <c r="H21" s="518"/>
      <c r="I21" s="518"/>
      <c r="J21" s="518"/>
      <c r="K21" s="518"/>
      <c r="L21" s="518"/>
      <c r="M21" s="518"/>
      <c r="N21" s="518"/>
      <c r="O21" s="518"/>
      <c r="P21" s="32"/>
      <c r="Q21" s="33"/>
      <c r="R21" s="33"/>
    </row>
    <row r="22" spans="1:18" s="36" customFormat="1" ht="16.5" thickBot="1">
      <c r="A22" s="519" t="s">
        <v>32</v>
      </c>
      <c r="B22" s="35" t="s">
        <v>33</v>
      </c>
      <c r="C22" s="522" t="s">
        <v>34</v>
      </c>
      <c r="D22" s="523"/>
      <c r="E22" s="522" t="s">
        <v>35</v>
      </c>
      <c r="F22" s="523"/>
      <c r="G22" s="524" t="s">
        <v>36</v>
      </c>
      <c r="H22" s="523"/>
      <c r="I22" s="522" t="s">
        <v>37</v>
      </c>
      <c r="J22" s="523"/>
      <c r="K22" s="525" t="s">
        <v>38</v>
      </c>
      <c r="L22" s="526"/>
      <c r="M22" s="519" t="s">
        <v>39</v>
      </c>
      <c r="N22" s="525" t="s">
        <v>40</v>
      </c>
      <c r="O22" s="527"/>
    </row>
    <row r="23" spans="1:18" s="36" customFormat="1" ht="15.75">
      <c r="A23" s="520"/>
      <c r="B23" s="37" t="s">
        <v>41</v>
      </c>
      <c r="C23" s="38" t="s">
        <v>42</v>
      </c>
      <c r="D23" s="528" t="s">
        <v>43</v>
      </c>
      <c r="E23" s="38" t="s">
        <v>42</v>
      </c>
      <c r="F23" s="528" t="s">
        <v>43</v>
      </c>
      <c r="G23" s="38" t="s">
        <v>42</v>
      </c>
      <c r="H23" s="535" t="s">
        <v>43</v>
      </c>
      <c r="I23" s="38" t="s">
        <v>42</v>
      </c>
      <c r="J23" s="528" t="s">
        <v>43</v>
      </c>
      <c r="K23" s="38" t="s">
        <v>42</v>
      </c>
      <c r="L23" s="535" t="s">
        <v>43</v>
      </c>
      <c r="M23" s="520"/>
      <c r="N23" s="537" t="s">
        <v>44</v>
      </c>
      <c r="O23" s="528" t="s">
        <v>43</v>
      </c>
    </row>
    <row r="24" spans="1:18" s="36" customFormat="1" ht="16.5" thickBot="1">
      <c r="A24" s="521"/>
      <c r="B24" s="37"/>
      <c r="C24" s="39" t="s">
        <v>45</v>
      </c>
      <c r="D24" s="529"/>
      <c r="E24" s="39" t="s">
        <v>45</v>
      </c>
      <c r="F24" s="529"/>
      <c r="G24" s="39" t="s">
        <v>45</v>
      </c>
      <c r="H24" s="536"/>
      <c r="I24" s="39" t="s">
        <v>45</v>
      </c>
      <c r="J24" s="529"/>
      <c r="K24" s="39" t="s">
        <v>45</v>
      </c>
      <c r="L24" s="536"/>
      <c r="M24" s="521"/>
      <c r="N24" s="538"/>
      <c r="O24" s="529"/>
    </row>
    <row r="25" spans="1:18" s="45" customFormat="1" ht="16.5" thickBot="1">
      <c r="A25" s="40" t="s">
        <v>46</v>
      </c>
      <c r="B25" s="40" t="s">
        <v>47</v>
      </c>
      <c r="C25" s="40">
        <v>1</v>
      </c>
      <c r="D25" s="41">
        <v>2</v>
      </c>
      <c r="E25" s="40">
        <v>3</v>
      </c>
      <c r="F25" s="41">
        <v>4</v>
      </c>
      <c r="G25" s="42">
        <v>5</v>
      </c>
      <c r="H25" s="43">
        <v>6</v>
      </c>
      <c r="I25" s="40">
        <v>7</v>
      </c>
      <c r="J25" s="41">
        <v>8</v>
      </c>
      <c r="K25" s="40">
        <v>9</v>
      </c>
      <c r="L25" s="41">
        <v>10</v>
      </c>
      <c r="M25" s="44">
        <v>11</v>
      </c>
      <c r="N25" s="40">
        <v>12</v>
      </c>
      <c r="O25" s="41">
        <v>13</v>
      </c>
    </row>
    <row r="26" spans="1:18" s="34" customFormat="1" ht="15.75">
      <c r="A26" s="46" t="s">
        <v>48</v>
      </c>
      <c r="B26" s="47" t="s">
        <v>49</v>
      </c>
      <c r="C26" s="48">
        <f t="shared" ref="C26:H26" si="0">SUM(C27,C28,C29,C30,C31)</f>
        <v>0</v>
      </c>
      <c r="D26" s="49">
        <f t="shared" si="0"/>
        <v>0</v>
      </c>
      <c r="E26" s="48">
        <f t="shared" si="0"/>
        <v>15243.746561726575</v>
      </c>
      <c r="F26" s="49">
        <f t="shared" si="0"/>
        <v>17031.686473613998</v>
      </c>
      <c r="G26" s="50">
        <f t="shared" si="0"/>
        <v>0</v>
      </c>
      <c r="H26" s="51">
        <f t="shared" si="0"/>
        <v>0</v>
      </c>
      <c r="I26" s="48">
        <f t="shared" ref="I26:J44" si="1">SUM(C26,E26,G26)</f>
        <v>15243.746561726575</v>
      </c>
      <c r="J26" s="52">
        <f t="shared" si="1"/>
        <v>17031.686473613998</v>
      </c>
      <c r="K26" s="48">
        <f>SUM(K27,K28,K29,K30,K31)</f>
        <v>0</v>
      </c>
      <c r="L26" s="53">
        <f>SUM(L27,L28,L29,L30,L31)</f>
        <v>0</v>
      </c>
      <c r="M26" s="49">
        <f>SUM(M27,M28,M29,M30,M31)</f>
        <v>298.77246638600002</v>
      </c>
      <c r="N26" s="48">
        <f t="shared" ref="N26:N44" si="2">SUM(I26,K26)</f>
        <v>15243.746561726575</v>
      </c>
      <c r="O26" s="53">
        <f t="shared" ref="O26:O44" si="3">SUM(J26,L26,M26)</f>
        <v>17330.458939999997</v>
      </c>
    </row>
    <row r="27" spans="1:18" s="34" customFormat="1" ht="15.75">
      <c r="A27" s="54" t="s">
        <v>50</v>
      </c>
      <c r="B27" s="55" t="s">
        <v>51</v>
      </c>
      <c r="C27" s="56"/>
      <c r="D27" s="57"/>
      <c r="E27" s="58">
        <f>'план тариф'!E7*(F27/(F27+F33))</f>
        <v>3724.6416981529596</v>
      </c>
      <c r="F27" s="57">
        <f>GETPIVOTDATA("сумма, тис.грн.",'свод расходов'!$A$3,"квартал",1,"Счет",23.91,"6 НКРЕ ","Материальные")-M27</f>
        <v>1621.6264243080002</v>
      </c>
      <c r="G27" s="59"/>
      <c r="H27" s="60"/>
      <c r="I27" s="61">
        <f t="shared" si="1"/>
        <v>3724.6416981529596</v>
      </c>
      <c r="J27" s="62">
        <f t="shared" si="1"/>
        <v>1621.6264243080002</v>
      </c>
      <c r="K27" s="58"/>
      <c r="L27" s="63"/>
      <c r="M27" s="57">
        <f>('Затраті под прочие услуги'!H73+'Затраті под прочие услуги'!I73)/1000+'Затраті под прочие услуги'!E73/1000</f>
        <v>20.672135691999998</v>
      </c>
      <c r="N27" s="64">
        <f t="shared" si="2"/>
        <v>3724.6416981529596</v>
      </c>
      <c r="O27" s="65">
        <f t="shared" si="3"/>
        <v>1642.2985600000002</v>
      </c>
    </row>
    <row r="28" spans="1:18" s="34" customFormat="1" ht="15.75">
      <c r="A28" s="54" t="s">
        <v>52</v>
      </c>
      <c r="B28" s="55" t="s">
        <v>53</v>
      </c>
      <c r="C28" s="56"/>
      <c r="D28" s="57"/>
      <c r="E28" s="58">
        <f>'план тариф'!E14*(F28/(F28+F34))</f>
        <v>5296.3963512061619</v>
      </c>
      <c r="F28" s="57">
        <f>GETPIVOTDATA("сумма, тис.грн.",'свод расходов'!$A$3,"квартал",1,"Счет",23.91,"6 НКРЕ ","ЗП")-M28</f>
        <v>5689.3235198226666</v>
      </c>
      <c r="G28" s="59"/>
      <c r="H28" s="60"/>
      <c r="I28" s="61">
        <f t="shared" si="1"/>
        <v>5296.3963512061619</v>
      </c>
      <c r="J28" s="62">
        <f t="shared" si="1"/>
        <v>5689.3235198226666</v>
      </c>
      <c r="K28" s="58"/>
      <c r="L28" s="63"/>
      <c r="M28" s="57">
        <f>'Затраті под прочие услуги'!B73/1000</f>
        <v>183.82970017733331</v>
      </c>
      <c r="N28" s="64">
        <f t="shared" si="2"/>
        <v>5296.3963512061619</v>
      </c>
      <c r="O28" s="65">
        <f t="shared" si="3"/>
        <v>5873.1532200000001</v>
      </c>
    </row>
    <row r="29" spans="1:18" s="34" customFormat="1" ht="15.75">
      <c r="A29" s="54" t="s">
        <v>54</v>
      </c>
      <c r="B29" s="55" t="s">
        <v>55</v>
      </c>
      <c r="C29" s="56"/>
      <c r="D29" s="57"/>
      <c r="E29" s="58">
        <f>'план тариф'!E15*(F29/(F29+F35))</f>
        <v>2323.3486184111407</v>
      </c>
      <c r="F29" s="57">
        <f>GETPIVOTDATA("сумма, тис.грн.",'свод расходов'!$A$3,"квартал",1,"Счет",23.91,"6 НКРЕ ","Налоги на ЗП")-M29</f>
        <v>2069.2913789506665</v>
      </c>
      <c r="G29" s="59"/>
      <c r="H29" s="60"/>
      <c r="I29" s="61">
        <f t="shared" si="1"/>
        <v>2323.3486184111407</v>
      </c>
      <c r="J29" s="62">
        <f t="shared" si="1"/>
        <v>2069.2913789506665</v>
      </c>
      <c r="K29" s="58"/>
      <c r="L29" s="63"/>
      <c r="M29" s="57">
        <f>'Затраті под прочие услуги'!C73/1000</f>
        <v>63.150861049333322</v>
      </c>
      <c r="N29" s="64">
        <f t="shared" si="2"/>
        <v>2323.3486184111407</v>
      </c>
      <c r="O29" s="65">
        <f t="shared" si="3"/>
        <v>2132.4422399999999</v>
      </c>
    </row>
    <row r="30" spans="1:18" s="34" customFormat="1" ht="15.75">
      <c r="A30" s="54" t="s">
        <v>56</v>
      </c>
      <c r="B30" s="55" t="s">
        <v>57</v>
      </c>
      <c r="C30" s="56"/>
      <c r="D30" s="57"/>
      <c r="E30" s="58">
        <f>'план тариф'!E16*(F30/(F30+F36))</f>
        <v>3352.2463061955914</v>
      </c>
      <c r="F30" s="57">
        <f>GETPIVOTDATA("сумма, тис.грн.",'свод расходов'!$A$3,"квартал",1,"Счет",23.91,"6 НКРЕ ","Амортизация")-M30</f>
        <v>7203.4522098333337</v>
      </c>
      <c r="G30" s="66"/>
      <c r="H30" s="60"/>
      <c r="I30" s="61">
        <f t="shared" si="1"/>
        <v>3352.2463061955914</v>
      </c>
      <c r="J30" s="62">
        <f t="shared" si="1"/>
        <v>7203.4522098333337</v>
      </c>
      <c r="K30" s="58"/>
      <c r="L30" s="63"/>
      <c r="M30" s="57">
        <f>'Затраті под прочие услуги'!F73/1000</f>
        <v>10.393840166666669</v>
      </c>
      <c r="N30" s="64">
        <f t="shared" si="2"/>
        <v>3352.2463061955914</v>
      </c>
      <c r="O30" s="65">
        <f t="shared" si="3"/>
        <v>7213.8460500000001</v>
      </c>
    </row>
    <row r="31" spans="1:18" s="34" customFormat="1" ht="15.75">
      <c r="A31" s="54" t="s">
        <v>58</v>
      </c>
      <c r="B31" s="55" t="s">
        <v>59</v>
      </c>
      <c r="C31" s="58"/>
      <c r="D31" s="57"/>
      <c r="E31" s="58">
        <f>'план тариф'!E17*('ф 6НКРЕ'!F31/('ф 6НКРЕ'!F31+'ф 6НКРЕ'!F37))</f>
        <v>547.11358776072166</v>
      </c>
      <c r="F31" s="57">
        <f>GETPIVOTDATA("сумма, тис.грн.",'свод расходов'!$A$3,"квартал",1,"Счет",23.91,"6 НКРЕ ","Прочие")+'Прочие счета'!D25/1000-M31</f>
        <v>447.9929406993333</v>
      </c>
      <c r="G31" s="59"/>
      <c r="H31" s="67"/>
      <c r="I31" s="61">
        <f t="shared" si="1"/>
        <v>547.11358776072166</v>
      </c>
      <c r="J31" s="62">
        <f t="shared" si="1"/>
        <v>447.9929406993333</v>
      </c>
      <c r="K31" s="58"/>
      <c r="L31" s="63"/>
      <c r="M31" s="57">
        <f>'Затраті под прочие услуги'!D73/1000</f>
        <v>20.725929300666664</v>
      </c>
      <c r="N31" s="64">
        <f t="shared" si="2"/>
        <v>547.11358776072166</v>
      </c>
      <c r="O31" s="65">
        <f t="shared" si="3"/>
        <v>468.71886999999998</v>
      </c>
    </row>
    <row r="32" spans="1:18" s="34" customFormat="1" ht="15.75">
      <c r="A32" s="54" t="s">
        <v>60</v>
      </c>
      <c r="B32" s="55" t="s">
        <v>61</v>
      </c>
      <c r="C32" s="61">
        <f t="shared" ref="C32:H32" si="4">SUM(C33,C34,C35,C36,C37)</f>
        <v>0</v>
      </c>
      <c r="D32" s="68">
        <f t="shared" si="4"/>
        <v>0</v>
      </c>
      <c r="E32" s="61">
        <f t="shared" si="4"/>
        <v>3586.5034382734252</v>
      </c>
      <c r="F32" s="68">
        <f t="shared" si="4"/>
        <v>3388.7658499999998</v>
      </c>
      <c r="G32" s="69">
        <f t="shared" si="4"/>
        <v>0</v>
      </c>
      <c r="H32" s="70">
        <f t="shared" si="4"/>
        <v>0</v>
      </c>
      <c r="I32" s="61">
        <f t="shared" si="1"/>
        <v>3586.5034382734252</v>
      </c>
      <c r="J32" s="62">
        <f t="shared" si="1"/>
        <v>3388.7658499999998</v>
      </c>
      <c r="K32" s="64">
        <f>SUM(K33,K34,K35,K36,K37)</f>
        <v>0</v>
      </c>
      <c r="L32" s="65">
        <f>SUM(L33,L34,L35,L36,L37)</f>
        <v>0</v>
      </c>
      <c r="M32" s="68">
        <f>SUM(M33,M34,M35,M36,M37)</f>
        <v>0</v>
      </c>
      <c r="N32" s="64">
        <f t="shared" si="2"/>
        <v>3586.5034382734252</v>
      </c>
      <c r="O32" s="65">
        <f t="shared" si="3"/>
        <v>3388.7658499999998</v>
      </c>
    </row>
    <row r="33" spans="1:250" s="34" customFormat="1" ht="15.75">
      <c r="A33" s="54" t="s">
        <v>62</v>
      </c>
      <c r="B33" s="55" t="s">
        <v>63</v>
      </c>
      <c r="C33" s="56"/>
      <c r="D33" s="57"/>
      <c r="E33" s="58">
        <f>'план тариф'!E7-'ф 6НКРЕ'!E27</f>
        <v>291.60830184704037</v>
      </c>
      <c r="F33" s="57">
        <f>GETPIVOTDATA("сумма, тис.грн.",'свод расходов'!$A$3,"квартал",1,"Счет",92,"6 НКРЕ ","Материальные")</f>
        <v>126.95979000000001</v>
      </c>
      <c r="G33" s="59"/>
      <c r="H33" s="60"/>
      <c r="I33" s="61">
        <f t="shared" si="1"/>
        <v>291.60830184704037</v>
      </c>
      <c r="J33" s="71">
        <f t="shared" si="1"/>
        <v>126.95979000000001</v>
      </c>
      <c r="K33" s="58"/>
      <c r="L33" s="63"/>
      <c r="M33" s="57"/>
      <c r="N33" s="64">
        <f t="shared" si="2"/>
        <v>291.60830184704037</v>
      </c>
      <c r="O33" s="65">
        <f t="shared" si="3"/>
        <v>126.95979000000001</v>
      </c>
    </row>
    <row r="34" spans="1:250" s="34" customFormat="1" ht="15.75">
      <c r="A34" s="54" t="s">
        <v>64</v>
      </c>
      <c r="B34" s="55" t="s">
        <v>65</v>
      </c>
      <c r="C34" s="56"/>
      <c r="D34" s="57"/>
      <c r="E34" s="58">
        <f>'план тариф'!E14-'ф 6НКРЕ'!E28</f>
        <v>2073.7703154605051</v>
      </c>
      <c r="F34" s="57">
        <f>GETPIVOTDATA("сумма, тис.грн.",'свод расходов'!$A$3,"квартал",1,"Счет",92,"6 НКРЕ ","ЗП")</f>
        <v>2227.6184500000004</v>
      </c>
      <c r="G34" s="59"/>
      <c r="H34" s="60"/>
      <c r="I34" s="61">
        <f t="shared" si="1"/>
        <v>2073.7703154605051</v>
      </c>
      <c r="J34" s="71">
        <f t="shared" si="1"/>
        <v>2227.6184500000004</v>
      </c>
      <c r="K34" s="58"/>
      <c r="L34" s="63"/>
      <c r="M34" s="57"/>
      <c r="N34" s="64">
        <f t="shared" si="2"/>
        <v>2073.7703154605051</v>
      </c>
      <c r="O34" s="65">
        <f t="shared" si="3"/>
        <v>2227.6184500000004</v>
      </c>
    </row>
    <row r="35" spans="1:250" s="34" customFormat="1" ht="15.75">
      <c r="A35" s="54" t="s">
        <v>66</v>
      </c>
      <c r="B35" s="55" t="s">
        <v>67</v>
      </c>
      <c r="C35" s="56"/>
      <c r="D35" s="57"/>
      <c r="E35" s="58">
        <f>'план тариф'!E15-'ф 6НКРЕ'!E29</f>
        <v>407.98471492219278</v>
      </c>
      <c r="F35" s="57">
        <f>GETPIVOTDATA("сумма, тис.грн.",'свод расходов'!$A$3,"квартал",1,"Счет",92,"6 НКРЕ ","Налоги на ЗП")</f>
        <v>363.37175000000002</v>
      </c>
      <c r="G35" s="59"/>
      <c r="H35" s="60"/>
      <c r="I35" s="61">
        <f t="shared" si="1"/>
        <v>407.98471492219278</v>
      </c>
      <c r="J35" s="62">
        <f t="shared" si="1"/>
        <v>363.37175000000002</v>
      </c>
      <c r="K35" s="58"/>
      <c r="L35" s="63"/>
      <c r="M35" s="57"/>
      <c r="N35" s="64">
        <f t="shared" si="2"/>
        <v>407.98471492219278</v>
      </c>
      <c r="O35" s="65">
        <f t="shared" si="3"/>
        <v>363.37175000000002</v>
      </c>
    </row>
    <row r="36" spans="1:250" s="73" customFormat="1" ht="15.75">
      <c r="A36" s="54" t="s">
        <v>68</v>
      </c>
      <c r="B36" s="55" t="s">
        <v>69</v>
      </c>
      <c r="C36" s="56"/>
      <c r="D36" s="57"/>
      <c r="E36" s="58">
        <f>'план тариф'!E16-'ф 6НКРЕ'!E30</f>
        <v>3.7536938044086128</v>
      </c>
      <c r="F36" s="57">
        <f>GETPIVOTDATA("сумма, тис.грн.",'свод расходов'!$A$3,"квартал",1,"Счет",92,"6 НКРЕ ","Амортизация")</f>
        <v>8.0661000000000005</v>
      </c>
      <c r="G36" s="59"/>
      <c r="H36" s="60"/>
      <c r="I36" s="61">
        <f t="shared" si="1"/>
        <v>3.7536938044086128</v>
      </c>
      <c r="J36" s="62">
        <f t="shared" si="1"/>
        <v>8.0661000000000005</v>
      </c>
      <c r="K36" s="58"/>
      <c r="L36" s="63"/>
      <c r="M36" s="57"/>
      <c r="N36" s="64">
        <f t="shared" si="2"/>
        <v>3.7536938044086128</v>
      </c>
      <c r="O36" s="65">
        <f t="shared" si="3"/>
        <v>8.0661000000000005</v>
      </c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  <c r="CD36" s="72"/>
      <c r="CE36" s="72"/>
      <c r="CF36" s="72"/>
      <c r="CG36" s="72"/>
      <c r="CH36" s="72"/>
      <c r="CI36" s="72"/>
      <c r="CJ36" s="72"/>
      <c r="CK36" s="72"/>
      <c r="CL36" s="72"/>
      <c r="CM36" s="72"/>
      <c r="CN36" s="72"/>
      <c r="CO36" s="72"/>
      <c r="CP36" s="72"/>
      <c r="CQ36" s="72"/>
      <c r="CR36" s="72"/>
      <c r="CS36" s="72"/>
      <c r="CT36" s="72"/>
      <c r="CU36" s="72"/>
      <c r="CV36" s="72"/>
      <c r="CW36" s="72"/>
      <c r="CX36" s="72"/>
      <c r="CY36" s="72"/>
      <c r="CZ36" s="72"/>
      <c r="DA36" s="72"/>
      <c r="DB36" s="72"/>
      <c r="DC36" s="72"/>
      <c r="DD36" s="72"/>
      <c r="DE36" s="72"/>
      <c r="DF36" s="72"/>
      <c r="DG36" s="72"/>
      <c r="DH36" s="72"/>
      <c r="DI36" s="72"/>
      <c r="DJ36" s="72"/>
      <c r="DK36" s="72"/>
      <c r="DL36" s="72"/>
      <c r="DM36" s="72"/>
      <c r="DN36" s="72"/>
      <c r="DO36" s="72"/>
      <c r="DP36" s="72"/>
      <c r="DQ36" s="72"/>
      <c r="DR36" s="72"/>
      <c r="DS36" s="72"/>
      <c r="DT36" s="72"/>
      <c r="DU36" s="72"/>
      <c r="DV36" s="72"/>
      <c r="DW36" s="72"/>
      <c r="DX36" s="72"/>
      <c r="DY36" s="72"/>
      <c r="DZ36" s="72"/>
      <c r="EA36" s="72"/>
      <c r="EB36" s="72"/>
      <c r="EC36" s="72"/>
      <c r="ED36" s="72"/>
      <c r="EE36" s="72"/>
      <c r="EF36" s="72"/>
      <c r="EG36" s="72"/>
      <c r="EH36" s="72"/>
      <c r="EI36" s="72"/>
      <c r="EJ36" s="72"/>
      <c r="EK36" s="72"/>
      <c r="EL36" s="72"/>
      <c r="EM36" s="72"/>
      <c r="EN36" s="72"/>
      <c r="EO36" s="72"/>
      <c r="EP36" s="72"/>
      <c r="EQ36" s="72"/>
      <c r="ER36" s="72"/>
      <c r="ES36" s="72"/>
      <c r="ET36" s="72"/>
      <c r="EU36" s="72"/>
      <c r="EV36" s="72"/>
      <c r="EW36" s="72"/>
      <c r="EX36" s="72"/>
      <c r="EY36" s="72"/>
      <c r="EZ36" s="72"/>
      <c r="FA36" s="72"/>
      <c r="FB36" s="72"/>
      <c r="FC36" s="72"/>
      <c r="FD36" s="72"/>
      <c r="FE36" s="72"/>
      <c r="FF36" s="72"/>
      <c r="FG36" s="72"/>
      <c r="FH36" s="72"/>
      <c r="FI36" s="72"/>
      <c r="FJ36" s="72"/>
      <c r="FK36" s="72"/>
      <c r="FL36" s="72"/>
      <c r="FM36" s="72"/>
      <c r="FN36" s="72"/>
      <c r="FO36" s="72"/>
      <c r="FP36" s="72"/>
      <c r="FQ36" s="72"/>
      <c r="FR36" s="72"/>
      <c r="FS36" s="72"/>
      <c r="FT36" s="72"/>
      <c r="FU36" s="72"/>
      <c r="FV36" s="72"/>
      <c r="FW36" s="72"/>
      <c r="FX36" s="72"/>
      <c r="FY36" s="72"/>
      <c r="FZ36" s="72"/>
      <c r="GA36" s="72"/>
      <c r="GB36" s="72"/>
      <c r="GC36" s="72"/>
      <c r="GD36" s="72"/>
      <c r="GE36" s="72"/>
      <c r="GF36" s="72"/>
      <c r="GG36" s="72"/>
      <c r="GH36" s="72"/>
      <c r="GI36" s="72"/>
      <c r="GJ36" s="72"/>
      <c r="GK36" s="72"/>
      <c r="GL36" s="72"/>
      <c r="GM36" s="72"/>
      <c r="GN36" s="72"/>
      <c r="GO36" s="72"/>
      <c r="GP36" s="72"/>
      <c r="GQ36" s="72"/>
      <c r="GR36" s="72"/>
      <c r="GS36" s="72"/>
      <c r="GT36" s="72"/>
      <c r="GU36" s="72"/>
      <c r="GV36" s="72"/>
      <c r="GW36" s="72"/>
      <c r="GX36" s="72"/>
      <c r="GY36" s="72"/>
      <c r="GZ36" s="72"/>
      <c r="HA36" s="72"/>
      <c r="HB36" s="72"/>
      <c r="HC36" s="72"/>
      <c r="HD36" s="72"/>
      <c r="HE36" s="72"/>
      <c r="HF36" s="72"/>
      <c r="HG36" s="72"/>
      <c r="HH36" s="72"/>
      <c r="HI36" s="72"/>
      <c r="HJ36" s="72"/>
      <c r="HK36" s="72"/>
      <c r="HL36" s="72"/>
      <c r="HM36" s="72"/>
      <c r="HN36" s="72"/>
      <c r="HO36" s="72"/>
      <c r="HP36" s="72"/>
      <c r="HQ36" s="72"/>
      <c r="HR36" s="72"/>
      <c r="HS36" s="72"/>
      <c r="HT36" s="72"/>
      <c r="HU36" s="72"/>
      <c r="HV36" s="72"/>
      <c r="HW36" s="72"/>
      <c r="HX36" s="72"/>
      <c r="HY36" s="72"/>
      <c r="HZ36" s="72"/>
      <c r="IA36" s="72"/>
      <c r="IB36" s="72"/>
      <c r="IC36" s="72"/>
      <c r="ID36" s="72"/>
      <c r="IE36" s="72"/>
      <c r="IF36" s="72"/>
      <c r="IG36" s="72"/>
      <c r="IH36" s="72"/>
      <c r="II36" s="72"/>
      <c r="IJ36" s="72"/>
      <c r="IK36" s="72"/>
      <c r="IL36" s="72"/>
      <c r="IM36" s="72"/>
      <c r="IN36" s="72"/>
      <c r="IO36" s="72"/>
      <c r="IP36" s="72"/>
    </row>
    <row r="37" spans="1:250" s="34" customFormat="1" ht="15.75">
      <c r="A37" s="54" t="s">
        <v>70</v>
      </c>
      <c r="B37" s="55" t="s">
        <v>71</v>
      </c>
      <c r="C37" s="58"/>
      <c r="D37" s="57"/>
      <c r="E37" s="58">
        <f>'план тариф'!E17-'ф 6НКРЕ'!E31</f>
        <v>809.38641223927834</v>
      </c>
      <c r="F37" s="57">
        <f>GETPIVOTDATA("сумма, тис.грн.",'свод расходов'!$A$3,"квартал",1,"Счет",92,"6 НКРЕ ","Прочие")</f>
        <v>662.74975999999992</v>
      </c>
      <c r="G37" s="59"/>
      <c r="H37" s="67"/>
      <c r="I37" s="61">
        <f t="shared" si="1"/>
        <v>809.38641223927834</v>
      </c>
      <c r="J37" s="62">
        <f t="shared" si="1"/>
        <v>662.74975999999992</v>
      </c>
      <c r="K37" s="58"/>
      <c r="L37" s="63"/>
      <c r="M37" s="57"/>
      <c r="N37" s="64">
        <f t="shared" si="2"/>
        <v>809.38641223927834</v>
      </c>
      <c r="O37" s="65">
        <f t="shared" si="3"/>
        <v>662.74975999999992</v>
      </c>
    </row>
    <row r="38" spans="1:250" s="72" customFormat="1" ht="15.75">
      <c r="A38" s="54" t="s">
        <v>72</v>
      </c>
      <c r="B38" s="55" t="s">
        <v>73</v>
      </c>
      <c r="C38" s="61">
        <f t="shared" ref="C38:H38" si="5">SUM(C39,C40,C41,C42,C43)</f>
        <v>0</v>
      </c>
      <c r="D38" s="68">
        <f t="shared" si="5"/>
        <v>0</v>
      </c>
      <c r="E38" s="61">
        <f t="shared" si="5"/>
        <v>0</v>
      </c>
      <c r="F38" s="68">
        <f t="shared" si="5"/>
        <v>0</v>
      </c>
      <c r="G38" s="69">
        <f t="shared" si="5"/>
        <v>0</v>
      </c>
      <c r="H38" s="70">
        <f t="shared" si="5"/>
        <v>0</v>
      </c>
      <c r="I38" s="61">
        <f t="shared" si="1"/>
        <v>0</v>
      </c>
      <c r="J38" s="62">
        <f t="shared" si="1"/>
        <v>0</v>
      </c>
      <c r="K38" s="64">
        <f>SUM(K39,K40,K41,K42,K43)</f>
        <v>0</v>
      </c>
      <c r="L38" s="65">
        <f>SUM(L39,L40,L41,L42,L43)</f>
        <v>0</v>
      </c>
      <c r="M38" s="68">
        <f>SUM(M39,M40,M41,M42,M43)</f>
        <v>0</v>
      </c>
      <c r="N38" s="64">
        <f t="shared" si="2"/>
        <v>0</v>
      </c>
      <c r="O38" s="65">
        <f t="shared" si="3"/>
        <v>0</v>
      </c>
      <c r="P38" s="74"/>
      <c r="Q38" s="74"/>
      <c r="R38" s="74"/>
      <c r="S38" s="74"/>
      <c r="T38" s="75"/>
      <c r="U38" s="75"/>
      <c r="V38" s="74"/>
      <c r="W38" s="74"/>
      <c r="X38" s="74"/>
      <c r="Y38" s="74"/>
      <c r="Z38" s="75"/>
      <c r="AA38" s="75"/>
      <c r="AB38" s="76"/>
      <c r="AC38" s="77"/>
      <c r="AD38" s="74"/>
      <c r="AE38" s="74"/>
      <c r="AF38" s="74"/>
      <c r="AG38" s="74"/>
      <c r="AH38" s="74"/>
      <c r="AI38" s="74"/>
      <c r="AJ38" s="75"/>
      <c r="AK38" s="75"/>
      <c r="AL38" s="74"/>
      <c r="AM38" s="74"/>
      <c r="AN38" s="74"/>
      <c r="AO38" s="74"/>
      <c r="AP38" s="75"/>
      <c r="AQ38" s="75"/>
      <c r="AR38" s="76"/>
      <c r="AS38" s="77"/>
      <c r="AT38" s="74"/>
      <c r="AU38" s="74"/>
      <c r="AV38" s="74"/>
      <c r="AW38" s="74"/>
      <c r="AX38" s="74"/>
      <c r="AY38" s="74"/>
      <c r="AZ38" s="75"/>
      <c r="BA38" s="75"/>
      <c r="BB38" s="74"/>
      <c r="BC38" s="74"/>
      <c r="BD38" s="74"/>
      <c r="BE38" s="74"/>
      <c r="BF38" s="75"/>
      <c r="BG38" s="75"/>
      <c r="BH38" s="76"/>
      <c r="BI38" s="77"/>
      <c r="BJ38" s="74"/>
      <c r="BK38" s="74"/>
      <c r="BL38" s="74"/>
      <c r="BM38" s="74"/>
      <c r="BN38" s="74"/>
      <c r="BO38" s="74"/>
      <c r="BP38" s="75"/>
      <c r="BQ38" s="75"/>
      <c r="BR38" s="74"/>
      <c r="BS38" s="74"/>
      <c r="BT38" s="74"/>
      <c r="BU38" s="74"/>
      <c r="BV38" s="75"/>
      <c r="BW38" s="75"/>
      <c r="BX38" s="76"/>
      <c r="BY38" s="77"/>
      <c r="BZ38" s="74"/>
      <c r="CA38" s="74"/>
      <c r="CB38" s="74"/>
      <c r="CC38" s="74"/>
      <c r="CD38" s="74"/>
      <c r="CE38" s="74"/>
      <c r="CF38" s="75"/>
      <c r="CG38" s="75"/>
      <c r="CH38" s="74"/>
      <c r="CI38" s="74"/>
      <c r="CJ38" s="74"/>
      <c r="CK38" s="74"/>
      <c r="CL38" s="75"/>
      <c r="CM38" s="75"/>
      <c r="CN38" s="76"/>
      <c r="CO38" s="77"/>
      <c r="CP38" s="74"/>
      <c r="CQ38" s="74"/>
      <c r="CR38" s="74"/>
      <c r="CS38" s="74"/>
      <c r="CT38" s="74"/>
      <c r="CU38" s="74"/>
      <c r="CV38" s="75"/>
      <c r="CW38" s="75"/>
      <c r="CX38" s="74"/>
      <c r="CY38" s="74"/>
      <c r="CZ38" s="74"/>
      <c r="DA38" s="74"/>
      <c r="DB38" s="75"/>
      <c r="DC38" s="75"/>
      <c r="DD38" s="76"/>
      <c r="DE38" s="77"/>
      <c r="DF38" s="74"/>
      <c r="DG38" s="74"/>
      <c r="DH38" s="74"/>
      <c r="DI38" s="74"/>
      <c r="DJ38" s="74"/>
      <c r="DK38" s="74"/>
      <c r="DL38" s="75"/>
      <c r="DM38" s="75"/>
      <c r="DN38" s="74"/>
      <c r="DO38" s="74"/>
      <c r="DP38" s="74"/>
      <c r="DQ38" s="74"/>
      <c r="DR38" s="75"/>
      <c r="DS38" s="75"/>
      <c r="DT38" s="76"/>
      <c r="DU38" s="77"/>
      <c r="DV38" s="74"/>
      <c r="DW38" s="74"/>
      <c r="DX38" s="74"/>
      <c r="DY38" s="74"/>
      <c r="DZ38" s="74"/>
      <c r="EA38" s="74"/>
      <c r="EB38" s="75"/>
      <c r="EC38" s="75"/>
      <c r="ED38" s="74"/>
      <c r="EE38" s="74"/>
      <c r="EF38" s="74"/>
      <c r="EG38" s="74"/>
      <c r="EH38" s="75"/>
      <c r="EI38" s="75"/>
      <c r="EJ38" s="76"/>
      <c r="EK38" s="77"/>
      <c r="EL38" s="74"/>
      <c r="EM38" s="74"/>
      <c r="EN38" s="74"/>
      <c r="EO38" s="74"/>
      <c r="EP38" s="74"/>
      <c r="EQ38" s="74"/>
      <c r="ER38" s="75"/>
      <c r="ES38" s="75"/>
      <c r="ET38" s="74"/>
      <c r="EU38" s="74"/>
      <c r="EV38" s="74"/>
      <c r="EW38" s="74"/>
      <c r="EX38" s="75"/>
      <c r="EY38" s="75"/>
      <c r="EZ38" s="76"/>
      <c r="FA38" s="77"/>
      <c r="FB38" s="74"/>
      <c r="FC38" s="74"/>
      <c r="FD38" s="74"/>
      <c r="FE38" s="74"/>
      <c r="FF38" s="74"/>
      <c r="FG38" s="74"/>
      <c r="FH38" s="75"/>
      <c r="FI38" s="75"/>
      <c r="FJ38" s="74"/>
      <c r="FK38" s="74"/>
      <c r="FL38" s="74"/>
      <c r="FM38" s="74"/>
      <c r="FN38" s="75"/>
      <c r="FO38" s="75"/>
      <c r="FP38" s="76"/>
      <c r="FQ38" s="77"/>
      <c r="FR38" s="74"/>
      <c r="FS38" s="74"/>
      <c r="FT38" s="74"/>
      <c r="FU38" s="74"/>
      <c r="FV38" s="74"/>
      <c r="FW38" s="74"/>
      <c r="FX38" s="75"/>
      <c r="FY38" s="75"/>
      <c r="FZ38" s="74"/>
      <c r="GA38" s="74"/>
      <c r="GB38" s="74"/>
      <c r="GC38" s="74"/>
      <c r="GD38" s="75"/>
      <c r="GE38" s="75"/>
      <c r="GF38" s="76"/>
      <c r="GG38" s="77"/>
      <c r="GH38" s="74"/>
      <c r="GI38" s="74"/>
      <c r="GJ38" s="74"/>
      <c r="GK38" s="74"/>
      <c r="GL38" s="74"/>
      <c r="GM38" s="74"/>
      <c r="GN38" s="75"/>
      <c r="GO38" s="75"/>
      <c r="GP38" s="74"/>
      <c r="GQ38" s="74"/>
      <c r="GR38" s="74"/>
      <c r="GS38" s="74"/>
      <c r="GT38" s="75"/>
      <c r="GU38" s="75"/>
      <c r="GV38" s="76"/>
      <c r="GW38" s="77"/>
      <c r="GX38" s="74"/>
      <c r="GY38" s="74"/>
      <c r="GZ38" s="74"/>
      <c r="HA38" s="74"/>
      <c r="HB38" s="74"/>
      <c r="HC38" s="74"/>
      <c r="HD38" s="75"/>
      <c r="HE38" s="75"/>
      <c r="HF38" s="74"/>
      <c r="HG38" s="74"/>
      <c r="HH38" s="74"/>
      <c r="HI38" s="74"/>
      <c r="HJ38" s="75"/>
      <c r="HK38" s="75"/>
      <c r="HL38" s="76"/>
      <c r="HM38" s="77"/>
      <c r="HN38" s="74"/>
      <c r="HO38" s="74"/>
      <c r="HP38" s="74"/>
      <c r="HQ38" s="74"/>
      <c r="HR38" s="74"/>
      <c r="HS38" s="74"/>
      <c r="HT38" s="75"/>
      <c r="HU38" s="75"/>
      <c r="HV38" s="74"/>
      <c r="HW38" s="74"/>
      <c r="HX38" s="74"/>
      <c r="HY38" s="74"/>
      <c r="HZ38" s="75"/>
      <c r="IA38" s="75"/>
      <c r="IB38" s="76"/>
      <c r="IC38" s="77"/>
      <c r="ID38" s="74"/>
      <c r="IE38" s="74"/>
      <c r="IF38" s="74"/>
      <c r="IG38" s="74"/>
      <c r="IH38" s="74"/>
      <c r="II38" s="74"/>
      <c r="IJ38" s="75"/>
      <c r="IK38" s="75"/>
      <c r="IL38" s="74"/>
      <c r="IM38" s="74"/>
      <c r="IN38" s="74"/>
      <c r="IO38" s="74"/>
      <c r="IP38" s="75"/>
    </row>
    <row r="39" spans="1:250" s="34" customFormat="1" ht="15.75">
      <c r="A39" s="54" t="s">
        <v>62</v>
      </c>
      <c r="B39" s="55" t="s">
        <v>74</v>
      </c>
      <c r="C39" s="56"/>
      <c r="D39" s="78"/>
      <c r="E39" s="79"/>
      <c r="F39" s="78"/>
      <c r="G39" s="80"/>
      <c r="H39" s="81"/>
      <c r="I39" s="61">
        <f t="shared" si="1"/>
        <v>0</v>
      </c>
      <c r="J39" s="62">
        <f t="shared" si="1"/>
        <v>0</v>
      </c>
      <c r="K39" s="58"/>
      <c r="L39" s="63"/>
      <c r="M39" s="78"/>
      <c r="N39" s="64">
        <f t="shared" si="2"/>
        <v>0</v>
      </c>
      <c r="O39" s="65">
        <f t="shared" si="3"/>
        <v>0</v>
      </c>
    </row>
    <row r="40" spans="1:250" s="72" customFormat="1" ht="15.75">
      <c r="A40" s="54" t="s">
        <v>64</v>
      </c>
      <c r="B40" s="55" t="s">
        <v>75</v>
      </c>
      <c r="C40" s="56"/>
      <c r="D40" s="57"/>
      <c r="E40" s="58"/>
      <c r="F40" s="57"/>
      <c r="G40" s="59"/>
      <c r="H40" s="60"/>
      <c r="I40" s="61">
        <f t="shared" si="1"/>
        <v>0</v>
      </c>
      <c r="J40" s="62">
        <f t="shared" si="1"/>
        <v>0</v>
      </c>
      <c r="K40" s="58"/>
      <c r="L40" s="63"/>
      <c r="M40" s="57"/>
      <c r="N40" s="64">
        <f t="shared" si="2"/>
        <v>0</v>
      </c>
      <c r="O40" s="65">
        <f t="shared" si="3"/>
        <v>0</v>
      </c>
    </row>
    <row r="41" spans="1:250" s="34" customFormat="1" ht="15.75">
      <c r="A41" s="54" t="s">
        <v>66</v>
      </c>
      <c r="B41" s="55" t="s">
        <v>76</v>
      </c>
      <c r="C41" s="56"/>
      <c r="D41" s="57"/>
      <c r="E41" s="58"/>
      <c r="F41" s="57"/>
      <c r="G41" s="59"/>
      <c r="H41" s="60"/>
      <c r="I41" s="61">
        <f t="shared" si="1"/>
        <v>0</v>
      </c>
      <c r="J41" s="62">
        <f t="shared" si="1"/>
        <v>0</v>
      </c>
      <c r="K41" s="58"/>
      <c r="L41" s="63"/>
      <c r="M41" s="57"/>
      <c r="N41" s="64">
        <f t="shared" si="2"/>
        <v>0</v>
      </c>
      <c r="O41" s="65">
        <f t="shared" si="3"/>
        <v>0</v>
      </c>
    </row>
    <row r="42" spans="1:250" s="34" customFormat="1" ht="15.75">
      <c r="A42" s="54" t="s">
        <v>68</v>
      </c>
      <c r="B42" s="55" t="s">
        <v>77</v>
      </c>
      <c r="C42" s="56"/>
      <c r="D42" s="57"/>
      <c r="E42" s="58"/>
      <c r="F42" s="57"/>
      <c r="G42" s="59"/>
      <c r="H42" s="60"/>
      <c r="I42" s="61">
        <f t="shared" si="1"/>
        <v>0</v>
      </c>
      <c r="J42" s="62">
        <f t="shared" si="1"/>
        <v>0</v>
      </c>
      <c r="K42" s="58"/>
      <c r="L42" s="63"/>
      <c r="M42" s="57"/>
      <c r="N42" s="64">
        <f t="shared" si="2"/>
        <v>0</v>
      </c>
      <c r="O42" s="65">
        <f t="shared" si="3"/>
        <v>0</v>
      </c>
    </row>
    <row r="43" spans="1:250" s="34" customFormat="1" ht="15.75">
      <c r="A43" s="54" t="s">
        <v>78</v>
      </c>
      <c r="B43" s="55" t="s">
        <v>79</v>
      </c>
      <c r="C43" s="56"/>
      <c r="D43" s="57"/>
      <c r="E43" s="58"/>
      <c r="F43" s="57"/>
      <c r="G43" s="59"/>
      <c r="H43" s="60"/>
      <c r="I43" s="61">
        <f t="shared" si="1"/>
        <v>0</v>
      </c>
      <c r="J43" s="62">
        <f t="shared" si="1"/>
        <v>0</v>
      </c>
      <c r="K43" s="58"/>
      <c r="L43" s="63"/>
      <c r="M43" s="57"/>
      <c r="N43" s="64">
        <f t="shared" si="2"/>
        <v>0</v>
      </c>
      <c r="O43" s="65">
        <f t="shared" si="3"/>
        <v>0</v>
      </c>
    </row>
    <row r="44" spans="1:250" s="34" customFormat="1" ht="16.5" thickBot="1">
      <c r="A44" s="82" t="s">
        <v>80</v>
      </c>
      <c r="B44" s="83" t="s">
        <v>81</v>
      </c>
      <c r="C44" s="84"/>
      <c r="D44" s="85"/>
      <c r="E44" s="84"/>
      <c r="F44" s="85"/>
      <c r="G44" s="86"/>
      <c r="H44" s="87"/>
      <c r="I44" s="88">
        <f t="shared" si="1"/>
        <v>0</v>
      </c>
      <c r="J44" s="89">
        <f t="shared" si="1"/>
        <v>0</v>
      </c>
      <c r="K44" s="84"/>
      <c r="L44" s="90"/>
      <c r="M44" s="85">
        <f>'Прочие счета'!D27/1000-'Прочие счета'!D25/1000</f>
        <v>61.95062999999999</v>
      </c>
      <c r="N44" s="88">
        <f t="shared" si="2"/>
        <v>0</v>
      </c>
      <c r="O44" s="91">
        <f t="shared" si="3"/>
        <v>61.95062999999999</v>
      </c>
    </row>
    <row r="45" spans="1:250" s="34" customFormat="1" ht="16.5" thickBot="1">
      <c r="A45" s="92"/>
      <c r="B45" s="93"/>
      <c r="C45" s="80"/>
      <c r="D45" s="80"/>
      <c r="E45" s="80"/>
      <c r="F45" s="80"/>
      <c r="G45" s="80"/>
      <c r="H45" s="80"/>
      <c r="I45" s="530"/>
      <c r="J45" s="530"/>
      <c r="K45" s="80"/>
      <c r="L45" s="80"/>
      <c r="M45" s="531" t="s">
        <v>13</v>
      </c>
      <c r="N45" s="531"/>
      <c r="O45" s="531"/>
    </row>
    <row r="46" spans="1:250" s="45" customFormat="1" ht="16.5" thickBot="1">
      <c r="A46" s="40" t="s">
        <v>46</v>
      </c>
      <c r="B46" s="40" t="s">
        <v>47</v>
      </c>
      <c r="C46" s="40">
        <v>1</v>
      </c>
      <c r="D46" s="41">
        <v>2</v>
      </c>
      <c r="E46" s="42">
        <v>3</v>
      </c>
      <c r="F46" s="43">
        <v>4</v>
      </c>
      <c r="G46" s="40">
        <v>5</v>
      </c>
      <c r="H46" s="41">
        <v>6</v>
      </c>
      <c r="I46" s="42">
        <v>7</v>
      </c>
      <c r="J46" s="43">
        <v>8</v>
      </c>
      <c r="K46" s="40">
        <v>9</v>
      </c>
      <c r="L46" s="41">
        <v>10</v>
      </c>
      <c r="M46" s="44">
        <v>11</v>
      </c>
      <c r="N46" s="42">
        <v>12</v>
      </c>
      <c r="O46" s="41">
        <v>13</v>
      </c>
    </row>
    <row r="47" spans="1:250" s="34" customFormat="1" ht="15.75">
      <c r="A47" s="46" t="s">
        <v>82</v>
      </c>
      <c r="B47" s="94">
        <v>200</v>
      </c>
      <c r="C47" s="48">
        <f t="shared" ref="C47:H47" si="6">SUM(C26,C32,C38,C44)</f>
        <v>0</v>
      </c>
      <c r="D47" s="49">
        <f t="shared" si="6"/>
        <v>0</v>
      </c>
      <c r="E47" s="50">
        <f t="shared" si="6"/>
        <v>18830.25</v>
      </c>
      <c r="F47" s="51">
        <f t="shared" si="6"/>
        <v>20420.452323613998</v>
      </c>
      <c r="G47" s="48">
        <f t="shared" si="6"/>
        <v>0</v>
      </c>
      <c r="H47" s="49">
        <f t="shared" si="6"/>
        <v>0</v>
      </c>
      <c r="I47" s="50">
        <f t="shared" ref="I47:J70" si="7">SUM(C47,E47,G47)</f>
        <v>18830.25</v>
      </c>
      <c r="J47" s="52">
        <f t="shared" si="7"/>
        <v>20420.452323613998</v>
      </c>
      <c r="K47" s="48">
        <f>SUM(K26,K32,K38,K44)</f>
        <v>0</v>
      </c>
      <c r="L47" s="49">
        <f>SUM(L26,L32,L38,L44)</f>
        <v>0</v>
      </c>
      <c r="M47" s="95">
        <f>SUM(M26,M32,M38,M44)</f>
        <v>360.72309638600001</v>
      </c>
      <c r="N47" s="50">
        <f>SUM(N26,N32,N38,N44)</f>
        <v>18830.25</v>
      </c>
      <c r="O47" s="53">
        <f>SUM(O26,O32,O38,O44)</f>
        <v>20781.175419999996</v>
      </c>
    </row>
    <row r="48" spans="1:250" s="99" customFormat="1" ht="15.75">
      <c r="A48" s="54" t="s">
        <v>83</v>
      </c>
      <c r="B48" s="96">
        <v>205</v>
      </c>
      <c r="C48" s="61">
        <f t="shared" ref="C48:H48" si="8">SUM(C27,C33,C39)</f>
        <v>0</v>
      </c>
      <c r="D48" s="68">
        <f t="shared" si="8"/>
        <v>0</v>
      </c>
      <c r="E48" s="69">
        <f t="shared" si="8"/>
        <v>4016.25</v>
      </c>
      <c r="F48" s="70">
        <f t="shared" si="8"/>
        <v>1748.5862143080003</v>
      </c>
      <c r="G48" s="61">
        <f t="shared" si="8"/>
        <v>0</v>
      </c>
      <c r="H48" s="68">
        <f t="shared" si="8"/>
        <v>0</v>
      </c>
      <c r="I48" s="69">
        <f t="shared" si="7"/>
        <v>4016.25</v>
      </c>
      <c r="J48" s="62">
        <f t="shared" si="7"/>
        <v>1748.5862143080003</v>
      </c>
      <c r="K48" s="61">
        <f>SUM(K27,K33,K39)</f>
        <v>0</v>
      </c>
      <c r="L48" s="68">
        <f>SUM(L27,L33,L39)</f>
        <v>0</v>
      </c>
      <c r="M48" s="97">
        <f>SUM(M27,M33,M39)</f>
        <v>20.672135691999998</v>
      </c>
      <c r="N48" s="98">
        <f t="shared" ref="N48:N70" si="9">SUM(I48,K48)</f>
        <v>4016.25</v>
      </c>
      <c r="O48" s="65">
        <f t="shared" ref="O48:O67" si="10">SUM(J48,L48,M48)</f>
        <v>1769.2583500000003</v>
      </c>
    </row>
    <row r="49" spans="1:17" s="34" customFormat="1" ht="15.75">
      <c r="A49" s="100" t="s">
        <v>84</v>
      </c>
      <c r="B49" s="96">
        <v>210</v>
      </c>
      <c r="C49" s="56"/>
      <c r="D49" s="57"/>
      <c r="E49" s="59">
        <f>'план тариф'!E8</f>
        <v>156.5</v>
      </c>
      <c r="F49" s="67">
        <f>GETPIVOTDATA("сумма, тис.грн.",'свод расходов'!$A$3,"квартал",1,"6 НКРЕ ","Материальные","Расшифровки","Производственные услуги")-M49</f>
        <v>46.151359999999997</v>
      </c>
      <c r="G49" s="66"/>
      <c r="H49" s="63"/>
      <c r="I49" s="69">
        <f t="shared" si="7"/>
        <v>156.5</v>
      </c>
      <c r="J49" s="62">
        <f t="shared" si="7"/>
        <v>46.151359999999997</v>
      </c>
      <c r="K49" s="56"/>
      <c r="L49" s="57"/>
      <c r="M49" s="101">
        <f>('Затраті под прочие услуги'!H73+'Затраті под прочие услуги'!I73)/1000</f>
        <v>14.48631</v>
      </c>
      <c r="N49" s="98">
        <f t="shared" si="9"/>
        <v>156.5</v>
      </c>
      <c r="O49" s="65">
        <f t="shared" si="10"/>
        <v>60.63767</v>
      </c>
    </row>
    <row r="50" spans="1:17" s="72" customFormat="1" ht="15.75">
      <c r="A50" s="100" t="s">
        <v>85</v>
      </c>
      <c r="B50" s="96">
        <v>215</v>
      </c>
      <c r="C50" s="56"/>
      <c r="D50" s="57"/>
      <c r="E50" s="59">
        <f>'план тариф'!E9</f>
        <v>199</v>
      </c>
      <c r="F50" s="67">
        <f>GETPIVOTDATA("сумма, тис.грн.",'свод расходов'!$A$3,"квартал",1,"6 НКРЕ ","Материальные","Расшифровки","Сырье и материалы")</f>
        <v>67.670480000000012</v>
      </c>
      <c r="G50" s="66"/>
      <c r="H50" s="63"/>
      <c r="I50" s="69">
        <f t="shared" si="7"/>
        <v>199</v>
      </c>
      <c r="J50" s="62">
        <f t="shared" si="7"/>
        <v>67.670480000000012</v>
      </c>
      <c r="K50" s="56"/>
      <c r="L50" s="57"/>
      <c r="M50" s="101"/>
      <c r="N50" s="98">
        <f t="shared" si="9"/>
        <v>199</v>
      </c>
      <c r="O50" s="65">
        <f t="shared" si="10"/>
        <v>67.670480000000012</v>
      </c>
    </row>
    <row r="51" spans="1:17" s="72" customFormat="1" ht="15.75">
      <c r="A51" s="100" t="s">
        <v>86</v>
      </c>
      <c r="B51" s="96">
        <v>217</v>
      </c>
      <c r="C51" s="56"/>
      <c r="D51" s="57"/>
      <c r="E51" s="59"/>
      <c r="F51" s="67"/>
      <c r="G51" s="66"/>
      <c r="H51" s="63"/>
      <c r="I51" s="69">
        <f t="shared" si="7"/>
        <v>0</v>
      </c>
      <c r="J51" s="62">
        <f t="shared" si="7"/>
        <v>0</v>
      </c>
      <c r="K51" s="56"/>
      <c r="L51" s="57"/>
      <c r="M51" s="101"/>
      <c r="N51" s="98">
        <f t="shared" si="9"/>
        <v>0</v>
      </c>
      <c r="O51" s="65">
        <f t="shared" si="10"/>
        <v>0</v>
      </c>
    </row>
    <row r="52" spans="1:17" s="72" customFormat="1" ht="15.75">
      <c r="A52" s="100" t="s">
        <v>87</v>
      </c>
      <c r="B52" s="96">
        <v>220</v>
      </c>
      <c r="C52" s="56"/>
      <c r="D52" s="57"/>
      <c r="E52" s="59">
        <f>'план тариф'!E11</f>
        <v>345.25</v>
      </c>
      <c r="F52" s="67">
        <f>GETPIVOTDATA("сумма, тис.грн.",'свод расходов'!$A$3,"квартал",1,"6 НКРЕ ","Материальные","Расшифровки","ГСМ")-M52</f>
        <v>431.73488430800001</v>
      </c>
      <c r="G52" s="66"/>
      <c r="H52" s="63"/>
      <c r="I52" s="69">
        <f t="shared" si="7"/>
        <v>345.25</v>
      </c>
      <c r="J52" s="62">
        <f t="shared" si="7"/>
        <v>431.73488430800001</v>
      </c>
      <c r="K52" s="56"/>
      <c r="L52" s="57"/>
      <c r="M52" s="101">
        <f>'Затраті под прочие услуги'!E73/1000</f>
        <v>6.1858256919999972</v>
      </c>
      <c r="N52" s="98">
        <f t="shared" si="9"/>
        <v>345.25</v>
      </c>
      <c r="O52" s="65">
        <f t="shared" si="10"/>
        <v>437.92070999999999</v>
      </c>
    </row>
    <row r="53" spans="1:17" s="72" customFormat="1" ht="15.75">
      <c r="A53" s="100" t="s">
        <v>88</v>
      </c>
      <c r="B53" s="96">
        <v>225</v>
      </c>
      <c r="C53" s="56"/>
      <c r="D53" s="57"/>
      <c r="E53" s="59"/>
      <c r="F53" s="67"/>
      <c r="G53" s="66"/>
      <c r="H53" s="63"/>
      <c r="I53" s="69">
        <f t="shared" si="7"/>
        <v>0</v>
      </c>
      <c r="J53" s="62">
        <f t="shared" si="7"/>
        <v>0</v>
      </c>
      <c r="K53" s="56"/>
      <c r="L53" s="57"/>
      <c r="M53" s="101"/>
      <c r="N53" s="98">
        <f t="shared" si="9"/>
        <v>0</v>
      </c>
      <c r="O53" s="65">
        <f t="shared" si="10"/>
        <v>0</v>
      </c>
    </row>
    <row r="54" spans="1:17" s="34" customFormat="1" ht="15.75">
      <c r="A54" s="100" t="s">
        <v>89</v>
      </c>
      <c r="B54" s="96">
        <v>230</v>
      </c>
      <c r="C54" s="58"/>
      <c r="D54" s="57"/>
      <c r="E54" s="59">
        <f>'план тариф'!E12</f>
        <v>3071</v>
      </c>
      <c r="F54" s="67">
        <f>GETPIVOTDATA("сумма, тис.грн.",'свод расходов'!$A$3,"квартал",1,"6 НКРЕ ","Материальные","Расшифровки","Ремонт")</f>
        <v>873.50354000000016</v>
      </c>
      <c r="G54" s="66"/>
      <c r="H54" s="63"/>
      <c r="I54" s="98">
        <f t="shared" si="7"/>
        <v>3071</v>
      </c>
      <c r="J54" s="71">
        <f t="shared" si="7"/>
        <v>873.50354000000016</v>
      </c>
      <c r="K54" s="58"/>
      <c r="L54" s="57"/>
      <c r="M54" s="102"/>
      <c r="N54" s="98">
        <f t="shared" si="9"/>
        <v>3071</v>
      </c>
      <c r="O54" s="65">
        <f t="shared" si="10"/>
        <v>873.50354000000016</v>
      </c>
    </row>
    <row r="55" spans="1:17" s="34" customFormat="1" ht="15.75">
      <c r="A55" s="103" t="s">
        <v>90</v>
      </c>
      <c r="B55" s="96">
        <v>235</v>
      </c>
      <c r="C55" s="58"/>
      <c r="D55" s="57"/>
      <c r="E55" s="59">
        <f>'план тариф'!E13</f>
        <v>244.5</v>
      </c>
      <c r="F55" s="67">
        <f>GETPIVOTDATA("сумма, тис.грн.",'свод расходов'!$A$3,"квартал",1,"6 НКРЕ ","Материальные","Расшифровки","Электроэнергия","Подрасшифровки ",)</f>
        <v>329.52594999999991</v>
      </c>
      <c r="G55" s="66"/>
      <c r="H55" s="57"/>
      <c r="I55" s="98">
        <f t="shared" si="7"/>
        <v>244.5</v>
      </c>
      <c r="J55" s="71">
        <f t="shared" si="7"/>
        <v>329.52594999999991</v>
      </c>
      <c r="K55" s="58"/>
      <c r="L55" s="57"/>
      <c r="M55" s="102"/>
      <c r="N55" s="98">
        <f t="shared" si="9"/>
        <v>244.5</v>
      </c>
      <c r="O55" s="65">
        <f t="shared" si="10"/>
        <v>329.52594999999991</v>
      </c>
    </row>
    <row r="56" spans="1:17" s="34" customFormat="1" ht="15.75">
      <c r="A56" s="100" t="s">
        <v>91</v>
      </c>
      <c r="B56" s="96">
        <v>240</v>
      </c>
      <c r="C56" s="104"/>
      <c r="D56" s="105"/>
      <c r="E56" s="106"/>
      <c r="F56" s="80"/>
      <c r="G56" s="104"/>
      <c r="H56" s="107"/>
      <c r="I56" s="98">
        <f t="shared" si="7"/>
        <v>0</v>
      </c>
      <c r="J56" s="71">
        <f t="shared" si="7"/>
        <v>0</v>
      </c>
      <c r="K56" s="58"/>
      <c r="L56" s="57"/>
      <c r="M56" s="102"/>
      <c r="N56" s="98">
        <f t="shared" si="9"/>
        <v>0</v>
      </c>
      <c r="O56" s="65">
        <f t="shared" si="10"/>
        <v>0</v>
      </c>
    </row>
    <row r="57" spans="1:17" s="34" customFormat="1" ht="15.75">
      <c r="A57" s="100" t="s">
        <v>92</v>
      </c>
      <c r="B57" s="96">
        <v>245</v>
      </c>
      <c r="C57" s="58"/>
      <c r="D57" s="63"/>
      <c r="E57" s="59"/>
      <c r="F57" s="60"/>
      <c r="G57" s="58"/>
      <c r="H57" s="63"/>
      <c r="I57" s="69">
        <f t="shared" si="7"/>
        <v>0</v>
      </c>
      <c r="J57" s="62">
        <f t="shared" si="7"/>
        <v>0</v>
      </c>
      <c r="K57" s="58"/>
      <c r="L57" s="57"/>
      <c r="M57" s="102"/>
      <c r="N57" s="98">
        <f t="shared" si="9"/>
        <v>0</v>
      </c>
      <c r="O57" s="65">
        <f t="shared" si="10"/>
        <v>0</v>
      </c>
    </row>
    <row r="58" spans="1:17" s="34" customFormat="1" ht="15.75">
      <c r="A58" s="54" t="s">
        <v>93</v>
      </c>
      <c r="B58" s="96">
        <v>250</v>
      </c>
      <c r="C58" s="108">
        <f t="shared" ref="C58:G60" si="11">SUM(C28,C34,C40)</f>
        <v>0</v>
      </c>
      <c r="D58" s="109">
        <f t="shared" si="11"/>
        <v>0</v>
      </c>
      <c r="E58" s="110">
        <f t="shared" si="11"/>
        <v>7370.166666666667</v>
      </c>
      <c r="F58" s="111">
        <f t="shared" si="11"/>
        <v>7916.9419698226666</v>
      </c>
      <c r="G58" s="108">
        <f>SUM(G28,G34,G40)</f>
        <v>0</v>
      </c>
      <c r="H58" s="109">
        <f>SUM(H28,H34,H40)</f>
        <v>0</v>
      </c>
      <c r="I58" s="69">
        <f t="shared" si="7"/>
        <v>7370.166666666667</v>
      </c>
      <c r="J58" s="62">
        <f t="shared" si="7"/>
        <v>7916.9419698226666</v>
      </c>
      <c r="K58" s="108">
        <f t="shared" ref="K58:M60" si="12">SUM(K28,K34,K40)</f>
        <v>0</v>
      </c>
      <c r="L58" s="109">
        <f t="shared" si="12"/>
        <v>0</v>
      </c>
      <c r="M58" s="112">
        <f t="shared" si="12"/>
        <v>183.82970017733331</v>
      </c>
      <c r="N58" s="98">
        <f t="shared" si="9"/>
        <v>7370.166666666667</v>
      </c>
      <c r="O58" s="65">
        <f t="shared" si="10"/>
        <v>8100.7716700000001</v>
      </c>
    </row>
    <row r="59" spans="1:17" s="34" customFormat="1" ht="15.75">
      <c r="A59" s="113" t="s">
        <v>94</v>
      </c>
      <c r="B59" s="114">
        <v>255</v>
      </c>
      <c r="C59" s="115">
        <f t="shared" si="11"/>
        <v>0</v>
      </c>
      <c r="D59" s="116">
        <f t="shared" si="11"/>
        <v>0</v>
      </c>
      <c r="E59" s="117">
        <f t="shared" si="11"/>
        <v>2731.3333333333335</v>
      </c>
      <c r="F59" s="118">
        <f t="shared" si="11"/>
        <v>2432.6631289506668</v>
      </c>
      <c r="G59" s="121">
        <f t="shared" si="11"/>
        <v>0</v>
      </c>
      <c r="H59" s="116">
        <f>SUM(H29,H35,H41)</f>
        <v>0</v>
      </c>
      <c r="I59" s="119">
        <f t="shared" si="7"/>
        <v>2731.3333333333335</v>
      </c>
      <c r="J59" s="120">
        <f t="shared" si="7"/>
        <v>2432.6631289506668</v>
      </c>
      <c r="K59" s="121">
        <f t="shared" si="12"/>
        <v>0</v>
      </c>
      <c r="L59" s="122">
        <f t="shared" si="12"/>
        <v>0</v>
      </c>
      <c r="M59" s="123">
        <f t="shared" si="12"/>
        <v>63.150861049333322</v>
      </c>
      <c r="N59" s="98">
        <f t="shared" si="9"/>
        <v>2731.3333333333335</v>
      </c>
      <c r="O59" s="65">
        <f t="shared" si="10"/>
        <v>2495.8139900000001</v>
      </c>
    </row>
    <row r="60" spans="1:17" s="34" customFormat="1" ht="15.75">
      <c r="A60" s="54" t="s">
        <v>95</v>
      </c>
      <c r="B60" s="96">
        <v>260</v>
      </c>
      <c r="C60" s="108">
        <f t="shared" si="11"/>
        <v>0</v>
      </c>
      <c r="D60" s="109">
        <f t="shared" si="11"/>
        <v>0</v>
      </c>
      <c r="E60" s="110">
        <f t="shared" si="11"/>
        <v>3356</v>
      </c>
      <c r="F60" s="111">
        <f t="shared" si="11"/>
        <v>7211.5183098333337</v>
      </c>
      <c r="G60" s="108">
        <f t="shared" si="11"/>
        <v>0</v>
      </c>
      <c r="H60" s="109">
        <f>SUM(H30,H36,H42)</f>
        <v>0</v>
      </c>
      <c r="I60" s="98">
        <f t="shared" si="7"/>
        <v>3356</v>
      </c>
      <c r="J60" s="71">
        <f t="shared" si="7"/>
        <v>7211.5183098333337</v>
      </c>
      <c r="K60" s="108">
        <f t="shared" si="12"/>
        <v>0</v>
      </c>
      <c r="L60" s="124">
        <f t="shared" si="12"/>
        <v>0</v>
      </c>
      <c r="M60" s="112">
        <f t="shared" si="12"/>
        <v>10.393840166666669</v>
      </c>
      <c r="N60" s="98">
        <f t="shared" si="9"/>
        <v>3356</v>
      </c>
      <c r="O60" s="65">
        <f t="shared" si="10"/>
        <v>7221.9121500000001</v>
      </c>
      <c r="Q60" s="125"/>
    </row>
    <row r="61" spans="1:17" s="34" customFormat="1" ht="15.75">
      <c r="A61" s="54" t="s">
        <v>96</v>
      </c>
      <c r="B61" s="96">
        <v>265</v>
      </c>
      <c r="C61" s="108">
        <f t="shared" ref="C61:H61" si="13">SUM(C31,C37,C43,C44)</f>
        <v>0</v>
      </c>
      <c r="D61" s="109">
        <f t="shared" si="13"/>
        <v>0</v>
      </c>
      <c r="E61" s="110">
        <f t="shared" si="13"/>
        <v>1356.5</v>
      </c>
      <c r="F61" s="111">
        <f t="shared" si="13"/>
        <v>1110.7427006993332</v>
      </c>
      <c r="G61" s="64">
        <f t="shared" si="13"/>
        <v>0</v>
      </c>
      <c r="H61" s="109">
        <f t="shared" si="13"/>
        <v>0</v>
      </c>
      <c r="I61" s="69">
        <f t="shared" si="7"/>
        <v>1356.5</v>
      </c>
      <c r="J61" s="62">
        <f t="shared" si="7"/>
        <v>1110.7427006993332</v>
      </c>
      <c r="K61" s="64">
        <f>SUM(K31,K37,K43,K44)</f>
        <v>0</v>
      </c>
      <c r="L61" s="126">
        <f>SUM(L31,L37,L43,L44)</f>
        <v>0</v>
      </c>
      <c r="M61" s="127">
        <f>SUM(M31,M37,M43,M44)</f>
        <v>82.676559300666653</v>
      </c>
      <c r="N61" s="98">
        <f t="shared" si="9"/>
        <v>1356.5</v>
      </c>
      <c r="O61" s="65">
        <f t="shared" si="10"/>
        <v>1193.4192599999999</v>
      </c>
    </row>
    <row r="62" spans="1:17" s="34" customFormat="1" ht="15.75">
      <c r="A62" s="100" t="s">
        <v>97</v>
      </c>
      <c r="B62" s="96">
        <v>270</v>
      </c>
      <c r="C62" s="56"/>
      <c r="D62" s="57"/>
      <c r="E62" s="59">
        <f>'план тариф'!E18</f>
        <v>87.5</v>
      </c>
      <c r="F62" s="67">
        <f>GETPIVOTDATA("сумма, тис.грн.",'свод расходов'!$A$3,"квартал",1,"6 НКРЕ ","Прочие","Расшифровки","Земельный налог")</f>
        <v>117.69011999999999</v>
      </c>
      <c r="G62" s="66"/>
      <c r="H62" s="63"/>
      <c r="I62" s="69">
        <f t="shared" si="7"/>
        <v>87.5</v>
      </c>
      <c r="J62" s="62">
        <f t="shared" si="7"/>
        <v>117.69011999999999</v>
      </c>
      <c r="K62" s="56"/>
      <c r="L62" s="57"/>
      <c r="M62" s="101"/>
      <c r="N62" s="98">
        <f t="shared" si="9"/>
        <v>87.5</v>
      </c>
      <c r="O62" s="65">
        <f t="shared" si="10"/>
        <v>117.69011999999999</v>
      </c>
    </row>
    <row r="63" spans="1:17" s="34" customFormat="1" ht="15.75">
      <c r="A63" s="100" t="s">
        <v>98</v>
      </c>
      <c r="B63" s="96">
        <v>275</v>
      </c>
      <c r="C63" s="56"/>
      <c r="D63" s="57"/>
      <c r="E63" s="59">
        <f>'план тариф'!E20</f>
        <v>139.25</v>
      </c>
      <c r="F63" s="67">
        <f>GETPIVOTDATA("сумма, тис.грн.",'свод расходов'!$A$3,"квартал",1,"6 НКРЕ ","Прочие","Расшифровки","Связь")</f>
        <v>100.17652999999999</v>
      </c>
      <c r="G63" s="66"/>
      <c r="H63" s="63"/>
      <c r="I63" s="69">
        <f t="shared" si="7"/>
        <v>139.25</v>
      </c>
      <c r="J63" s="62">
        <f t="shared" si="7"/>
        <v>100.17652999999999</v>
      </c>
      <c r="K63" s="56"/>
      <c r="L63" s="57"/>
      <c r="M63" s="101"/>
      <c r="N63" s="98">
        <f t="shared" si="9"/>
        <v>139.25</v>
      </c>
      <c r="O63" s="65">
        <f t="shared" si="10"/>
        <v>100.17652999999999</v>
      </c>
    </row>
    <row r="64" spans="1:17" s="34" customFormat="1" ht="15.75">
      <c r="A64" s="100" t="s">
        <v>99</v>
      </c>
      <c r="B64" s="96">
        <v>285</v>
      </c>
      <c r="C64" s="56"/>
      <c r="D64" s="57"/>
      <c r="E64" s="59">
        <f>'план тариф'!E21</f>
        <v>54.5</v>
      </c>
      <c r="F64" s="67">
        <f>GETPIVOTDATA("сумма, тис.грн.",'свод расходов'!$A$3,"квартал",1,"6 НКРЕ ","Прочие","Расшифровки","Командировочные")</f>
        <v>92.753929999999997</v>
      </c>
      <c r="G64" s="66"/>
      <c r="H64" s="63"/>
      <c r="I64" s="69">
        <f t="shared" si="7"/>
        <v>54.5</v>
      </c>
      <c r="J64" s="71">
        <f t="shared" si="7"/>
        <v>92.753929999999997</v>
      </c>
      <c r="K64" s="104"/>
      <c r="L64" s="105"/>
      <c r="M64" s="128"/>
      <c r="N64" s="98">
        <f t="shared" si="9"/>
        <v>54.5</v>
      </c>
      <c r="O64" s="65">
        <f t="shared" si="10"/>
        <v>92.753929999999997</v>
      </c>
    </row>
    <row r="65" spans="1:17" s="34" customFormat="1" ht="15.75">
      <c r="A65" s="129" t="s">
        <v>100</v>
      </c>
      <c r="B65" s="96">
        <v>290</v>
      </c>
      <c r="C65" s="56"/>
      <c r="D65" s="130"/>
      <c r="E65" s="131">
        <f>'план тариф'!E22</f>
        <v>0</v>
      </c>
      <c r="F65" s="132">
        <f>GETPIVOTDATA("сумма, тис.грн.",'свод расходов'!$A$3,"квартал",1,"6 НКРЕ ","Прочие","Расшифровки","Налог на транспорт")</f>
        <v>0.14780000000000001</v>
      </c>
      <c r="G65" s="66"/>
      <c r="H65" s="130"/>
      <c r="I65" s="69">
        <f t="shared" si="7"/>
        <v>0</v>
      </c>
      <c r="J65" s="71">
        <f t="shared" si="7"/>
        <v>0.14780000000000001</v>
      </c>
      <c r="K65" s="58"/>
      <c r="L65" s="57"/>
      <c r="M65" s="102"/>
      <c r="N65" s="98">
        <f t="shared" si="9"/>
        <v>0</v>
      </c>
      <c r="O65" s="65">
        <f t="shared" si="10"/>
        <v>0.14780000000000001</v>
      </c>
    </row>
    <row r="66" spans="1:17" s="34" customFormat="1" ht="15.75">
      <c r="A66" s="100" t="s">
        <v>101</v>
      </c>
      <c r="B66" s="96">
        <v>295</v>
      </c>
      <c r="C66" s="56"/>
      <c r="D66" s="57"/>
      <c r="E66" s="59">
        <f>'план тариф'!E23</f>
        <v>90.25</v>
      </c>
      <c r="F66" s="67">
        <f>GETPIVOTDATA("сумма, тис.грн.",'свод расходов'!$A$3,"квартал",1,"6 НКРЕ ","Прочие","Расшифровки","содержание транспорта")</f>
        <v>68.1905</v>
      </c>
      <c r="G66" s="66"/>
      <c r="H66" s="63"/>
      <c r="I66" s="69">
        <f t="shared" si="7"/>
        <v>90.25</v>
      </c>
      <c r="J66" s="71">
        <f t="shared" si="7"/>
        <v>68.1905</v>
      </c>
      <c r="K66" s="104"/>
      <c r="L66" s="105"/>
      <c r="M66" s="128"/>
      <c r="N66" s="98">
        <f t="shared" si="9"/>
        <v>90.25</v>
      </c>
      <c r="O66" s="65">
        <f t="shared" si="10"/>
        <v>68.1905</v>
      </c>
    </row>
    <row r="67" spans="1:17" s="34" customFormat="1" ht="15.75">
      <c r="A67" s="100" t="s">
        <v>102</v>
      </c>
      <c r="B67" s="96">
        <v>300</v>
      </c>
      <c r="C67" s="56"/>
      <c r="D67" s="57"/>
      <c r="E67" s="59">
        <f>'план тариф'!E24</f>
        <v>0</v>
      </c>
      <c r="F67" s="67">
        <v>0</v>
      </c>
      <c r="G67" s="66"/>
      <c r="H67" s="63"/>
      <c r="I67" s="69">
        <f t="shared" si="7"/>
        <v>0</v>
      </c>
      <c r="J67" s="71">
        <f t="shared" si="7"/>
        <v>0</v>
      </c>
      <c r="K67" s="58"/>
      <c r="L67" s="63"/>
      <c r="M67" s="102"/>
      <c r="N67" s="98">
        <f t="shared" si="9"/>
        <v>0</v>
      </c>
      <c r="O67" s="65">
        <f t="shared" si="10"/>
        <v>0</v>
      </c>
    </row>
    <row r="68" spans="1:17" s="34" customFormat="1" ht="15.75">
      <c r="A68" s="133" t="s">
        <v>103</v>
      </c>
      <c r="B68" s="96">
        <v>305</v>
      </c>
      <c r="C68" s="104"/>
      <c r="D68" s="78"/>
      <c r="E68" s="134">
        <f>'план тариф'!E25</f>
        <v>985</v>
      </c>
      <c r="F68" s="135">
        <f>'расш. 305'!D8-M31</f>
        <v>731.78382069933343</v>
      </c>
      <c r="G68" s="66"/>
      <c r="H68" s="136"/>
      <c r="I68" s="98">
        <f t="shared" si="7"/>
        <v>985</v>
      </c>
      <c r="J68" s="71">
        <f t="shared" si="7"/>
        <v>731.78382069933343</v>
      </c>
      <c r="K68" s="58"/>
      <c r="L68" s="63"/>
      <c r="M68" s="102">
        <f>M44+M31</f>
        <v>82.676559300666653</v>
      </c>
      <c r="N68" s="98">
        <f t="shared" si="9"/>
        <v>985</v>
      </c>
      <c r="O68" s="65">
        <f>SUM(J68,L68,M68)</f>
        <v>814.4603800000001</v>
      </c>
    </row>
    <row r="69" spans="1:17" s="72" customFormat="1" ht="15.75">
      <c r="A69" s="137" t="s">
        <v>104</v>
      </c>
      <c r="B69" s="138">
        <v>310</v>
      </c>
      <c r="C69" s="58"/>
      <c r="D69" s="57"/>
      <c r="E69" s="59">
        <f>[1]Лист1!$N$17/1000</f>
        <v>23499.770800000006</v>
      </c>
      <c r="F69" s="60">
        <f>GETPIVOTDATA("Сумма, тыс.грн. без НДС",'свод продаж'!$A$3,"Квартал",1,"6 НКРЕ","транзит")</f>
        <v>23282.416474999998</v>
      </c>
      <c r="G69" s="66"/>
      <c r="H69" s="63"/>
      <c r="I69" s="98">
        <f t="shared" si="7"/>
        <v>23499.770800000006</v>
      </c>
      <c r="J69" s="62">
        <f t="shared" si="7"/>
        <v>23282.416474999998</v>
      </c>
      <c r="K69" s="58"/>
      <c r="L69" s="63"/>
      <c r="M69" s="139" t="s">
        <v>105</v>
      </c>
      <c r="N69" s="98">
        <f t="shared" si="9"/>
        <v>23499.770800000006</v>
      </c>
      <c r="O69" s="65">
        <f>SUM(J69,L69)</f>
        <v>23282.416474999998</v>
      </c>
    </row>
    <row r="70" spans="1:17" s="34" customFormat="1" ht="15.75">
      <c r="A70" s="54" t="s">
        <v>106</v>
      </c>
      <c r="B70" s="96">
        <v>315</v>
      </c>
      <c r="C70" s="64">
        <f t="shared" ref="C70:H70" si="14">C47-C53</f>
        <v>0</v>
      </c>
      <c r="D70" s="126">
        <f t="shared" si="14"/>
        <v>0</v>
      </c>
      <c r="E70" s="98">
        <f t="shared" si="14"/>
        <v>18830.25</v>
      </c>
      <c r="F70" s="140">
        <f t="shared" si="14"/>
        <v>20420.452323613998</v>
      </c>
      <c r="G70" s="64">
        <f t="shared" si="14"/>
        <v>0</v>
      </c>
      <c r="H70" s="126">
        <f t="shared" si="14"/>
        <v>0</v>
      </c>
      <c r="I70" s="69">
        <f t="shared" si="7"/>
        <v>18830.25</v>
      </c>
      <c r="J70" s="62">
        <f t="shared" si="7"/>
        <v>20420.452323613998</v>
      </c>
      <c r="K70" s="64">
        <f>K47-K53</f>
        <v>0</v>
      </c>
      <c r="L70" s="126">
        <f>L47-L53</f>
        <v>0</v>
      </c>
      <c r="M70" s="112">
        <f>M47</f>
        <v>360.72309638600001</v>
      </c>
      <c r="N70" s="98">
        <f t="shared" si="9"/>
        <v>18830.25</v>
      </c>
      <c r="O70" s="65">
        <f>SUM(J70,L70,M70)</f>
        <v>20781.175419999996</v>
      </c>
    </row>
    <row r="71" spans="1:17" s="34" customFormat="1" ht="15.75">
      <c r="A71" s="54" t="s">
        <v>107</v>
      </c>
      <c r="B71" s="96">
        <v>320</v>
      </c>
      <c r="C71" s="64">
        <f t="shared" ref="C71:L71" si="15">C69-C47</f>
        <v>0</v>
      </c>
      <c r="D71" s="65">
        <f t="shared" si="15"/>
        <v>0</v>
      </c>
      <c r="E71" s="98">
        <f t="shared" si="15"/>
        <v>4669.5208000000057</v>
      </c>
      <c r="F71" s="71">
        <f t="shared" si="15"/>
        <v>2861.9641513860006</v>
      </c>
      <c r="G71" s="64">
        <f t="shared" si="15"/>
        <v>0</v>
      </c>
      <c r="H71" s="65">
        <f t="shared" si="15"/>
        <v>0</v>
      </c>
      <c r="I71" s="98">
        <f t="shared" si="15"/>
        <v>4669.5208000000057</v>
      </c>
      <c r="J71" s="71">
        <f t="shared" si="15"/>
        <v>2861.9641513860006</v>
      </c>
      <c r="K71" s="64">
        <f t="shared" si="15"/>
        <v>0</v>
      </c>
      <c r="L71" s="65">
        <f t="shared" si="15"/>
        <v>0</v>
      </c>
      <c r="M71" s="139" t="s">
        <v>105</v>
      </c>
      <c r="N71" s="98">
        <f>N69-N47</f>
        <v>4669.5208000000057</v>
      </c>
      <c r="O71" s="126">
        <f>SUM(J71,L71)</f>
        <v>2861.9641513860006</v>
      </c>
    </row>
    <row r="72" spans="1:17" s="34" customFormat="1" ht="15.75">
      <c r="A72" s="54" t="s">
        <v>108</v>
      </c>
      <c r="B72" s="96">
        <v>325</v>
      </c>
      <c r="C72" s="141" t="s">
        <v>105</v>
      </c>
      <c r="D72" s="142" t="s">
        <v>105</v>
      </c>
      <c r="E72" s="143" t="s">
        <v>105</v>
      </c>
      <c r="F72" s="144" t="s">
        <v>105</v>
      </c>
      <c r="G72" s="141" t="s">
        <v>105</v>
      </c>
      <c r="H72" s="145" t="s">
        <v>105</v>
      </c>
      <c r="I72" s="59"/>
      <c r="J72" s="60"/>
      <c r="K72" s="58"/>
      <c r="L72" s="63"/>
      <c r="M72" s="139" t="s">
        <v>105</v>
      </c>
      <c r="N72" s="98">
        <f>SUM(I72,K72)</f>
        <v>0</v>
      </c>
      <c r="O72" s="65">
        <f>SUM(J72,L72)</f>
        <v>0</v>
      </c>
    </row>
    <row r="73" spans="1:17" s="34" customFormat="1" ht="15.75">
      <c r="A73" s="146" t="s">
        <v>109</v>
      </c>
      <c r="B73" s="96">
        <v>330</v>
      </c>
      <c r="C73" s="141" t="s">
        <v>105</v>
      </c>
      <c r="D73" s="142" t="s">
        <v>105</v>
      </c>
      <c r="E73" s="143" t="s">
        <v>105</v>
      </c>
      <c r="F73" s="144" t="s">
        <v>105</v>
      </c>
      <c r="G73" s="141" t="s">
        <v>105</v>
      </c>
      <c r="H73" s="145" t="s">
        <v>105</v>
      </c>
      <c r="I73" s="98">
        <f>I47+I72</f>
        <v>18830.25</v>
      </c>
      <c r="J73" s="71">
        <f>J47+J72</f>
        <v>20420.452323613998</v>
      </c>
      <c r="K73" s="64">
        <f>K47+K72</f>
        <v>0</v>
      </c>
      <c r="L73" s="65">
        <f>L47+L72</f>
        <v>0</v>
      </c>
      <c r="M73" s="139" t="s">
        <v>105</v>
      </c>
      <c r="N73" s="98">
        <f>N47+N72</f>
        <v>18830.25</v>
      </c>
      <c r="O73" s="65">
        <f>O47+O72</f>
        <v>20781.175419999996</v>
      </c>
    </row>
    <row r="74" spans="1:17" s="34" customFormat="1" ht="31.5">
      <c r="A74" s="147" t="s">
        <v>110</v>
      </c>
      <c r="B74" s="96">
        <v>335</v>
      </c>
      <c r="C74" s="141" t="s">
        <v>105</v>
      </c>
      <c r="D74" s="142" t="s">
        <v>105</v>
      </c>
      <c r="E74" s="143" t="s">
        <v>105</v>
      </c>
      <c r="F74" s="144" t="s">
        <v>105</v>
      </c>
      <c r="G74" s="141" t="s">
        <v>105</v>
      </c>
      <c r="H74" s="145" t="s">
        <v>105</v>
      </c>
      <c r="I74" s="106">
        <f>E69+I75</f>
        <v>24811.190553086424</v>
      </c>
      <c r="J74" s="148">
        <f>F69+J75</f>
        <v>24822.473133333333</v>
      </c>
      <c r="K74" s="104"/>
      <c r="L74" s="107"/>
      <c r="M74" s="149">
        <f>'Прочие услуги НКРЕ'!C32</f>
        <v>339.56042166666663</v>
      </c>
      <c r="N74" s="98">
        <f>SUM(I74,K74)</f>
        <v>24811.190553086424</v>
      </c>
      <c r="O74" s="65">
        <f>SUM(J74,L74,M74)</f>
        <v>25162.033554999998</v>
      </c>
    </row>
    <row r="75" spans="1:17" s="34" customFormat="1" ht="15.75">
      <c r="A75" s="150" t="s">
        <v>111</v>
      </c>
      <c r="B75" s="55" t="s">
        <v>112</v>
      </c>
      <c r="C75" s="141" t="s">
        <v>105</v>
      </c>
      <c r="D75" s="142" t="s">
        <v>105</v>
      </c>
      <c r="E75" s="143" t="s">
        <v>105</v>
      </c>
      <c r="F75" s="144" t="s">
        <v>105</v>
      </c>
      <c r="G75" s="141" t="s">
        <v>105</v>
      </c>
      <c r="H75" s="145" t="s">
        <v>105</v>
      </c>
      <c r="I75" s="151">
        <f>4249/0.81/4</f>
        <v>1311.4197530864196</v>
      </c>
      <c r="J75" s="152">
        <f>GETPIVOTDATA("Сумма, тыс.грн. без НДС",'свод продаж'!$A$3,"Квартал",1,"6 НКРЕ","Реактив","Расшифровка",)</f>
        <v>1540.0566583333334</v>
      </c>
      <c r="K75" s="141" t="s">
        <v>105</v>
      </c>
      <c r="L75" s="142" t="s">
        <v>105</v>
      </c>
      <c r="M75" s="139" t="s">
        <v>105</v>
      </c>
      <c r="N75" s="153">
        <f>I75</f>
        <v>1311.4197530864196</v>
      </c>
      <c r="O75" s="154">
        <f>J75</f>
        <v>1540.0566583333334</v>
      </c>
    </row>
    <row r="76" spans="1:17" s="34" customFormat="1" ht="15.75">
      <c r="A76" s="155" t="s">
        <v>113</v>
      </c>
      <c r="B76" s="96">
        <v>340</v>
      </c>
      <c r="C76" s="141" t="s">
        <v>105</v>
      </c>
      <c r="D76" s="142" t="s">
        <v>105</v>
      </c>
      <c r="E76" s="143" t="s">
        <v>105</v>
      </c>
      <c r="F76" s="144" t="s">
        <v>105</v>
      </c>
      <c r="G76" s="141" t="s">
        <v>105</v>
      </c>
      <c r="H76" s="145" t="s">
        <v>105</v>
      </c>
      <c r="I76" s="143" t="s">
        <v>105</v>
      </c>
      <c r="J76" s="156">
        <f>'Прочие услуги НКРЕ'!C12+GETPIVOTDATA("Сумма, тыс.грн. без НДС",'свод продаж'!$A$3,"Квартал",1,"6 НКРЕ","Услуги","Расшифровка","Присоединение")</f>
        <v>150.18365833333331</v>
      </c>
      <c r="K76" s="141" t="s">
        <v>105</v>
      </c>
      <c r="L76" s="145" t="s">
        <v>105</v>
      </c>
      <c r="M76" s="157">
        <f>Ф2!D11-'ф 6НКРЕ'!M74-'ф 6НКРЕ'!J76</f>
        <v>100.90547666666669</v>
      </c>
      <c r="N76" s="143" t="s">
        <v>105</v>
      </c>
      <c r="O76" s="109">
        <f>M76+J76</f>
        <v>251.089135</v>
      </c>
    </row>
    <row r="77" spans="1:17" s="34" customFormat="1" ht="15.75">
      <c r="A77" s="147" t="s">
        <v>114</v>
      </c>
      <c r="B77" s="96">
        <v>345</v>
      </c>
      <c r="C77" s="141" t="s">
        <v>105</v>
      </c>
      <c r="D77" s="142" t="s">
        <v>105</v>
      </c>
      <c r="E77" s="143" t="s">
        <v>105</v>
      </c>
      <c r="F77" s="144" t="s">
        <v>105</v>
      </c>
      <c r="G77" s="141" t="s">
        <v>105</v>
      </c>
      <c r="H77" s="145" t="s">
        <v>105</v>
      </c>
      <c r="I77" s="98">
        <f>I74-I73</f>
        <v>5980.9405530864242</v>
      </c>
      <c r="J77" s="98">
        <f>J74-J73</f>
        <v>4402.0208097193354</v>
      </c>
      <c r="K77" s="64">
        <f>K74-K73</f>
        <v>0</v>
      </c>
      <c r="L77" s="65">
        <f>L74-L73</f>
        <v>0</v>
      </c>
      <c r="M77" s="98">
        <f>M74+M76-M47+J76</f>
        <v>229.92646028066662</v>
      </c>
      <c r="N77" s="98">
        <f>N74-N73</f>
        <v>5980.9405530864242</v>
      </c>
      <c r="O77" s="65">
        <f>J77+L77+M77</f>
        <v>4631.9472700000024</v>
      </c>
    </row>
    <row r="78" spans="1:17" s="34" customFormat="1" ht="15.75">
      <c r="A78" s="147" t="s">
        <v>115</v>
      </c>
      <c r="B78" s="96">
        <v>350</v>
      </c>
      <c r="C78" s="141" t="s">
        <v>105</v>
      </c>
      <c r="D78" s="142" t="s">
        <v>105</v>
      </c>
      <c r="E78" s="143" t="s">
        <v>105</v>
      </c>
      <c r="F78" s="144" t="s">
        <v>105</v>
      </c>
      <c r="G78" s="141" t="s">
        <v>105</v>
      </c>
      <c r="H78" s="145" t="s">
        <v>105</v>
      </c>
      <c r="I78" s="143" t="s">
        <v>105</v>
      </c>
      <c r="J78" s="144" t="s">
        <v>105</v>
      </c>
      <c r="K78" s="141" t="s">
        <v>105</v>
      </c>
      <c r="L78" s="145" t="s">
        <v>105</v>
      </c>
      <c r="M78" s="139" t="s">
        <v>105</v>
      </c>
      <c r="N78" s="143" t="s">
        <v>105</v>
      </c>
      <c r="O78" s="63"/>
    </row>
    <row r="79" spans="1:17" s="34" customFormat="1" ht="15.75">
      <c r="A79" s="54" t="s">
        <v>116</v>
      </c>
      <c r="B79" s="96">
        <v>355</v>
      </c>
      <c r="C79" s="141" t="s">
        <v>105</v>
      </c>
      <c r="D79" s="142" t="s">
        <v>105</v>
      </c>
      <c r="E79" s="143" t="s">
        <v>105</v>
      </c>
      <c r="F79" s="144" t="s">
        <v>105</v>
      </c>
      <c r="G79" s="141" t="s">
        <v>105</v>
      </c>
      <c r="H79" s="145" t="s">
        <v>105</v>
      </c>
      <c r="I79" s="143" t="s">
        <v>105</v>
      </c>
      <c r="J79" s="144" t="s">
        <v>105</v>
      </c>
      <c r="K79" s="141" t="s">
        <v>105</v>
      </c>
      <c r="L79" s="145" t="s">
        <v>105</v>
      </c>
      <c r="M79" s="139" t="s">
        <v>105</v>
      </c>
      <c r="N79" s="143" t="s">
        <v>105</v>
      </c>
      <c r="O79" s="63">
        <f>Ф2!D19</f>
        <v>1.617E-2</v>
      </c>
    </row>
    <row r="80" spans="1:17" s="34" customFormat="1" ht="15.75">
      <c r="A80" s="54" t="s">
        <v>117</v>
      </c>
      <c r="B80" s="96">
        <v>360</v>
      </c>
      <c r="C80" s="141" t="s">
        <v>105</v>
      </c>
      <c r="D80" s="142" t="s">
        <v>105</v>
      </c>
      <c r="E80" s="143" t="s">
        <v>105</v>
      </c>
      <c r="F80" s="144" t="s">
        <v>105</v>
      </c>
      <c r="G80" s="141" t="s">
        <v>105</v>
      </c>
      <c r="H80" s="145" t="s">
        <v>105</v>
      </c>
      <c r="I80" s="143" t="s">
        <v>105</v>
      </c>
      <c r="J80" s="144" t="s">
        <v>105</v>
      </c>
      <c r="K80" s="141" t="s">
        <v>105</v>
      </c>
      <c r="L80" s="145" t="s">
        <v>105</v>
      </c>
      <c r="M80" s="139" t="s">
        <v>105</v>
      </c>
      <c r="N80" s="143" t="s">
        <v>105</v>
      </c>
      <c r="O80" s="63">
        <f>Ф2!D20</f>
        <v>3.3480700000000003</v>
      </c>
      <c r="P80" s="33"/>
      <c r="Q80" s="33"/>
    </row>
    <row r="81" spans="1:19" s="34" customFormat="1" ht="15.75">
      <c r="A81" s="54" t="s">
        <v>118</v>
      </c>
      <c r="B81" s="96">
        <v>365</v>
      </c>
      <c r="C81" s="141" t="s">
        <v>105</v>
      </c>
      <c r="D81" s="142" t="s">
        <v>105</v>
      </c>
      <c r="E81" s="143" t="s">
        <v>105</v>
      </c>
      <c r="F81" s="144" t="s">
        <v>105</v>
      </c>
      <c r="G81" s="141" t="s">
        <v>105</v>
      </c>
      <c r="H81" s="145" t="s">
        <v>105</v>
      </c>
      <c r="I81" s="143" t="s">
        <v>105</v>
      </c>
      <c r="J81" s="144" t="s">
        <v>105</v>
      </c>
      <c r="K81" s="141" t="s">
        <v>105</v>
      </c>
      <c r="L81" s="145" t="s">
        <v>105</v>
      </c>
      <c r="M81" s="158" t="s">
        <v>105</v>
      </c>
      <c r="N81" s="143" t="s">
        <v>105</v>
      </c>
      <c r="O81" s="63">
        <f>Ф2!D21</f>
        <v>38.401339999999998</v>
      </c>
      <c r="P81" s="33"/>
      <c r="Q81" s="33"/>
    </row>
    <row r="82" spans="1:19" s="34" customFormat="1" ht="15.75">
      <c r="A82" s="150" t="s">
        <v>119</v>
      </c>
      <c r="B82" s="96">
        <v>370</v>
      </c>
      <c r="C82" s="159" t="s">
        <v>105</v>
      </c>
      <c r="D82" s="142" t="s">
        <v>105</v>
      </c>
      <c r="E82" s="143" t="s">
        <v>105</v>
      </c>
      <c r="F82" s="160" t="s">
        <v>105</v>
      </c>
      <c r="G82" s="141" t="s">
        <v>105</v>
      </c>
      <c r="H82" s="145" t="s">
        <v>105</v>
      </c>
      <c r="I82" s="161" t="s">
        <v>105</v>
      </c>
      <c r="J82" s="162" t="s">
        <v>105</v>
      </c>
      <c r="K82" s="159" t="s">
        <v>105</v>
      </c>
      <c r="L82" s="142" t="s">
        <v>105</v>
      </c>
      <c r="M82" s="139" t="s">
        <v>105</v>
      </c>
      <c r="N82" s="143" t="s">
        <v>105</v>
      </c>
      <c r="O82" s="163">
        <f>O81</f>
        <v>38.401339999999998</v>
      </c>
    </row>
    <row r="83" spans="1:19" s="34" customFormat="1" ht="15.75">
      <c r="A83" s="137" t="s">
        <v>120</v>
      </c>
      <c r="B83" s="96">
        <v>375</v>
      </c>
      <c r="C83" s="141" t="s">
        <v>105</v>
      </c>
      <c r="D83" s="142" t="s">
        <v>105</v>
      </c>
      <c r="E83" s="143" t="s">
        <v>105</v>
      </c>
      <c r="F83" s="144" t="s">
        <v>105</v>
      </c>
      <c r="G83" s="141" t="s">
        <v>105</v>
      </c>
      <c r="H83" s="145" t="s">
        <v>105</v>
      </c>
      <c r="I83" s="143" t="s">
        <v>105</v>
      </c>
      <c r="J83" s="144" t="s">
        <v>105</v>
      </c>
      <c r="K83" s="141" t="s">
        <v>105</v>
      </c>
      <c r="L83" s="145" t="s">
        <v>105</v>
      </c>
      <c r="M83" s="139" t="s">
        <v>105</v>
      </c>
      <c r="N83" s="143" t="s">
        <v>105</v>
      </c>
      <c r="O83" s="63"/>
      <c r="P83" s="33"/>
      <c r="Q83" s="33"/>
    </row>
    <row r="84" spans="1:19" s="34" customFormat="1" ht="15.75">
      <c r="A84" s="54" t="s">
        <v>121</v>
      </c>
      <c r="B84" s="96">
        <v>380</v>
      </c>
      <c r="C84" s="141" t="s">
        <v>105</v>
      </c>
      <c r="D84" s="142" t="s">
        <v>105</v>
      </c>
      <c r="E84" s="143" t="s">
        <v>105</v>
      </c>
      <c r="F84" s="144" t="s">
        <v>105</v>
      </c>
      <c r="G84" s="141" t="s">
        <v>105</v>
      </c>
      <c r="H84" s="145" t="s">
        <v>105</v>
      </c>
      <c r="I84" s="143" t="s">
        <v>105</v>
      </c>
      <c r="J84" s="144" t="s">
        <v>105</v>
      </c>
      <c r="K84" s="141" t="s">
        <v>105</v>
      </c>
      <c r="L84" s="145" t="s">
        <v>105</v>
      </c>
      <c r="M84" s="139" t="s">
        <v>105</v>
      </c>
      <c r="N84" s="143" t="s">
        <v>105</v>
      </c>
      <c r="O84" s="63">
        <f>Ф2!D23</f>
        <v>8.2249999999999996</v>
      </c>
      <c r="P84" s="33"/>
      <c r="Q84" s="33"/>
    </row>
    <row r="85" spans="1:19" s="34" customFormat="1" ht="31.5">
      <c r="A85" s="147" t="s">
        <v>122</v>
      </c>
      <c r="B85" s="96">
        <v>385</v>
      </c>
      <c r="C85" s="141" t="s">
        <v>105</v>
      </c>
      <c r="D85" s="145" t="s">
        <v>105</v>
      </c>
      <c r="E85" s="143" t="s">
        <v>105</v>
      </c>
      <c r="F85" s="144" t="s">
        <v>105</v>
      </c>
      <c r="G85" s="141" t="s">
        <v>105</v>
      </c>
      <c r="H85" s="145" t="s">
        <v>105</v>
      </c>
      <c r="I85" s="143" t="s">
        <v>105</v>
      </c>
      <c r="J85" s="144" t="s">
        <v>105</v>
      </c>
      <c r="K85" s="141" t="s">
        <v>105</v>
      </c>
      <c r="L85" s="145" t="s">
        <v>105</v>
      </c>
      <c r="M85" s="139" t="s">
        <v>105</v>
      </c>
      <c r="N85" s="143" t="s">
        <v>105</v>
      </c>
      <c r="O85" s="65">
        <f>O77+O78+O79+O80-O81-O83-O84</f>
        <v>4588.6851700000016</v>
      </c>
      <c r="P85" s="33"/>
      <c r="Q85" s="33"/>
      <c r="S85" s="164"/>
    </row>
    <row r="86" spans="1:19" s="34" customFormat="1" ht="15.75">
      <c r="A86" s="54" t="s">
        <v>123</v>
      </c>
      <c r="B86" s="96">
        <v>390</v>
      </c>
      <c r="C86" s="141" t="s">
        <v>105</v>
      </c>
      <c r="D86" s="142" t="s">
        <v>105</v>
      </c>
      <c r="E86" s="143" t="s">
        <v>105</v>
      </c>
      <c r="F86" s="144" t="s">
        <v>105</v>
      </c>
      <c r="G86" s="141" t="s">
        <v>105</v>
      </c>
      <c r="H86" s="145" t="s">
        <v>105</v>
      </c>
      <c r="I86" s="143" t="s">
        <v>105</v>
      </c>
      <c r="J86" s="144" t="s">
        <v>105</v>
      </c>
      <c r="K86" s="141" t="s">
        <v>105</v>
      </c>
      <c r="L86" s="145" t="s">
        <v>105</v>
      </c>
      <c r="M86" s="139" t="s">
        <v>105</v>
      </c>
      <c r="N86" s="143" t="s">
        <v>105</v>
      </c>
      <c r="O86" s="63"/>
      <c r="P86" s="33"/>
      <c r="Q86" s="33"/>
    </row>
    <row r="87" spans="1:19" s="34" customFormat="1" ht="16.5" thickBot="1">
      <c r="A87" s="82" t="s">
        <v>124</v>
      </c>
      <c r="B87" s="165">
        <v>395</v>
      </c>
      <c r="C87" s="166" t="s">
        <v>105</v>
      </c>
      <c r="D87" s="167" t="s">
        <v>105</v>
      </c>
      <c r="E87" s="168" t="s">
        <v>105</v>
      </c>
      <c r="F87" s="169" t="s">
        <v>105</v>
      </c>
      <c r="G87" s="166" t="s">
        <v>105</v>
      </c>
      <c r="H87" s="167" t="s">
        <v>105</v>
      </c>
      <c r="I87" s="168" t="s">
        <v>105</v>
      </c>
      <c r="J87" s="169" t="s">
        <v>105</v>
      </c>
      <c r="K87" s="166" t="s">
        <v>105</v>
      </c>
      <c r="L87" s="167" t="s">
        <v>105</v>
      </c>
      <c r="M87" s="170" t="s">
        <v>105</v>
      </c>
      <c r="N87" s="168" t="s">
        <v>105</v>
      </c>
      <c r="O87" s="91">
        <f>O85-O86</f>
        <v>4588.6851700000016</v>
      </c>
      <c r="P87" s="33"/>
      <c r="Q87" s="33"/>
    </row>
    <row r="88" spans="1:19" s="34" customFormat="1" ht="16.5" thickBot="1">
      <c r="A88" s="92"/>
      <c r="B88" s="93"/>
      <c r="C88" s="80"/>
      <c r="D88" s="80"/>
      <c r="E88" s="80"/>
      <c r="F88" s="80"/>
      <c r="G88" s="80"/>
      <c r="H88" s="80"/>
      <c r="I88" s="171"/>
      <c r="J88" s="171"/>
      <c r="K88" s="80"/>
      <c r="L88" s="80"/>
      <c r="M88" s="172"/>
      <c r="N88" s="173"/>
      <c r="O88" s="173"/>
      <c r="P88" s="72"/>
    </row>
    <row r="89" spans="1:19" s="45" customFormat="1" ht="16.5" thickBot="1">
      <c r="A89" s="40" t="s">
        <v>46</v>
      </c>
      <c r="B89" s="40" t="s">
        <v>47</v>
      </c>
      <c r="C89" s="40">
        <v>1</v>
      </c>
      <c r="D89" s="41">
        <v>2</v>
      </c>
      <c r="E89" s="42">
        <v>3</v>
      </c>
      <c r="F89" s="43">
        <v>4</v>
      </c>
      <c r="G89" s="40">
        <v>5</v>
      </c>
      <c r="H89" s="41">
        <v>6</v>
      </c>
      <c r="I89" s="42">
        <v>7</v>
      </c>
      <c r="J89" s="43">
        <v>8</v>
      </c>
      <c r="K89" s="40">
        <v>9</v>
      </c>
      <c r="L89" s="41">
        <v>10</v>
      </c>
      <c r="M89" s="174">
        <v>11</v>
      </c>
      <c r="N89" s="42">
        <v>12</v>
      </c>
      <c r="O89" s="41">
        <v>13</v>
      </c>
    </row>
    <row r="90" spans="1:19" s="34" customFormat="1" ht="16.5" thickBot="1">
      <c r="A90" s="175" t="s">
        <v>125</v>
      </c>
      <c r="B90" s="176"/>
      <c r="C90" s="177"/>
      <c r="D90" s="178"/>
      <c r="E90" s="179"/>
      <c r="F90" s="180"/>
      <c r="G90" s="177"/>
      <c r="H90" s="178"/>
      <c r="I90" s="181"/>
      <c r="J90" s="182"/>
      <c r="K90" s="183"/>
      <c r="L90" s="184"/>
      <c r="M90" s="185"/>
      <c r="N90" s="181"/>
      <c r="O90" s="184"/>
    </row>
    <row r="91" spans="1:19" s="34" customFormat="1" ht="32.25" thickBot="1">
      <c r="A91" s="186" t="s">
        <v>126</v>
      </c>
      <c r="B91" s="187"/>
      <c r="C91" s="188"/>
      <c r="D91" s="189"/>
      <c r="E91" s="190"/>
      <c r="F91" s="191"/>
      <c r="G91" s="188"/>
      <c r="H91" s="189"/>
      <c r="I91" s="190"/>
      <c r="J91" s="191"/>
      <c r="K91" s="188"/>
      <c r="L91" s="191"/>
      <c r="M91" s="192"/>
      <c r="N91" s="190"/>
      <c r="O91" s="189"/>
    </row>
    <row r="92" spans="1:19" s="34" customFormat="1" ht="15.75">
      <c r="A92" s="193" t="s">
        <v>127</v>
      </c>
      <c r="B92" s="194" t="s">
        <v>128</v>
      </c>
      <c r="C92" s="195"/>
      <c r="D92" s="196"/>
      <c r="E92" s="195">
        <f>[1]Лист1!$L$17/1000</f>
        <v>369.79</v>
      </c>
      <c r="F92" s="196">
        <f>[1]Лист1!$C$17/1000</f>
        <v>371.59680200000003</v>
      </c>
      <c r="G92" s="66"/>
      <c r="H92" s="196"/>
      <c r="I92" s="197" t="s">
        <v>105</v>
      </c>
      <c r="J92" s="198" t="s">
        <v>105</v>
      </c>
      <c r="K92" s="199" t="s">
        <v>105</v>
      </c>
      <c r="L92" s="200" t="s">
        <v>105</v>
      </c>
      <c r="M92" s="201" t="s">
        <v>105</v>
      </c>
      <c r="N92" s="199" t="s">
        <v>105</v>
      </c>
      <c r="O92" s="202" t="s">
        <v>105</v>
      </c>
    </row>
    <row r="93" spans="1:19" s="34" customFormat="1" ht="15.75">
      <c r="A93" s="100" t="s">
        <v>129</v>
      </c>
      <c r="B93" s="203" t="s">
        <v>130</v>
      </c>
      <c r="C93" s="204">
        <f t="shared" ref="C93:H93" si="16">IF(C92=0,0,ROUND(C47/(C92*10),2))</f>
        <v>0</v>
      </c>
      <c r="D93" s="205">
        <f t="shared" si="16"/>
        <v>0</v>
      </c>
      <c r="E93" s="204">
        <f t="shared" si="16"/>
        <v>5.09</v>
      </c>
      <c r="F93" s="205">
        <f t="shared" si="16"/>
        <v>5.5</v>
      </c>
      <c r="G93" s="204">
        <f t="shared" si="16"/>
        <v>0</v>
      </c>
      <c r="H93" s="205">
        <f t="shared" si="16"/>
        <v>0</v>
      </c>
      <c r="I93" s="206" t="s">
        <v>105</v>
      </c>
      <c r="J93" s="207" t="s">
        <v>105</v>
      </c>
      <c r="K93" s="208" t="s">
        <v>105</v>
      </c>
      <c r="L93" s="209" t="s">
        <v>105</v>
      </c>
      <c r="M93" s="210" t="s">
        <v>105</v>
      </c>
      <c r="N93" s="208" t="s">
        <v>105</v>
      </c>
      <c r="O93" s="207" t="s">
        <v>105</v>
      </c>
    </row>
    <row r="94" spans="1:19" s="34" customFormat="1" ht="15.75">
      <c r="A94" s="100" t="s">
        <v>131</v>
      </c>
      <c r="B94" s="203" t="s">
        <v>132</v>
      </c>
      <c r="C94" s="204">
        <f t="shared" ref="C94:H94" si="17">IF(C92=0,0,ROUND(C53/(C92*10),2))</f>
        <v>0</v>
      </c>
      <c r="D94" s="205">
        <f t="shared" si="17"/>
        <v>0</v>
      </c>
      <c r="E94" s="204">
        <f t="shared" si="17"/>
        <v>0</v>
      </c>
      <c r="F94" s="205">
        <f t="shared" si="17"/>
        <v>0</v>
      </c>
      <c r="G94" s="204">
        <f t="shared" si="17"/>
        <v>0</v>
      </c>
      <c r="H94" s="205">
        <f t="shared" si="17"/>
        <v>0</v>
      </c>
      <c r="I94" s="206" t="s">
        <v>105</v>
      </c>
      <c r="J94" s="207" t="s">
        <v>105</v>
      </c>
      <c r="K94" s="208" t="s">
        <v>105</v>
      </c>
      <c r="L94" s="209" t="s">
        <v>105</v>
      </c>
      <c r="M94" s="210" t="s">
        <v>105</v>
      </c>
      <c r="N94" s="208" t="s">
        <v>105</v>
      </c>
      <c r="O94" s="211" t="s">
        <v>105</v>
      </c>
    </row>
    <row r="95" spans="1:19" s="34" customFormat="1" ht="15.75">
      <c r="A95" s="100" t="s">
        <v>133</v>
      </c>
      <c r="B95" s="203" t="s">
        <v>134</v>
      </c>
      <c r="C95" s="204">
        <f t="shared" ref="C95:H95" si="18">C93-C94</f>
        <v>0</v>
      </c>
      <c r="D95" s="205">
        <f t="shared" si="18"/>
        <v>0</v>
      </c>
      <c r="E95" s="204">
        <f t="shared" si="18"/>
        <v>5.09</v>
      </c>
      <c r="F95" s="205">
        <f t="shared" si="18"/>
        <v>5.5</v>
      </c>
      <c r="G95" s="204">
        <f t="shared" si="18"/>
        <v>0</v>
      </c>
      <c r="H95" s="205">
        <f t="shared" si="18"/>
        <v>0</v>
      </c>
      <c r="I95" s="206" t="s">
        <v>105</v>
      </c>
      <c r="J95" s="207" t="s">
        <v>105</v>
      </c>
      <c r="K95" s="208" t="s">
        <v>105</v>
      </c>
      <c r="L95" s="209" t="s">
        <v>105</v>
      </c>
      <c r="M95" s="210" t="s">
        <v>105</v>
      </c>
      <c r="N95" s="208" t="s">
        <v>105</v>
      </c>
      <c r="O95" s="211" t="s">
        <v>105</v>
      </c>
    </row>
    <row r="96" spans="1:19" s="34" customFormat="1" ht="15.75">
      <c r="A96" s="100" t="s">
        <v>135</v>
      </c>
      <c r="B96" s="203" t="s">
        <v>136</v>
      </c>
      <c r="C96" s="204">
        <f t="shared" ref="C96:H96" si="19">IF(C92=0,0,ROUND(C69/(C92*10),2))</f>
        <v>0</v>
      </c>
      <c r="D96" s="205">
        <f t="shared" si="19"/>
        <v>0</v>
      </c>
      <c r="E96" s="204">
        <f t="shared" si="19"/>
        <v>6.35</v>
      </c>
      <c r="F96" s="205">
        <f t="shared" si="19"/>
        <v>6.27</v>
      </c>
      <c r="G96" s="204">
        <f t="shared" si="19"/>
        <v>0</v>
      </c>
      <c r="H96" s="205">
        <f t="shared" si="19"/>
        <v>0</v>
      </c>
      <c r="I96" s="206" t="s">
        <v>105</v>
      </c>
      <c r="J96" s="207" t="s">
        <v>105</v>
      </c>
      <c r="K96" s="208" t="s">
        <v>105</v>
      </c>
      <c r="L96" s="209" t="s">
        <v>105</v>
      </c>
      <c r="M96" s="210" t="s">
        <v>105</v>
      </c>
      <c r="N96" s="208" t="s">
        <v>105</v>
      </c>
      <c r="O96" s="211" t="s">
        <v>105</v>
      </c>
    </row>
    <row r="97" spans="1:16" s="34" customFormat="1" ht="15.75">
      <c r="A97" s="100" t="s">
        <v>137</v>
      </c>
      <c r="B97" s="203" t="s">
        <v>138</v>
      </c>
      <c r="C97" s="204">
        <f t="shared" ref="C97:H97" si="20">C96-C93</f>
        <v>0</v>
      </c>
      <c r="D97" s="205">
        <f t="shared" si="20"/>
        <v>0</v>
      </c>
      <c r="E97" s="204">
        <f t="shared" si="20"/>
        <v>1.2599999999999998</v>
      </c>
      <c r="F97" s="205">
        <f t="shared" si="20"/>
        <v>0.76999999999999957</v>
      </c>
      <c r="G97" s="204">
        <f t="shared" si="20"/>
        <v>0</v>
      </c>
      <c r="H97" s="205">
        <f t="shared" si="20"/>
        <v>0</v>
      </c>
      <c r="I97" s="206" t="s">
        <v>105</v>
      </c>
      <c r="J97" s="207" t="s">
        <v>105</v>
      </c>
      <c r="K97" s="208" t="s">
        <v>105</v>
      </c>
      <c r="L97" s="209" t="s">
        <v>105</v>
      </c>
      <c r="M97" s="210" t="s">
        <v>105</v>
      </c>
      <c r="N97" s="208" t="s">
        <v>105</v>
      </c>
      <c r="O97" s="211" t="s">
        <v>105</v>
      </c>
    </row>
    <row r="98" spans="1:16" s="34" customFormat="1" ht="15.75">
      <c r="A98" s="100" t="s">
        <v>139</v>
      </c>
      <c r="B98" s="203" t="s">
        <v>140</v>
      </c>
      <c r="C98" s="204">
        <f t="shared" ref="C98:L98" si="21">IF(C47=0,0,ROUND((C71/C47)*100,2))</f>
        <v>0</v>
      </c>
      <c r="D98" s="205">
        <f t="shared" si="21"/>
        <v>0</v>
      </c>
      <c r="E98" s="204">
        <f t="shared" si="21"/>
        <v>24.8</v>
      </c>
      <c r="F98" s="205">
        <f t="shared" si="21"/>
        <v>14.02</v>
      </c>
      <c r="G98" s="204">
        <f t="shared" si="21"/>
        <v>0</v>
      </c>
      <c r="H98" s="205">
        <f t="shared" si="21"/>
        <v>0</v>
      </c>
      <c r="I98" s="204">
        <f t="shared" si="21"/>
        <v>24.8</v>
      </c>
      <c r="J98" s="205">
        <f t="shared" si="21"/>
        <v>14.02</v>
      </c>
      <c r="K98" s="212">
        <f t="shared" si="21"/>
        <v>0</v>
      </c>
      <c r="L98" s="213">
        <f t="shared" si="21"/>
        <v>0</v>
      </c>
      <c r="M98" s="210" t="s">
        <v>105</v>
      </c>
      <c r="N98" s="208" t="s">
        <v>105</v>
      </c>
      <c r="O98" s="211" t="s">
        <v>105</v>
      </c>
    </row>
    <row r="99" spans="1:16" s="34" customFormat="1" ht="31.5">
      <c r="A99" s="103" t="s">
        <v>141</v>
      </c>
      <c r="B99" s="203" t="s">
        <v>142</v>
      </c>
      <c r="C99" s="58"/>
      <c r="D99" s="57"/>
      <c r="E99" s="58">
        <v>633</v>
      </c>
      <c r="F99" s="611">
        <v>602</v>
      </c>
      <c r="G99" s="58"/>
      <c r="H99" s="63"/>
      <c r="I99" s="64">
        <f>SUM(C99,E99,G99)</f>
        <v>633</v>
      </c>
      <c r="J99" s="65">
        <f>SUM(D99,F99,H99)</f>
        <v>602</v>
      </c>
      <c r="K99" s="59"/>
      <c r="L99" s="60"/>
      <c r="M99" s="102"/>
      <c r="N99" s="98">
        <f>SUM(I99,K99)</f>
        <v>633</v>
      </c>
      <c r="O99" s="65">
        <f>SUM(J99,L99,M99)</f>
        <v>602</v>
      </c>
    </row>
    <row r="100" spans="1:16" s="34" customFormat="1" ht="31.5">
      <c r="A100" s="147" t="s">
        <v>143</v>
      </c>
      <c r="B100" s="203" t="s">
        <v>144</v>
      </c>
      <c r="C100" s="64">
        <f t="shared" ref="C100:O100" si="22">IF(C99=0,0,IF($F3=0, 0,ROUND(C58/C99/$F3*1000,0)))</f>
        <v>0</v>
      </c>
      <c r="D100" s="126">
        <f t="shared" si="22"/>
        <v>0</v>
      </c>
      <c r="E100" s="64">
        <f t="shared" si="22"/>
        <v>3881</v>
      </c>
      <c r="F100" s="126">
        <f t="shared" si="22"/>
        <v>4384</v>
      </c>
      <c r="G100" s="64">
        <f t="shared" si="22"/>
        <v>0</v>
      </c>
      <c r="H100" s="126">
        <f t="shared" si="22"/>
        <v>0</v>
      </c>
      <c r="I100" s="64">
        <f t="shared" si="22"/>
        <v>3881</v>
      </c>
      <c r="J100" s="126">
        <f t="shared" si="22"/>
        <v>4384</v>
      </c>
      <c r="K100" s="98">
        <f t="shared" si="22"/>
        <v>0</v>
      </c>
      <c r="L100" s="140">
        <f t="shared" si="22"/>
        <v>0</v>
      </c>
      <c r="M100" s="127">
        <f t="shared" si="22"/>
        <v>0</v>
      </c>
      <c r="N100" s="98">
        <f t="shared" si="22"/>
        <v>3881</v>
      </c>
      <c r="O100" s="126">
        <f t="shared" si="22"/>
        <v>4485</v>
      </c>
    </row>
    <row r="101" spans="1:16" s="34" customFormat="1" ht="15.75">
      <c r="A101" s="100" t="s">
        <v>145</v>
      </c>
      <c r="B101" s="203" t="s">
        <v>146</v>
      </c>
      <c r="C101" s="141" t="s">
        <v>105</v>
      </c>
      <c r="D101" s="142" t="s">
        <v>105</v>
      </c>
      <c r="E101" s="141" t="s">
        <v>105</v>
      </c>
      <c r="F101" s="142" t="s">
        <v>105</v>
      </c>
      <c r="G101" s="141" t="s">
        <v>105</v>
      </c>
      <c r="H101" s="145" t="s">
        <v>105</v>
      </c>
      <c r="I101" s="159" t="s">
        <v>105</v>
      </c>
      <c r="J101" s="214" t="s">
        <v>105</v>
      </c>
      <c r="K101" s="143" t="s">
        <v>105</v>
      </c>
      <c r="L101" s="144" t="s">
        <v>105</v>
      </c>
      <c r="M101" s="139" t="s">
        <v>105</v>
      </c>
      <c r="N101" s="59"/>
      <c r="O101" s="611">
        <v>262636</v>
      </c>
    </row>
    <row r="102" spans="1:16" s="34" customFormat="1" ht="15.75">
      <c r="A102" s="100" t="s">
        <v>147</v>
      </c>
      <c r="B102" s="203" t="s">
        <v>148</v>
      </c>
      <c r="C102" s="141" t="s">
        <v>105</v>
      </c>
      <c r="D102" s="142" t="s">
        <v>105</v>
      </c>
      <c r="E102" s="141" t="s">
        <v>105</v>
      </c>
      <c r="F102" s="142" t="s">
        <v>105</v>
      </c>
      <c r="G102" s="141" t="s">
        <v>105</v>
      </c>
      <c r="H102" s="145" t="s">
        <v>105</v>
      </c>
      <c r="I102" s="159" t="s">
        <v>105</v>
      </c>
      <c r="J102" s="214" t="s">
        <v>105</v>
      </c>
      <c r="K102" s="143" t="s">
        <v>105</v>
      </c>
      <c r="L102" s="144" t="s">
        <v>105</v>
      </c>
      <c r="M102" s="139" t="s">
        <v>105</v>
      </c>
      <c r="N102" s="59"/>
      <c r="O102" s="611"/>
    </row>
    <row r="103" spans="1:16" s="34" customFormat="1" ht="15.75">
      <c r="A103" s="100" t="s">
        <v>149</v>
      </c>
      <c r="B103" s="203" t="s">
        <v>150</v>
      </c>
      <c r="C103" s="141" t="s">
        <v>105</v>
      </c>
      <c r="D103" s="142" t="s">
        <v>105</v>
      </c>
      <c r="E103" s="141" t="s">
        <v>105</v>
      </c>
      <c r="F103" s="142" t="s">
        <v>105</v>
      </c>
      <c r="G103" s="141" t="s">
        <v>105</v>
      </c>
      <c r="H103" s="145" t="s">
        <v>105</v>
      </c>
      <c r="I103" s="159" t="s">
        <v>105</v>
      </c>
      <c r="J103" s="214" t="s">
        <v>105</v>
      </c>
      <c r="K103" s="143" t="s">
        <v>105</v>
      </c>
      <c r="L103" s="144" t="s">
        <v>105</v>
      </c>
      <c r="M103" s="139" t="s">
        <v>105</v>
      </c>
      <c r="N103" s="59"/>
      <c r="O103" s="611">
        <f>262636-109604</f>
        <v>153032</v>
      </c>
    </row>
    <row r="104" spans="1:16" s="34" customFormat="1" ht="15.75">
      <c r="A104" s="100" t="s">
        <v>147</v>
      </c>
      <c r="B104" s="215" t="s">
        <v>151</v>
      </c>
      <c r="C104" s="141" t="s">
        <v>105</v>
      </c>
      <c r="D104" s="142" t="s">
        <v>105</v>
      </c>
      <c r="E104" s="141" t="s">
        <v>105</v>
      </c>
      <c r="F104" s="142" t="s">
        <v>105</v>
      </c>
      <c r="G104" s="141" t="s">
        <v>105</v>
      </c>
      <c r="H104" s="145" t="s">
        <v>105</v>
      </c>
      <c r="I104" s="159" t="s">
        <v>105</v>
      </c>
      <c r="J104" s="214" t="s">
        <v>105</v>
      </c>
      <c r="K104" s="143" t="s">
        <v>105</v>
      </c>
      <c r="L104" s="144" t="s">
        <v>105</v>
      </c>
      <c r="M104" s="139" t="s">
        <v>105</v>
      </c>
      <c r="N104" s="59"/>
      <c r="O104" s="63"/>
    </row>
    <row r="105" spans="1:16" s="34" customFormat="1" ht="15.75">
      <c r="A105" s="100" t="s">
        <v>152</v>
      </c>
      <c r="B105" s="215" t="s">
        <v>153</v>
      </c>
      <c r="C105" s="141" t="s">
        <v>105</v>
      </c>
      <c r="D105" s="145" t="s">
        <v>105</v>
      </c>
      <c r="E105" s="141" t="s">
        <v>105</v>
      </c>
      <c r="F105" s="145" t="s">
        <v>105</v>
      </c>
      <c r="G105" s="141" t="s">
        <v>105</v>
      </c>
      <c r="H105" s="145" t="s">
        <v>105</v>
      </c>
      <c r="I105" s="141" t="s">
        <v>105</v>
      </c>
      <c r="J105" s="145" t="s">
        <v>105</v>
      </c>
      <c r="K105" s="143" t="s">
        <v>105</v>
      </c>
      <c r="L105" s="144" t="s">
        <v>105</v>
      </c>
      <c r="M105" s="139" t="s">
        <v>105</v>
      </c>
      <c r="N105" s="98">
        <f>N101-N103</f>
        <v>0</v>
      </c>
      <c r="O105" s="65">
        <f>O101-O103</f>
        <v>109604</v>
      </c>
      <c r="P105" s="125"/>
    </row>
    <row r="106" spans="1:16" s="34" customFormat="1" ht="15.75">
      <c r="A106" s="100" t="s">
        <v>147</v>
      </c>
      <c r="B106" s="216" t="s">
        <v>154</v>
      </c>
      <c r="C106" s="217" t="s">
        <v>105</v>
      </c>
      <c r="D106" s="218" t="s">
        <v>105</v>
      </c>
      <c r="E106" s="217" t="s">
        <v>105</v>
      </c>
      <c r="F106" s="218" t="s">
        <v>105</v>
      </c>
      <c r="G106" s="217" t="s">
        <v>105</v>
      </c>
      <c r="H106" s="219" t="s">
        <v>105</v>
      </c>
      <c r="I106" s="141" t="s">
        <v>105</v>
      </c>
      <c r="J106" s="145" t="s">
        <v>105</v>
      </c>
      <c r="K106" s="220" t="s">
        <v>105</v>
      </c>
      <c r="L106" s="221" t="s">
        <v>105</v>
      </c>
      <c r="M106" s="222" t="s">
        <v>105</v>
      </c>
      <c r="N106" s="98">
        <f>N102-N104</f>
        <v>0</v>
      </c>
      <c r="O106" s="65">
        <f>O102-O104</f>
        <v>0</v>
      </c>
    </row>
    <row r="107" spans="1:16" s="34" customFormat="1" ht="15.75">
      <c r="A107" s="223" t="s">
        <v>155</v>
      </c>
      <c r="B107" s="224" t="s">
        <v>156</v>
      </c>
      <c r="C107" s="217" t="s">
        <v>105</v>
      </c>
      <c r="D107" s="218" t="s">
        <v>105</v>
      </c>
      <c r="E107" s="217" t="s">
        <v>105</v>
      </c>
      <c r="F107" s="218" t="s">
        <v>105</v>
      </c>
      <c r="G107" s="217" t="s">
        <v>105</v>
      </c>
      <c r="H107" s="219" t="s">
        <v>105</v>
      </c>
      <c r="I107" s="141" t="s">
        <v>105</v>
      </c>
      <c r="J107" s="145" t="s">
        <v>105</v>
      </c>
      <c r="K107" s="220" t="s">
        <v>105</v>
      </c>
      <c r="L107" s="221" t="s">
        <v>105</v>
      </c>
      <c r="M107" s="222" t="s">
        <v>105</v>
      </c>
      <c r="N107" s="59"/>
      <c r="O107" s="63">
        <v>195654</v>
      </c>
    </row>
    <row r="108" spans="1:16" s="34" customFormat="1" ht="16.5" thickBot="1">
      <c r="A108" s="100" t="s">
        <v>157</v>
      </c>
      <c r="B108" s="203" t="s">
        <v>158</v>
      </c>
      <c r="C108" s="225" t="s">
        <v>105</v>
      </c>
      <c r="D108" s="226" t="s">
        <v>105</v>
      </c>
      <c r="E108" s="225" t="s">
        <v>105</v>
      </c>
      <c r="F108" s="226" t="s">
        <v>105</v>
      </c>
      <c r="G108" s="225" t="s">
        <v>105</v>
      </c>
      <c r="H108" s="226" t="s">
        <v>105</v>
      </c>
      <c r="I108" s="225" t="s">
        <v>105</v>
      </c>
      <c r="J108" s="226" t="s">
        <v>105</v>
      </c>
      <c r="K108" s="208" t="s">
        <v>105</v>
      </c>
      <c r="L108" s="227" t="s">
        <v>105</v>
      </c>
      <c r="M108" s="228" t="s">
        <v>105</v>
      </c>
      <c r="N108" s="229" t="s">
        <v>105</v>
      </c>
      <c r="O108" s="230">
        <f>IF(O107=0,0,ROUND((O87/O107)*100,2))</f>
        <v>2.35</v>
      </c>
    </row>
    <row r="109" spans="1:16" s="34" customFormat="1" ht="16.5" thickBot="1">
      <c r="A109" s="231" t="s">
        <v>159</v>
      </c>
      <c r="B109" s="187" t="s">
        <v>13</v>
      </c>
      <c r="C109" s="232"/>
      <c r="D109" s="233"/>
      <c r="E109" s="234"/>
      <c r="F109" s="235"/>
      <c r="G109" s="236"/>
      <c r="H109" s="237"/>
      <c r="I109" s="234"/>
      <c r="J109" s="238"/>
      <c r="K109" s="232"/>
      <c r="L109" s="239"/>
      <c r="M109" s="240"/>
      <c r="N109" s="241"/>
      <c r="O109" s="233"/>
    </row>
    <row r="110" spans="1:16" s="34" customFormat="1" ht="15.75">
      <c r="A110" s="242" t="s">
        <v>160</v>
      </c>
      <c r="B110" s="243" t="s">
        <v>161</v>
      </c>
      <c r="C110" s="244" t="s">
        <v>105</v>
      </c>
      <c r="D110" s="245" t="s">
        <v>105</v>
      </c>
      <c r="E110" s="246" t="s">
        <v>105</v>
      </c>
      <c r="F110" s="247" t="s">
        <v>105</v>
      </c>
      <c r="G110" s="244" t="s">
        <v>105</v>
      </c>
      <c r="H110" s="248" t="s">
        <v>105</v>
      </c>
      <c r="I110" s="249"/>
      <c r="J110" s="250"/>
      <c r="K110" s="195"/>
      <c r="L110" s="251"/>
      <c r="M110" s="252" t="s">
        <v>105</v>
      </c>
      <c r="N110" s="246" t="s">
        <v>105</v>
      </c>
      <c r="O110" s="245" t="s">
        <v>105</v>
      </c>
    </row>
    <row r="111" spans="1:16" s="34" customFormat="1" ht="15.75">
      <c r="A111" s="253" t="s">
        <v>162</v>
      </c>
      <c r="B111" s="254" t="s">
        <v>163</v>
      </c>
      <c r="C111" s="255" t="s">
        <v>105</v>
      </c>
      <c r="D111" s="256" t="s">
        <v>105</v>
      </c>
      <c r="E111" s="257" t="s">
        <v>105</v>
      </c>
      <c r="F111" s="258" t="s">
        <v>105</v>
      </c>
      <c r="G111" s="259" t="s">
        <v>105</v>
      </c>
      <c r="H111" s="260" t="s">
        <v>105</v>
      </c>
      <c r="I111" s="261"/>
      <c r="J111" s="262"/>
      <c r="K111" s="255" t="s">
        <v>105</v>
      </c>
      <c r="L111" s="260" t="s">
        <v>105</v>
      </c>
      <c r="M111" s="263" t="s">
        <v>105</v>
      </c>
      <c r="N111" s="257" t="s">
        <v>105</v>
      </c>
      <c r="O111" s="256" t="s">
        <v>105</v>
      </c>
    </row>
    <row r="112" spans="1:16" s="34" customFormat="1" ht="16.5" thickBot="1">
      <c r="A112" s="264" t="s">
        <v>164</v>
      </c>
      <c r="B112" s="265" t="s">
        <v>165</v>
      </c>
      <c r="C112" s="266" t="s">
        <v>105</v>
      </c>
      <c r="D112" s="267" t="s">
        <v>105</v>
      </c>
      <c r="E112" s="268" t="s">
        <v>105</v>
      </c>
      <c r="F112" s="269" t="s">
        <v>105</v>
      </c>
      <c r="G112" s="270" t="s">
        <v>105</v>
      </c>
      <c r="H112" s="271" t="s">
        <v>105</v>
      </c>
      <c r="I112" s="272">
        <f>IF(I110=0,0,ROUND(I72/(I110*10),2))</f>
        <v>0</v>
      </c>
      <c r="J112" s="273">
        <f>IF(J110=0,0,ROUND(J72/(J110*10),2))</f>
        <v>0</v>
      </c>
      <c r="K112" s="274">
        <f>IF(K110=0,0,ROUND(K72/(K110*10),2))</f>
        <v>0</v>
      </c>
      <c r="L112" s="230">
        <f>IF(L110=0,0,ROUND(L72/(L110*10),2))</f>
        <v>0</v>
      </c>
      <c r="M112" s="275" t="s">
        <v>105</v>
      </c>
      <c r="N112" s="268" t="s">
        <v>105</v>
      </c>
      <c r="O112" s="267" t="s">
        <v>105</v>
      </c>
    </row>
    <row r="113" spans="1:18" s="34" customFormat="1" ht="15.75">
      <c r="A113" s="276" t="s">
        <v>166</v>
      </c>
      <c r="B113" s="277" t="s">
        <v>167</v>
      </c>
      <c r="C113" s="278" t="s">
        <v>105</v>
      </c>
      <c r="D113" s="245" t="s">
        <v>105</v>
      </c>
      <c r="E113" s="246" t="s">
        <v>105</v>
      </c>
      <c r="F113" s="247" t="s">
        <v>105</v>
      </c>
      <c r="G113" s="244" t="s">
        <v>105</v>
      </c>
      <c r="H113" s="248" t="s">
        <v>105</v>
      </c>
      <c r="I113" s="249"/>
      <c r="J113" s="250"/>
      <c r="K113" s="195"/>
      <c r="L113" s="251"/>
      <c r="M113" s="279" t="s">
        <v>105</v>
      </c>
      <c r="N113" s="246" t="s">
        <v>105</v>
      </c>
      <c r="O113" s="245" t="s">
        <v>105</v>
      </c>
    </row>
    <row r="114" spans="1:18" s="34" customFormat="1" ht="15.75">
      <c r="A114" s="100" t="s">
        <v>168</v>
      </c>
      <c r="B114" s="215" t="s">
        <v>169</v>
      </c>
      <c r="C114" s="280" t="s">
        <v>105</v>
      </c>
      <c r="D114" s="281" t="s">
        <v>105</v>
      </c>
      <c r="E114" s="282" t="s">
        <v>105</v>
      </c>
      <c r="F114" s="283" t="s">
        <v>105</v>
      </c>
      <c r="G114" s="284" t="s">
        <v>105</v>
      </c>
      <c r="H114" s="281" t="s">
        <v>105</v>
      </c>
      <c r="I114" s="261"/>
      <c r="J114" s="262"/>
      <c r="K114" s="285"/>
      <c r="L114" s="286"/>
      <c r="M114" s="287" t="s">
        <v>105</v>
      </c>
      <c r="N114" s="282" t="s">
        <v>105</v>
      </c>
      <c r="O114" s="281" t="s">
        <v>105</v>
      </c>
    </row>
    <row r="115" spans="1:18" s="34" customFormat="1" ht="15.75">
      <c r="A115" s="100" t="s">
        <v>170</v>
      </c>
      <c r="B115" s="203" t="s">
        <v>171</v>
      </c>
      <c r="C115" s="280" t="s">
        <v>105</v>
      </c>
      <c r="D115" s="281" t="s">
        <v>105</v>
      </c>
      <c r="E115" s="282" t="s">
        <v>105</v>
      </c>
      <c r="F115" s="283" t="s">
        <v>105</v>
      </c>
      <c r="G115" s="284" t="s">
        <v>105</v>
      </c>
      <c r="H115" s="281" t="s">
        <v>105</v>
      </c>
      <c r="I115" s="212">
        <f>IF(I113=0,0,ROUND(I73/(I113*10),2))</f>
        <v>0</v>
      </c>
      <c r="J115" s="288">
        <f>IF(J113=0,0,ROUND(J73/(J113*10),2))</f>
        <v>0</v>
      </c>
      <c r="K115" s="204">
        <f>IF(K113=0,0,ROUND(K73/K113,2))</f>
        <v>0</v>
      </c>
      <c r="L115" s="289">
        <f>IF(L113=0,0,ROUND(L73/L113,2))</f>
        <v>0</v>
      </c>
      <c r="M115" s="287" t="s">
        <v>105</v>
      </c>
      <c r="N115" s="282" t="s">
        <v>105</v>
      </c>
      <c r="O115" s="281" t="s">
        <v>105</v>
      </c>
    </row>
    <row r="116" spans="1:18" s="34" customFormat="1" ht="15.75">
      <c r="A116" s="100" t="s">
        <v>172</v>
      </c>
      <c r="B116" s="203" t="s">
        <v>173</v>
      </c>
      <c r="C116" s="290" t="s">
        <v>105</v>
      </c>
      <c r="D116" s="281" t="s">
        <v>105</v>
      </c>
      <c r="E116" s="282" t="s">
        <v>105</v>
      </c>
      <c r="F116" s="283" t="s">
        <v>105</v>
      </c>
      <c r="G116" s="284" t="s">
        <v>105</v>
      </c>
      <c r="H116" s="281" t="s">
        <v>105</v>
      </c>
      <c r="I116" s="212">
        <f>IF(I113=0,0,ROUND(I53/(I113*10),2))</f>
        <v>0</v>
      </c>
      <c r="J116" s="288">
        <f>IF(J113=0,0,ROUND(J53/(J113*10),2))</f>
        <v>0</v>
      </c>
      <c r="K116" s="204">
        <f>IF(K113=0,0,ROUND(K53/K113,2))</f>
        <v>0</v>
      </c>
      <c r="L116" s="289">
        <f>IF(L113=0,0,ROUND(L53/L113,2))</f>
        <v>0</v>
      </c>
      <c r="M116" s="291" t="s">
        <v>105</v>
      </c>
      <c r="N116" s="282" t="s">
        <v>105</v>
      </c>
      <c r="O116" s="281" t="s">
        <v>105</v>
      </c>
    </row>
    <row r="117" spans="1:18" s="34" customFormat="1" ht="31.5">
      <c r="A117" s="103" t="s">
        <v>174</v>
      </c>
      <c r="B117" s="203" t="s">
        <v>175</v>
      </c>
      <c r="C117" s="290" t="s">
        <v>105</v>
      </c>
      <c r="D117" s="281" t="s">
        <v>105</v>
      </c>
      <c r="E117" s="282" t="s">
        <v>105</v>
      </c>
      <c r="F117" s="283" t="s">
        <v>105</v>
      </c>
      <c r="G117" s="284" t="s">
        <v>105</v>
      </c>
      <c r="H117" s="281" t="s">
        <v>105</v>
      </c>
      <c r="I117" s="212">
        <f>IF(I110=0,0,ROUND(I72/(I110*10),2))</f>
        <v>0</v>
      </c>
      <c r="J117" s="288">
        <f>IF(J110=0,0,ROUND(J72/(J110*10),2))</f>
        <v>0</v>
      </c>
      <c r="K117" s="204">
        <f>IF(K110=0,0,ROUND(K72/K110,2))</f>
        <v>0</v>
      </c>
      <c r="L117" s="289">
        <f>IF(L110=0,0,ROUND(L72/L110,2))</f>
        <v>0</v>
      </c>
      <c r="M117" s="291" t="s">
        <v>105</v>
      </c>
      <c r="N117" s="282" t="s">
        <v>105</v>
      </c>
      <c r="O117" s="281" t="s">
        <v>105</v>
      </c>
    </row>
    <row r="118" spans="1:18" s="34" customFormat="1" ht="15.75">
      <c r="A118" s="155" t="s">
        <v>176</v>
      </c>
      <c r="B118" s="203" t="s">
        <v>177</v>
      </c>
      <c r="C118" s="290" t="s">
        <v>105</v>
      </c>
      <c r="D118" s="281" t="s">
        <v>105</v>
      </c>
      <c r="E118" s="282" t="s">
        <v>105</v>
      </c>
      <c r="F118" s="283" t="s">
        <v>105</v>
      </c>
      <c r="G118" s="284" t="s">
        <v>105</v>
      </c>
      <c r="H118" s="281" t="s">
        <v>105</v>
      </c>
      <c r="I118" s="212">
        <f>I115-I116-I117</f>
        <v>0</v>
      </c>
      <c r="J118" s="288">
        <f>J115-J116-J117</f>
        <v>0</v>
      </c>
      <c r="K118" s="204">
        <f>K115-K116-K117</f>
        <v>0</v>
      </c>
      <c r="L118" s="289">
        <f>L115-L116-L117</f>
        <v>0</v>
      </c>
      <c r="M118" s="291" t="s">
        <v>105</v>
      </c>
      <c r="N118" s="282" t="s">
        <v>105</v>
      </c>
      <c r="O118" s="281" t="s">
        <v>105</v>
      </c>
    </row>
    <row r="119" spans="1:18" s="34" customFormat="1" ht="15.75">
      <c r="A119" s="155" t="s">
        <v>178</v>
      </c>
      <c r="B119" s="203" t="s">
        <v>179</v>
      </c>
      <c r="C119" s="290" t="s">
        <v>105</v>
      </c>
      <c r="D119" s="281" t="s">
        <v>105</v>
      </c>
      <c r="E119" s="282" t="s">
        <v>105</v>
      </c>
      <c r="F119" s="283" t="s">
        <v>105</v>
      </c>
      <c r="G119" s="284" t="s">
        <v>105</v>
      </c>
      <c r="H119" s="281" t="s">
        <v>105</v>
      </c>
      <c r="I119" s="212">
        <f>IF(I113=0,0,ROUND(I74/(I113*10),2))</f>
        <v>0</v>
      </c>
      <c r="J119" s="288">
        <f>IF(J113=0,0,ROUND(J74/(J113*10),2))</f>
        <v>0</v>
      </c>
      <c r="K119" s="204">
        <f>IF(K113=0,0,ROUND(K74/K113,2))</f>
        <v>0</v>
      </c>
      <c r="L119" s="289">
        <f>IF(L113=0,0,ROUND(L74/L113,2))</f>
        <v>0</v>
      </c>
      <c r="M119" s="291" t="s">
        <v>105</v>
      </c>
      <c r="N119" s="282" t="s">
        <v>105</v>
      </c>
      <c r="O119" s="281" t="s">
        <v>105</v>
      </c>
    </row>
    <row r="120" spans="1:18" s="34" customFormat="1" ht="15.75">
      <c r="A120" s="100" t="s">
        <v>180</v>
      </c>
      <c r="B120" s="203" t="s">
        <v>181</v>
      </c>
      <c r="C120" s="290" t="s">
        <v>105</v>
      </c>
      <c r="D120" s="281" t="s">
        <v>105</v>
      </c>
      <c r="E120" s="282" t="s">
        <v>105</v>
      </c>
      <c r="F120" s="283" t="s">
        <v>105</v>
      </c>
      <c r="G120" s="284" t="s">
        <v>105</v>
      </c>
      <c r="H120" s="292" t="s">
        <v>105</v>
      </c>
      <c r="I120" s="293"/>
      <c r="J120" s="294"/>
      <c r="K120" s="295"/>
      <c r="L120" s="296"/>
      <c r="M120" s="291" t="s">
        <v>105</v>
      </c>
      <c r="N120" s="282" t="s">
        <v>105</v>
      </c>
      <c r="O120" s="281" t="s">
        <v>105</v>
      </c>
    </row>
    <row r="121" spans="1:18" s="34" customFormat="1" ht="15.75">
      <c r="A121" s="155" t="s">
        <v>182</v>
      </c>
      <c r="B121" s="203" t="s">
        <v>183</v>
      </c>
      <c r="C121" s="290" t="s">
        <v>105</v>
      </c>
      <c r="D121" s="281" t="s">
        <v>105</v>
      </c>
      <c r="E121" s="282" t="s">
        <v>105</v>
      </c>
      <c r="F121" s="283" t="s">
        <v>105</v>
      </c>
      <c r="G121" s="284" t="s">
        <v>105</v>
      </c>
      <c r="H121" s="281" t="s">
        <v>105</v>
      </c>
      <c r="I121" s="212">
        <f>I119-I115</f>
        <v>0</v>
      </c>
      <c r="J121" s="288">
        <f>J119-J115</f>
        <v>0</v>
      </c>
      <c r="K121" s="204">
        <f>K119-K115</f>
        <v>0</v>
      </c>
      <c r="L121" s="289">
        <f>L119-L115</f>
        <v>0</v>
      </c>
      <c r="M121" s="291" t="s">
        <v>105</v>
      </c>
      <c r="N121" s="282" t="s">
        <v>105</v>
      </c>
      <c r="O121" s="281" t="s">
        <v>105</v>
      </c>
    </row>
    <row r="122" spans="1:18" s="34" customFormat="1" ht="16.5" thickBot="1">
      <c r="A122" s="297" t="s">
        <v>184</v>
      </c>
      <c r="B122" s="265" t="s">
        <v>185</v>
      </c>
      <c r="C122" s="266" t="s">
        <v>105</v>
      </c>
      <c r="D122" s="267" t="s">
        <v>105</v>
      </c>
      <c r="E122" s="268" t="s">
        <v>105</v>
      </c>
      <c r="F122" s="269" t="s">
        <v>105</v>
      </c>
      <c r="G122" s="270" t="s">
        <v>105</v>
      </c>
      <c r="H122" s="267" t="s">
        <v>105</v>
      </c>
      <c r="I122" s="272">
        <f>IF(I73=0,0,ROUND((I77/I73)*100,2))</f>
        <v>31.76</v>
      </c>
      <c r="J122" s="298">
        <f>IF(J73=0,0,ROUND((J77/J73)*100,2))</f>
        <v>21.56</v>
      </c>
      <c r="K122" s="274">
        <f>IF(K73=0,0,ROUND((K77/K73)*100,2))</f>
        <v>0</v>
      </c>
      <c r="L122" s="299">
        <f>IF(L73=0,0,ROUND((L77/L73)*100,2))</f>
        <v>0</v>
      </c>
      <c r="M122" s="275" t="s">
        <v>105</v>
      </c>
      <c r="N122" s="268" t="s">
        <v>105</v>
      </c>
      <c r="O122" s="267" t="s">
        <v>105</v>
      </c>
    </row>
    <row r="123" spans="1:18" s="34" customFormat="1" ht="16.5" thickBot="1">
      <c r="A123" s="231" t="s">
        <v>186</v>
      </c>
      <c r="B123" s="187" t="s">
        <v>13</v>
      </c>
      <c r="C123" s="232"/>
      <c r="D123" s="233"/>
      <c r="E123" s="234"/>
      <c r="F123" s="235"/>
      <c r="G123" s="236"/>
      <c r="H123" s="237"/>
      <c r="I123" s="234"/>
      <c r="J123" s="238"/>
      <c r="K123" s="232"/>
      <c r="L123" s="239"/>
      <c r="M123" s="187"/>
      <c r="N123" s="241"/>
      <c r="O123" s="233"/>
    </row>
    <row r="124" spans="1:18" s="34" customFormat="1" ht="15.75">
      <c r="A124" s="46" t="s">
        <v>187</v>
      </c>
      <c r="B124" s="94">
        <v>660</v>
      </c>
      <c r="C124" s="300"/>
      <c r="D124" s="301"/>
      <c r="E124" s="613">
        <f>N60</f>
        <v>3356</v>
      </c>
      <c r="F124" s="614">
        <f>O60</f>
        <v>7221.9121500000001</v>
      </c>
      <c r="G124" s="300"/>
      <c r="H124" s="301"/>
      <c r="I124" s="302">
        <f>SUM(C124,E124,G124)</f>
        <v>3356</v>
      </c>
      <c r="J124" s="303">
        <f>SUM(D124,F124,H124)</f>
        <v>7221.9121500000001</v>
      </c>
      <c r="K124" s="300"/>
      <c r="L124" s="304"/>
      <c r="M124" s="240"/>
      <c r="N124" s="302">
        <f>C124+E124+G124+K124</f>
        <v>3356</v>
      </c>
      <c r="O124" s="305">
        <f>D124+F124+H124+L124+M124</f>
        <v>7221.9121500000001</v>
      </c>
    </row>
    <row r="125" spans="1:18" s="34" customFormat="1" ht="16.5" thickBot="1">
      <c r="A125" s="306" t="s">
        <v>188</v>
      </c>
      <c r="B125" s="307">
        <v>680</v>
      </c>
      <c r="C125" s="266" t="s">
        <v>105</v>
      </c>
      <c r="D125" s="267" t="s">
        <v>105</v>
      </c>
      <c r="E125" s="268" t="s">
        <v>105</v>
      </c>
      <c r="F125" s="269" t="s">
        <v>105</v>
      </c>
      <c r="G125" s="270" t="s">
        <v>105</v>
      </c>
      <c r="H125" s="267" t="s">
        <v>105</v>
      </c>
      <c r="I125" s="266" t="s">
        <v>105</v>
      </c>
      <c r="J125" s="267" t="s">
        <v>105</v>
      </c>
      <c r="K125" s="268" t="s">
        <v>105</v>
      </c>
      <c r="L125" s="269" t="s">
        <v>105</v>
      </c>
      <c r="M125" s="308" t="s">
        <v>105</v>
      </c>
      <c r="N125" s="309" t="s">
        <v>105</v>
      </c>
      <c r="O125" s="612"/>
    </row>
    <row r="126" spans="1:18" s="34" customFormat="1" ht="15.75">
      <c r="A126" s="310"/>
      <c r="B126" s="311"/>
      <c r="C126" s="312"/>
      <c r="D126" s="312"/>
      <c r="E126" s="312"/>
      <c r="F126" s="312"/>
      <c r="G126" s="312"/>
      <c r="H126" s="312"/>
      <c r="I126" s="313"/>
      <c r="J126" s="313"/>
      <c r="K126" s="312"/>
      <c r="L126" s="312"/>
      <c r="M126" s="314"/>
      <c r="N126" s="313"/>
      <c r="O126" s="313"/>
    </row>
    <row r="127" spans="1:18" s="34" customFormat="1" ht="15.75">
      <c r="A127" s="532" t="s">
        <v>189</v>
      </c>
      <c r="B127" s="315"/>
      <c r="C127" s="316"/>
      <c r="D127" s="316"/>
      <c r="E127" s="533" t="s">
        <v>190</v>
      </c>
      <c r="F127" s="533"/>
      <c r="G127" s="316"/>
      <c r="H127" s="316"/>
      <c r="I127" s="315" t="s">
        <v>191</v>
      </c>
      <c r="J127" s="317"/>
      <c r="K127" s="317"/>
      <c r="L127" s="318"/>
      <c r="M127" s="319"/>
      <c r="N127" s="319"/>
      <c r="O127" s="319"/>
      <c r="P127" s="320"/>
      <c r="Q127" s="320"/>
      <c r="R127" s="320"/>
    </row>
    <row r="128" spans="1:18" s="34" customFormat="1" ht="15.75">
      <c r="A128" s="532"/>
      <c r="B128" s="317"/>
      <c r="C128" s="534" t="s">
        <v>192</v>
      </c>
      <c r="D128" s="534"/>
      <c r="E128" s="533"/>
      <c r="F128" s="533"/>
      <c r="G128" s="534" t="s">
        <v>193</v>
      </c>
      <c r="H128" s="534"/>
      <c r="I128" s="533"/>
      <c r="J128" s="533"/>
      <c r="K128" s="533"/>
      <c r="L128" s="318"/>
      <c r="M128" s="319"/>
      <c r="N128" s="319"/>
      <c r="O128" s="321"/>
      <c r="P128" s="320"/>
      <c r="Q128" s="320"/>
      <c r="R128" s="320"/>
    </row>
    <row r="129" spans="1:18" s="34" customFormat="1" ht="15.75">
      <c r="A129" s="532" t="s">
        <v>194</v>
      </c>
      <c r="B129" s="315"/>
      <c r="C129" s="316"/>
      <c r="D129" s="316"/>
      <c r="E129" s="533"/>
      <c r="F129" s="533"/>
      <c r="G129" s="316"/>
      <c r="H129" s="316"/>
      <c r="I129" s="315" t="s">
        <v>191</v>
      </c>
      <c r="J129" s="317"/>
      <c r="K129" s="317"/>
      <c r="L129" s="318"/>
      <c r="M129" s="322"/>
      <c r="N129" s="319"/>
      <c r="O129" s="321"/>
      <c r="P129" s="320"/>
      <c r="Q129" s="320"/>
      <c r="R129" s="320"/>
    </row>
    <row r="130" spans="1:18" s="34" customFormat="1" ht="15.75">
      <c r="A130" s="532"/>
      <c r="B130" s="317"/>
      <c r="C130" s="534" t="s">
        <v>192</v>
      </c>
      <c r="D130" s="534"/>
      <c r="E130" s="317"/>
      <c r="F130" s="317"/>
      <c r="G130" s="534" t="s">
        <v>193</v>
      </c>
      <c r="H130" s="534"/>
      <c r="I130" s="533"/>
      <c r="J130" s="533"/>
      <c r="K130" s="533"/>
      <c r="L130" s="318"/>
      <c r="M130" s="319"/>
      <c r="N130" s="319"/>
      <c r="O130" s="319"/>
      <c r="P130" s="320"/>
      <c r="Q130" s="320"/>
      <c r="R130" s="320"/>
    </row>
    <row r="131" spans="1:18" s="34" customFormat="1" ht="15.75">
      <c r="A131" s="539" t="s">
        <v>195</v>
      </c>
      <c r="B131" s="315"/>
      <c r="C131" s="315"/>
      <c r="D131" s="315"/>
      <c r="E131" s="315"/>
      <c r="F131" s="317"/>
      <c r="G131" s="315"/>
      <c r="H131" s="315"/>
      <c r="I131" s="315" t="s">
        <v>191</v>
      </c>
      <c r="J131" s="317"/>
      <c r="K131" s="317"/>
      <c r="L131" s="318"/>
      <c r="M131" s="319"/>
      <c r="N131" s="319"/>
      <c r="O131" s="319"/>
      <c r="P131" s="320"/>
      <c r="Q131" s="320"/>
      <c r="R131" s="320"/>
    </row>
    <row r="132" spans="1:18" s="34" customFormat="1" ht="15.75">
      <c r="A132" s="539"/>
      <c r="B132" s="317"/>
      <c r="C132" s="534" t="s">
        <v>192</v>
      </c>
      <c r="D132" s="534"/>
      <c r="E132" s="315"/>
      <c r="F132" s="315"/>
      <c r="G132" s="534" t="s">
        <v>193</v>
      </c>
      <c r="H132" s="534"/>
      <c r="I132" s="540"/>
      <c r="J132" s="540"/>
      <c r="K132" s="540"/>
      <c r="L132" s="318"/>
      <c r="M132" s="317"/>
      <c r="N132" s="319"/>
      <c r="O132" s="319"/>
      <c r="P132" s="320"/>
      <c r="Q132" s="320"/>
      <c r="R132" s="320"/>
    </row>
    <row r="133" spans="1:18" s="34" customFormat="1" ht="15.75">
      <c r="A133" s="317" t="s">
        <v>196</v>
      </c>
      <c r="B133" s="317"/>
      <c r="C133" s="317"/>
      <c r="D133" s="317"/>
      <c r="E133" s="319" t="s">
        <v>197</v>
      </c>
      <c r="F133" s="319"/>
      <c r="G133" s="319"/>
      <c r="H133" s="317"/>
      <c r="I133" s="317" t="s">
        <v>198</v>
      </c>
      <c r="J133" s="317"/>
      <c r="K133" s="317"/>
      <c r="L133" s="317"/>
      <c r="M133" s="319"/>
      <c r="N133" s="317"/>
      <c r="O133" s="317"/>
      <c r="P133" s="32"/>
    </row>
    <row r="134" spans="1:18" s="34" customFormat="1" ht="15.75">
      <c r="A134" s="317" t="s">
        <v>199</v>
      </c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9"/>
      <c r="N134" s="317"/>
      <c r="O134" s="317"/>
      <c r="P134" s="32"/>
    </row>
    <row r="135" spans="1:18" s="34" customFormat="1" ht="20.25">
      <c r="A135" s="323"/>
      <c r="B135" s="324"/>
      <c r="C135" s="325"/>
      <c r="D135" s="325"/>
      <c r="E135" s="325"/>
      <c r="F135" s="326"/>
      <c r="G135" s="326"/>
      <c r="H135" s="326"/>
      <c r="I135" s="327"/>
      <c r="J135" s="328"/>
      <c r="K135" s="328"/>
      <c r="L135" s="328"/>
      <c r="M135" s="319"/>
      <c r="N135" s="319"/>
      <c r="O135" s="319"/>
      <c r="P135" s="32"/>
    </row>
    <row r="136" spans="1:18">
      <c r="A136" s="329"/>
      <c r="B136" s="330"/>
      <c r="C136" s="331"/>
      <c r="D136" s="331"/>
      <c r="E136" s="331"/>
      <c r="F136" s="331"/>
      <c r="G136" s="331"/>
      <c r="H136" s="331"/>
      <c r="I136" s="331"/>
      <c r="J136" s="331"/>
      <c r="K136" s="331"/>
      <c r="L136" s="331"/>
      <c r="M136" s="331"/>
      <c r="N136" s="331"/>
      <c r="O136" s="331"/>
      <c r="P136" s="331"/>
    </row>
    <row r="137" spans="1:18">
      <c r="A137" s="329"/>
      <c r="B137" s="330"/>
      <c r="C137" s="331"/>
      <c r="D137" s="331"/>
      <c r="E137" s="331"/>
      <c r="F137" s="331"/>
      <c r="G137" s="331"/>
      <c r="H137" s="331"/>
      <c r="I137" s="331"/>
      <c r="J137" s="331"/>
      <c r="K137" s="331"/>
      <c r="L137" s="331"/>
      <c r="M137" s="331"/>
      <c r="N137" s="331"/>
      <c r="O137" s="331"/>
      <c r="P137" s="331"/>
    </row>
    <row r="138" spans="1:18">
      <c r="A138" s="329"/>
      <c r="B138" s="330"/>
      <c r="C138" s="331"/>
      <c r="D138" s="331"/>
      <c r="E138" s="331"/>
      <c r="F138" s="331"/>
      <c r="G138" s="331"/>
      <c r="H138" s="331"/>
      <c r="I138" s="331"/>
      <c r="J138" s="331"/>
      <c r="K138" s="331"/>
      <c r="L138" s="331"/>
      <c r="M138" s="331"/>
      <c r="N138" s="331"/>
      <c r="O138" s="331"/>
      <c r="P138" s="331"/>
    </row>
    <row r="139" spans="1:18">
      <c r="A139" s="333"/>
      <c r="B139" s="330"/>
      <c r="C139" s="331"/>
      <c r="D139" s="331"/>
      <c r="E139" s="331"/>
      <c r="F139" s="331"/>
      <c r="G139" s="331"/>
      <c r="H139" s="331"/>
      <c r="I139" s="331"/>
      <c r="J139" s="331"/>
      <c r="K139" s="331"/>
      <c r="L139" s="331"/>
      <c r="N139" s="331"/>
      <c r="O139" s="331"/>
      <c r="P139" s="331"/>
    </row>
    <row r="140" spans="1:18">
      <c r="A140" s="333"/>
      <c r="B140" s="330"/>
      <c r="C140" s="331"/>
    </row>
    <row r="141" spans="1:18">
      <c r="A141" s="333"/>
      <c r="B141" s="330"/>
    </row>
    <row r="190" spans="1:16">
      <c r="A190" s="336"/>
      <c r="B190" s="332"/>
      <c r="C190" s="332"/>
      <c r="D190" s="332"/>
      <c r="E190" s="332"/>
      <c r="F190" s="332"/>
      <c r="G190" s="332"/>
      <c r="H190" s="332"/>
      <c r="I190" s="332"/>
      <c r="J190" s="332"/>
      <c r="K190" s="332"/>
      <c r="L190" s="332"/>
      <c r="M190" s="332"/>
      <c r="N190" s="332"/>
      <c r="O190" s="332"/>
      <c r="P190" s="332"/>
    </row>
    <row r="191" spans="1:16">
      <c r="A191" s="336"/>
      <c r="B191" s="332"/>
      <c r="C191" s="332"/>
      <c r="D191" s="332"/>
      <c r="E191" s="332"/>
      <c r="F191" s="332"/>
      <c r="G191" s="332"/>
      <c r="H191" s="332"/>
      <c r="I191" s="332"/>
      <c r="J191" s="332"/>
      <c r="K191" s="332"/>
      <c r="L191" s="332"/>
      <c r="M191" s="332"/>
      <c r="N191" s="332"/>
      <c r="O191" s="332"/>
      <c r="P191" s="332"/>
    </row>
    <row r="192" spans="1:16">
      <c r="A192" s="336"/>
      <c r="B192" s="332"/>
      <c r="C192" s="332"/>
      <c r="D192" s="332"/>
      <c r="E192" s="332"/>
      <c r="F192" s="332"/>
      <c r="G192" s="332"/>
      <c r="H192" s="332"/>
      <c r="I192" s="332"/>
      <c r="J192" s="332"/>
      <c r="K192" s="332"/>
      <c r="L192" s="332"/>
      <c r="M192" s="332"/>
      <c r="N192" s="332"/>
      <c r="O192" s="332"/>
      <c r="P192" s="332"/>
    </row>
    <row r="193" spans="1:16">
      <c r="A193" s="336"/>
      <c r="B193" s="332"/>
      <c r="C193" s="332"/>
      <c r="D193" s="332"/>
      <c r="E193" s="332"/>
      <c r="F193" s="332"/>
      <c r="G193" s="332"/>
      <c r="H193" s="332"/>
      <c r="I193" s="332"/>
      <c r="J193" s="332"/>
      <c r="K193" s="332"/>
      <c r="L193" s="332"/>
      <c r="M193" s="332"/>
      <c r="N193" s="332"/>
      <c r="O193" s="332"/>
      <c r="P193" s="332"/>
    </row>
    <row r="194" spans="1:16">
      <c r="A194" s="336"/>
      <c r="B194" s="332"/>
      <c r="C194" s="332"/>
      <c r="D194" s="332"/>
      <c r="E194" s="332"/>
      <c r="F194" s="332"/>
      <c r="G194" s="332"/>
      <c r="H194" s="332"/>
      <c r="I194" s="332"/>
      <c r="J194" s="332"/>
      <c r="K194" s="332"/>
      <c r="L194" s="332"/>
      <c r="M194" s="332"/>
      <c r="N194" s="332"/>
      <c r="O194" s="332"/>
      <c r="P194" s="332"/>
    </row>
    <row r="195" spans="1:16">
      <c r="A195" s="336"/>
      <c r="B195" s="332"/>
      <c r="C195" s="332"/>
      <c r="D195" s="332"/>
      <c r="E195" s="332"/>
      <c r="F195" s="332"/>
      <c r="G195" s="332"/>
      <c r="H195" s="332"/>
      <c r="I195" s="332"/>
      <c r="J195" s="332"/>
      <c r="K195" s="332"/>
      <c r="L195" s="332"/>
      <c r="M195" s="332"/>
      <c r="N195" s="332"/>
      <c r="O195" s="332"/>
      <c r="P195" s="332"/>
    </row>
    <row r="206" spans="1:16">
      <c r="A206" s="336"/>
      <c r="B206" s="332"/>
      <c r="C206" s="332"/>
      <c r="D206" s="332"/>
      <c r="E206" s="332"/>
      <c r="F206" s="332"/>
      <c r="G206" s="332"/>
      <c r="H206" s="332"/>
      <c r="I206" s="332"/>
      <c r="J206" s="332"/>
      <c r="K206" s="332"/>
      <c r="L206" s="332"/>
      <c r="M206" s="332"/>
      <c r="N206" s="332"/>
      <c r="O206" s="332"/>
      <c r="P206" s="332"/>
    </row>
    <row r="207" spans="1:16">
      <c r="A207" s="336"/>
      <c r="B207" s="332"/>
      <c r="C207" s="332"/>
      <c r="D207" s="332"/>
      <c r="E207" s="332"/>
      <c r="F207" s="332"/>
      <c r="G207" s="332"/>
      <c r="H207" s="332"/>
      <c r="I207" s="332"/>
      <c r="J207" s="332"/>
      <c r="K207" s="332"/>
      <c r="L207" s="332"/>
      <c r="M207" s="332"/>
      <c r="N207" s="332"/>
      <c r="O207" s="332"/>
      <c r="P207" s="332"/>
    </row>
    <row r="236" spans="1:16">
      <c r="A236" s="336"/>
      <c r="B236" s="332"/>
      <c r="C236" s="332"/>
      <c r="D236" s="332"/>
      <c r="E236" s="332"/>
      <c r="F236" s="332"/>
      <c r="G236" s="332"/>
      <c r="H236" s="332"/>
      <c r="I236" s="332"/>
      <c r="J236" s="332"/>
      <c r="K236" s="332"/>
      <c r="L236" s="332"/>
      <c r="M236" s="332"/>
      <c r="N236" s="332"/>
      <c r="O236" s="332"/>
      <c r="P236" s="332"/>
    </row>
    <row r="237" spans="1:16">
      <c r="A237" s="336"/>
      <c r="B237" s="332"/>
      <c r="C237" s="332"/>
      <c r="D237" s="332"/>
      <c r="E237" s="332"/>
      <c r="F237" s="332"/>
      <c r="G237" s="332"/>
      <c r="H237" s="332"/>
      <c r="I237" s="332"/>
      <c r="J237" s="332"/>
      <c r="K237" s="332"/>
      <c r="L237" s="332"/>
      <c r="M237" s="332"/>
      <c r="N237" s="332"/>
      <c r="O237" s="332"/>
      <c r="P237" s="332"/>
    </row>
  </sheetData>
  <mergeCells count="58">
    <mergeCell ref="N23:N24"/>
    <mergeCell ref="G130:H130"/>
    <mergeCell ref="I130:K130"/>
    <mergeCell ref="A131:A132"/>
    <mergeCell ref="C132:D132"/>
    <mergeCell ref="G132:H132"/>
    <mergeCell ref="I132:K132"/>
    <mergeCell ref="I45:J45"/>
    <mergeCell ref="M45:O45"/>
    <mergeCell ref="A127:A128"/>
    <mergeCell ref="E127:F129"/>
    <mergeCell ref="C128:D128"/>
    <mergeCell ref="G128:H128"/>
    <mergeCell ref="I128:K128"/>
    <mergeCell ref="A129:A130"/>
    <mergeCell ref="C130:D130"/>
    <mergeCell ref="A20:O20"/>
    <mergeCell ref="A21:O21"/>
    <mergeCell ref="A22:A24"/>
    <mergeCell ref="C22:D22"/>
    <mergeCell ref="E22:F22"/>
    <mergeCell ref="G22:H22"/>
    <mergeCell ref="I22:J22"/>
    <mergeCell ref="K22:L22"/>
    <mergeCell ref="M22:M24"/>
    <mergeCell ref="N22:O22"/>
    <mergeCell ref="O23:O24"/>
    <mergeCell ref="D23:D24"/>
    <mergeCell ref="F23:F24"/>
    <mergeCell ref="H23:H24"/>
    <mergeCell ref="J23:J24"/>
    <mergeCell ref="L23:L24"/>
    <mergeCell ref="P14:Q14"/>
    <mergeCell ref="P15:Q15"/>
    <mergeCell ref="A17:O17"/>
    <mergeCell ref="A18:O18"/>
    <mergeCell ref="P18:Q18"/>
    <mergeCell ref="A19:O19"/>
    <mergeCell ref="A10:B10"/>
    <mergeCell ref="C10:D10"/>
    <mergeCell ref="I10:L10"/>
    <mergeCell ref="A11:B11"/>
    <mergeCell ref="C11:D11"/>
    <mergeCell ref="A14:B14"/>
    <mergeCell ref="A9:B9"/>
    <mergeCell ref="C9:D9"/>
    <mergeCell ref="A1:O1"/>
    <mergeCell ref="A2:O2"/>
    <mergeCell ref="A4:O4"/>
    <mergeCell ref="A5:B5"/>
    <mergeCell ref="C5:D5"/>
    <mergeCell ref="C6:D6"/>
    <mergeCell ref="I6:N6"/>
    <mergeCell ref="A7:B7"/>
    <mergeCell ref="C7:D7"/>
    <mergeCell ref="A8:B8"/>
    <mergeCell ref="C8:D8"/>
    <mergeCell ref="I8:M8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4:R10"/>
  <sheetViews>
    <sheetView workbookViewId="0">
      <selection activeCell="E8" sqref="E8:E9"/>
    </sheetView>
  </sheetViews>
  <sheetFormatPr defaultRowHeight="12.75"/>
  <cols>
    <col min="1" max="1" width="48" customWidth="1"/>
    <col min="3" max="3" width="11.85546875" customWidth="1"/>
    <col min="4" max="4" width="11.140625" customWidth="1"/>
    <col min="5" max="5" width="10.7109375" customWidth="1"/>
    <col min="10" max="10" width="23.85546875" customWidth="1"/>
    <col min="11" max="11" width="18.140625" customWidth="1"/>
    <col min="12" max="17" width="0" hidden="1" customWidth="1"/>
    <col min="18" max="18" width="17.28515625" customWidth="1"/>
  </cols>
  <sheetData>
    <row r="4" spans="1:18" ht="67.5">
      <c r="A4" s="337" t="s">
        <v>200</v>
      </c>
      <c r="B4" s="554" t="s">
        <v>201</v>
      </c>
      <c r="C4" s="554"/>
      <c r="D4" s="554" t="s">
        <v>202</v>
      </c>
      <c r="E4" s="554"/>
      <c r="I4" s="347" t="s">
        <v>210</v>
      </c>
      <c r="J4" s="348" t="s">
        <v>211</v>
      </c>
      <c r="K4" s="348" t="s">
        <v>212</v>
      </c>
      <c r="L4" s="348" t="s">
        <v>206</v>
      </c>
      <c r="M4" s="349">
        <v>91</v>
      </c>
      <c r="N4" s="555" t="s">
        <v>13</v>
      </c>
      <c r="O4" s="555"/>
      <c r="P4" s="349">
        <v>471</v>
      </c>
      <c r="Q4" s="556">
        <v>201507.77</v>
      </c>
      <c r="R4" s="556"/>
    </row>
    <row r="5" spans="1:18" ht="56.25">
      <c r="A5" s="337" t="s">
        <v>203</v>
      </c>
      <c r="B5" s="337" t="s">
        <v>204</v>
      </c>
      <c r="C5" s="337" t="s">
        <v>205</v>
      </c>
      <c r="D5" s="337" t="s">
        <v>204</v>
      </c>
      <c r="E5" s="337" t="s">
        <v>205</v>
      </c>
      <c r="I5" s="347" t="s">
        <v>210</v>
      </c>
      <c r="J5" s="348" t="s">
        <v>213</v>
      </c>
      <c r="K5" s="348" t="s">
        <v>214</v>
      </c>
      <c r="L5" s="348" t="s">
        <v>206</v>
      </c>
      <c r="M5" s="349">
        <v>92</v>
      </c>
      <c r="N5" s="555" t="s">
        <v>13</v>
      </c>
      <c r="O5" s="555"/>
      <c r="P5" s="349">
        <v>471</v>
      </c>
      <c r="Q5" s="556">
        <v>100753.85</v>
      </c>
      <c r="R5" s="556"/>
    </row>
    <row r="6" spans="1:18">
      <c r="A6" s="338">
        <v>471</v>
      </c>
      <c r="B6" s="339"/>
      <c r="C6" s="340">
        <v>3755109.48</v>
      </c>
      <c r="D6" s="340">
        <v>539275.34</v>
      </c>
      <c r="E6" s="340">
        <v>414279.74</v>
      </c>
      <c r="Q6" s="350">
        <f>SUM(Q4:Q5)</f>
        <v>302261.62</v>
      </c>
      <c r="R6" s="350">
        <f>SUM(Q6)</f>
        <v>302261.62</v>
      </c>
    </row>
    <row r="7" spans="1:18">
      <c r="A7" s="341" t="s">
        <v>206</v>
      </c>
      <c r="B7" s="342"/>
      <c r="C7" s="342"/>
      <c r="D7" s="343">
        <v>410892.44</v>
      </c>
      <c r="E7" s="343">
        <v>302261.62</v>
      </c>
    </row>
    <row r="8" spans="1:18">
      <c r="A8" s="341" t="s">
        <v>207</v>
      </c>
      <c r="B8" s="342"/>
      <c r="C8" s="342"/>
      <c r="D8" s="343">
        <v>117333.23</v>
      </c>
      <c r="E8" s="343">
        <v>74678.740000000005</v>
      </c>
    </row>
    <row r="9" spans="1:18">
      <c r="A9" s="341" t="s">
        <v>208</v>
      </c>
      <c r="B9" s="342"/>
      <c r="C9" s="342"/>
      <c r="D9" s="343">
        <v>11049.67</v>
      </c>
      <c r="E9" s="343">
        <v>37339.379999999997</v>
      </c>
    </row>
    <row r="10" spans="1:18">
      <c r="A10" s="344" t="s">
        <v>209</v>
      </c>
      <c r="B10" s="345"/>
      <c r="C10" s="346">
        <v>3755109.48</v>
      </c>
      <c r="D10" s="346">
        <v>539275.34</v>
      </c>
      <c r="E10" s="346">
        <v>414279.74</v>
      </c>
    </row>
  </sheetData>
  <mergeCells count="6">
    <mergeCell ref="B4:C4"/>
    <mergeCell ref="D4:E4"/>
    <mergeCell ref="N4:O4"/>
    <mergeCell ref="Q4:R4"/>
    <mergeCell ref="N5:O5"/>
    <mergeCell ref="Q5:R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250"/>
  <sheetViews>
    <sheetView topLeftCell="A127" zoomScale="115" zoomScaleNormal="115" workbookViewId="0">
      <selection activeCell="B167" sqref="B167"/>
    </sheetView>
  </sheetViews>
  <sheetFormatPr defaultRowHeight="12.75"/>
  <cols>
    <col min="1" max="1" width="63.5703125" customWidth="1"/>
    <col min="3" max="3" width="12" customWidth="1"/>
    <col min="4" max="4" width="12.140625" customWidth="1"/>
    <col min="5" max="5" width="14.42578125" customWidth="1"/>
    <col min="7" max="7" width="10.140625" bestFit="1" customWidth="1"/>
  </cols>
  <sheetData>
    <row r="1" spans="1:5">
      <c r="C1" s="350"/>
    </row>
    <row r="3" spans="1:5" ht="33.75">
      <c r="A3" s="351" t="s">
        <v>215</v>
      </c>
      <c r="B3" s="351" t="s">
        <v>216</v>
      </c>
      <c r="C3" s="351" t="s">
        <v>217</v>
      </c>
      <c r="D3" s="352" t="s">
        <v>218</v>
      </c>
    </row>
    <row r="4" spans="1:5">
      <c r="A4" s="353"/>
      <c r="B4" s="352" t="s">
        <v>219</v>
      </c>
      <c r="C4" s="352" t="s">
        <v>219</v>
      </c>
      <c r="D4" s="352" t="s">
        <v>219</v>
      </c>
    </row>
    <row r="5" spans="1:5">
      <c r="A5" s="351" t="s">
        <v>220</v>
      </c>
      <c r="B5" s="354">
        <v>277959.99</v>
      </c>
      <c r="C5" s="354">
        <v>2030477.11</v>
      </c>
      <c r="D5" s="354">
        <v>2308437.1</v>
      </c>
    </row>
    <row r="6" spans="1:5">
      <c r="A6" s="351" t="s">
        <v>221</v>
      </c>
      <c r="B6" s="354">
        <v>276004.78999999998</v>
      </c>
      <c r="C6" s="354">
        <v>1966280.69</v>
      </c>
      <c r="D6" s="354">
        <v>2242285.48</v>
      </c>
    </row>
    <row r="7" spans="1:5">
      <c r="A7" s="351" t="s">
        <v>222</v>
      </c>
      <c r="B7" s="354">
        <v>276004.78999999998</v>
      </c>
      <c r="C7" s="354">
        <v>780196.76</v>
      </c>
      <c r="D7" s="354">
        <v>1056201.55</v>
      </c>
    </row>
    <row r="8" spans="1:5">
      <c r="A8" s="351" t="s">
        <v>223</v>
      </c>
      <c r="B8" s="356"/>
      <c r="C8" s="354">
        <v>66225.820000000007</v>
      </c>
      <c r="D8" s="354">
        <v>66225.820000000007</v>
      </c>
      <c r="E8" s="350">
        <f>D8</f>
        <v>66225.820000000007</v>
      </c>
    </row>
    <row r="9" spans="1:5">
      <c r="A9" s="357" t="s">
        <v>224</v>
      </c>
      <c r="B9" s="358"/>
      <c r="C9" s="359">
        <v>66225.820000000007</v>
      </c>
      <c r="D9" s="361">
        <v>66225.820000000007</v>
      </c>
      <c r="E9" s="350"/>
    </row>
    <row r="10" spans="1:5">
      <c r="A10" s="351" t="s">
        <v>225</v>
      </c>
      <c r="B10" s="354">
        <v>226765.17</v>
      </c>
      <c r="C10" s="354">
        <v>279436.32</v>
      </c>
      <c r="D10" s="354">
        <v>506201.49</v>
      </c>
      <c r="E10" s="350">
        <f>B11-1417.12</f>
        <v>225348.05000000002</v>
      </c>
    </row>
    <row r="11" spans="1:5">
      <c r="A11" s="357" t="s">
        <v>226</v>
      </c>
      <c r="B11" s="359">
        <v>226765.17</v>
      </c>
      <c r="C11" s="358"/>
      <c r="D11" s="361">
        <v>226765.17</v>
      </c>
    </row>
    <row r="12" spans="1:5">
      <c r="A12" s="357" t="s">
        <v>227</v>
      </c>
      <c r="B12" s="358"/>
      <c r="C12" s="359">
        <v>279436.32</v>
      </c>
      <c r="D12" s="361">
        <v>279436.32</v>
      </c>
    </row>
    <row r="13" spans="1:5">
      <c r="A13" s="351" t="s">
        <v>228</v>
      </c>
      <c r="B13" s="354">
        <v>27870.63</v>
      </c>
      <c r="C13" s="354">
        <v>38059.089999999997</v>
      </c>
      <c r="D13" s="354">
        <v>65929.72</v>
      </c>
      <c r="E13" s="350">
        <f>B15</f>
        <v>27870.63</v>
      </c>
    </row>
    <row r="14" spans="1:5">
      <c r="A14" s="357" t="s">
        <v>229</v>
      </c>
      <c r="B14" s="358"/>
      <c r="C14" s="359">
        <v>38059.089999999997</v>
      </c>
      <c r="D14" s="361">
        <v>38059.089999999997</v>
      </c>
    </row>
    <row r="15" spans="1:5">
      <c r="A15" s="357" t="s">
        <v>230</v>
      </c>
      <c r="B15" s="359">
        <v>27870.63</v>
      </c>
      <c r="C15" s="358"/>
      <c r="D15" s="361">
        <v>27870.63</v>
      </c>
    </row>
    <row r="16" spans="1:5">
      <c r="A16" s="351" t="s">
        <v>231</v>
      </c>
      <c r="B16" s="354">
        <v>2466.6</v>
      </c>
      <c r="C16" s="354">
        <v>12532.45</v>
      </c>
      <c r="D16" s="354">
        <v>14999.05</v>
      </c>
      <c r="E16" s="350">
        <f>B19+C18</f>
        <v>14569.04</v>
      </c>
    </row>
    <row r="17" spans="1:5">
      <c r="A17" s="357" t="s">
        <v>232</v>
      </c>
      <c r="B17" s="358"/>
      <c r="C17" s="360">
        <v>430.01</v>
      </c>
      <c r="D17" s="362">
        <v>430.01</v>
      </c>
    </row>
    <row r="18" spans="1:5">
      <c r="A18" s="357" t="s">
        <v>233</v>
      </c>
      <c r="B18" s="358"/>
      <c r="C18" s="359">
        <v>12102.44</v>
      </c>
      <c r="D18" s="361">
        <v>12102.44</v>
      </c>
    </row>
    <row r="19" spans="1:5">
      <c r="A19" s="357" t="s">
        <v>234</v>
      </c>
      <c r="B19" s="359">
        <v>2466.6</v>
      </c>
      <c r="C19" s="358"/>
      <c r="D19" s="361">
        <v>2466.6</v>
      </c>
    </row>
    <row r="20" spans="1:5">
      <c r="A20" s="351" t="s">
        <v>235</v>
      </c>
      <c r="B20" s="354">
        <v>18892.39</v>
      </c>
      <c r="C20" s="354">
        <v>305798.65999999997</v>
      </c>
      <c r="D20" s="354">
        <v>324691.05</v>
      </c>
      <c r="E20" s="350">
        <f>D20</f>
        <v>324691.05</v>
      </c>
    </row>
    <row r="21" spans="1:5">
      <c r="A21" s="357" t="s">
        <v>236</v>
      </c>
      <c r="B21" s="359">
        <v>18892.39</v>
      </c>
      <c r="C21" s="359">
        <v>219838.06</v>
      </c>
      <c r="D21" s="361">
        <v>238730.45</v>
      </c>
    </row>
    <row r="22" spans="1:5">
      <c r="A22" s="357" t="s">
        <v>237</v>
      </c>
      <c r="B22" s="358"/>
      <c r="C22" s="359">
        <v>85960.6</v>
      </c>
      <c r="D22" s="361">
        <v>85960.6</v>
      </c>
    </row>
    <row r="23" spans="1:5">
      <c r="A23" s="351" t="s">
        <v>238</v>
      </c>
      <c r="B23" s="355">
        <v>10</v>
      </c>
      <c r="C23" s="354">
        <v>8158.11</v>
      </c>
      <c r="D23" s="354">
        <v>8168.11</v>
      </c>
      <c r="E23" s="350">
        <f>D23</f>
        <v>8168.11</v>
      </c>
    </row>
    <row r="24" spans="1:5">
      <c r="A24" s="357" t="s">
        <v>239</v>
      </c>
      <c r="B24" s="360">
        <v>10</v>
      </c>
      <c r="C24" s="359">
        <v>7718.98</v>
      </c>
      <c r="D24" s="361">
        <v>7728.98</v>
      </c>
    </row>
    <row r="25" spans="1:5">
      <c r="A25" s="357" t="s">
        <v>240</v>
      </c>
      <c r="B25" s="358"/>
      <c r="C25" s="360">
        <v>439.13</v>
      </c>
      <c r="D25" s="362">
        <v>439.13</v>
      </c>
    </row>
    <row r="26" spans="1:5">
      <c r="A26" s="351" t="s">
        <v>241</v>
      </c>
      <c r="B26" s="356"/>
      <c r="C26" s="354">
        <v>27438.92</v>
      </c>
      <c r="D26" s="354">
        <v>27438.92</v>
      </c>
      <c r="E26" s="350">
        <f>D26</f>
        <v>27438.92</v>
      </c>
    </row>
    <row r="27" spans="1:5">
      <c r="A27" s="357" t="s">
        <v>242</v>
      </c>
      <c r="B27" s="358"/>
      <c r="C27" s="359">
        <v>25335.71</v>
      </c>
      <c r="D27" s="361">
        <v>25335.71</v>
      </c>
    </row>
    <row r="28" spans="1:5">
      <c r="A28" s="357" t="s">
        <v>243</v>
      </c>
      <c r="B28" s="358"/>
      <c r="C28" s="359">
        <v>2103.21</v>
      </c>
      <c r="D28" s="361">
        <v>2103.21</v>
      </c>
    </row>
    <row r="29" spans="1:5">
      <c r="A29" s="351" t="s">
        <v>244</v>
      </c>
      <c r="B29" s="356"/>
      <c r="C29" s="355">
        <v>708.97</v>
      </c>
      <c r="D29" s="355">
        <v>708.97</v>
      </c>
      <c r="E29" s="350">
        <f>D29</f>
        <v>708.97</v>
      </c>
    </row>
    <row r="30" spans="1:5">
      <c r="A30" s="357" t="s">
        <v>245</v>
      </c>
      <c r="B30" s="358"/>
      <c r="C30" s="360">
        <v>224.47</v>
      </c>
      <c r="D30" s="362">
        <v>224.47</v>
      </c>
    </row>
    <row r="31" spans="1:5">
      <c r="A31" s="357" t="s">
        <v>246</v>
      </c>
      <c r="B31" s="358"/>
      <c r="C31" s="360">
        <v>484.5</v>
      </c>
      <c r="D31" s="362">
        <v>484.5</v>
      </c>
    </row>
    <row r="32" spans="1:5">
      <c r="A32" s="351" t="s">
        <v>247</v>
      </c>
      <c r="B32" s="356"/>
      <c r="C32" s="354">
        <v>10749.17</v>
      </c>
      <c r="D32" s="354">
        <v>10749.17</v>
      </c>
      <c r="E32" s="350">
        <f>D32</f>
        <v>10749.17</v>
      </c>
    </row>
    <row r="33" spans="1:5">
      <c r="A33" s="357" t="s">
        <v>248</v>
      </c>
      <c r="B33" s="358"/>
      <c r="C33" s="359">
        <v>10749.17</v>
      </c>
      <c r="D33" s="361">
        <v>10749.17</v>
      </c>
    </row>
    <row r="34" spans="1:5">
      <c r="A34" s="351" t="s">
        <v>249</v>
      </c>
      <c r="B34" s="356"/>
      <c r="C34" s="354">
        <v>1280.02</v>
      </c>
      <c r="D34" s="354">
        <v>1280.02</v>
      </c>
      <c r="E34" s="350">
        <f>D34</f>
        <v>1280.02</v>
      </c>
    </row>
    <row r="35" spans="1:5">
      <c r="A35" s="357" t="s">
        <v>250</v>
      </c>
      <c r="B35" s="358"/>
      <c r="C35" s="360">
        <v>9.52</v>
      </c>
      <c r="D35" s="362">
        <v>9.52</v>
      </c>
    </row>
    <row r="36" spans="1:5">
      <c r="A36" s="357" t="s">
        <v>251</v>
      </c>
      <c r="B36" s="358"/>
      <c r="C36" s="360">
        <v>779.76</v>
      </c>
      <c r="D36" s="362">
        <v>779.76</v>
      </c>
    </row>
    <row r="37" spans="1:5">
      <c r="A37" s="357" t="s">
        <v>252</v>
      </c>
      <c r="B37" s="358"/>
      <c r="C37" s="360">
        <v>490.74</v>
      </c>
      <c r="D37" s="362">
        <v>490.74</v>
      </c>
    </row>
    <row r="38" spans="1:5">
      <c r="A38" s="351" t="s">
        <v>253</v>
      </c>
      <c r="B38" s="356"/>
      <c r="C38" s="354">
        <v>7231.62</v>
      </c>
      <c r="D38" s="354">
        <v>7231.62</v>
      </c>
      <c r="E38" s="350">
        <f>D38</f>
        <v>7231.62</v>
      </c>
    </row>
    <row r="39" spans="1:5">
      <c r="A39" s="357" t="s">
        <v>254</v>
      </c>
      <c r="B39" s="358"/>
      <c r="C39" s="360">
        <v>103.14</v>
      </c>
      <c r="D39" s="362">
        <v>103.14</v>
      </c>
    </row>
    <row r="40" spans="1:5">
      <c r="A40" s="357" t="s">
        <v>255</v>
      </c>
      <c r="B40" s="358"/>
      <c r="C40" s="359">
        <v>4911.32</v>
      </c>
      <c r="D40" s="361">
        <v>4911.32</v>
      </c>
    </row>
    <row r="41" spans="1:5">
      <c r="A41" s="357" t="s">
        <v>256</v>
      </c>
      <c r="B41" s="358"/>
      <c r="C41" s="359">
        <v>2217.16</v>
      </c>
      <c r="D41" s="361">
        <v>2217.16</v>
      </c>
    </row>
    <row r="42" spans="1:5">
      <c r="A42" s="351" t="s">
        <v>257</v>
      </c>
      <c r="B42" s="356"/>
      <c r="C42" s="354">
        <v>2125.14</v>
      </c>
      <c r="D42" s="354">
        <v>2125.14</v>
      </c>
      <c r="E42" s="350">
        <f>D42</f>
        <v>2125.14</v>
      </c>
    </row>
    <row r="43" spans="1:5">
      <c r="A43" s="357" t="s">
        <v>258</v>
      </c>
      <c r="B43" s="358"/>
      <c r="C43" s="360">
        <v>820</v>
      </c>
      <c r="D43" s="362">
        <v>820</v>
      </c>
    </row>
    <row r="44" spans="1:5">
      <c r="A44" s="357" t="s">
        <v>259</v>
      </c>
      <c r="B44" s="358"/>
      <c r="C44" s="359">
        <v>1305.1400000000001</v>
      </c>
      <c r="D44" s="361">
        <v>1305.1400000000001</v>
      </c>
    </row>
    <row r="45" spans="1:5">
      <c r="A45" s="351" t="s">
        <v>260</v>
      </c>
      <c r="B45" s="356"/>
      <c r="C45" s="354">
        <v>20452.47</v>
      </c>
      <c r="D45" s="354">
        <v>20452.47</v>
      </c>
      <c r="E45" s="350">
        <f>D45</f>
        <v>20452.47</v>
      </c>
    </row>
    <row r="46" spans="1:5">
      <c r="A46" s="357" t="s">
        <v>261</v>
      </c>
      <c r="B46" s="358"/>
      <c r="C46" s="359">
        <v>16683.240000000002</v>
      </c>
      <c r="D46" s="361">
        <v>16683.240000000002</v>
      </c>
      <c r="E46" s="350"/>
    </row>
    <row r="47" spans="1:5">
      <c r="A47" s="357" t="s">
        <v>262</v>
      </c>
      <c r="B47" s="358"/>
      <c r="C47" s="359">
        <v>3769.23</v>
      </c>
      <c r="D47" s="361">
        <v>3769.23</v>
      </c>
    </row>
    <row r="48" spans="1:5">
      <c r="A48" s="351" t="s">
        <v>263</v>
      </c>
      <c r="B48" s="356"/>
      <c r="C48" s="354">
        <v>419350.91</v>
      </c>
      <c r="D48" s="354">
        <v>419350.91</v>
      </c>
    </row>
    <row r="49" spans="1:5">
      <c r="A49" s="351" t="s">
        <v>264</v>
      </c>
      <c r="B49" s="356"/>
      <c r="C49" s="354">
        <v>274546.84999999998</v>
      </c>
      <c r="D49" s="354">
        <v>274546.84999999998</v>
      </c>
      <c r="E49" s="350">
        <f>D49</f>
        <v>274546.84999999998</v>
      </c>
    </row>
    <row r="50" spans="1:5">
      <c r="A50" s="357" t="s">
        <v>265</v>
      </c>
      <c r="B50" s="358"/>
      <c r="C50" s="359">
        <v>274546.84999999998</v>
      </c>
      <c r="D50" s="361">
        <v>274546.84999999998</v>
      </c>
    </row>
    <row r="51" spans="1:5">
      <c r="A51" s="351" t="s">
        <v>266</v>
      </c>
      <c r="B51" s="356"/>
      <c r="C51" s="355">
        <v>21.49</v>
      </c>
      <c r="D51" s="355">
        <v>21.49</v>
      </c>
      <c r="E51" s="350">
        <f>D51</f>
        <v>21.49</v>
      </c>
    </row>
    <row r="52" spans="1:5">
      <c r="A52" s="357" t="s">
        <v>267</v>
      </c>
      <c r="B52" s="358"/>
      <c r="C52" s="360">
        <v>21.49</v>
      </c>
      <c r="D52" s="362">
        <v>21.49</v>
      </c>
    </row>
    <row r="53" spans="1:5">
      <c r="A53" s="351" t="s">
        <v>268</v>
      </c>
      <c r="B53" s="356"/>
      <c r="C53" s="354">
        <v>141120.46</v>
      </c>
      <c r="D53" s="354">
        <v>141120.46</v>
      </c>
      <c r="E53" s="350">
        <f>D53</f>
        <v>141120.46</v>
      </c>
    </row>
    <row r="54" spans="1:5">
      <c r="A54" s="357" t="s">
        <v>269</v>
      </c>
      <c r="B54" s="358"/>
      <c r="C54" s="359">
        <v>141120.46</v>
      </c>
      <c r="D54" s="361">
        <v>141120.46</v>
      </c>
    </row>
    <row r="55" spans="1:5">
      <c r="A55" s="351" t="s">
        <v>270</v>
      </c>
      <c r="B55" s="356"/>
      <c r="C55" s="354">
        <v>1766.04</v>
      </c>
      <c r="D55" s="354">
        <v>1766.04</v>
      </c>
      <c r="E55" s="350">
        <f>D55</f>
        <v>1766.04</v>
      </c>
    </row>
    <row r="56" spans="1:5">
      <c r="A56" s="357" t="s">
        <v>271</v>
      </c>
      <c r="B56" s="358"/>
      <c r="C56" s="359">
        <v>1766.04</v>
      </c>
      <c r="D56" s="361">
        <v>1766.04</v>
      </c>
    </row>
    <row r="57" spans="1:5">
      <c r="A57" s="351" t="s">
        <v>272</v>
      </c>
      <c r="B57" s="356"/>
      <c r="C57" s="354">
        <v>1896.07</v>
      </c>
      <c r="D57" s="354">
        <v>1896.07</v>
      </c>
      <c r="E57" s="350">
        <f>D57</f>
        <v>1896.07</v>
      </c>
    </row>
    <row r="58" spans="1:5">
      <c r="A58" s="357" t="s">
        <v>273</v>
      </c>
      <c r="B58" s="358"/>
      <c r="C58" s="359">
        <v>1896.07</v>
      </c>
      <c r="D58" s="361">
        <v>1896.07</v>
      </c>
    </row>
    <row r="59" spans="1:5">
      <c r="A59" s="351" t="s">
        <v>274</v>
      </c>
      <c r="B59" s="356"/>
      <c r="C59" s="354">
        <v>766733.02</v>
      </c>
      <c r="D59" s="354">
        <v>766733.02</v>
      </c>
    </row>
    <row r="60" spans="1:5">
      <c r="A60" s="351" t="s">
        <v>275</v>
      </c>
      <c r="B60" s="356"/>
      <c r="C60" s="354">
        <v>60637.67</v>
      </c>
      <c r="D60" s="354">
        <v>60637.67</v>
      </c>
      <c r="E60" s="350">
        <f>D60</f>
        <v>60637.67</v>
      </c>
    </row>
    <row r="61" spans="1:5" ht="22.5">
      <c r="A61" s="357" t="s">
        <v>276</v>
      </c>
      <c r="B61" s="358"/>
      <c r="C61" s="359">
        <v>47535.77</v>
      </c>
      <c r="D61" s="361">
        <v>47535.77</v>
      </c>
    </row>
    <row r="62" spans="1:5" ht="22.5">
      <c r="A62" s="357" t="s">
        <v>277</v>
      </c>
      <c r="B62" s="358"/>
      <c r="C62" s="359">
        <v>13101.9</v>
      </c>
      <c r="D62" s="361">
        <v>13101.9</v>
      </c>
    </row>
    <row r="63" spans="1:5">
      <c r="A63" s="351" t="s">
        <v>278</v>
      </c>
      <c r="B63" s="356"/>
      <c r="C63" s="354">
        <v>570163.04</v>
      </c>
      <c r="D63" s="354">
        <v>570163.04</v>
      </c>
      <c r="E63" s="350">
        <f>D63</f>
        <v>570163.04</v>
      </c>
    </row>
    <row r="64" spans="1:5">
      <c r="A64" s="357" t="s">
        <v>279</v>
      </c>
      <c r="B64" s="358"/>
      <c r="C64" s="359">
        <v>511176.67</v>
      </c>
      <c r="D64" s="361">
        <v>511176.67</v>
      </c>
    </row>
    <row r="65" spans="1:5">
      <c r="A65" s="357" t="s">
        <v>280</v>
      </c>
      <c r="B65" s="358"/>
      <c r="C65" s="359">
        <v>58986.37</v>
      </c>
      <c r="D65" s="361">
        <v>58986.37</v>
      </c>
    </row>
    <row r="66" spans="1:5">
      <c r="A66" s="351" t="s">
        <v>281</v>
      </c>
      <c r="B66" s="356"/>
      <c r="C66" s="354">
        <v>11067.62</v>
      </c>
      <c r="D66" s="354">
        <v>11067.62</v>
      </c>
      <c r="E66" s="350">
        <f>D66</f>
        <v>11067.62</v>
      </c>
    </row>
    <row r="67" spans="1:5">
      <c r="A67" s="357" t="s">
        <v>282</v>
      </c>
      <c r="B67" s="358"/>
      <c r="C67" s="359">
        <v>10180.620000000001</v>
      </c>
      <c r="D67" s="361">
        <v>10180.620000000001</v>
      </c>
    </row>
    <row r="68" spans="1:5">
      <c r="A68" s="357" t="s">
        <v>283</v>
      </c>
      <c r="B68" s="358"/>
      <c r="C68" s="360">
        <v>887</v>
      </c>
      <c r="D68" s="362">
        <v>887</v>
      </c>
    </row>
    <row r="69" spans="1:5">
      <c r="A69" s="351" t="s">
        <v>284</v>
      </c>
      <c r="B69" s="356"/>
      <c r="C69" s="354">
        <v>23221.79</v>
      </c>
      <c r="D69" s="354">
        <v>23221.79</v>
      </c>
      <c r="E69" s="350">
        <f>D69</f>
        <v>23221.79</v>
      </c>
    </row>
    <row r="70" spans="1:5">
      <c r="A70" s="357" t="s">
        <v>285</v>
      </c>
      <c r="B70" s="358"/>
      <c r="C70" s="359">
        <v>23221.79</v>
      </c>
      <c r="D70" s="361">
        <v>23221.79</v>
      </c>
    </row>
    <row r="71" spans="1:5">
      <c r="A71" s="351" t="s">
        <v>286</v>
      </c>
      <c r="B71" s="356"/>
      <c r="C71" s="354">
        <v>63243.96</v>
      </c>
      <c r="D71" s="354">
        <v>63243.96</v>
      </c>
    </row>
    <row r="72" spans="1:5">
      <c r="A72" s="357" t="s">
        <v>287</v>
      </c>
      <c r="B72" s="358"/>
      <c r="C72" s="359">
        <v>3736.08</v>
      </c>
      <c r="D72" s="361">
        <v>3736.08</v>
      </c>
      <c r="E72" s="350">
        <f t="shared" ref="E72:E80" si="0">D72</f>
        <v>3736.08</v>
      </c>
    </row>
    <row r="73" spans="1:5">
      <c r="A73" s="357" t="s">
        <v>288</v>
      </c>
      <c r="B73" s="358"/>
      <c r="C73" s="359">
        <v>26703.32</v>
      </c>
      <c r="D73" s="361">
        <v>26703.32</v>
      </c>
      <c r="E73" s="350">
        <f t="shared" si="0"/>
        <v>26703.32</v>
      </c>
    </row>
    <row r="74" spans="1:5">
      <c r="A74" s="357" t="s">
        <v>289</v>
      </c>
      <c r="B74" s="358"/>
      <c r="C74" s="359">
        <v>20380.41</v>
      </c>
      <c r="D74" s="361">
        <v>20380.41</v>
      </c>
      <c r="E74" s="350">
        <f t="shared" si="0"/>
        <v>20380.41</v>
      </c>
    </row>
    <row r="75" spans="1:5">
      <c r="A75" s="357" t="s">
        <v>290</v>
      </c>
      <c r="B75" s="358"/>
      <c r="C75" s="359">
        <v>2585.39</v>
      </c>
      <c r="D75" s="361">
        <v>2585.39</v>
      </c>
      <c r="E75" s="350">
        <f t="shared" si="0"/>
        <v>2585.39</v>
      </c>
    </row>
    <row r="76" spans="1:5">
      <c r="A76" s="357" t="s">
        <v>291</v>
      </c>
      <c r="B76" s="358"/>
      <c r="C76" s="360">
        <v>84.74</v>
      </c>
      <c r="D76" s="362">
        <v>84.74</v>
      </c>
      <c r="E76" s="350">
        <f t="shared" si="0"/>
        <v>84.74</v>
      </c>
    </row>
    <row r="77" spans="1:5">
      <c r="A77" s="357" t="s">
        <v>292</v>
      </c>
      <c r="B77" s="358"/>
      <c r="C77" s="360">
        <v>161.6</v>
      </c>
      <c r="D77" s="362">
        <v>161.6</v>
      </c>
      <c r="E77" s="350">
        <f t="shared" si="0"/>
        <v>161.6</v>
      </c>
    </row>
    <row r="78" spans="1:5">
      <c r="A78" s="357" t="s">
        <v>293</v>
      </c>
      <c r="B78" s="358"/>
      <c r="C78" s="359">
        <v>4860</v>
      </c>
      <c r="D78" s="361">
        <v>4860</v>
      </c>
      <c r="E78" s="350">
        <f t="shared" si="0"/>
        <v>4860</v>
      </c>
    </row>
    <row r="79" spans="1:5">
      <c r="A79" s="357" t="s">
        <v>294</v>
      </c>
      <c r="B79" s="358"/>
      <c r="C79" s="360">
        <v>681.92</v>
      </c>
      <c r="D79" s="362">
        <v>681.92</v>
      </c>
      <c r="E79" s="350">
        <f t="shared" si="0"/>
        <v>681.92</v>
      </c>
    </row>
    <row r="80" spans="1:5">
      <c r="A80" s="357" t="s">
        <v>295</v>
      </c>
      <c r="B80" s="358"/>
      <c r="C80" s="359">
        <v>4050.5</v>
      </c>
      <c r="D80" s="361">
        <v>4050.5</v>
      </c>
      <c r="E80" s="350">
        <f t="shared" si="0"/>
        <v>4050.5</v>
      </c>
    </row>
    <row r="81" spans="1:5">
      <c r="A81" s="351" t="s">
        <v>296</v>
      </c>
      <c r="B81" s="356"/>
      <c r="C81" s="354">
        <v>20365</v>
      </c>
      <c r="D81" s="354">
        <v>20365</v>
      </c>
      <c r="E81" s="350">
        <f>D81</f>
        <v>20365</v>
      </c>
    </row>
    <row r="82" spans="1:5">
      <c r="A82" s="357" t="s">
        <v>297</v>
      </c>
      <c r="B82" s="358"/>
      <c r="C82" s="359">
        <v>11105</v>
      </c>
      <c r="D82" s="361">
        <v>11105</v>
      </c>
    </row>
    <row r="83" spans="1:5" ht="22.5">
      <c r="A83" s="357" t="s">
        <v>298</v>
      </c>
      <c r="B83" s="358"/>
      <c r="C83" s="359">
        <v>9260</v>
      </c>
      <c r="D83" s="361">
        <v>9260</v>
      </c>
    </row>
    <row r="84" spans="1:5">
      <c r="A84" s="351" t="s">
        <v>299</v>
      </c>
      <c r="B84" s="356"/>
      <c r="C84" s="354">
        <v>13314.82</v>
      </c>
      <c r="D84" s="354">
        <v>13314.82</v>
      </c>
      <c r="E84" s="350">
        <f>D84</f>
        <v>13314.82</v>
      </c>
    </row>
    <row r="85" spans="1:5">
      <c r="A85" s="357" t="s">
        <v>300</v>
      </c>
      <c r="B85" s="358"/>
      <c r="C85" s="359">
        <v>12564.82</v>
      </c>
      <c r="D85" s="361">
        <v>12564.82</v>
      </c>
    </row>
    <row r="86" spans="1:5">
      <c r="A86" s="357" t="s">
        <v>301</v>
      </c>
      <c r="B86" s="358"/>
      <c r="C86" s="360">
        <v>750</v>
      </c>
      <c r="D86" s="362">
        <v>750</v>
      </c>
    </row>
    <row r="87" spans="1:5">
      <c r="A87" s="351" t="s">
        <v>302</v>
      </c>
      <c r="B87" s="356"/>
      <c r="C87" s="355">
        <v>879.87</v>
      </c>
      <c r="D87" s="355">
        <v>879.87</v>
      </c>
      <c r="E87" s="350">
        <f>D87</f>
        <v>879.87</v>
      </c>
    </row>
    <row r="88" spans="1:5">
      <c r="A88" s="357" t="s">
        <v>303</v>
      </c>
      <c r="B88" s="358"/>
      <c r="C88" s="360">
        <v>879.87</v>
      </c>
      <c r="D88" s="362">
        <v>879.87</v>
      </c>
    </row>
    <row r="89" spans="1:5">
      <c r="A89" s="351" t="s">
        <v>304</v>
      </c>
      <c r="B89" s="356"/>
      <c r="C89" s="354">
        <v>3326.86</v>
      </c>
      <c r="D89" s="354">
        <v>3326.86</v>
      </c>
      <c r="E89" s="350">
        <f>D89</f>
        <v>3326.86</v>
      </c>
    </row>
    <row r="90" spans="1:5">
      <c r="A90" s="357" t="s">
        <v>305</v>
      </c>
      <c r="B90" s="358"/>
      <c r="C90" s="359">
        <v>3326.86</v>
      </c>
      <c r="D90" s="361">
        <v>3326.86</v>
      </c>
    </row>
    <row r="91" spans="1:5">
      <c r="A91" s="351" t="s">
        <v>306</v>
      </c>
      <c r="B91" s="356"/>
      <c r="C91" s="355">
        <v>512.39</v>
      </c>
      <c r="D91" s="355">
        <v>512.39</v>
      </c>
      <c r="E91" s="350">
        <f>D91</f>
        <v>512.39</v>
      </c>
    </row>
    <row r="92" spans="1:5">
      <c r="A92" s="357" t="s">
        <v>307</v>
      </c>
      <c r="B92" s="358"/>
      <c r="C92" s="360">
        <v>512.39</v>
      </c>
      <c r="D92" s="362">
        <v>512.39</v>
      </c>
    </row>
    <row r="93" spans="1:5">
      <c r="A93" s="351" t="s">
        <v>308</v>
      </c>
      <c r="B93" s="354">
        <v>1955.2</v>
      </c>
      <c r="C93" s="354">
        <v>64196.42</v>
      </c>
      <c r="D93" s="354">
        <v>66151.62</v>
      </c>
    </row>
    <row r="94" spans="1:5">
      <c r="A94" s="351" t="s">
        <v>309</v>
      </c>
      <c r="B94" s="354">
        <v>1955.2</v>
      </c>
      <c r="C94" s="354">
        <v>8675.76</v>
      </c>
      <c r="D94" s="354">
        <v>10630.96</v>
      </c>
    </row>
    <row r="95" spans="1:5">
      <c r="A95" s="351" t="s">
        <v>310</v>
      </c>
      <c r="B95" s="356"/>
      <c r="C95" s="354">
        <v>1444.66</v>
      </c>
      <c r="D95" s="354">
        <v>1444.66</v>
      </c>
      <c r="E95" s="350">
        <f>D95</f>
        <v>1444.66</v>
      </c>
    </row>
    <row r="96" spans="1:5">
      <c r="A96" s="357" t="s">
        <v>311</v>
      </c>
      <c r="B96" s="358"/>
      <c r="C96" s="359">
        <v>1406.46</v>
      </c>
      <c r="D96" s="361">
        <v>1406.46</v>
      </c>
    </row>
    <row r="97" spans="1:5">
      <c r="A97" s="357" t="s">
        <v>312</v>
      </c>
      <c r="B97" s="358"/>
      <c r="C97" s="360">
        <v>38.200000000000003</v>
      </c>
      <c r="D97" s="362">
        <v>38.200000000000003</v>
      </c>
    </row>
    <row r="98" spans="1:5">
      <c r="A98" s="351" t="s">
        <v>313</v>
      </c>
      <c r="B98" s="354">
        <v>1955.2</v>
      </c>
      <c r="C98" s="356"/>
      <c r="D98" s="354">
        <v>1955.2</v>
      </c>
      <c r="E98" s="350">
        <f>D98</f>
        <v>1955.2</v>
      </c>
    </row>
    <row r="99" spans="1:5">
      <c r="A99" s="357" t="s">
        <v>314</v>
      </c>
      <c r="B99" s="359">
        <v>1955.2</v>
      </c>
      <c r="C99" s="358"/>
      <c r="D99" s="361">
        <v>1955.2</v>
      </c>
    </row>
    <row r="100" spans="1:5">
      <c r="A100" s="351" t="s">
        <v>315</v>
      </c>
      <c r="B100" s="356"/>
      <c r="C100" s="354">
        <v>5815.91</v>
      </c>
      <c r="D100" s="354">
        <v>5815.91</v>
      </c>
      <c r="E100" s="350">
        <f>D100</f>
        <v>5815.91</v>
      </c>
    </row>
    <row r="101" spans="1:5">
      <c r="A101" s="357" t="s">
        <v>316</v>
      </c>
      <c r="B101" s="358"/>
      <c r="C101" s="359">
        <v>5815.91</v>
      </c>
      <c r="D101" s="361">
        <v>5815.91</v>
      </c>
    </row>
    <row r="102" spans="1:5">
      <c r="A102" s="351" t="s">
        <v>317</v>
      </c>
      <c r="B102" s="356"/>
      <c r="C102" s="355">
        <v>140</v>
      </c>
      <c r="D102" s="355">
        <v>140</v>
      </c>
      <c r="E102" s="350">
        <f>D102</f>
        <v>140</v>
      </c>
    </row>
    <row r="103" spans="1:5">
      <c r="A103" s="357" t="s">
        <v>242</v>
      </c>
      <c r="B103" s="358"/>
      <c r="C103" s="360">
        <v>140</v>
      </c>
      <c r="D103" s="362">
        <v>140</v>
      </c>
    </row>
    <row r="104" spans="1:5">
      <c r="A104" s="351" t="s">
        <v>318</v>
      </c>
      <c r="B104" s="356"/>
      <c r="C104" s="355">
        <v>332.5</v>
      </c>
      <c r="D104" s="355">
        <v>332.5</v>
      </c>
      <c r="E104" s="350">
        <f>D104</f>
        <v>332.5</v>
      </c>
    </row>
    <row r="105" spans="1:5">
      <c r="A105" s="357" t="s">
        <v>319</v>
      </c>
      <c r="B105" s="358"/>
      <c r="C105" s="360">
        <v>332.5</v>
      </c>
      <c r="D105" s="362">
        <v>332.5</v>
      </c>
    </row>
    <row r="106" spans="1:5">
      <c r="A106" s="351" t="s">
        <v>320</v>
      </c>
      <c r="B106" s="356"/>
      <c r="C106" s="355">
        <v>560.12</v>
      </c>
      <c r="D106" s="355">
        <v>560.12</v>
      </c>
      <c r="E106" s="350">
        <f>D106</f>
        <v>560.12</v>
      </c>
    </row>
    <row r="107" spans="1:5">
      <c r="A107" s="357" t="s">
        <v>321</v>
      </c>
      <c r="B107" s="358"/>
      <c r="C107" s="360">
        <v>560.12</v>
      </c>
      <c r="D107" s="362">
        <v>560.12</v>
      </c>
    </row>
    <row r="108" spans="1:5">
      <c r="A108" s="351" t="s">
        <v>322</v>
      </c>
      <c r="B108" s="356"/>
      <c r="C108" s="355">
        <v>9.52</v>
      </c>
      <c r="D108" s="355">
        <v>9.52</v>
      </c>
      <c r="E108" s="350">
        <f>D108</f>
        <v>9.52</v>
      </c>
    </row>
    <row r="109" spans="1:5">
      <c r="A109" s="357" t="s">
        <v>323</v>
      </c>
      <c r="B109" s="358"/>
      <c r="C109" s="360">
        <v>9.52</v>
      </c>
      <c r="D109" s="362">
        <v>9.52</v>
      </c>
    </row>
    <row r="110" spans="1:5">
      <c r="A110" s="351" t="s">
        <v>324</v>
      </c>
      <c r="B110" s="356"/>
      <c r="C110" s="355">
        <v>73.05</v>
      </c>
      <c r="D110" s="355">
        <v>73.05</v>
      </c>
      <c r="E110" s="350">
        <f>D110</f>
        <v>73.05</v>
      </c>
    </row>
    <row r="111" spans="1:5">
      <c r="A111" s="357" t="s">
        <v>325</v>
      </c>
      <c r="B111" s="358"/>
      <c r="C111" s="360">
        <v>73.05</v>
      </c>
      <c r="D111" s="362">
        <v>73.05</v>
      </c>
    </row>
    <row r="112" spans="1:5">
      <c r="A112" s="351" t="s">
        <v>326</v>
      </c>
      <c r="B112" s="356"/>
      <c r="C112" s="355">
        <v>300</v>
      </c>
      <c r="D112" s="355">
        <v>300</v>
      </c>
    </row>
    <row r="113" spans="1:5">
      <c r="A113" s="357" t="s">
        <v>327</v>
      </c>
      <c r="B113" s="358"/>
      <c r="C113" s="360">
        <v>300</v>
      </c>
      <c r="D113" s="362">
        <v>300</v>
      </c>
    </row>
    <row r="114" spans="1:5">
      <c r="A114" s="351" t="s">
        <v>328</v>
      </c>
      <c r="B114" s="356"/>
      <c r="C114" s="354">
        <v>54963.93</v>
      </c>
      <c r="D114" s="354">
        <v>54963.93</v>
      </c>
    </row>
    <row r="115" spans="1:5">
      <c r="A115" s="351" t="s">
        <v>329</v>
      </c>
      <c r="B115" s="356"/>
      <c r="C115" s="354">
        <v>38924.46</v>
      </c>
      <c r="D115" s="354">
        <v>38924.46</v>
      </c>
      <c r="E115" s="350">
        <f>D115</f>
        <v>38924.46</v>
      </c>
    </row>
    <row r="116" spans="1:5">
      <c r="A116" s="357" t="s">
        <v>330</v>
      </c>
      <c r="B116" s="358"/>
      <c r="C116" s="359">
        <v>38924.46</v>
      </c>
      <c r="D116" s="361">
        <v>38924.46</v>
      </c>
    </row>
    <row r="117" spans="1:5">
      <c r="A117" s="351" t="s">
        <v>331</v>
      </c>
      <c r="B117" s="356"/>
      <c r="C117" s="354">
        <v>16033.15</v>
      </c>
      <c r="D117" s="354">
        <v>16033.15</v>
      </c>
      <c r="E117" s="350">
        <f>D117</f>
        <v>16033.15</v>
      </c>
    </row>
    <row r="118" spans="1:5">
      <c r="A118" s="357" t="s">
        <v>267</v>
      </c>
      <c r="B118" s="358"/>
      <c r="C118" s="359">
        <v>16033.15</v>
      </c>
      <c r="D118" s="361">
        <v>16033.15</v>
      </c>
    </row>
    <row r="119" spans="1:5">
      <c r="A119" s="351" t="s">
        <v>332</v>
      </c>
      <c r="B119" s="356"/>
      <c r="C119" s="355">
        <v>6.32</v>
      </c>
      <c r="D119" s="355">
        <v>6.32</v>
      </c>
      <c r="E119" s="350">
        <f>D119</f>
        <v>6.32</v>
      </c>
    </row>
    <row r="120" spans="1:5">
      <c r="A120" s="357" t="s">
        <v>333</v>
      </c>
      <c r="B120" s="358"/>
      <c r="C120" s="360">
        <v>6.32</v>
      </c>
      <c r="D120" s="362">
        <v>6.32</v>
      </c>
    </row>
    <row r="121" spans="1:5">
      <c r="A121" s="351" t="s">
        <v>334</v>
      </c>
      <c r="B121" s="356"/>
      <c r="C121" s="355">
        <v>556.73</v>
      </c>
      <c r="D121" s="355">
        <v>556.73</v>
      </c>
    </row>
    <row r="122" spans="1:5">
      <c r="A122" s="351" t="s">
        <v>335</v>
      </c>
      <c r="B122" s="356"/>
      <c r="C122" s="355">
        <v>49.87</v>
      </c>
      <c r="D122" s="355">
        <v>49.87</v>
      </c>
      <c r="E122" s="350">
        <f>D122</f>
        <v>49.87</v>
      </c>
    </row>
    <row r="123" spans="1:5">
      <c r="A123" s="357" t="s">
        <v>285</v>
      </c>
      <c r="B123" s="358"/>
      <c r="C123" s="360">
        <v>49.87</v>
      </c>
      <c r="D123" s="362">
        <v>49.87</v>
      </c>
    </row>
    <row r="124" spans="1:5">
      <c r="A124" s="351" t="s">
        <v>336</v>
      </c>
      <c r="B124" s="356"/>
      <c r="C124" s="355">
        <v>506.86</v>
      </c>
      <c r="D124" s="355">
        <v>506.86</v>
      </c>
    </row>
    <row r="125" spans="1:5">
      <c r="A125" s="357" t="s">
        <v>337</v>
      </c>
      <c r="B125" s="358"/>
      <c r="C125" s="360">
        <v>506.86</v>
      </c>
      <c r="D125" s="362">
        <v>506.86</v>
      </c>
      <c r="E125" s="350">
        <f>D125</f>
        <v>506.86</v>
      </c>
    </row>
    <row r="126" spans="1:5">
      <c r="A126" s="351" t="s">
        <v>338</v>
      </c>
      <c r="B126" s="354">
        <v>157144.18</v>
      </c>
      <c r="C126" s="354">
        <v>6487410.3099999996</v>
      </c>
      <c r="D126" s="354">
        <v>6644554.4900000002</v>
      </c>
    </row>
    <row r="127" spans="1:5">
      <c r="A127" s="357" t="s">
        <v>339</v>
      </c>
      <c r="B127" s="359">
        <v>1571.77</v>
      </c>
      <c r="C127" s="358"/>
      <c r="D127" s="361">
        <v>1571.77</v>
      </c>
      <c r="E127" s="350">
        <f t="shared" ref="E127:E131" si="1">D127</f>
        <v>1571.77</v>
      </c>
    </row>
    <row r="128" spans="1:5">
      <c r="A128" s="357" t="s">
        <v>340</v>
      </c>
      <c r="B128" s="358"/>
      <c r="C128" s="359">
        <v>30411.26</v>
      </c>
      <c r="D128" s="361">
        <v>30411.26</v>
      </c>
      <c r="E128" s="350">
        <f t="shared" si="1"/>
        <v>30411.26</v>
      </c>
    </row>
    <row r="129" spans="1:7">
      <c r="A129" s="357" t="s">
        <v>341</v>
      </c>
      <c r="B129" s="358"/>
      <c r="C129" s="359">
        <v>82059.539999999994</v>
      </c>
      <c r="D129" s="361">
        <v>82059.539999999994</v>
      </c>
      <c r="E129" s="350">
        <f t="shared" si="1"/>
        <v>82059.539999999994</v>
      </c>
    </row>
    <row r="130" spans="1:7">
      <c r="A130" s="357" t="s">
        <v>342</v>
      </c>
      <c r="B130" s="359">
        <v>41848.980000000003</v>
      </c>
      <c r="C130" s="359">
        <v>1691874.49</v>
      </c>
      <c r="D130" s="361">
        <v>1733723.47</v>
      </c>
      <c r="E130" s="350">
        <f t="shared" si="1"/>
        <v>1733723.47</v>
      </c>
    </row>
    <row r="131" spans="1:7">
      <c r="A131" s="357" t="s">
        <v>343</v>
      </c>
      <c r="B131" s="359">
        <v>113723.43</v>
      </c>
      <c r="C131" s="359">
        <v>4683065.0199999996</v>
      </c>
      <c r="D131" s="361">
        <v>4796788.45</v>
      </c>
      <c r="E131" s="350">
        <f t="shared" si="1"/>
        <v>4796788.45</v>
      </c>
    </row>
    <row r="132" spans="1:7">
      <c r="A132" s="351" t="s">
        <v>344</v>
      </c>
      <c r="B132" s="356"/>
      <c r="C132" s="354">
        <v>8298700.5099999998</v>
      </c>
      <c r="D132" s="354">
        <v>8298700.5099999998</v>
      </c>
    </row>
    <row r="133" spans="1:7">
      <c r="A133" s="357" t="s">
        <v>345</v>
      </c>
      <c r="B133" s="358"/>
      <c r="C133" s="359">
        <v>792797.46</v>
      </c>
      <c r="D133" s="361">
        <v>792797.46</v>
      </c>
      <c r="E133" s="350">
        <f t="shared" ref="E133:E135" si="2">D133</f>
        <v>792797.46</v>
      </c>
    </row>
    <row r="134" spans="1:7">
      <c r="A134" s="357" t="s">
        <v>207</v>
      </c>
      <c r="B134" s="358"/>
      <c r="C134" s="359">
        <v>293628.77</v>
      </c>
      <c r="D134" s="361">
        <v>293628.77</v>
      </c>
      <c r="E134" s="350">
        <f t="shared" si="2"/>
        <v>293628.77</v>
      </c>
    </row>
    <row r="135" spans="1:7">
      <c r="A135" s="357" t="s">
        <v>346</v>
      </c>
      <c r="B135" s="358"/>
      <c r="C135" s="359">
        <v>7212274.2800000003</v>
      </c>
      <c r="D135" s="361">
        <v>7212274.2800000003</v>
      </c>
      <c r="E135" s="350">
        <f t="shared" si="2"/>
        <v>7212274.2800000003</v>
      </c>
    </row>
    <row r="136" spans="1:7">
      <c r="A136" s="351" t="s">
        <v>218</v>
      </c>
      <c r="B136" s="354">
        <v>435104.17</v>
      </c>
      <c r="C136" s="354">
        <v>16816587.93</v>
      </c>
      <c r="D136" s="354">
        <v>17251692.100000001</v>
      </c>
      <c r="E136" s="350">
        <f>SUM(E5:E135)</f>
        <v>16932049.560000002</v>
      </c>
      <c r="G136" s="350"/>
    </row>
    <row r="137" spans="1:7">
      <c r="A137" s="363"/>
      <c r="B137" s="363"/>
      <c r="C137" s="363"/>
      <c r="D137" s="363"/>
    </row>
    <row r="138" spans="1:7">
      <c r="A138" s="363" t="s">
        <v>348</v>
      </c>
      <c r="B138" s="363"/>
      <c r="C138" s="363"/>
      <c r="D138" s="363"/>
      <c r="E138" s="350">
        <f>'резерв отпусков'!Q4</f>
        <v>201507.77</v>
      </c>
    </row>
    <row r="139" spans="1:7">
      <c r="A139" s="363" t="s">
        <v>349</v>
      </c>
      <c r="B139" s="363"/>
      <c r="C139" s="363"/>
      <c r="D139" s="363"/>
      <c r="E139" s="350">
        <f>'резерв отпусков'!E8</f>
        <v>74678.740000000005</v>
      </c>
    </row>
    <row r="140" spans="1:7">
      <c r="A140" s="363"/>
      <c r="B140" s="363"/>
      <c r="C140" s="363"/>
      <c r="D140" s="363"/>
    </row>
    <row r="141" spans="1:7">
      <c r="A141" s="363" t="s">
        <v>350</v>
      </c>
      <c r="B141" s="363"/>
      <c r="C141" s="363"/>
      <c r="D141" s="363"/>
      <c r="E141" s="350">
        <f>E139+E138+E136</f>
        <v>17208236.070000004</v>
      </c>
    </row>
    <row r="142" spans="1:7">
      <c r="A142" s="363"/>
      <c r="B142" s="363"/>
      <c r="C142" s="363"/>
      <c r="D142" s="363"/>
    </row>
    <row r="143" spans="1:7">
      <c r="A143" s="363" t="s">
        <v>347</v>
      </c>
      <c r="B143" s="363"/>
      <c r="C143" s="363"/>
      <c r="E143" s="350">
        <v>17208236.07</v>
      </c>
      <c r="G143" s="350"/>
    </row>
    <row r="144" spans="1:7">
      <c r="A144" s="363"/>
      <c r="B144" s="363"/>
      <c r="C144" s="363"/>
      <c r="D144" s="363"/>
      <c r="E144" s="350"/>
    </row>
    <row r="145" spans="1:5" s="366" customFormat="1">
      <c r="A145" s="364" t="s">
        <v>351</v>
      </c>
      <c r="B145" s="364"/>
      <c r="C145" s="364"/>
      <c r="D145" s="364"/>
      <c r="E145" s="365">
        <f>E143-E141</f>
        <v>0</v>
      </c>
    </row>
    <row r="146" spans="1:5">
      <c r="A146" s="363"/>
      <c r="B146" s="363"/>
      <c r="C146" s="363"/>
      <c r="D146" s="363"/>
    </row>
    <row r="147" spans="1:5">
      <c r="A147" s="363"/>
      <c r="B147" s="363"/>
      <c r="C147" s="363"/>
      <c r="D147" s="363"/>
    </row>
    <row r="148" spans="1:5">
      <c r="A148" s="363"/>
      <c r="B148" s="363"/>
      <c r="C148" s="363"/>
      <c r="D148" s="363"/>
    </row>
    <row r="149" spans="1:5">
      <c r="A149" s="363"/>
      <c r="B149" s="363"/>
      <c r="C149" s="363"/>
      <c r="D149" s="363"/>
    </row>
    <row r="150" spans="1:5">
      <c r="A150" s="363"/>
      <c r="B150" s="363"/>
      <c r="C150" s="363"/>
      <c r="D150" s="363"/>
    </row>
    <row r="151" spans="1:5">
      <c r="A151" s="363"/>
      <c r="B151" s="363"/>
      <c r="C151" s="363"/>
      <c r="D151" s="363"/>
    </row>
    <row r="152" spans="1:5">
      <c r="A152" s="363"/>
      <c r="B152" s="363"/>
      <c r="C152" s="363"/>
      <c r="D152" s="363"/>
    </row>
    <row r="153" spans="1:5">
      <c r="A153" s="363"/>
      <c r="B153" s="363"/>
      <c r="C153" s="363"/>
      <c r="D153" s="363"/>
    </row>
    <row r="154" spans="1:5">
      <c r="A154" s="363"/>
      <c r="B154" s="363"/>
      <c r="C154" s="363"/>
      <c r="D154" s="363"/>
    </row>
    <row r="155" spans="1:5">
      <c r="A155" s="363"/>
      <c r="B155" s="363"/>
      <c r="C155" s="363"/>
      <c r="D155" s="363"/>
    </row>
    <row r="156" spans="1:5">
      <c r="A156" s="363"/>
      <c r="B156" s="363"/>
      <c r="C156" s="363"/>
      <c r="D156" s="363"/>
    </row>
    <row r="157" spans="1:5">
      <c r="A157" s="363"/>
      <c r="B157" s="363"/>
      <c r="C157" s="363"/>
      <c r="D157" s="363"/>
    </row>
    <row r="158" spans="1:5">
      <c r="A158" s="363"/>
      <c r="B158" s="363"/>
      <c r="C158" s="363"/>
      <c r="D158" s="363"/>
    </row>
    <row r="159" spans="1:5">
      <c r="A159" s="363"/>
      <c r="B159" s="363"/>
      <c r="C159" s="363"/>
      <c r="D159" s="363"/>
    </row>
    <row r="160" spans="1:5">
      <c r="A160" s="363"/>
      <c r="B160" s="363"/>
      <c r="C160" s="363"/>
      <c r="D160" s="363"/>
    </row>
    <row r="161" spans="1:4">
      <c r="A161" s="363"/>
      <c r="B161" s="363"/>
      <c r="C161" s="363"/>
      <c r="D161" s="363"/>
    </row>
    <row r="162" spans="1:4">
      <c r="A162" s="363"/>
      <c r="B162" s="363"/>
      <c r="C162" s="363"/>
      <c r="D162" s="363"/>
    </row>
    <row r="163" spans="1:4">
      <c r="A163" s="363"/>
      <c r="B163" s="363"/>
      <c r="C163" s="363"/>
      <c r="D163" s="363"/>
    </row>
    <row r="164" spans="1:4">
      <c r="A164" s="363"/>
      <c r="B164" s="363"/>
      <c r="C164" s="363"/>
      <c r="D164" s="363"/>
    </row>
    <row r="165" spans="1:4">
      <c r="A165" s="363"/>
      <c r="B165" s="363"/>
      <c r="C165" s="363"/>
      <c r="D165" s="363"/>
    </row>
    <row r="166" spans="1:4">
      <c r="A166" s="363"/>
      <c r="B166" s="363"/>
      <c r="C166" s="363"/>
      <c r="D166" s="363"/>
    </row>
    <row r="167" spans="1:4">
      <c r="A167" s="363"/>
      <c r="B167" s="363"/>
      <c r="C167" s="363"/>
      <c r="D167" s="363"/>
    </row>
    <row r="168" spans="1:4">
      <c r="A168" s="363"/>
      <c r="B168" s="363"/>
      <c r="C168" s="363"/>
      <c r="D168" s="363"/>
    </row>
    <row r="169" spans="1:4">
      <c r="A169" s="363"/>
      <c r="B169" s="363"/>
      <c r="C169" s="363"/>
      <c r="D169" s="363"/>
    </row>
    <row r="170" spans="1:4">
      <c r="A170" s="363"/>
      <c r="B170" s="363"/>
      <c r="C170" s="363"/>
      <c r="D170" s="363"/>
    </row>
    <row r="171" spans="1:4">
      <c r="A171" s="363"/>
      <c r="B171" s="363"/>
      <c r="C171" s="363"/>
      <c r="D171" s="363"/>
    </row>
    <row r="172" spans="1:4">
      <c r="A172" s="363"/>
      <c r="B172" s="363"/>
      <c r="C172" s="363"/>
      <c r="D172" s="363"/>
    </row>
    <row r="173" spans="1:4">
      <c r="A173" s="363"/>
      <c r="B173" s="363"/>
      <c r="C173" s="363"/>
      <c r="D173" s="363"/>
    </row>
    <row r="174" spans="1:4">
      <c r="A174" s="363"/>
      <c r="B174" s="363"/>
      <c r="C174" s="363"/>
      <c r="D174" s="363"/>
    </row>
    <row r="175" spans="1:4">
      <c r="A175" s="363"/>
      <c r="B175" s="363"/>
      <c r="C175" s="363"/>
      <c r="D175" s="363"/>
    </row>
    <row r="176" spans="1:4">
      <c r="A176" s="363"/>
      <c r="B176" s="363"/>
      <c r="C176" s="363"/>
      <c r="D176" s="363"/>
    </row>
    <row r="177" spans="1:4">
      <c r="A177" s="363"/>
      <c r="B177" s="363"/>
      <c r="C177" s="363"/>
      <c r="D177" s="363"/>
    </row>
    <row r="178" spans="1:4">
      <c r="A178" s="363"/>
      <c r="B178" s="363"/>
      <c r="C178" s="363"/>
      <c r="D178" s="363"/>
    </row>
    <row r="179" spans="1:4">
      <c r="A179" s="363"/>
      <c r="B179" s="363"/>
      <c r="C179" s="363"/>
      <c r="D179" s="363"/>
    </row>
    <row r="180" spans="1:4">
      <c r="A180" s="363"/>
      <c r="B180" s="363"/>
      <c r="C180" s="363"/>
      <c r="D180" s="363"/>
    </row>
    <row r="181" spans="1:4">
      <c r="A181" s="363"/>
      <c r="B181" s="363"/>
      <c r="C181" s="363"/>
      <c r="D181" s="363"/>
    </row>
    <row r="182" spans="1:4">
      <c r="A182" s="363"/>
      <c r="B182" s="363"/>
      <c r="C182" s="363"/>
      <c r="D182" s="363"/>
    </row>
    <row r="183" spans="1:4">
      <c r="A183" s="363"/>
      <c r="B183" s="363"/>
      <c r="C183" s="363"/>
      <c r="D183" s="363"/>
    </row>
    <row r="184" spans="1:4">
      <c r="A184" s="363"/>
      <c r="B184" s="363"/>
      <c r="C184" s="363"/>
      <c r="D184" s="363"/>
    </row>
    <row r="185" spans="1:4">
      <c r="A185" s="363"/>
      <c r="B185" s="363"/>
      <c r="C185" s="363"/>
      <c r="D185" s="363"/>
    </row>
    <row r="186" spans="1:4">
      <c r="A186" s="363"/>
      <c r="B186" s="363"/>
      <c r="C186" s="363"/>
      <c r="D186" s="363"/>
    </row>
    <row r="187" spans="1:4">
      <c r="A187" s="363"/>
      <c r="B187" s="363"/>
      <c r="C187" s="363"/>
      <c r="D187" s="363"/>
    </row>
    <row r="188" spans="1:4">
      <c r="A188" s="363"/>
      <c r="B188" s="363"/>
      <c r="C188" s="363"/>
      <c r="D188" s="363"/>
    </row>
    <row r="189" spans="1:4">
      <c r="A189" s="363"/>
      <c r="B189" s="363"/>
      <c r="C189" s="363"/>
      <c r="D189" s="363"/>
    </row>
    <row r="190" spans="1:4">
      <c r="A190" s="363"/>
      <c r="B190" s="363"/>
      <c r="C190" s="363"/>
      <c r="D190" s="363"/>
    </row>
    <row r="191" spans="1:4">
      <c r="A191" s="363"/>
      <c r="B191" s="363"/>
      <c r="C191" s="363"/>
      <c r="D191" s="363"/>
    </row>
    <row r="192" spans="1:4">
      <c r="A192" s="363"/>
      <c r="B192" s="363"/>
      <c r="C192" s="363"/>
      <c r="D192" s="363"/>
    </row>
    <row r="193" spans="1:4">
      <c r="A193" s="363"/>
      <c r="B193" s="363"/>
      <c r="C193" s="363"/>
      <c r="D193" s="363"/>
    </row>
    <row r="194" spans="1:4">
      <c r="A194" s="363"/>
      <c r="B194" s="363"/>
      <c r="C194" s="363"/>
      <c r="D194" s="363"/>
    </row>
    <row r="195" spans="1:4">
      <c r="A195" s="363"/>
      <c r="B195" s="363"/>
      <c r="C195" s="363"/>
      <c r="D195" s="363"/>
    </row>
    <row r="196" spans="1:4">
      <c r="A196" s="363"/>
      <c r="B196" s="363"/>
      <c r="C196" s="363"/>
      <c r="D196" s="363"/>
    </row>
    <row r="197" spans="1:4">
      <c r="A197" s="363"/>
      <c r="B197" s="363"/>
      <c r="C197" s="363"/>
      <c r="D197" s="363"/>
    </row>
    <row r="198" spans="1:4">
      <c r="A198" s="363"/>
      <c r="B198" s="363"/>
      <c r="C198" s="363"/>
      <c r="D198" s="363"/>
    </row>
    <row r="199" spans="1:4">
      <c r="A199" s="363"/>
      <c r="B199" s="363"/>
      <c r="C199" s="363"/>
      <c r="D199" s="363"/>
    </row>
    <row r="200" spans="1:4">
      <c r="A200" s="363"/>
      <c r="B200" s="363"/>
      <c r="C200" s="363"/>
      <c r="D200" s="363"/>
    </row>
    <row r="201" spans="1:4">
      <c r="A201" s="363"/>
      <c r="B201" s="363"/>
      <c r="C201" s="363"/>
      <c r="D201" s="363"/>
    </row>
    <row r="202" spans="1:4">
      <c r="A202" s="363"/>
      <c r="B202" s="363"/>
      <c r="C202" s="363"/>
      <c r="D202" s="363"/>
    </row>
    <row r="203" spans="1:4">
      <c r="A203" s="363"/>
      <c r="B203" s="363"/>
      <c r="C203" s="363"/>
      <c r="D203" s="363"/>
    </row>
    <row r="204" spans="1:4">
      <c r="A204" s="363"/>
      <c r="B204" s="363"/>
      <c r="C204" s="363"/>
      <c r="D204" s="363"/>
    </row>
    <row r="205" spans="1:4">
      <c r="A205" s="363"/>
      <c r="B205" s="363"/>
      <c r="C205" s="363"/>
      <c r="D205" s="363"/>
    </row>
    <row r="206" spans="1:4">
      <c r="A206" s="363"/>
      <c r="B206" s="363"/>
      <c r="C206" s="363"/>
      <c r="D206" s="363"/>
    </row>
    <row r="207" spans="1:4">
      <c r="A207" s="363"/>
      <c r="B207" s="363"/>
      <c r="C207" s="363"/>
      <c r="D207" s="363"/>
    </row>
    <row r="208" spans="1:4">
      <c r="A208" s="363"/>
      <c r="B208" s="363"/>
      <c r="C208" s="363"/>
      <c r="D208" s="363"/>
    </row>
    <row r="209" spans="1:4">
      <c r="A209" s="363"/>
      <c r="B209" s="363"/>
      <c r="C209" s="363"/>
      <c r="D209" s="363"/>
    </row>
    <row r="210" spans="1:4">
      <c r="A210" s="363"/>
      <c r="B210" s="363"/>
      <c r="C210" s="363"/>
      <c r="D210" s="363"/>
    </row>
    <row r="211" spans="1:4">
      <c r="A211" s="363"/>
      <c r="B211" s="363"/>
      <c r="C211" s="363"/>
      <c r="D211" s="363"/>
    </row>
    <row r="212" spans="1:4">
      <c r="A212" s="363"/>
      <c r="B212" s="363"/>
      <c r="C212" s="363"/>
      <c r="D212" s="363"/>
    </row>
    <row r="213" spans="1:4">
      <c r="A213" s="363"/>
      <c r="B213" s="363"/>
      <c r="C213" s="363"/>
      <c r="D213" s="363"/>
    </row>
    <row r="214" spans="1:4">
      <c r="A214" s="363"/>
      <c r="B214" s="363"/>
      <c r="C214" s="363"/>
      <c r="D214" s="363"/>
    </row>
    <row r="215" spans="1:4">
      <c r="A215" s="363"/>
      <c r="B215" s="363"/>
      <c r="C215" s="363"/>
      <c r="D215" s="363"/>
    </row>
    <row r="216" spans="1:4">
      <c r="A216" s="363"/>
      <c r="B216" s="363"/>
      <c r="C216" s="363"/>
      <c r="D216" s="363"/>
    </row>
    <row r="217" spans="1:4">
      <c r="A217" s="363"/>
      <c r="B217" s="363"/>
      <c r="C217" s="363"/>
      <c r="D217" s="363"/>
    </row>
    <row r="218" spans="1:4">
      <c r="A218" s="363"/>
      <c r="B218" s="363"/>
      <c r="C218" s="363"/>
      <c r="D218" s="363"/>
    </row>
    <row r="219" spans="1:4">
      <c r="A219" s="363"/>
      <c r="B219" s="363"/>
      <c r="C219" s="363"/>
      <c r="D219" s="363"/>
    </row>
    <row r="220" spans="1:4">
      <c r="A220" s="363"/>
      <c r="B220" s="363"/>
      <c r="C220" s="363"/>
      <c r="D220" s="363"/>
    </row>
    <row r="221" spans="1:4">
      <c r="A221" s="363"/>
      <c r="B221" s="363"/>
      <c r="C221" s="363"/>
      <c r="D221" s="363"/>
    </row>
    <row r="222" spans="1:4">
      <c r="A222" s="363"/>
      <c r="B222" s="363"/>
      <c r="C222" s="363"/>
      <c r="D222" s="363"/>
    </row>
    <row r="223" spans="1:4">
      <c r="A223" s="363"/>
      <c r="B223" s="363"/>
      <c r="C223" s="363"/>
      <c r="D223" s="363"/>
    </row>
    <row r="224" spans="1:4">
      <c r="A224" s="363"/>
      <c r="B224" s="363"/>
      <c r="C224" s="363"/>
      <c r="D224" s="363"/>
    </row>
    <row r="225" spans="1:4">
      <c r="A225" s="363"/>
      <c r="B225" s="363"/>
      <c r="C225" s="363"/>
      <c r="D225" s="363"/>
    </row>
    <row r="226" spans="1:4">
      <c r="A226" s="363"/>
      <c r="B226" s="363"/>
      <c r="C226" s="363"/>
      <c r="D226" s="363"/>
    </row>
    <row r="227" spans="1:4">
      <c r="A227" s="363"/>
      <c r="B227" s="363"/>
      <c r="C227" s="363"/>
      <c r="D227" s="363"/>
    </row>
    <row r="228" spans="1:4">
      <c r="A228" s="363"/>
      <c r="B228" s="363"/>
      <c r="C228" s="363"/>
      <c r="D228" s="363"/>
    </row>
    <row r="229" spans="1:4">
      <c r="A229" s="363"/>
      <c r="B229" s="363"/>
      <c r="C229" s="363"/>
      <c r="D229" s="363"/>
    </row>
    <row r="230" spans="1:4">
      <c r="A230" s="363"/>
      <c r="B230" s="363"/>
      <c r="C230" s="363"/>
      <c r="D230" s="363"/>
    </row>
    <row r="231" spans="1:4">
      <c r="A231" s="363"/>
      <c r="B231" s="363"/>
      <c r="C231" s="363"/>
      <c r="D231" s="363"/>
    </row>
    <row r="232" spans="1:4">
      <c r="A232" s="363"/>
      <c r="B232" s="363"/>
      <c r="C232" s="363"/>
      <c r="D232" s="363"/>
    </row>
    <row r="233" spans="1:4">
      <c r="A233" s="363"/>
      <c r="B233" s="363"/>
      <c r="C233" s="363"/>
      <c r="D233" s="363"/>
    </row>
    <row r="234" spans="1:4">
      <c r="A234" s="363"/>
      <c r="B234" s="363"/>
      <c r="C234" s="363"/>
      <c r="D234" s="363"/>
    </row>
    <row r="235" spans="1:4">
      <c r="A235" s="363"/>
      <c r="B235" s="363"/>
      <c r="C235" s="363"/>
      <c r="D235" s="363"/>
    </row>
    <row r="236" spans="1:4">
      <c r="A236" s="363"/>
      <c r="B236" s="363"/>
      <c r="C236" s="363"/>
      <c r="D236" s="363"/>
    </row>
    <row r="237" spans="1:4">
      <c r="A237" s="363"/>
      <c r="B237" s="363"/>
      <c r="C237" s="363"/>
      <c r="D237" s="363"/>
    </row>
    <row r="238" spans="1:4">
      <c r="A238" s="363"/>
      <c r="B238" s="363"/>
      <c r="C238" s="363"/>
      <c r="D238" s="363"/>
    </row>
    <row r="239" spans="1:4">
      <c r="A239" s="363"/>
      <c r="B239" s="363"/>
      <c r="C239" s="363"/>
      <c r="D239" s="363"/>
    </row>
    <row r="240" spans="1:4">
      <c r="A240" s="363"/>
      <c r="B240" s="363"/>
      <c r="C240" s="363"/>
      <c r="D240" s="363"/>
    </row>
    <row r="241" spans="1:4">
      <c r="A241" s="363"/>
      <c r="B241" s="363"/>
      <c r="C241" s="363"/>
      <c r="D241" s="363"/>
    </row>
    <row r="242" spans="1:4">
      <c r="A242" s="363"/>
      <c r="B242" s="363"/>
      <c r="C242" s="363"/>
      <c r="D242" s="363"/>
    </row>
    <row r="243" spans="1:4">
      <c r="A243" s="363"/>
      <c r="B243" s="363"/>
      <c r="C243" s="363"/>
      <c r="D243" s="363"/>
    </row>
    <row r="244" spans="1:4">
      <c r="A244" s="363"/>
      <c r="B244" s="363"/>
      <c r="C244" s="363"/>
      <c r="D244" s="363"/>
    </row>
    <row r="245" spans="1:4">
      <c r="A245" s="363"/>
      <c r="B245" s="363"/>
      <c r="C245" s="363"/>
      <c r="D245" s="363"/>
    </row>
    <row r="246" spans="1:4">
      <c r="A246" s="363"/>
      <c r="B246" s="363"/>
      <c r="C246" s="363"/>
      <c r="D246" s="363"/>
    </row>
    <row r="247" spans="1:4">
      <c r="A247" s="363"/>
      <c r="B247" s="363"/>
      <c r="C247" s="363"/>
      <c r="D247" s="363"/>
    </row>
    <row r="248" spans="1:4">
      <c r="A248" s="363"/>
      <c r="B248" s="363"/>
      <c r="C248" s="363"/>
      <c r="D248" s="363"/>
    </row>
    <row r="249" spans="1:4">
      <c r="A249" s="363"/>
      <c r="B249" s="363"/>
      <c r="C249" s="363"/>
      <c r="D249" s="363"/>
    </row>
    <row r="250" spans="1:4">
      <c r="A250" s="363"/>
      <c r="B250" s="363"/>
      <c r="C250" s="363"/>
      <c r="D250" s="36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1"/>
  <dimension ref="A3:H14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00" sqref="G100"/>
    </sheetView>
  </sheetViews>
  <sheetFormatPr defaultRowHeight="12.75"/>
  <cols>
    <col min="1" max="1" width="63.5703125" customWidth="1"/>
    <col min="2" max="2" width="12.7109375" customWidth="1"/>
    <col min="3" max="4" width="14.42578125" customWidth="1"/>
    <col min="5" max="5" width="11" customWidth="1"/>
    <col min="6" max="6" width="13.42578125" customWidth="1"/>
  </cols>
  <sheetData>
    <row r="3" spans="1:8">
      <c r="A3" s="351" t="s">
        <v>215</v>
      </c>
      <c r="B3" s="430" t="s">
        <v>575</v>
      </c>
      <c r="C3" t="s">
        <v>352</v>
      </c>
      <c r="D3" t="s">
        <v>578</v>
      </c>
      <c r="E3" t="s">
        <v>200</v>
      </c>
      <c r="F3" t="s">
        <v>378</v>
      </c>
      <c r="G3" t="s">
        <v>379</v>
      </c>
      <c r="H3" t="s">
        <v>380</v>
      </c>
    </row>
    <row r="4" spans="1:8" hidden="1">
      <c r="A4" s="351" t="s">
        <v>223</v>
      </c>
      <c r="B4" s="430">
        <v>1</v>
      </c>
      <c r="C4" s="350">
        <v>66225.820000000007</v>
      </c>
      <c r="D4" s="350">
        <f>C4/1000</f>
        <v>66.225820000000013</v>
      </c>
      <c r="E4">
        <v>23.91</v>
      </c>
      <c r="F4" t="s">
        <v>381</v>
      </c>
      <c r="G4" t="s">
        <v>382</v>
      </c>
    </row>
    <row r="5" spans="1:8" hidden="1">
      <c r="A5" s="351" t="s">
        <v>225</v>
      </c>
      <c r="B5" s="430">
        <v>1</v>
      </c>
      <c r="C5" s="350">
        <v>225348.05000000002</v>
      </c>
      <c r="D5" s="350">
        <f t="shared" ref="D5:D68" si="0">C5/1000</f>
        <v>225.34805000000003</v>
      </c>
      <c r="E5">
        <v>23.91</v>
      </c>
      <c r="F5" t="s">
        <v>381</v>
      </c>
      <c r="G5" t="s">
        <v>383</v>
      </c>
    </row>
    <row r="6" spans="1:8" hidden="1">
      <c r="A6" s="351" t="s">
        <v>228</v>
      </c>
      <c r="B6" s="430">
        <v>1</v>
      </c>
      <c r="C6" s="350">
        <v>27870.63</v>
      </c>
      <c r="D6" s="350">
        <f t="shared" si="0"/>
        <v>27.870630000000002</v>
      </c>
      <c r="E6">
        <v>23.91</v>
      </c>
      <c r="F6" t="s">
        <v>381</v>
      </c>
      <c r="G6" t="s">
        <v>383</v>
      </c>
    </row>
    <row r="7" spans="1:8">
      <c r="A7" s="351" t="s">
        <v>231</v>
      </c>
      <c r="B7" s="430">
        <v>1</v>
      </c>
      <c r="C7" s="350">
        <v>14569.04</v>
      </c>
      <c r="D7" s="350">
        <f t="shared" si="0"/>
        <v>14.569040000000001</v>
      </c>
      <c r="E7">
        <v>23.91</v>
      </c>
      <c r="F7" t="s">
        <v>385</v>
      </c>
      <c r="G7" t="s">
        <v>391</v>
      </c>
    </row>
    <row r="8" spans="1:8" hidden="1">
      <c r="A8" s="351" t="s">
        <v>235</v>
      </c>
      <c r="B8" s="430">
        <v>1</v>
      </c>
      <c r="C8" s="350">
        <v>324691.05</v>
      </c>
      <c r="D8" s="350">
        <f t="shared" si="0"/>
        <v>324.69104999999996</v>
      </c>
      <c r="E8">
        <v>23.91</v>
      </c>
      <c r="F8" t="s">
        <v>381</v>
      </c>
      <c r="G8" t="s">
        <v>384</v>
      </c>
    </row>
    <row r="9" spans="1:8" hidden="1">
      <c r="A9" s="351" t="s">
        <v>238</v>
      </c>
      <c r="B9" s="430">
        <v>1</v>
      </c>
      <c r="C9" s="350">
        <v>8168.11</v>
      </c>
      <c r="D9" s="350">
        <f t="shared" si="0"/>
        <v>8.1681100000000004</v>
      </c>
      <c r="E9">
        <v>23.91</v>
      </c>
      <c r="F9" t="s">
        <v>381</v>
      </c>
      <c r="G9" t="s">
        <v>383</v>
      </c>
    </row>
    <row r="10" spans="1:8" hidden="1">
      <c r="A10" s="351" t="s">
        <v>241</v>
      </c>
      <c r="B10" s="430">
        <v>1</v>
      </c>
      <c r="C10" s="350">
        <v>27438.92</v>
      </c>
      <c r="D10" s="350">
        <f t="shared" si="0"/>
        <v>27.43892</v>
      </c>
      <c r="E10">
        <v>23.91</v>
      </c>
      <c r="F10" t="s">
        <v>385</v>
      </c>
      <c r="G10" t="s">
        <v>385</v>
      </c>
      <c r="H10" t="s">
        <v>386</v>
      </c>
    </row>
    <row r="11" spans="1:8" hidden="1">
      <c r="A11" s="351" t="s">
        <v>244</v>
      </c>
      <c r="B11" s="430">
        <v>1</v>
      </c>
      <c r="C11" s="350">
        <v>708.97</v>
      </c>
      <c r="D11" s="350">
        <f t="shared" si="0"/>
        <v>0.70896999999999999</v>
      </c>
      <c r="E11">
        <v>23.91</v>
      </c>
      <c r="F11" t="s">
        <v>385</v>
      </c>
      <c r="G11" t="s">
        <v>385</v>
      </c>
      <c r="H11" t="s">
        <v>386</v>
      </c>
    </row>
    <row r="12" spans="1:8" hidden="1">
      <c r="A12" s="351" t="s">
        <v>247</v>
      </c>
      <c r="B12" s="430">
        <v>1</v>
      </c>
      <c r="C12" s="350">
        <v>10749.17</v>
      </c>
      <c r="D12" s="350">
        <f t="shared" si="0"/>
        <v>10.749169999999999</v>
      </c>
      <c r="E12">
        <v>23.91</v>
      </c>
      <c r="F12" t="s">
        <v>385</v>
      </c>
      <c r="G12" t="s">
        <v>385</v>
      </c>
      <c r="H12" t="s">
        <v>387</v>
      </c>
    </row>
    <row r="13" spans="1:8" hidden="1">
      <c r="A13" s="351" t="s">
        <v>249</v>
      </c>
      <c r="B13" s="430">
        <v>1</v>
      </c>
      <c r="C13" s="350">
        <v>1280.02</v>
      </c>
      <c r="D13" s="350">
        <f t="shared" si="0"/>
        <v>1.2800199999999999</v>
      </c>
      <c r="E13">
        <v>23.91</v>
      </c>
      <c r="F13" t="s">
        <v>385</v>
      </c>
      <c r="G13" t="s">
        <v>385</v>
      </c>
      <c r="H13" t="s">
        <v>387</v>
      </c>
    </row>
    <row r="14" spans="1:8" hidden="1">
      <c r="A14" s="351" t="s">
        <v>253</v>
      </c>
      <c r="B14" s="430">
        <v>1</v>
      </c>
      <c r="C14" s="350">
        <v>7231.62</v>
      </c>
      <c r="D14" s="350">
        <f t="shared" si="0"/>
        <v>7.2316199999999995</v>
      </c>
      <c r="E14">
        <v>23.91</v>
      </c>
      <c r="F14" t="s">
        <v>385</v>
      </c>
      <c r="G14" t="s">
        <v>385</v>
      </c>
      <c r="H14" t="s">
        <v>387</v>
      </c>
    </row>
    <row r="15" spans="1:8" hidden="1">
      <c r="A15" s="351" t="s">
        <v>257</v>
      </c>
      <c r="B15" s="430">
        <v>1</v>
      </c>
      <c r="C15" s="350">
        <v>2125.14</v>
      </c>
      <c r="D15" s="350">
        <f t="shared" si="0"/>
        <v>2.12514</v>
      </c>
      <c r="E15">
        <v>23.91</v>
      </c>
      <c r="F15" t="s">
        <v>385</v>
      </c>
      <c r="G15" t="s">
        <v>385</v>
      </c>
      <c r="H15" t="s">
        <v>387</v>
      </c>
    </row>
    <row r="16" spans="1:8" hidden="1">
      <c r="A16" s="351" t="s">
        <v>260</v>
      </c>
      <c r="B16" s="430">
        <v>1</v>
      </c>
      <c r="C16" s="350">
        <v>20452.47</v>
      </c>
      <c r="D16" s="350">
        <f t="shared" si="0"/>
        <v>20.452470000000002</v>
      </c>
      <c r="E16">
        <v>23.91</v>
      </c>
      <c r="F16" t="s">
        <v>381</v>
      </c>
      <c r="G16" t="s">
        <v>383</v>
      </c>
    </row>
    <row r="17" spans="1:8" hidden="1">
      <c r="A17" s="351" t="s">
        <v>264</v>
      </c>
      <c r="B17" s="430">
        <v>1</v>
      </c>
      <c r="C17" s="350">
        <v>274546.84999999998</v>
      </c>
      <c r="D17" s="350">
        <f t="shared" si="0"/>
        <v>274.54684999999995</v>
      </c>
      <c r="E17">
        <v>23.91</v>
      </c>
      <c r="F17" t="s">
        <v>381</v>
      </c>
      <c r="G17" t="s">
        <v>388</v>
      </c>
    </row>
    <row r="18" spans="1:8" hidden="1">
      <c r="A18" s="351" t="s">
        <v>266</v>
      </c>
      <c r="B18" s="430">
        <v>1</v>
      </c>
      <c r="C18" s="350">
        <v>21.49</v>
      </c>
      <c r="D18" s="350">
        <f t="shared" si="0"/>
        <v>2.1489999999999999E-2</v>
      </c>
      <c r="E18">
        <v>23.91</v>
      </c>
      <c r="F18" t="s">
        <v>381</v>
      </c>
      <c r="G18" t="s">
        <v>388</v>
      </c>
    </row>
    <row r="19" spans="1:8" hidden="1">
      <c r="A19" s="351" t="s">
        <v>268</v>
      </c>
      <c r="B19" s="430">
        <v>1</v>
      </c>
      <c r="C19" s="350">
        <v>141120.46</v>
      </c>
      <c r="D19" s="350">
        <f t="shared" si="0"/>
        <v>141.12045999999998</v>
      </c>
      <c r="E19">
        <v>23.91</v>
      </c>
      <c r="F19" t="s">
        <v>385</v>
      </c>
      <c r="G19" t="s">
        <v>385</v>
      </c>
      <c r="H19" t="s">
        <v>389</v>
      </c>
    </row>
    <row r="20" spans="1:8" hidden="1">
      <c r="A20" s="351" t="s">
        <v>270</v>
      </c>
      <c r="B20" s="430">
        <v>1</v>
      </c>
      <c r="C20" s="350">
        <v>1766.04</v>
      </c>
      <c r="D20" s="350">
        <f t="shared" si="0"/>
        <v>1.7660400000000001</v>
      </c>
      <c r="E20">
        <v>23.91</v>
      </c>
      <c r="F20" t="s">
        <v>385</v>
      </c>
      <c r="G20" t="s">
        <v>385</v>
      </c>
      <c r="H20" t="s">
        <v>389</v>
      </c>
    </row>
    <row r="21" spans="1:8" hidden="1">
      <c r="A21" s="351" t="s">
        <v>272</v>
      </c>
      <c r="B21" s="430">
        <v>1</v>
      </c>
      <c r="C21" s="350">
        <v>1896.07</v>
      </c>
      <c r="D21" s="350">
        <f t="shared" si="0"/>
        <v>1.8960699999999999</v>
      </c>
      <c r="E21">
        <v>23.91</v>
      </c>
      <c r="F21" t="s">
        <v>385</v>
      </c>
      <c r="G21" t="s">
        <v>385</v>
      </c>
      <c r="H21" t="s">
        <v>389</v>
      </c>
    </row>
    <row r="22" spans="1:8" hidden="1">
      <c r="A22" s="351" t="s">
        <v>275</v>
      </c>
      <c r="B22" s="430">
        <v>1</v>
      </c>
      <c r="C22" s="350">
        <v>60637.67</v>
      </c>
      <c r="D22" s="350">
        <f t="shared" si="0"/>
        <v>60.63767</v>
      </c>
      <c r="E22">
        <v>23.91</v>
      </c>
      <c r="F22" t="s">
        <v>381</v>
      </c>
      <c r="G22" t="s">
        <v>390</v>
      </c>
    </row>
    <row r="23" spans="1:8" hidden="1">
      <c r="A23" s="351" t="s">
        <v>278</v>
      </c>
      <c r="B23" s="430">
        <v>1</v>
      </c>
      <c r="C23" s="350">
        <v>570163.04</v>
      </c>
      <c r="D23" s="350">
        <f t="shared" si="0"/>
        <v>570.16304000000002</v>
      </c>
      <c r="E23">
        <v>23.91</v>
      </c>
      <c r="F23" t="s">
        <v>381</v>
      </c>
      <c r="G23" t="s">
        <v>383</v>
      </c>
    </row>
    <row r="24" spans="1:8" hidden="1">
      <c r="A24" s="351" t="s">
        <v>281</v>
      </c>
      <c r="B24" s="430">
        <v>1</v>
      </c>
      <c r="C24" s="350">
        <v>11067.62</v>
      </c>
      <c r="D24" s="350">
        <f t="shared" si="0"/>
        <v>11.067620000000002</v>
      </c>
      <c r="E24">
        <v>23.91</v>
      </c>
      <c r="F24" t="s">
        <v>385</v>
      </c>
      <c r="G24" t="s">
        <v>391</v>
      </c>
    </row>
    <row r="25" spans="1:8" hidden="1">
      <c r="A25" s="351" t="s">
        <v>284</v>
      </c>
      <c r="B25" s="430">
        <v>1</v>
      </c>
      <c r="C25" s="350">
        <v>23221.79</v>
      </c>
      <c r="D25" s="350">
        <f t="shared" si="0"/>
        <v>23.221790000000002</v>
      </c>
      <c r="E25">
        <v>23.91</v>
      </c>
      <c r="F25" t="s">
        <v>385</v>
      </c>
      <c r="G25" t="s">
        <v>392</v>
      </c>
    </row>
    <row r="26" spans="1:8" hidden="1">
      <c r="A26" s="357" t="s">
        <v>287</v>
      </c>
      <c r="B26" s="430">
        <v>1</v>
      </c>
      <c r="C26" s="350">
        <v>3736.08</v>
      </c>
      <c r="D26" s="350">
        <f t="shared" si="0"/>
        <v>3.7360799999999998</v>
      </c>
      <c r="E26">
        <v>23.91</v>
      </c>
      <c r="F26" t="s">
        <v>385</v>
      </c>
      <c r="G26" t="s">
        <v>393</v>
      </c>
    </row>
    <row r="27" spans="1:8" hidden="1">
      <c r="A27" s="357" t="s">
        <v>288</v>
      </c>
      <c r="B27" s="430">
        <v>1</v>
      </c>
      <c r="C27" s="350">
        <v>26703.32</v>
      </c>
      <c r="D27" s="350">
        <f t="shared" si="0"/>
        <v>26.703319999999998</v>
      </c>
      <c r="E27">
        <v>23.91</v>
      </c>
      <c r="F27" t="s">
        <v>385</v>
      </c>
      <c r="G27" t="s">
        <v>393</v>
      </c>
    </row>
    <row r="28" spans="1:8" hidden="1">
      <c r="A28" s="357" t="s">
        <v>289</v>
      </c>
      <c r="B28" s="430">
        <v>1</v>
      </c>
      <c r="C28" s="350">
        <v>20380.41</v>
      </c>
      <c r="D28" s="350">
        <f t="shared" si="0"/>
        <v>20.380410000000001</v>
      </c>
      <c r="E28">
        <v>23.91</v>
      </c>
      <c r="F28" t="s">
        <v>385</v>
      </c>
      <c r="G28" t="s">
        <v>393</v>
      </c>
    </row>
    <row r="29" spans="1:8" hidden="1">
      <c r="A29" s="357" t="s">
        <v>290</v>
      </c>
      <c r="B29" s="430">
        <v>1</v>
      </c>
      <c r="C29" s="350">
        <v>2585.39</v>
      </c>
      <c r="D29" s="350">
        <f t="shared" si="0"/>
        <v>2.5853899999999999</v>
      </c>
      <c r="E29">
        <v>23.91</v>
      </c>
      <c r="F29" t="s">
        <v>385</v>
      </c>
      <c r="G29" t="s">
        <v>393</v>
      </c>
    </row>
    <row r="30" spans="1:8" hidden="1">
      <c r="A30" s="357" t="s">
        <v>291</v>
      </c>
      <c r="B30" s="430">
        <v>1</v>
      </c>
      <c r="C30" s="350">
        <v>84.74</v>
      </c>
      <c r="D30" s="350">
        <f t="shared" si="0"/>
        <v>8.4739999999999996E-2</v>
      </c>
      <c r="E30">
        <v>23.91</v>
      </c>
      <c r="F30" t="s">
        <v>385</v>
      </c>
      <c r="G30" t="s">
        <v>393</v>
      </c>
    </row>
    <row r="31" spans="1:8" hidden="1">
      <c r="A31" s="357" t="s">
        <v>292</v>
      </c>
      <c r="B31" s="430">
        <v>1</v>
      </c>
      <c r="C31" s="350">
        <v>161.6</v>
      </c>
      <c r="D31" s="350">
        <f t="shared" si="0"/>
        <v>0.16159999999999999</v>
      </c>
      <c r="E31">
        <v>23.91</v>
      </c>
      <c r="F31" t="s">
        <v>385</v>
      </c>
      <c r="G31" t="s">
        <v>393</v>
      </c>
    </row>
    <row r="32" spans="1:8" hidden="1">
      <c r="A32" s="357" t="s">
        <v>293</v>
      </c>
      <c r="B32" s="430">
        <v>1</v>
      </c>
      <c r="C32" s="350">
        <v>4860</v>
      </c>
      <c r="D32" s="350">
        <f t="shared" si="0"/>
        <v>4.8600000000000003</v>
      </c>
      <c r="E32">
        <v>23.91</v>
      </c>
      <c r="F32" t="s">
        <v>385</v>
      </c>
      <c r="G32" t="s">
        <v>393</v>
      </c>
    </row>
    <row r="33" spans="1:8" hidden="1">
      <c r="A33" s="357" t="s">
        <v>294</v>
      </c>
      <c r="B33" s="430">
        <v>1</v>
      </c>
      <c r="C33" s="350">
        <v>681.92</v>
      </c>
      <c r="D33" s="350">
        <f t="shared" si="0"/>
        <v>0.68191999999999997</v>
      </c>
      <c r="E33">
        <v>23.91</v>
      </c>
      <c r="F33" t="s">
        <v>385</v>
      </c>
      <c r="G33" t="s">
        <v>393</v>
      </c>
    </row>
    <row r="34" spans="1:8" hidden="1">
      <c r="A34" s="357" t="s">
        <v>295</v>
      </c>
      <c r="B34" s="430">
        <v>1</v>
      </c>
      <c r="C34" s="350">
        <v>4050.5</v>
      </c>
      <c r="D34" s="350">
        <f t="shared" si="0"/>
        <v>4.0505000000000004</v>
      </c>
      <c r="E34">
        <v>23.91</v>
      </c>
      <c r="F34" t="s">
        <v>385</v>
      </c>
      <c r="G34" t="s">
        <v>393</v>
      </c>
    </row>
    <row r="35" spans="1:8" hidden="1">
      <c r="A35" s="351" t="s">
        <v>296</v>
      </c>
      <c r="B35" s="430">
        <v>1</v>
      </c>
      <c r="C35" s="350">
        <v>20365</v>
      </c>
      <c r="D35" s="350">
        <f t="shared" si="0"/>
        <v>20.364999999999998</v>
      </c>
      <c r="E35">
        <v>23.91</v>
      </c>
      <c r="F35" t="s">
        <v>385</v>
      </c>
      <c r="G35" t="s">
        <v>385</v>
      </c>
      <c r="H35" t="s">
        <v>395</v>
      </c>
    </row>
    <row r="36" spans="1:8" hidden="1">
      <c r="A36" s="351" t="s">
        <v>299</v>
      </c>
      <c r="B36" s="430">
        <v>1</v>
      </c>
      <c r="C36" s="350">
        <v>13314.82</v>
      </c>
      <c r="D36" s="350">
        <f t="shared" si="0"/>
        <v>13.314819999999999</v>
      </c>
      <c r="E36">
        <v>23.91</v>
      </c>
      <c r="F36" t="s">
        <v>385</v>
      </c>
      <c r="G36" t="s">
        <v>385</v>
      </c>
      <c r="H36" t="s">
        <v>396</v>
      </c>
    </row>
    <row r="37" spans="1:8" hidden="1">
      <c r="A37" s="351" t="s">
        <v>302</v>
      </c>
      <c r="B37" s="430">
        <v>1</v>
      </c>
      <c r="C37" s="350">
        <v>879.87</v>
      </c>
      <c r="D37" s="350">
        <f t="shared" si="0"/>
        <v>0.87987000000000004</v>
      </c>
      <c r="E37">
        <v>23.91</v>
      </c>
      <c r="F37" t="s">
        <v>385</v>
      </c>
      <c r="G37" t="s">
        <v>385</v>
      </c>
      <c r="H37" t="s">
        <v>389</v>
      </c>
    </row>
    <row r="38" spans="1:8" hidden="1">
      <c r="A38" s="351" t="s">
        <v>304</v>
      </c>
      <c r="B38" s="430">
        <v>1</v>
      </c>
      <c r="C38" s="350">
        <v>3326.86</v>
      </c>
      <c r="D38" s="350">
        <f t="shared" si="0"/>
        <v>3.3268599999999999</v>
      </c>
      <c r="E38">
        <v>23.91</v>
      </c>
      <c r="F38" t="s">
        <v>385</v>
      </c>
      <c r="G38" t="s">
        <v>385</v>
      </c>
      <c r="H38" t="s">
        <v>386</v>
      </c>
    </row>
    <row r="39" spans="1:8" hidden="1">
      <c r="A39" s="351" t="s">
        <v>306</v>
      </c>
      <c r="B39" s="430">
        <v>1</v>
      </c>
      <c r="C39" s="350">
        <v>512.39</v>
      </c>
      <c r="D39" s="350">
        <f t="shared" si="0"/>
        <v>0.51239000000000001</v>
      </c>
      <c r="E39">
        <v>23.91</v>
      </c>
      <c r="F39" t="s">
        <v>385</v>
      </c>
      <c r="G39" t="s">
        <v>385</v>
      </c>
      <c r="H39" t="s">
        <v>394</v>
      </c>
    </row>
    <row r="40" spans="1:8" hidden="1">
      <c r="A40" s="351" t="s">
        <v>310</v>
      </c>
      <c r="B40" s="430">
        <v>1</v>
      </c>
      <c r="C40" s="350">
        <v>1444.66</v>
      </c>
      <c r="D40" s="350">
        <f t="shared" si="0"/>
        <v>1.4446600000000001</v>
      </c>
      <c r="E40">
        <v>23.91</v>
      </c>
      <c r="F40" t="s">
        <v>381</v>
      </c>
      <c r="G40" t="s">
        <v>382</v>
      </c>
    </row>
    <row r="41" spans="1:8" hidden="1">
      <c r="A41" s="351" t="s">
        <v>313</v>
      </c>
      <c r="B41" s="430">
        <v>1</v>
      </c>
      <c r="C41" s="350">
        <v>1955.2</v>
      </c>
      <c r="D41" s="350">
        <f t="shared" si="0"/>
        <v>1.9552</v>
      </c>
      <c r="E41">
        <v>23.91</v>
      </c>
      <c r="F41" t="s">
        <v>381</v>
      </c>
      <c r="G41" t="s">
        <v>383</v>
      </c>
    </row>
    <row r="42" spans="1:8" hidden="1">
      <c r="A42" s="351" t="s">
        <v>315</v>
      </c>
      <c r="B42" s="430">
        <v>1</v>
      </c>
      <c r="C42" s="350">
        <v>5815.91</v>
      </c>
      <c r="D42" s="350">
        <f t="shared" si="0"/>
        <v>5.8159099999999997</v>
      </c>
      <c r="E42">
        <v>23.91</v>
      </c>
      <c r="F42" t="s">
        <v>381</v>
      </c>
      <c r="G42" t="s">
        <v>383</v>
      </c>
    </row>
    <row r="43" spans="1:8" hidden="1">
      <c r="A43" s="351" t="s">
        <v>317</v>
      </c>
      <c r="B43" s="430">
        <v>1</v>
      </c>
      <c r="C43" s="350">
        <v>140</v>
      </c>
      <c r="D43" s="350">
        <f t="shared" si="0"/>
        <v>0.14000000000000001</v>
      </c>
      <c r="E43">
        <v>23.91</v>
      </c>
      <c r="F43" t="s">
        <v>385</v>
      </c>
      <c r="G43" t="s">
        <v>385</v>
      </c>
      <c r="H43" t="s">
        <v>386</v>
      </c>
    </row>
    <row r="44" spans="1:8" hidden="1">
      <c r="A44" s="351" t="s">
        <v>318</v>
      </c>
      <c r="B44" s="430">
        <v>1</v>
      </c>
      <c r="C44" s="350">
        <v>332.5</v>
      </c>
      <c r="D44" s="350">
        <f t="shared" si="0"/>
        <v>0.33250000000000002</v>
      </c>
      <c r="E44">
        <v>23.91</v>
      </c>
      <c r="F44" t="s">
        <v>385</v>
      </c>
      <c r="G44" t="s">
        <v>385</v>
      </c>
      <c r="H44" t="s">
        <v>386</v>
      </c>
    </row>
    <row r="45" spans="1:8" hidden="1">
      <c r="A45" s="351" t="s">
        <v>320</v>
      </c>
      <c r="B45" s="430">
        <v>1</v>
      </c>
      <c r="C45" s="350">
        <v>560.12</v>
      </c>
      <c r="D45" s="350">
        <f t="shared" si="0"/>
        <v>0.56011999999999995</v>
      </c>
      <c r="E45">
        <v>23.91</v>
      </c>
      <c r="F45" t="s">
        <v>385</v>
      </c>
      <c r="G45" t="s">
        <v>385</v>
      </c>
      <c r="H45" t="s">
        <v>387</v>
      </c>
    </row>
    <row r="46" spans="1:8" hidden="1">
      <c r="A46" s="351" t="s">
        <v>322</v>
      </c>
      <c r="B46" s="430">
        <v>1</v>
      </c>
      <c r="C46" s="350">
        <v>9.52</v>
      </c>
      <c r="D46" s="350">
        <f t="shared" si="0"/>
        <v>9.5199999999999989E-3</v>
      </c>
      <c r="E46">
        <v>23.91</v>
      </c>
      <c r="F46" t="s">
        <v>385</v>
      </c>
      <c r="G46" t="s">
        <v>385</v>
      </c>
      <c r="H46" t="s">
        <v>387</v>
      </c>
    </row>
    <row r="47" spans="1:8" hidden="1">
      <c r="A47" s="351" t="s">
        <v>324</v>
      </c>
      <c r="B47" s="430">
        <v>1</v>
      </c>
      <c r="C47" s="350">
        <v>73.05</v>
      </c>
      <c r="D47" s="350">
        <f t="shared" si="0"/>
        <v>7.3050000000000004E-2</v>
      </c>
      <c r="E47">
        <v>23.91</v>
      </c>
      <c r="F47" t="s">
        <v>385</v>
      </c>
      <c r="G47" t="s">
        <v>385</v>
      </c>
      <c r="H47" t="s">
        <v>387</v>
      </c>
    </row>
    <row r="48" spans="1:8" hidden="1">
      <c r="A48" s="351" t="s">
        <v>329</v>
      </c>
      <c r="B48" s="430">
        <v>1</v>
      </c>
      <c r="C48" s="350">
        <v>38924.46</v>
      </c>
      <c r="D48" s="350">
        <f t="shared" si="0"/>
        <v>38.924459999999996</v>
      </c>
      <c r="E48">
        <v>23.91</v>
      </c>
      <c r="F48" t="s">
        <v>381</v>
      </c>
      <c r="G48" t="s">
        <v>388</v>
      </c>
    </row>
    <row r="49" spans="1:8" hidden="1">
      <c r="A49" s="351" t="s">
        <v>331</v>
      </c>
      <c r="B49" s="430">
        <v>1</v>
      </c>
      <c r="C49" s="350">
        <v>16033.15</v>
      </c>
      <c r="D49" s="350">
        <f t="shared" si="0"/>
        <v>16.033149999999999</v>
      </c>
      <c r="E49">
        <v>23.91</v>
      </c>
      <c r="F49" t="s">
        <v>381</v>
      </c>
      <c r="G49" t="s">
        <v>388</v>
      </c>
    </row>
    <row r="50" spans="1:8" hidden="1">
      <c r="A50" s="351" t="s">
        <v>332</v>
      </c>
      <c r="B50" s="430">
        <v>1</v>
      </c>
      <c r="C50" s="350">
        <v>6.32</v>
      </c>
      <c r="D50" s="350">
        <f t="shared" si="0"/>
        <v>6.3200000000000001E-3</v>
      </c>
      <c r="E50">
        <v>23.91</v>
      </c>
      <c r="F50" t="s">
        <v>385</v>
      </c>
      <c r="G50" t="s">
        <v>385</v>
      </c>
      <c r="H50" t="s">
        <v>389</v>
      </c>
    </row>
    <row r="51" spans="1:8" hidden="1">
      <c r="A51" s="351" t="s">
        <v>335</v>
      </c>
      <c r="B51" s="430">
        <v>1</v>
      </c>
      <c r="C51" s="350">
        <v>49.87</v>
      </c>
      <c r="D51" s="350">
        <f t="shared" si="0"/>
        <v>4.9869999999999998E-2</v>
      </c>
      <c r="E51">
        <v>23.91</v>
      </c>
      <c r="F51" t="s">
        <v>385</v>
      </c>
      <c r="G51" t="s">
        <v>392</v>
      </c>
    </row>
    <row r="52" spans="1:8" hidden="1">
      <c r="A52" s="357" t="s">
        <v>337</v>
      </c>
      <c r="B52" s="430">
        <v>1</v>
      </c>
      <c r="C52" s="350">
        <v>506.86</v>
      </c>
      <c r="D52" s="350">
        <f t="shared" si="0"/>
        <v>0.50685999999999998</v>
      </c>
      <c r="E52">
        <v>23.91</v>
      </c>
      <c r="F52" t="s">
        <v>385</v>
      </c>
      <c r="G52" t="s">
        <v>393</v>
      </c>
    </row>
    <row r="53" spans="1:8" hidden="1">
      <c r="A53" s="357" t="s">
        <v>339</v>
      </c>
      <c r="B53" s="430">
        <v>1</v>
      </c>
      <c r="C53" s="350">
        <v>1571.77</v>
      </c>
      <c r="D53" s="350">
        <f t="shared" si="0"/>
        <v>1.5717699999999999</v>
      </c>
      <c r="E53">
        <v>23.91</v>
      </c>
      <c r="F53" t="s">
        <v>397</v>
      </c>
    </row>
    <row r="54" spans="1:8" hidden="1">
      <c r="A54" s="357" t="s">
        <v>340</v>
      </c>
      <c r="B54" s="430">
        <v>1</v>
      </c>
      <c r="C54" s="350">
        <v>30411.26</v>
      </c>
      <c r="D54" s="350">
        <f t="shared" si="0"/>
        <v>30.411259999999999</v>
      </c>
      <c r="E54">
        <v>23.91</v>
      </c>
      <c r="F54" t="s">
        <v>398</v>
      </c>
    </row>
    <row r="55" spans="1:8" hidden="1">
      <c r="A55" s="357" t="s">
        <v>341</v>
      </c>
      <c r="B55" s="430">
        <v>1</v>
      </c>
      <c r="C55" s="350">
        <v>82059.539999999994</v>
      </c>
      <c r="D55" s="350">
        <f t="shared" si="0"/>
        <v>82.059539999999998</v>
      </c>
      <c r="E55">
        <v>23.91</v>
      </c>
      <c r="F55" t="s">
        <v>399</v>
      </c>
    </row>
    <row r="56" spans="1:8" hidden="1">
      <c r="A56" s="357" t="s">
        <v>342</v>
      </c>
      <c r="B56" s="430">
        <v>1</v>
      </c>
      <c r="C56" s="350">
        <v>1733723.47</v>
      </c>
      <c r="D56" s="350">
        <f t="shared" si="0"/>
        <v>1733.7234699999999</v>
      </c>
      <c r="E56">
        <v>23.91</v>
      </c>
      <c r="F56" t="s">
        <v>398</v>
      </c>
    </row>
    <row r="57" spans="1:8" hidden="1">
      <c r="A57" s="357" t="s">
        <v>343</v>
      </c>
      <c r="B57" s="430">
        <v>1</v>
      </c>
      <c r="C57" s="350">
        <v>4796788.45</v>
      </c>
      <c r="D57" s="350">
        <f t="shared" si="0"/>
        <v>4796.78845</v>
      </c>
      <c r="E57">
        <v>23.91</v>
      </c>
      <c r="F57" t="s">
        <v>399</v>
      </c>
    </row>
    <row r="58" spans="1:8" hidden="1">
      <c r="A58" s="357" t="s">
        <v>345</v>
      </c>
      <c r="B58" s="430">
        <v>1</v>
      </c>
      <c r="C58" s="350">
        <v>792797.46</v>
      </c>
      <c r="D58" s="350">
        <f t="shared" si="0"/>
        <v>792.79746</v>
      </c>
      <c r="E58">
        <v>23.91</v>
      </c>
      <c r="F58" t="s">
        <v>399</v>
      </c>
    </row>
    <row r="59" spans="1:8" hidden="1">
      <c r="A59" s="357" t="s">
        <v>207</v>
      </c>
      <c r="B59" s="430">
        <v>1</v>
      </c>
      <c r="C59" s="350">
        <v>293628.77</v>
      </c>
      <c r="D59" s="350">
        <f t="shared" si="0"/>
        <v>293.62877000000003</v>
      </c>
      <c r="E59">
        <v>23.91</v>
      </c>
      <c r="F59" t="s">
        <v>398</v>
      </c>
    </row>
    <row r="60" spans="1:8" hidden="1">
      <c r="A60" s="357" t="s">
        <v>346</v>
      </c>
      <c r="B60" s="430">
        <v>1</v>
      </c>
      <c r="C60" s="350">
        <v>7212274.2800000003</v>
      </c>
      <c r="D60" s="350">
        <f t="shared" si="0"/>
        <v>7212.2742800000005</v>
      </c>
      <c r="E60">
        <v>23.91</v>
      </c>
      <c r="F60" t="s">
        <v>397</v>
      </c>
    </row>
    <row r="61" spans="1:8" hidden="1">
      <c r="A61" s="363" t="s">
        <v>348</v>
      </c>
      <c r="B61" s="430">
        <v>1</v>
      </c>
      <c r="C61" s="350">
        <f>себестоимость!E138</f>
        <v>201507.77</v>
      </c>
      <c r="D61" s="350">
        <f t="shared" si="0"/>
        <v>201.50776999999999</v>
      </c>
      <c r="E61">
        <v>23.91</v>
      </c>
      <c r="F61" t="s">
        <v>399</v>
      </c>
    </row>
    <row r="62" spans="1:8" hidden="1">
      <c r="A62" s="363" t="s">
        <v>349</v>
      </c>
      <c r="B62" s="430">
        <v>1</v>
      </c>
      <c r="C62" s="350">
        <f>себестоимость!E139</f>
        <v>74678.740000000005</v>
      </c>
      <c r="D62" s="350">
        <f t="shared" si="0"/>
        <v>74.678740000000005</v>
      </c>
      <c r="E62">
        <v>23.91</v>
      </c>
      <c r="F62" t="s">
        <v>398</v>
      </c>
    </row>
    <row r="63" spans="1:8" s="371" customFormat="1" hidden="1">
      <c r="A63" s="368" t="s">
        <v>235</v>
      </c>
      <c r="B63" s="430">
        <v>1</v>
      </c>
      <c r="C63" s="369">
        <v>113229.66</v>
      </c>
      <c r="D63" s="350">
        <f t="shared" si="0"/>
        <v>113.22966000000001</v>
      </c>
      <c r="E63" s="370">
        <v>92</v>
      </c>
      <c r="F63" t="s">
        <v>381</v>
      </c>
      <c r="G63" t="s">
        <v>384</v>
      </c>
    </row>
    <row r="64" spans="1:8" s="371" customFormat="1" hidden="1">
      <c r="A64" s="368" t="s">
        <v>249</v>
      </c>
      <c r="B64" s="430">
        <v>1</v>
      </c>
      <c r="C64" s="372">
        <v>34.020000000000003</v>
      </c>
      <c r="D64" s="350">
        <f t="shared" si="0"/>
        <v>3.4020000000000002E-2</v>
      </c>
      <c r="E64" s="370">
        <v>92</v>
      </c>
      <c r="F64" t="s">
        <v>385</v>
      </c>
      <c r="G64" t="s">
        <v>385</v>
      </c>
      <c r="H64" t="s">
        <v>387</v>
      </c>
    </row>
    <row r="65" spans="1:8" s="371" customFormat="1" hidden="1">
      <c r="A65" s="373" t="s">
        <v>353</v>
      </c>
      <c r="B65" s="430">
        <v>1</v>
      </c>
      <c r="C65" s="369">
        <v>3480</v>
      </c>
      <c r="D65" s="350">
        <f t="shared" si="0"/>
        <v>3.48</v>
      </c>
      <c r="E65" s="370">
        <v>92</v>
      </c>
      <c r="F65" t="s">
        <v>385</v>
      </c>
      <c r="G65" t="s">
        <v>385</v>
      </c>
      <c r="H65" t="s">
        <v>387</v>
      </c>
    </row>
    <row r="66" spans="1:8" s="371" customFormat="1" hidden="1">
      <c r="A66" s="373" t="s">
        <v>354</v>
      </c>
      <c r="B66" s="430">
        <v>1</v>
      </c>
      <c r="C66" s="369">
        <v>3360.5</v>
      </c>
      <c r="D66" s="350">
        <f t="shared" si="0"/>
        <v>3.3605</v>
      </c>
      <c r="E66" s="370">
        <v>92</v>
      </c>
      <c r="F66" t="s">
        <v>381</v>
      </c>
      <c r="G66" t="s">
        <v>383</v>
      </c>
    </row>
    <row r="67" spans="1:8" s="371" customFormat="1" hidden="1">
      <c r="A67" s="368" t="s">
        <v>355</v>
      </c>
      <c r="B67" s="430">
        <v>1</v>
      </c>
      <c r="C67" s="369">
        <v>10369.629999999999</v>
      </c>
      <c r="D67" s="350">
        <f t="shared" si="0"/>
        <v>10.369629999999999</v>
      </c>
      <c r="E67" s="370">
        <v>92</v>
      </c>
      <c r="F67" t="s">
        <v>381</v>
      </c>
      <c r="G67" t="s">
        <v>383</v>
      </c>
    </row>
    <row r="68" spans="1:8" s="371" customFormat="1" ht="22.5">
      <c r="A68" s="368" t="s">
        <v>281</v>
      </c>
      <c r="B68" s="430">
        <v>1</v>
      </c>
      <c r="C68" s="369">
        <v>42553.84</v>
      </c>
      <c r="D68" s="350">
        <f t="shared" si="0"/>
        <v>42.553839999999994</v>
      </c>
      <c r="E68" s="370">
        <v>92</v>
      </c>
      <c r="F68" t="s">
        <v>385</v>
      </c>
      <c r="G68" t="s">
        <v>391</v>
      </c>
    </row>
    <row r="69" spans="1:8" s="371" customFormat="1" hidden="1">
      <c r="A69" s="368" t="s">
        <v>284</v>
      </c>
      <c r="B69" s="430">
        <v>1</v>
      </c>
      <c r="C69" s="369">
        <v>59067.59</v>
      </c>
      <c r="D69" s="350">
        <f t="shared" ref="D69:D95" si="1">C69/1000</f>
        <v>59.067589999999996</v>
      </c>
      <c r="E69" s="370">
        <v>92</v>
      </c>
      <c r="F69" t="s">
        <v>385</v>
      </c>
      <c r="G69" t="s">
        <v>392</v>
      </c>
    </row>
    <row r="70" spans="1:8" s="371" customFormat="1" hidden="1">
      <c r="A70" s="373" t="s">
        <v>356</v>
      </c>
      <c r="B70" s="430">
        <v>1</v>
      </c>
      <c r="C70" s="369">
        <v>3090</v>
      </c>
      <c r="D70" s="350">
        <f t="shared" si="1"/>
        <v>3.09</v>
      </c>
      <c r="E70" s="370">
        <v>92</v>
      </c>
      <c r="F70" t="s">
        <v>385</v>
      </c>
      <c r="G70" t="s">
        <v>393</v>
      </c>
    </row>
    <row r="71" spans="1:8" s="371" customFormat="1" hidden="1">
      <c r="A71" s="373" t="s">
        <v>357</v>
      </c>
      <c r="B71" s="430">
        <v>1</v>
      </c>
      <c r="C71" s="369">
        <v>3474.11</v>
      </c>
      <c r="D71" s="350">
        <f t="shared" si="1"/>
        <v>3.47411</v>
      </c>
      <c r="E71" s="370">
        <v>92</v>
      </c>
      <c r="F71" t="s">
        <v>385</v>
      </c>
      <c r="G71" t="s">
        <v>393</v>
      </c>
      <c r="H71"/>
    </row>
    <row r="72" spans="1:8" s="371" customFormat="1" ht="22.5" hidden="1">
      <c r="A72" s="373" t="s">
        <v>358</v>
      </c>
      <c r="B72" s="430">
        <v>1</v>
      </c>
      <c r="C72" s="369">
        <v>22439</v>
      </c>
      <c r="D72" s="350">
        <f t="shared" si="1"/>
        <v>22.439</v>
      </c>
      <c r="E72" s="370">
        <v>92</v>
      </c>
      <c r="F72" t="s">
        <v>385</v>
      </c>
      <c r="G72" t="s">
        <v>393</v>
      </c>
      <c r="H72"/>
    </row>
    <row r="73" spans="1:8" s="371" customFormat="1" hidden="1">
      <c r="A73" s="368" t="s">
        <v>296</v>
      </c>
      <c r="B73" s="430">
        <v>1</v>
      </c>
      <c r="C73" s="369">
        <v>7926.9</v>
      </c>
      <c r="D73" s="350">
        <f t="shared" si="1"/>
        <v>7.9268999999999998</v>
      </c>
      <c r="E73" s="370">
        <v>92</v>
      </c>
      <c r="F73" t="s">
        <v>385</v>
      </c>
      <c r="G73" t="s">
        <v>385</v>
      </c>
      <c r="H73" t="s">
        <v>395</v>
      </c>
    </row>
    <row r="74" spans="1:8" s="371" customFormat="1" hidden="1">
      <c r="A74" s="373" t="s">
        <v>359</v>
      </c>
      <c r="B74" s="430">
        <v>1</v>
      </c>
      <c r="C74" s="369">
        <v>39999.99</v>
      </c>
      <c r="D74" s="350">
        <f t="shared" si="1"/>
        <v>39.999989999999997</v>
      </c>
      <c r="E74" s="370">
        <v>92</v>
      </c>
      <c r="F74" t="s">
        <v>385</v>
      </c>
      <c r="G74" t="s">
        <v>385</v>
      </c>
      <c r="H74" t="s">
        <v>394</v>
      </c>
    </row>
    <row r="75" spans="1:8" s="371" customFormat="1" hidden="1">
      <c r="A75" s="373" t="s">
        <v>360</v>
      </c>
      <c r="B75" s="430">
        <v>1</v>
      </c>
      <c r="C75" s="369">
        <v>120869.97</v>
      </c>
      <c r="D75" s="350">
        <f t="shared" si="1"/>
        <v>120.86997</v>
      </c>
      <c r="E75" s="370">
        <v>92</v>
      </c>
      <c r="F75" t="s">
        <v>385</v>
      </c>
      <c r="G75" t="s">
        <v>385</v>
      </c>
      <c r="H75" t="s">
        <v>394</v>
      </c>
    </row>
    <row r="76" spans="1:8" s="371" customFormat="1" hidden="1">
      <c r="A76" s="373" t="s">
        <v>361</v>
      </c>
      <c r="B76" s="430">
        <v>1</v>
      </c>
      <c r="C76" s="369">
        <v>1612.72</v>
      </c>
      <c r="D76" s="350">
        <f t="shared" si="1"/>
        <v>1.6127199999999999</v>
      </c>
      <c r="E76" s="370">
        <v>92</v>
      </c>
      <c r="F76" t="s">
        <v>385</v>
      </c>
      <c r="G76" t="s">
        <v>385</v>
      </c>
      <c r="H76" t="s">
        <v>394</v>
      </c>
    </row>
    <row r="77" spans="1:8" s="371" customFormat="1" hidden="1">
      <c r="A77" s="373" t="s">
        <v>362</v>
      </c>
      <c r="B77" s="430">
        <v>1</v>
      </c>
      <c r="C77" s="369">
        <v>10387.49</v>
      </c>
      <c r="D77" s="350">
        <f t="shared" si="1"/>
        <v>10.38749</v>
      </c>
      <c r="E77" s="370">
        <v>92</v>
      </c>
      <c r="F77" t="s">
        <v>385</v>
      </c>
      <c r="G77" t="s">
        <v>385</v>
      </c>
      <c r="H77" t="s">
        <v>394</v>
      </c>
    </row>
    <row r="78" spans="1:8" s="371" customFormat="1" hidden="1">
      <c r="A78" s="373" t="s">
        <v>363</v>
      </c>
      <c r="B78" s="430">
        <v>1</v>
      </c>
      <c r="C78" s="369">
        <v>2100</v>
      </c>
      <c r="D78" s="350">
        <f t="shared" si="1"/>
        <v>2.1</v>
      </c>
      <c r="E78" s="370">
        <v>92</v>
      </c>
      <c r="F78" t="s">
        <v>385</v>
      </c>
      <c r="G78" t="s">
        <v>385</v>
      </c>
      <c r="H78" t="s">
        <v>394</v>
      </c>
    </row>
    <row r="79" spans="1:8" s="371" customFormat="1" hidden="1">
      <c r="A79" s="368" t="s">
        <v>299</v>
      </c>
      <c r="B79" s="430">
        <v>1</v>
      </c>
      <c r="C79" s="369">
        <v>69837.5</v>
      </c>
      <c r="D79" s="350">
        <f t="shared" si="1"/>
        <v>69.837500000000006</v>
      </c>
      <c r="E79" s="370">
        <v>92</v>
      </c>
      <c r="F79" t="s">
        <v>385</v>
      </c>
      <c r="G79" t="s">
        <v>385</v>
      </c>
      <c r="H79" s="371" t="s">
        <v>396</v>
      </c>
    </row>
    <row r="80" spans="1:8" s="371" customFormat="1" ht="22.5" hidden="1">
      <c r="A80" s="368" t="s">
        <v>364</v>
      </c>
      <c r="B80" s="430">
        <v>1</v>
      </c>
      <c r="C80" s="369">
        <v>24650.49</v>
      </c>
      <c r="D80" s="350">
        <f t="shared" si="1"/>
        <v>24.650490000000001</v>
      </c>
      <c r="E80" s="370">
        <v>92</v>
      </c>
      <c r="F80" t="s">
        <v>385</v>
      </c>
      <c r="G80" t="s">
        <v>385</v>
      </c>
      <c r="H80" s="371" t="s">
        <v>400</v>
      </c>
    </row>
    <row r="81" spans="1:8" s="371" customFormat="1" hidden="1">
      <c r="A81" s="368" t="s">
        <v>365</v>
      </c>
      <c r="B81" s="430">
        <v>1</v>
      </c>
      <c r="C81" s="369">
        <v>6470.2</v>
      </c>
      <c r="D81" s="350">
        <f t="shared" si="1"/>
        <v>6.4702000000000002</v>
      </c>
      <c r="E81" s="370">
        <v>92</v>
      </c>
      <c r="F81" t="s">
        <v>385</v>
      </c>
      <c r="G81" t="s">
        <v>385</v>
      </c>
      <c r="H81" t="s">
        <v>385</v>
      </c>
    </row>
    <row r="82" spans="1:8" s="371" customFormat="1" hidden="1">
      <c r="A82" s="368" t="s">
        <v>366</v>
      </c>
      <c r="B82" s="430">
        <v>1</v>
      </c>
      <c r="C82" s="372">
        <v>844.77</v>
      </c>
      <c r="D82" s="350">
        <f t="shared" si="1"/>
        <v>0.84477000000000002</v>
      </c>
      <c r="E82" s="370">
        <v>92</v>
      </c>
      <c r="F82" t="s">
        <v>385</v>
      </c>
      <c r="G82" t="s">
        <v>385</v>
      </c>
      <c r="H82" t="s">
        <v>385</v>
      </c>
    </row>
    <row r="83" spans="1:8" s="371" customFormat="1" hidden="1">
      <c r="A83" s="368" t="s">
        <v>367</v>
      </c>
      <c r="B83" s="430">
        <v>1</v>
      </c>
      <c r="C83" s="369">
        <f>7489.06-5878.93</f>
        <v>1610.13</v>
      </c>
      <c r="D83" s="350">
        <f t="shared" si="1"/>
        <v>1.6101300000000001</v>
      </c>
      <c r="E83" s="370">
        <v>92</v>
      </c>
      <c r="F83" t="s">
        <v>385</v>
      </c>
      <c r="G83" t="s">
        <v>385</v>
      </c>
      <c r="H83" t="s">
        <v>385</v>
      </c>
    </row>
    <row r="84" spans="1:8" s="371" customFormat="1" hidden="1">
      <c r="A84" s="368" t="s">
        <v>368</v>
      </c>
      <c r="B84" s="430">
        <v>1</v>
      </c>
      <c r="C84" s="369">
        <v>2260</v>
      </c>
      <c r="D84" s="350">
        <f t="shared" si="1"/>
        <v>2.2599999999999998</v>
      </c>
      <c r="E84" s="370">
        <v>92</v>
      </c>
      <c r="F84" t="s">
        <v>385</v>
      </c>
      <c r="G84" t="s">
        <v>385</v>
      </c>
      <c r="H84" t="s">
        <v>385</v>
      </c>
    </row>
    <row r="85" spans="1:8" s="371" customFormat="1" hidden="1">
      <c r="A85" s="368" t="s">
        <v>370</v>
      </c>
      <c r="B85" s="430">
        <v>1</v>
      </c>
      <c r="C85" s="369">
        <v>71687.5</v>
      </c>
      <c r="D85" s="350">
        <f t="shared" si="1"/>
        <v>71.6875</v>
      </c>
      <c r="E85" s="370">
        <v>92</v>
      </c>
      <c r="F85" t="s">
        <v>385</v>
      </c>
      <c r="G85" t="s">
        <v>385</v>
      </c>
      <c r="H85" t="s">
        <v>385</v>
      </c>
    </row>
    <row r="86" spans="1:8" s="371" customFormat="1" hidden="1">
      <c r="A86" s="368" t="s">
        <v>306</v>
      </c>
      <c r="B86" s="430">
        <v>1</v>
      </c>
      <c r="C86" s="369">
        <v>4890.5200000000004</v>
      </c>
      <c r="D86" s="350">
        <f t="shared" si="1"/>
        <v>4.8905200000000004</v>
      </c>
      <c r="E86" s="370">
        <v>92</v>
      </c>
      <c r="F86" t="s">
        <v>385</v>
      </c>
      <c r="G86" t="s">
        <v>385</v>
      </c>
      <c r="H86" t="s">
        <v>394</v>
      </c>
    </row>
    <row r="87" spans="1:8" s="371" customFormat="1" hidden="1">
      <c r="A87" s="368" t="s">
        <v>371</v>
      </c>
      <c r="B87" s="430">
        <v>1</v>
      </c>
      <c r="C87" s="369">
        <v>17837.28</v>
      </c>
      <c r="D87" s="350">
        <f t="shared" si="1"/>
        <v>17.83728</v>
      </c>
      <c r="E87" s="370">
        <v>92</v>
      </c>
      <c r="F87" t="s">
        <v>385</v>
      </c>
      <c r="G87" t="s">
        <v>392</v>
      </c>
    </row>
    <row r="88" spans="1:8" s="371" customFormat="1" hidden="1">
      <c r="A88" s="374" t="s">
        <v>372</v>
      </c>
      <c r="B88" s="430">
        <v>1</v>
      </c>
      <c r="C88" s="369">
        <v>2227618.4500000002</v>
      </c>
      <c r="D88" s="350">
        <f t="shared" si="1"/>
        <v>2227.6184500000004</v>
      </c>
      <c r="E88" s="370">
        <v>92</v>
      </c>
      <c r="F88" s="371" t="s">
        <v>399</v>
      </c>
    </row>
    <row r="89" spans="1:8" s="371" customFormat="1" hidden="1">
      <c r="A89" s="374" t="s">
        <v>208</v>
      </c>
      <c r="B89" s="430">
        <v>1</v>
      </c>
      <c r="C89" s="369">
        <v>363371.75</v>
      </c>
      <c r="D89" s="350">
        <f t="shared" si="1"/>
        <v>363.37175000000002</v>
      </c>
      <c r="E89" s="370">
        <v>92</v>
      </c>
      <c r="F89" s="371" t="s">
        <v>398</v>
      </c>
    </row>
    <row r="90" spans="1:8" s="371" customFormat="1" hidden="1">
      <c r="A90" s="374" t="s">
        <v>373</v>
      </c>
      <c r="B90" s="430">
        <v>1</v>
      </c>
      <c r="C90" s="369">
        <v>8066.1</v>
      </c>
      <c r="D90" s="350">
        <f t="shared" si="1"/>
        <v>8.0661000000000005</v>
      </c>
      <c r="E90" s="370">
        <v>92</v>
      </c>
      <c r="F90" s="371" t="s">
        <v>397</v>
      </c>
    </row>
    <row r="91" spans="1:8" s="371" customFormat="1" hidden="1">
      <c r="A91" s="374" t="s">
        <v>374</v>
      </c>
      <c r="B91" s="430">
        <v>1</v>
      </c>
      <c r="C91" s="369">
        <v>27530.85</v>
      </c>
      <c r="D91" s="350">
        <f t="shared" si="1"/>
        <v>27.530849999999997</v>
      </c>
      <c r="E91" s="370">
        <v>92</v>
      </c>
      <c r="F91" t="s">
        <v>385</v>
      </c>
      <c r="G91" t="s">
        <v>385</v>
      </c>
      <c r="H91" t="s">
        <v>385</v>
      </c>
    </row>
    <row r="92" spans="1:8" s="371" customFormat="1" hidden="1">
      <c r="A92" s="374" t="s">
        <v>375</v>
      </c>
      <c r="B92" s="430">
        <v>1</v>
      </c>
      <c r="C92" s="372">
        <v>147.80000000000001</v>
      </c>
      <c r="D92" s="350">
        <f t="shared" si="1"/>
        <v>0.14780000000000001</v>
      </c>
      <c r="E92" s="370">
        <v>92</v>
      </c>
      <c r="F92" t="s">
        <v>385</v>
      </c>
      <c r="G92" s="371" t="s">
        <v>401</v>
      </c>
    </row>
    <row r="93" spans="1:8" s="371" customFormat="1" hidden="1">
      <c r="A93" s="374" t="s">
        <v>376</v>
      </c>
      <c r="B93" s="430">
        <v>1</v>
      </c>
      <c r="C93" s="369">
        <v>117690.12</v>
      </c>
      <c r="D93" s="350">
        <f t="shared" si="1"/>
        <v>117.69011999999999</v>
      </c>
      <c r="E93" s="370">
        <v>92</v>
      </c>
      <c r="F93" t="s">
        <v>385</v>
      </c>
      <c r="G93" s="371" t="s">
        <v>402</v>
      </c>
    </row>
    <row r="94" spans="1:8" s="371" customFormat="1" hidden="1">
      <c r="A94" s="374" t="s">
        <v>377</v>
      </c>
      <c r="B94" s="430">
        <v>1</v>
      </c>
      <c r="C94" s="372">
        <v>163.63999999999999</v>
      </c>
      <c r="D94" s="350">
        <f t="shared" si="1"/>
        <v>0.16363999999999998</v>
      </c>
      <c r="E94" s="370">
        <v>92</v>
      </c>
      <c r="F94" t="s">
        <v>385</v>
      </c>
      <c r="G94" t="s">
        <v>385</v>
      </c>
      <c r="H94" t="s">
        <v>385</v>
      </c>
    </row>
    <row r="95" spans="1:8" s="371" customFormat="1" hidden="1">
      <c r="A95" s="374" t="s">
        <v>369</v>
      </c>
      <c r="B95" s="430">
        <v>1</v>
      </c>
      <c r="C95" s="372">
        <v>93.33</v>
      </c>
      <c r="D95" s="350">
        <f t="shared" si="1"/>
        <v>9.3329999999999996E-2</v>
      </c>
      <c r="E95" s="370">
        <v>92</v>
      </c>
      <c r="F95" t="s">
        <v>385</v>
      </c>
      <c r="G95" t="s">
        <v>385</v>
      </c>
      <c r="H95" t="s">
        <v>385</v>
      </c>
    </row>
    <row r="96" spans="1:8">
      <c r="A96" s="367"/>
      <c r="B96" s="367"/>
      <c r="C96" s="367"/>
      <c r="D96" s="367"/>
      <c r="E96" s="367"/>
    </row>
    <row r="97" spans="1:5">
      <c r="A97" s="367"/>
      <c r="B97" s="367"/>
      <c r="C97" s="367"/>
      <c r="D97" s="367"/>
      <c r="E97" s="367"/>
    </row>
    <row r="98" spans="1:5">
      <c r="A98" s="367"/>
      <c r="B98" s="367"/>
      <c r="C98" s="367"/>
      <c r="D98" s="367"/>
      <c r="E98" s="367"/>
    </row>
    <row r="99" spans="1:5">
      <c r="A99" s="367"/>
      <c r="B99" s="367"/>
      <c r="C99" s="367"/>
      <c r="D99" s="367"/>
      <c r="E99" s="367"/>
    </row>
    <row r="100" spans="1:5">
      <c r="A100" s="367"/>
      <c r="B100" s="367"/>
      <c r="C100" s="367"/>
      <c r="D100" s="367"/>
      <c r="E100" s="367"/>
    </row>
    <row r="101" spans="1:5">
      <c r="A101" s="367"/>
      <c r="B101" s="367"/>
      <c r="C101" s="367"/>
      <c r="D101" s="367"/>
      <c r="E101" s="367"/>
    </row>
    <row r="102" spans="1:5">
      <c r="A102" s="367"/>
      <c r="B102" s="367"/>
      <c r="C102" s="367"/>
      <c r="D102" s="367"/>
      <c r="E102" s="367"/>
    </row>
    <row r="103" spans="1:5">
      <c r="A103" s="367"/>
      <c r="B103" s="367"/>
      <c r="C103" s="367"/>
      <c r="D103" s="367"/>
      <c r="E103" s="367"/>
    </row>
    <row r="104" spans="1:5">
      <c r="A104" s="367"/>
      <c r="B104" s="367"/>
      <c r="C104" s="367"/>
      <c r="D104" s="367"/>
      <c r="E104" s="367"/>
    </row>
    <row r="105" spans="1:5">
      <c r="A105" s="367"/>
      <c r="B105" s="367"/>
      <c r="C105" s="367"/>
      <c r="D105" s="367"/>
      <c r="E105" s="367"/>
    </row>
    <row r="106" spans="1:5">
      <c r="A106" s="367"/>
      <c r="B106" s="367"/>
      <c r="C106" s="367"/>
      <c r="D106" s="367"/>
      <c r="E106" s="367"/>
    </row>
    <row r="107" spans="1:5">
      <c r="A107" s="367"/>
      <c r="B107" s="367"/>
      <c r="C107" s="367"/>
      <c r="D107" s="367"/>
      <c r="E107" s="367"/>
    </row>
    <row r="108" spans="1:5">
      <c r="A108" s="367"/>
      <c r="B108" s="367"/>
      <c r="C108" s="367"/>
      <c r="D108" s="367"/>
      <c r="E108" s="367"/>
    </row>
    <row r="109" spans="1:5">
      <c r="A109" s="367"/>
      <c r="B109" s="367"/>
      <c r="C109" s="367"/>
      <c r="D109" s="367"/>
      <c r="E109" s="367"/>
    </row>
    <row r="110" spans="1:5">
      <c r="A110" s="367"/>
      <c r="B110" s="367"/>
      <c r="C110" s="367"/>
      <c r="D110" s="367"/>
      <c r="E110" s="367"/>
    </row>
    <row r="111" spans="1:5">
      <c r="A111" s="367"/>
      <c r="B111" s="367"/>
      <c r="C111" s="367"/>
      <c r="D111" s="367"/>
      <c r="E111" s="367"/>
    </row>
    <row r="112" spans="1:5">
      <c r="A112" s="367"/>
      <c r="B112" s="367"/>
      <c r="C112" s="367"/>
      <c r="D112" s="367"/>
      <c r="E112" s="367"/>
    </row>
    <row r="113" spans="1:2">
      <c r="A113" s="363"/>
      <c r="B113" s="363"/>
    </row>
    <row r="114" spans="1:2">
      <c r="A114" s="363"/>
      <c r="B114" s="363"/>
    </row>
    <row r="115" spans="1:2">
      <c r="A115" s="363"/>
      <c r="B115" s="363"/>
    </row>
    <row r="116" spans="1:2">
      <c r="A116" s="363"/>
      <c r="B116" s="363"/>
    </row>
    <row r="117" spans="1:2">
      <c r="A117" s="363"/>
      <c r="B117" s="363"/>
    </row>
    <row r="118" spans="1:2">
      <c r="A118" s="363"/>
      <c r="B118" s="363"/>
    </row>
    <row r="119" spans="1:2">
      <c r="A119" s="363"/>
      <c r="B119" s="363"/>
    </row>
    <row r="120" spans="1:2">
      <c r="A120" s="363"/>
      <c r="B120" s="363"/>
    </row>
    <row r="121" spans="1:2">
      <c r="A121" s="363"/>
      <c r="B121" s="363"/>
    </row>
    <row r="122" spans="1:2">
      <c r="A122" s="363"/>
      <c r="B122" s="363"/>
    </row>
    <row r="123" spans="1:2">
      <c r="A123" s="363"/>
      <c r="B123" s="363"/>
    </row>
    <row r="124" spans="1:2">
      <c r="A124" s="363"/>
      <c r="B124" s="363"/>
    </row>
    <row r="125" spans="1:2">
      <c r="A125" s="363"/>
      <c r="B125" s="363"/>
    </row>
    <row r="126" spans="1:2">
      <c r="A126" s="363"/>
      <c r="B126" s="363"/>
    </row>
    <row r="127" spans="1:2">
      <c r="A127" s="363"/>
      <c r="B127" s="363"/>
    </row>
    <row r="128" spans="1:2">
      <c r="A128" s="363"/>
      <c r="B128" s="363"/>
    </row>
    <row r="129" spans="1:2">
      <c r="A129" s="363"/>
      <c r="B129" s="363"/>
    </row>
    <row r="130" spans="1:2">
      <c r="A130" s="363"/>
      <c r="B130" s="363"/>
    </row>
    <row r="131" spans="1:2">
      <c r="A131" s="363"/>
      <c r="B131" s="363"/>
    </row>
    <row r="132" spans="1:2">
      <c r="A132" s="363"/>
      <c r="B132" s="363"/>
    </row>
    <row r="133" spans="1:2">
      <c r="A133" s="363"/>
      <c r="B133" s="363"/>
    </row>
    <row r="134" spans="1:2">
      <c r="A134" s="363"/>
      <c r="B134" s="363"/>
    </row>
    <row r="135" spans="1:2">
      <c r="A135" s="363"/>
      <c r="B135" s="363"/>
    </row>
    <row r="136" spans="1:2">
      <c r="A136" s="363"/>
      <c r="B136" s="363"/>
    </row>
    <row r="137" spans="1:2">
      <c r="A137" s="363"/>
      <c r="B137" s="363"/>
    </row>
    <row r="138" spans="1:2">
      <c r="A138" s="363"/>
      <c r="B138" s="363"/>
    </row>
    <row r="139" spans="1:2">
      <c r="A139" s="363"/>
      <c r="B139" s="363"/>
    </row>
    <row r="140" spans="1:2">
      <c r="A140" s="363"/>
      <c r="B140" s="363"/>
    </row>
    <row r="141" spans="1:2">
      <c r="A141" s="363"/>
      <c r="B141" s="363"/>
    </row>
    <row r="142" spans="1:2">
      <c r="A142" s="363"/>
      <c r="B142" s="363"/>
    </row>
    <row r="143" spans="1:2">
      <c r="A143" s="363"/>
      <c r="B143" s="363"/>
    </row>
    <row r="144" spans="1:2">
      <c r="A144" s="363"/>
      <c r="B144" s="363"/>
    </row>
    <row r="145" spans="1:2">
      <c r="A145" s="363"/>
      <c r="B145" s="363"/>
    </row>
  </sheetData>
  <autoFilter ref="A3:H95">
    <filterColumn colId="0">
      <filters>
        <filter val="01 01 02 04 Ремонт и содержан ие автотранспорта хоз.способом"/>
        <filter val="01 01 04 04 Ремонт и содержание транспорта подрядным способом"/>
      </filters>
    </filterColumn>
    <filterColumn colId="1"/>
    <filterColumn colId="3"/>
    <filterColumn colId="5">
      <filters>
        <filter val="Материальные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3:C25"/>
  <sheetViews>
    <sheetView workbookViewId="0">
      <selection activeCell="C25" sqref="A3:C25"/>
    </sheetView>
  </sheetViews>
  <sheetFormatPr defaultRowHeight="12.75"/>
  <cols>
    <col min="1" max="1" width="40" bestFit="1" customWidth="1"/>
    <col min="2" max="2" width="22" style="423" bestFit="1" customWidth="1"/>
    <col min="3" max="3" width="12" style="423" bestFit="1" customWidth="1"/>
  </cols>
  <sheetData>
    <row r="3" spans="1:3">
      <c r="A3" s="425" t="s">
        <v>572</v>
      </c>
      <c r="B3" s="428" t="s">
        <v>574</v>
      </c>
    </row>
    <row r="4" spans="1:3">
      <c r="A4" s="425" t="s">
        <v>569</v>
      </c>
      <c r="B4" s="423">
        <v>1</v>
      </c>
      <c r="C4" s="423" t="s">
        <v>570</v>
      </c>
    </row>
    <row r="5" spans="1:3">
      <c r="A5" s="426" t="s">
        <v>560</v>
      </c>
      <c r="B5" s="423">
        <v>1540.0566583333334</v>
      </c>
      <c r="C5" s="423">
        <v>1540.0566583333334</v>
      </c>
    </row>
    <row r="6" spans="1:3">
      <c r="A6" s="427" t="s">
        <v>571</v>
      </c>
      <c r="B6" s="423">
        <v>1540.0566583333334</v>
      </c>
      <c r="C6" s="423">
        <v>1540.0566583333334</v>
      </c>
    </row>
    <row r="7" spans="1:3">
      <c r="A7" s="426" t="s">
        <v>565</v>
      </c>
      <c r="B7" s="423">
        <v>23282.416474999998</v>
      </c>
      <c r="C7" s="423">
        <v>23282.416474999998</v>
      </c>
    </row>
    <row r="8" spans="1:3">
      <c r="A8" s="427" t="s">
        <v>571</v>
      </c>
      <c r="B8" s="423">
        <v>23282.416474999998</v>
      </c>
      <c r="C8" s="423">
        <v>23282.416474999998</v>
      </c>
    </row>
    <row r="9" spans="1:3">
      <c r="A9" s="426" t="s">
        <v>552</v>
      </c>
      <c r="B9" s="423">
        <v>490.44779666666659</v>
      </c>
      <c r="C9" s="423">
        <v>490.44779666666659</v>
      </c>
    </row>
    <row r="10" spans="1:3">
      <c r="A10" s="427" t="s">
        <v>396</v>
      </c>
      <c r="B10" s="423">
        <v>7.8149250000000006</v>
      </c>
      <c r="C10" s="423">
        <v>7.8149250000000006</v>
      </c>
    </row>
    <row r="11" spans="1:3">
      <c r="A11" s="427" t="s">
        <v>554</v>
      </c>
      <c r="B11" s="423">
        <v>19.025258333333333</v>
      </c>
      <c r="C11" s="423">
        <v>19.025258333333333</v>
      </c>
    </row>
    <row r="12" spans="1:3">
      <c r="A12" s="427" t="s">
        <v>556</v>
      </c>
      <c r="B12" s="423">
        <v>5.5620416666666666</v>
      </c>
      <c r="C12" s="423">
        <v>5.5620416666666666</v>
      </c>
    </row>
    <row r="13" spans="1:3">
      <c r="A13" s="427" t="s">
        <v>566</v>
      </c>
      <c r="B13" s="423">
        <v>246.18102499999998</v>
      </c>
      <c r="C13" s="423">
        <v>246.18102499999998</v>
      </c>
    </row>
    <row r="14" spans="1:3">
      <c r="A14" s="427" t="s">
        <v>561</v>
      </c>
      <c r="B14" s="423">
        <v>3.0300500000000001</v>
      </c>
      <c r="C14" s="423">
        <v>3.0300500000000001</v>
      </c>
    </row>
    <row r="15" spans="1:3">
      <c r="A15" s="427" t="s">
        <v>558</v>
      </c>
      <c r="B15" s="423">
        <v>15.182141666666666</v>
      </c>
      <c r="C15" s="423">
        <v>15.182141666666666</v>
      </c>
    </row>
    <row r="16" spans="1:3">
      <c r="A16" s="427" t="s">
        <v>559</v>
      </c>
      <c r="B16" s="423">
        <v>4.6397999999999993</v>
      </c>
      <c r="C16" s="423">
        <v>4.6397999999999993</v>
      </c>
    </row>
    <row r="17" spans="1:3">
      <c r="A17" s="427" t="s">
        <v>557</v>
      </c>
      <c r="B17" s="423">
        <v>0.15168000000000001</v>
      </c>
      <c r="C17" s="423">
        <v>0.15168000000000001</v>
      </c>
    </row>
    <row r="18" spans="1:3">
      <c r="A18" s="427" t="s">
        <v>563</v>
      </c>
      <c r="B18" s="423">
        <v>41.289266666666663</v>
      </c>
      <c r="C18" s="423">
        <v>41.289266666666663</v>
      </c>
    </row>
    <row r="19" spans="1:3">
      <c r="A19" s="427" t="s">
        <v>553</v>
      </c>
      <c r="B19" s="423">
        <v>20.472091666666667</v>
      </c>
      <c r="C19" s="423">
        <v>20.472091666666667</v>
      </c>
    </row>
    <row r="20" spans="1:3">
      <c r="A20" s="427" t="s">
        <v>562</v>
      </c>
      <c r="B20" s="423">
        <v>95.504166666666663</v>
      </c>
      <c r="C20" s="423">
        <v>95.504166666666663</v>
      </c>
    </row>
    <row r="21" spans="1:3">
      <c r="A21" s="427" t="s">
        <v>564</v>
      </c>
      <c r="B21" s="423">
        <v>2.9516750000000003</v>
      </c>
      <c r="C21" s="423">
        <v>2.9516750000000003</v>
      </c>
    </row>
    <row r="22" spans="1:3">
      <c r="A22" s="427" t="s">
        <v>567</v>
      </c>
      <c r="B22" s="423">
        <v>7.4798583333333335</v>
      </c>
      <c r="C22" s="423">
        <v>7.4798583333333335</v>
      </c>
    </row>
    <row r="23" spans="1:3">
      <c r="A23" s="427" t="s">
        <v>568</v>
      </c>
      <c r="B23" s="423">
        <v>0.30078333333333335</v>
      </c>
      <c r="C23" s="423">
        <v>0.30078333333333335</v>
      </c>
    </row>
    <row r="24" spans="1:3">
      <c r="A24" s="427" t="s">
        <v>555</v>
      </c>
      <c r="B24" s="423">
        <v>20.863033333333334</v>
      </c>
      <c r="C24" s="423">
        <v>20.863033333333334</v>
      </c>
    </row>
    <row r="25" spans="1:3">
      <c r="A25" s="426" t="s">
        <v>570</v>
      </c>
      <c r="B25" s="423">
        <v>25312.920930000004</v>
      </c>
      <c r="C25" s="423">
        <v>25312.920930000004</v>
      </c>
    </row>
  </sheetData>
  <pageMargins left="0.7" right="0.7" top="0.75" bottom="0.75" header="0.3" footer="0.3"/>
  <pageSetup paperSize="9" orientation="portrait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1"/>
  <dimension ref="A1:F92"/>
  <sheetViews>
    <sheetView workbookViewId="0">
      <selection activeCell="C95" sqref="C95"/>
    </sheetView>
  </sheetViews>
  <sheetFormatPr defaultRowHeight="12.75"/>
  <cols>
    <col min="1" max="1" width="82.5703125" customWidth="1"/>
    <col min="2" max="2" width="12.5703125" customWidth="1"/>
    <col min="3" max="3" width="16.140625" customWidth="1"/>
    <col min="4" max="4" width="15.140625" style="423" customWidth="1"/>
  </cols>
  <sheetData>
    <row r="1" spans="1:6" ht="15.75">
      <c r="A1" s="415" t="s">
        <v>465</v>
      </c>
      <c r="B1" s="415"/>
      <c r="C1" s="416"/>
    </row>
    <row r="2" spans="1:6">
      <c r="A2" s="417" t="s">
        <v>466</v>
      </c>
      <c r="B2" s="417"/>
      <c r="C2" s="416"/>
    </row>
    <row r="3" spans="1:6">
      <c r="A3" s="417" t="s">
        <v>467</v>
      </c>
      <c r="B3" s="417"/>
      <c r="C3" s="416"/>
    </row>
    <row r="4" spans="1:6">
      <c r="A4" s="417" t="s">
        <v>468</v>
      </c>
      <c r="B4" s="417"/>
      <c r="C4" s="416"/>
    </row>
    <row r="5" spans="1:6">
      <c r="A5" s="558" t="s">
        <v>469</v>
      </c>
      <c r="B5" s="558"/>
      <c r="C5" s="558"/>
    </row>
    <row r="6" spans="1:6">
      <c r="A6" s="417" t="s">
        <v>470</v>
      </c>
      <c r="B6" s="417"/>
      <c r="C6" s="416"/>
    </row>
    <row r="7" spans="1:6">
      <c r="A7" s="416"/>
      <c r="B7" s="416"/>
      <c r="C7" s="416"/>
    </row>
    <row r="8" spans="1:6" ht="22.5">
      <c r="A8" s="418" t="s">
        <v>471</v>
      </c>
      <c r="B8" s="418" t="s">
        <v>573</v>
      </c>
      <c r="C8" s="419" t="s">
        <v>472</v>
      </c>
      <c r="D8" s="424" t="s">
        <v>549</v>
      </c>
      <c r="E8" t="s">
        <v>550</v>
      </c>
      <c r="F8" t="s">
        <v>551</v>
      </c>
    </row>
    <row r="9" spans="1:6" hidden="1">
      <c r="A9" s="420" t="s">
        <v>473</v>
      </c>
      <c r="B9" s="420">
        <v>1</v>
      </c>
      <c r="C9" s="421">
        <v>264.64999999999998</v>
      </c>
      <c r="D9" s="423">
        <f>C9/1200</f>
        <v>0.22054166666666664</v>
      </c>
      <c r="E9" t="s">
        <v>552</v>
      </c>
      <c r="F9" t="s">
        <v>553</v>
      </c>
    </row>
    <row r="10" spans="1:6" hidden="1">
      <c r="A10" s="420" t="s">
        <v>474</v>
      </c>
      <c r="B10" s="420">
        <v>1</v>
      </c>
      <c r="C10" s="422">
        <v>1144.47</v>
      </c>
      <c r="D10" s="423">
        <f t="shared" ref="D10:D73" si="0">C10/1200</f>
        <v>0.95372500000000004</v>
      </c>
      <c r="E10" t="s">
        <v>552</v>
      </c>
      <c r="F10" t="s">
        <v>396</v>
      </c>
    </row>
    <row r="11" spans="1:6" hidden="1">
      <c r="A11" s="420" t="s">
        <v>475</v>
      </c>
      <c r="B11" s="420">
        <v>1</v>
      </c>
      <c r="C11" s="422">
        <v>1000.77</v>
      </c>
      <c r="D11" s="423">
        <f t="shared" si="0"/>
        <v>0.83397500000000002</v>
      </c>
      <c r="E11" t="s">
        <v>552</v>
      </c>
      <c r="F11" t="s">
        <v>396</v>
      </c>
    </row>
    <row r="12" spans="1:6" hidden="1">
      <c r="A12" s="420" t="s">
        <v>476</v>
      </c>
      <c r="B12" s="420">
        <v>1</v>
      </c>
      <c r="C12" s="422">
        <v>2052.87</v>
      </c>
      <c r="D12" s="423">
        <f t="shared" si="0"/>
        <v>1.7107249999999998</v>
      </c>
      <c r="E12" t="s">
        <v>552</v>
      </c>
      <c r="F12" t="s">
        <v>396</v>
      </c>
    </row>
    <row r="13" spans="1:6" hidden="1">
      <c r="A13" s="420" t="s">
        <v>477</v>
      </c>
      <c r="B13" s="420">
        <v>1</v>
      </c>
      <c r="C13" s="422">
        <v>1092.3</v>
      </c>
      <c r="D13" s="423">
        <f t="shared" si="0"/>
        <v>0.91025</v>
      </c>
      <c r="E13" t="s">
        <v>552</v>
      </c>
      <c r="F13" t="s">
        <v>396</v>
      </c>
    </row>
    <row r="14" spans="1:6" hidden="1">
      <c r="A14" s="420" t="s">
        <v>478</v>
      </c>
      <c r="B14" s="420">
        <v>1</v>
      </c>
      <c r="C14" s="422">
        <v>4087.5</v>
      </c>
      <c r="D14" s="423">
        <f t="shared" si="0"/>
        <v>3.40625</v>
      </c>
      <c r="E14" t="s">
        <v>552</v>
      </c>
      <c r="F14" t="s">
        <v>396</v>
      </c>
    </row>
    <row r="15" spans="1:6" hidden="1">
      <c r="A15" s="420" t="s">
        <v>479</v>
      </c>
      <c r="B15" s="420">
        <v>1</v>
      </c>
      <c r="C15" s="422">
        <v>18404.04</v>
      </c>
      <c r="D15" s="423">
        <f t="shared" si="0"/>
        <v>15.3367</v>
      </c>
      <c r="E15" t="s">
        <v>552</v>
      </c>
      <c r="F15" t="s">
        <v>554</v>
      </c>
    </row>
    <row r="16" spans="1:6" hidden="1">
      <c r="A16" s="420" t="s">
        <v>480</v>
      </c>
      <c r="B16" s="420">
        <v>1</v>
      </c>
      <c r="C16" s="422">
        <v>10675.44</v>
      </c>
      <c r="D16" s="423">
        <f t="shared" si="0"/>
        <v>8.8962000000000003</v>
      </c>
      <c r="E16" t="s">
        <v>552</v>
      </c>
      <c r="F16" t="s">
        <v>555</v>
      </c>
    </row>
    <row r="17" spans="1:6" hidden="1">
      <c r="A17" s="420" t="s">
        <v>481</v>
      </c>
      <c r="B17" s="420">
        <v>1</v>
      </c>
      <c r="C17" s="422">
        <v>6674.45</v>
      </c>
      <c r="D17" s="423">
        <f t="shared" si="0"/>
        <v>5.5620416666666666</v>
      </c>
      <c r="E17" t="s">
        <v>552</v>
      </c>
      <c r="F17" t="s">
        <v>556</v>
      </c>
    </row>
    <row r="18" spans="1:6" hidden="1">
      <c r="A18" s="420" t="s">
        <v>482</v>
      </c>
      <c r="B18" s="420">
        <v>1</v>
      </c>
      <c r="C18" s="421">
        <v>97.26</v>
      </c>
      <c r="D18" s="423">
        <f t="shared" si="0"/>
        <v>8.1050000000000011E-2</v>
      </c>
      <c r="E18" t="s">
        <v>552</v>
      </c>
      <c r="F18" t="s">
        <v>555</v>
      </c>
    </row>
    <row r="19" spans="1:6" hidden="1">
      <c r="A19" s="420" t="s">
        <v>483</v>
      </c>
      <c r="B19" s="420">
        <v>1</v>
      </c>
      <c r="C19" s="421">
        <v>463.3</v>
      </c>
      <c r="D19" s="423">
        <f t="shared" si="0"/>
        <v>0.38608333333333333</v>
      </c>
      <c r="E19" t="s">
        <v>552</v>
      </c>
      <c r="F19" t="s">
        <v>555</v>
      </c>
    </row>
    <row r="20" spans="1:6" hidden="1">
      <c r="A20" s="420" t="s">
        <v>484</v>
      </c>
      <c r="B20" s="420">
        <v>1</v>
      </c>
      <c r="C20" s="422">
        <v>1623.02</v>
      </c>
      <c r="D20" s="423">
        <f t="shared" si="0"/>
        <v>1.3525166666666666</v>
      </c>
      <c r="E20" t="s">
        <v>552</v>
      </c>
      <c r="F20" t="s">
        <v>555</v>
      </c>
    </row>
    <row r="21" spans="1:6" hidden="1">
      <c r="A21" s="420" t="s">
        <v>485</v>
      </c>
      <c r="B21" s="420">
        <v>1</v>
      </c>
      <c r="C21" s="422">
        <v>6379.7</v>
      </c>
      <c r="D21" s="423">
        <f t="shared" si="0"/>
        <v>5.3164166666666661</v>
      </c>
      <c r="E21" t="s">
        <v>552</v>
      </c>
      <c r="F21" t="s">
        <v>555</v>
      </c>
    </row>
    <row r="22" spans="1:6" hidden="1">
      <c r="A22" s="420" t="s">
        <v>486</v>
      </c>
      <c r="B22" s="420">
        <v>1</v>
      </c>
      <c r="C22" s="421">
        <v>360.41</v>
      </c>
      <c r="D22" s="423">
        <f t="shared" si="0"/>
        <v>0.30034166666666667</v>
      </c>
      <c r="E22" t="s">
        <v>552</v>
      </c>
      <c r="F22" t="s">
        <v>555</v>
      </c>
    </row>
    <row r="23" spans="1:6" hidden="1">
      <c r="A23" s="420" t="s">
        <v>487</v>
      </c>
      <c r="B23" s="420">
        <v>1</v>
      </c>
      <c r="C23" s="422">
        <v>1067.2</v>
      </c>
      <c r="D23" s="423">
        <f t="shared" si="0"/>
        <v>0.88933333333333342</v>
      </c>
      <c r="E23" t="s">
        <v>552</v>
      </c>
      <c r="F23" t="s">
        <v>555</v>
      </c>
    </row>
    <row r="24" spans="1:6" hidden="1">
      <c r="A24" s="420" t="s">
        <v>488</v>
      </c>
      <c r="B24" s="420">
        <v>1</v>
      </c>
      <c r="C24" s="421">
        <v>82.58</v>
      </c>
      <c r="D24" s="423">
        <f t="shared" si="0"/>
        <v>6.8816666666666665E-2</v>
      </c>
      <c r="E24" t="s">
        <v>552</v>
      </c>
      <c r="F24" t="s">
        <v>553</v>
      </c>
    </row>
    <row r="25" spans="1:6" hidden="1">
      <c r="A25" s="420" t="s">
        <v>489</v>
      </c>
      <c r="B25" s="420">
        <v>1</v>
      </c>
      <c r="C25" s="422">
        <v>6692.06</v>
      </c>
      <c r="D25" s="423">
        <f t="shared" si="0"/>
        <v>5.576716666666667</v>
      </c>
      <c r="E25" t="s">
        <v>552</v>
      </c>
      <c r="F25" t="s">
        <v>553</v>
      </c>
    </row>
    <row r="26" spans="1:6" hidden="1">
      <c r="A26" s="420" t="s">
        <v>490</v>
      </c>
      <c r="B26" s="420">
        <v>1</v>
      </c>
      <c r="C26" s="421">
        <v>151.68</v>
      </c>
      <c r="D26" s="423">
        <f>C26/1000</f>
        <v>0.15168000000000001</v>
      </c>
      <c r="E26" t="s">
        <v>552</v>
      </c>
      <c r="F26" t="s">
        <v>557</v>
      </c>
    </row>
    <row r="27" spans="1:6" hidden="1">
      <c r="A27" s="420" t="s">
        <v>491</v>
      </c>
      <c r="B27" s="420">
        <v>1</v>
      </c>
      <c r="C27" s="422">
        <v>2598.29</v>
      </c>
      <c r="D27" s="423">
        <f t="shared" si="0"/>
        <v>2.1652416666666667</v>
      </c>
      <c r="E27" t="s">
        <v>552</v>
      </c>
      <c r="F27" t="s">
        <v>558</v>
      </c>
    </row>
    <row r="28" spans="1:6" hidden="1">
      <c r="A28" s="420" t="s">
        <v>492</v>
      </c>
      <c r="B28" s="420">
        <v>1</v>
      </c>
      <c r="C28" s="421">
        <v>88.1</v>
      </c>
      <c r="D28" s="423">
        <f t="shared" si="0"/>
        <v>7.3416666666666658E-2</v>
      </c>
      <c r="E28" t="s">
        <v>552</v>
      </c>
      <c r="F28" t="s">
        <v>559</v>
      </c>
    </row>
    <row r="29" spans="1:6" hidden="1">
      <c r="A29" s="420" t="s">
        <v>493</v>
      </c>
      <c r="B29" s="420">
        <v>1</v>
      </c>
      <c r="C29" s="422">
        <v>2963.48</v>
      </c>
      <c r="D29" s="423">
        <f t="shared" si="0"/>
        <v>2.4695666666666667</v>
      </c>
      <c r="E29" t="s">
        <v>552</v>
      </c>
      <c r="F29" t="s">
        <v>559</v>
      </c>
    </row>
    <row r="30" spans="1:6" hidden="1">
      <c r="A30" s="420" t="s">
        <v>494</v>
      </c>
      <c r="B30" s="420">
        <v>1</v>
      </c>
      <c r="C30" s="422">
        <v>656270.39</v>
      </c>
      <c r="D30" s="423">
        <f t="shared" si="0"/>
        <v>546.89199166666663</v>
      </c>
      <c r="E30" t="s">
        <v>560</v>
      </c>
    </row>
    <row r="31" spans="1:6" hidden="1">
      <c r="A31" s="420" t="s">
        <v>495</v>
      </c>
      <c r="B31" s="420">
        <v>1</v>
      </c>
      <c r="C31" s="422">
        <v>636087.81000000006</v>
      </c>
      <c r="D31" s="423">
        <f t="shared" si="0"/>
        <v>530.07317499999999</v>
      </c>
      <c r="E31" t="s">
        <v>560</v>
      </c>
    </row>
    <row r="32" spans="1:6" hidden="1">
      <c r="A32" s="420" t="s">
        <v>496</v>
      </c>
      <c r="B32" s="420">
        <v>1</v>
      </c>
      <c r="C32" s="422">
        <v>555709.79</v>
      </c>
      <c r="D32" s="423">
        <f t="shared" si="0"/>
        <v>463.09149166666668</v>
      </c>
      <c r="E32" t="s">
        <v>560</v>
      </c>
    </row>
    <row r="33" spans="1:6" hidden="1">
      <c r="A33" s="420" t="s">
        <v>497</v>
      </c>
      <c r="B33" s="420">
        <v>1</v>
      </c>
      <c r="C33" s="422">
        <v>2516.1799999999998</v>
      </c>
      <c r="D33" s="423">
        <f t="shared" si="0"/>
        <v>2.0968166666666663</v>
      </c>
      <c r="E33" t="s">
        <v>552</v>
      </c>
      <c r="F33" t="s">
        <v>559</v>
      </c>
    </row>
    <row r="34" spans="1:6" hidden="1">
      <c r="A34" s="420" t="s">
        <v>498</v>
      </c>
      <c r="B34" s="420">
        <v>1</v>
      </c>
      <c r="C34" s="422">
        <v>4369.3100000000004</v>
      </c>
      <c r="D34" s="423">
        <f t="shared" si="0"/>
        <v>3.6410916666666671</v>
      </c>
      <c r="E34" t="s">
        <v>552</v>
      </c>
      <c r="F34" t="s">
        <v>555</v>
      </c>
    </row>
    <row r="35" spans="1:6" hidden="1">
      <c r="A35" s="420" t="s">
        <v>499</v>
      </c>
      <c r="B35" s="420">
        <v>1</v>
      </c>
      <c r="C35" s="422">
        <v>3636.06</v>
      </c>
      <c r="D35" s="423">
        <f t="shared" si="0"/>
        <v>3.0300500000000001</v>
      </c>
      <c r="E35" t="s">
        <v>552</v>
      </c>
      <c r="F35" t="s">
        <v>561</v>
      </c>
    </row>
    <row r="36" spans="1:6" hidden="1">
      <c r="A36" s="420" t="s">
        <v>500</v>
      </c>
      <c r="B36" s="420">
        <v>1</v>
      </c>
      <c r="C36" s="421">
        <v>213.96</v>
      </c>
      <c r="D36" s="423">
        <f t="shared" si="0"/>
        <v>0.17830000000000001</v>
      </c>
      <c r="E36" t="s">
        <v>552</v>
      </c>
      <c r="F36" t="s">
        <v>553</v>
      </c>
    </row>
    <row r="37" spans="1:6" hidden="1">
      <c r="A37" s="420" t="s">
        <v>501</v>
      </c>
      <c r="B37" s="420">
        <v>1</v>
      </c>
      <c r="C37" s="422">
        <v>114605</v>
      </c>
      <c r="D37" s="423">
        <f t="shared" si="0"/>
        <v>95.504166666666663</v>
      </c>
      <c r="E37" t="s">
        <v>552</v>
      </c>
      <c r="F37" t="s">
        <v>562</v>
      </c>
    </row>
    <row r="38" spans="1:6" hidden="1">
      <c r="A38" s="420" t="s">
        <v>502</v>
      </c>
      <c r="B38" s="420">
        <v>1</v>
      </c>
      <c r="C38" s="421">
        <v>724.26</v>
      </c>
      <c r="D38" s="423">
        <f t="shared" si="0"/>
        <v>0.60355000000000003</v>
      </c>
      <c r="E38" t="s">
        <v>552</v>
      </c>
      <c r="F38" t="s">
        <v>563</v>
      </c>
    </row>
    <row r="39" spans="1:6" hidden="1">
      <c r="A39" s="420" t="s">
        <v>503</v>
      </c>
      <c r="B39" s="420">
        <v>1</v>
      </c>
      <c r="C39" s="421">
        <v>475.1</v>
      </c>
      <c r="D39" s="423">
        <f t="shared" si="0"/>
        <v>0.39591666666666669</v>
      </c>
      <c r="E39" t="s">
        <v>552</v>
      </c>
      <c r="F39" t="s">
        <v>563</v>
      </c>
    </row>
    <row r="40" spans="1:6" hidden="1">
      <c r="A40" s="420" t="s">
        <v>504</v>
      </c>
      <c r="B40" s="420">
        <v>1</v>
      </c>
      <c r="C40" s="422">
        <v>2747.99</v>
      </c>
      <c r="D40" s="423">
        <f t="shared" si="0"/>
        <v>2.2899916666666664</v>
      </c>
      <c r="E40" t="s">
        <v>552</v>
      </c>
      <c r="F40" t="s">
        <v>563</v>
      </c>
    </row>
    <row r="41" spans="1:6" hidden="1">
      <c r="A41" s="420" t="s">
        <v>505</v>
      </c>
      <c r="B41" s="420">
        <v>1</v>
      </c>
      <c r="C41" s="421">
        <v>615.86</v>
      </c>
      <c r="D41" s="423">
        <f t="shared" si="0"/>
        <v>0.51321666666666665</v>
      </c>
      <c r="E41" t="s">
        <v>552</v>
      </c>
      <c r="F41" t="s">
        <v>563</v>
      </c>
    </row>
    <row r="42" spans="1:6" hidden="1">
      <c r="A42" s="420" t="s">
        <v>506</v>
      </c>
      <c r="B42" s="420">
        <v>1</v>
      </c>
      <c r="C42" s="422">
        <v>4064.72</v>
      </c>
      <c r="D42" s="423">
        <f t="shared" si="0"/>
        <v>3.3872666666666666</v>
      </c>
      <c r="E42" t="s">
        <v>552</v>
      </c>
      <c r="F42" t="s">
        <v>563</v>
      </c>
    </row>
    <row r="43" spans="1:6" hidden="1">
      <c r="A43" s="420" t="s">
        <v>507</v>
      </c>
      <c r="B43" s="420">
        <v>1</v>
      </c>
      <c r="C43" s="421">
        <v>567.24</v>
      </c>
      <c r="D43" s="423">
        <f t="shared" si="0"/>
        <v>0.47270000000000001</v>
      </c>
      <c r="E43" t="s">
        <v>552</v>
      </c>
      <c r="F43" t="s">
        <v>563</v>
      </c>
    </row>
    <row r="44" spans="1:6" hidden="1">
      <c r="A44" s="420" t="s">
        <v>508</v>
      </c>
      <c r="B44" s="420">
        <v>1</v>
      </c>
      <c r="C44" s="422">
        <v>14321.58</v>
      </c>
      <c r="D44" s="423">
        <f t="shared" si="0"/>
        <v>11.93465</v>
      </c>
      <c r="E44" t="s">
        <v>552</v>
      </c>
      <c r="F44" t="s">
        <v>563</v>
      </c>
    </row>
    <row r="45" spans="1:6" hidden="1">
      <c r="A45" s="420" t="s">
        <v>509</v>
      </c>
      <c r="B45" s="420">
        <v>1</v>
      </c>
      <c r="C45" s="421">
        <v>544.29999999999995</v>
      </c>
      <c r="D45" s="423">
        <f t="shared" si="0"/>
        <v>0.45358333333333328</v>
      </c>
      <c r="E45" t="s">
        <v>552</v>
      </c>
      <c r="F45" t="s">
        <v>563</v>
      </c>
    </row>
    <row r="46" spans="1:6" hidden="1">
      <c r="A46" s="420" t="s">
        <v>510</v>
      </c>
      <c r="B46" s="420">
        <v>1</v>
      </c>
      <c r="C46" s="421">
        <v>720</v>
      </c>
      <c r="D46" s="423">
        <f t="shared" si="0"/>
        <v>0.6</v>
      </c>
      <c r="E46" t="s">
        <v>552</v>
      </c>
      <c r="F46" t="s">
        <v>563</v>
      </c>
    </row>
    <row r="47" spans="1:6" hidden="1">
      <c r="A47" s="420" t="s">
        <v>511</v>
      </c>
      <c r="B47" s="420">
        <v>1</v>
      </c>
      <c r="C47" s="421">
        <v>727.53</v>
      </c>
      <c r="D47" s="423">
        <f t="shared" si="0"/>
        <v>0.60627500000000001</v>
      </c>
      <c r="E47" t="s">
        <v>552</v>
      </c>
      <c r="F47" t="s">
        <v>563</v>
      </c>
    </row>
    <row r="48" spans="1:6" hidden="1">
      <c r="A48" s="420" t="s">
        <v>512</v>
      </c>
      <c r="B48" s="420">
        <v>1</v>
      </c>
      <c r="C48" s="422">
        <v>1241.31</v>
      </c>
      <c r="D48" s="423">
        <f t="shared" si="0"/>
        <v>1.0344249999999999</v>
      </c>
      <c r="E48" t="s">
        <v>552</v>
      </c>
      <c r="F48" t="s">
        <v>563</v>
      </c>
    </row>
    <row r="49" spans="1:6" hidden="1">
      <c r="A49" s="420" t="s">
        <v>513</v>
      </c>
      <c r="B49" s="420">
        <v>1</v>
      </c>
      <c r="C49" s="421">
        <v>46.49</v>
      </c>
      <c r="D49" s="423">
        <f t="shared" si="0"/>
        <v>3.8741666666666667E-2</v>
      </c>
      <c r="E49" t="s">
        <v>552</v>
      </c>
      <c r="F49" t="s">
        <v>563</v>
      </c>
    </row>
    <row r="50" spans="1:6" hidden="1">
      <c r="A50" s="420" t="s">
        <v>514</v>
      </c>
      <c r="B50" s="420">
        <v>1</v>
      </c>
      <c r="C50" s="421">
        <v>619.04999999999995</v>
      </c>
      <c r="D50" s="423">
        <f t="shared" si="0"/>
        <v>0.51587499999999997</v>
      </c>
      <c r="E50" t="s">
        <v>552</v>
      </c>
      <c r="F50" t="s">
        <v>563</v>
      </c>
    </row>
    <row r="51" spans="1:6" hidden="1">
      <c r="A51" s="420" t="s">
        <v>515</v>
      </c>
      <c r="B51" s="420">
        <v>1</v>
      </c>
      <c r="C51" s="421">
        <v>647.13</v>
      </c>
      <c r="D51" s="423">
        <f t="shared" si="0"/>
        <v>0.53927499999999995</v>
      </c>
      <c r="E51" t="s">
        <v>552</v>
      </c>
      <c r="F51" t="s">
        <v>563</v>
      </c>
    </row>
    <row r="52" spans="1:6" hidden="1">
      <c r="A52" s="420" t="s">
        <v>516</v>
      </c>
      <c r="B52" s="420">
        <v>1</v>
      </c>
      <c r="C52" s="421">
        <v>709.71</v>
      </c>
      <c r="D52" s="423">
        <f t="shared" si="0"/>
        <v>0.59142499999999998</v>
      </c>
      <c r="E52" t="s">
        <v>552</v>
      </c>
      <c r="F52" t="s">
        <v>563</v>
      </c>
    </row>
    <row r="53" spans="1:6" hidden="1">
      <c r="A53" s="420" t="s">
        <v>517</v>
      </c>
      <c r="B53" s="420">
        <v>1</v>
      </c>
      <c r="C53" s="422">
        <v>1357.5</v>
      </c>
      <c r="D53" s="423">
        <f t="shared" si="0"/>
        <v>1.1312500000000001</v>
      </c>
      <c r="E53" t="s">
        <v>552</v>
      </c>
      <c r="F53" t="s">
        <v>563</v>
      </c>
    </row>
    <row r="54" spans="1:6" hidden="1">
      <c r="A54" s="420" t="s">
        <v>518</v>
      </c>
      <c r="B54" s="420">
        <v>1</v>
      </c>
      <c r="C54" s="421">
        <v>868.53</v>
      </c>
      <c r="D54" s="423">
        <f t="shared" si="0"/>
        <v>0.72377499999999995</v>
      </c>
      <c r="E54" t="s">
        <v>552</v>
      </c>
      <c r="F54" t="s">
        <v>563</v>
      </c>
    </row>
    <row r="55" spans="1:6" hidden="1">
      <c r="A55" s="420" t="s">
        <v>519</v>
      </c>
      <c r="B55" s="420">
        <v>1</v>
      </c>
      <c r="C55" s="421">
        <v>357.18</v>
      </c>
      <c r="D55" s="423">
        <f t="shared" si="0"/>
        <v>0.29765000000000003</v>
      </c>
      <c r="E55" t="s">
        <v>552</v>
      </c>
      <c r="F55" t="s">
        <v>563</v>
      </c>
    </row>
    <row r="56" spans="1:6" hidden="1">
      <c r="A56" s="420" t="s">
        <v>520</v>
      </c>
      <c r="B56" s="420">
        <v>1</v>
      </c>
      <c r="C56" s="421">
        <v>966.63</v>
      </c>
      <c r="D56" s="423">
        <f t="shared" si="0"/>
        <v>0.80552500000000005</v>
      </c>
      <c r="E56" t="s">
        <v>552</v>
      </c>
      <c r="F56" t="s">
        <v>563</v>
      </c>
    </row>
    <row r="57" spans="1:6" hidden="1">
      <c r="A57" s="420" t="s">
        <v>521</v>
      </c>
      <c r="B57" s="420">
        <v>1</v>
      </c>
      <c r="C57" s="421">
        <v>728.16</v>
      </c>
      <c r="D57" s="423">
        <f t="shared" si="0"/>
        <v>0.60680000000000001</v>
      </c>
      <c r="E57" t="s">
        <v>552</v>
      </c>
      <c r="F57" t="s">
        <v>563</v>
      </c>
    </row>
    <row r="58" spans="1:6" hidden="1">
      <c r="A58" s="420" t="s">
        <v>522</v>
      </c>
      <c r="B58" s="420">
        <v>1</v>
      </c>
      <c r="C58" s="421">
        <v>482.7</v>
      </c>
      <c r="D58" s="423">
        <f t="shared" si="0"/>
        <v>0.40225</v>
      </c>
      <c r="E58" t="s">
        <v>552</v>
      </c>
      <c r="F58" t="s">
        <v>563</v>
      </c>
    </row>
    <row r="59" spans="1:6" hidden="1">
      <c r="A59" s="420" t="s">
        <v>523</v>
      </c>
      <c r="B59" s="420">
        <v>1</v>
      </c>
      <c r="C59" s="421">
        <v>116.42</v>
      </c>
      <c r="D59" s="423">
        <f t="shared" si="0"/>
        <v>9.7016666666666668E-2</v>
      </c>
      <c r="E59" t="s">
        <v>552</v>
      </c>
      <c r="F59" t="s">
        <v>563</v>
      </c>
    </row>
    <row r="60" spans="1:6">
      <c r="A60" s="420" t="s">
        <v>524</v>
      </c>
      <c r="B60" s="420">
        <v>1</v>
      </c>
      <c r="C60" s="422">
        <v>3542.01</v>
      </c>
      <c r="D60" s="423">
        <f t="shared" si="0"/>
        <v>2.9516750000000003</v>
      </c>
      <c r="E60" t="s">
        <v>552</v>
      </c>
      <c r="F60" t="s">
        <v>564</v>
      </c>
    </row>
    <row r="61" spans="1:6" hidden="1">
      <c r="A61" s="420" t="s">
        <v>525</v>
      </c>
      <c r="B61" s="420">
        <v>1</v>
      </c>
      <c r="C61" s="422">
        <v>7190.96</v>
      </c>
      <c r="D61" s="423">
        <f t="shared" si="0"/>
        <v>5.9924666666666671</v>
      </c>
      <c r="E61" t="s">
        <v>552</v>
      </c>
      <c r="F61" t="s">
        <v>553</v>
      </c>
    </row>
    <row r="62" spans="1:6" hidden="1">
      <c r="A62" s="420" t="s">
        <v>526</v>
      </c>
      <c r="B62" s="420">
        <v>1</v>
      </c>
      <c r="C62" s="422">
        <v>10122.299999999999</v>
      </c>
      <c r="D62" s="423">
        <f t="shared" si="0"/>
        <v>8.4352499999999999</v>
      </c>
      <c r="E62" t="s">
        <v>552</v>
      </c>
      <c r="F62" t="s">
        <v>553</v>
      </c>
    </row>
    <row r="63" spans="1:6" hidden="1">
      <c r="A63" s="420" t="s">
        <v>527</v>
      </c>
      <c r="B63" s="420">
        <v>1</v>
      </c>
      <c r="C63" s="421">
        <v>116.78</v>
      </c>
      <c r="D63" s="423">
        <f t="shared" si="0"/>
        <v>9.7316666666666662E-2</v>
      </c>
      <c r="E63" t="s">
        <v>552</v>
      </c>
      <c r="F63" t="s">
        <v>554</v>
      </c>
    </row>
    <row r="64" spans="1:6" hidden="1">
      <c r="A64" s="420" t="s">
        <v>528</v>
      </c>
      <c r="B64" s="420">
        <v>1</v>
      </c>
      <c r="C64" s="422">
        <v>6630776.8700000001</v>
      </c>
      <c r="D64" s="423">
        <f t="shared" si="0"/>
        <v>5525.6473916666664</v>
      </c>
      <c r="E64" t="s">
        <v>565</v>
      </c>
    </row>
    <row r="65" spans="1:6" hidden="1">
      <c r="A65" s="420" t="s">
        <v>529</v>
      </c>
      <c r="B65" s="420">
        <v>1</v>
      </c>
      <c r="C65" s="422">
        <v>21308122.899999999</v>
      </c>
      <c r="D65" s="423">
        <f t="shared" si="0"/>
        <v>17756.769083333333</v>
      </c>
      <c r="E65" t="s">
        <v>565</v>
      </c>
    </row>
    <row r="66" spans="1:6" hidden="1">
      <c r="A66" s="420" t="s">
        <v>530</v>
      </c>
      <c r="B66" s="420">
        <v>1</v>
      </c>
      <c r="C66" s="422">
        <v>295417.23</v>
      </c>
      <c r="D66" s="423">
        <f t="shared" si="0"/>
        <v>246.18102499999998</v>
      </c>
      <c r="E66" t="s">
        <v>552</v>
      </c>
      <c r="F66" t="s">
        <v>566</v>
      </c>
    </row>
    <row r="67" spans="1:6" hidden="1">
      <c r="A67" s="420" t="s">
        <v>531</v>
      </c>
      <c r="B67" s="420">
        <v>1</v>
      </c>
      <c r="C67" s="422">
        <v>15620.28</v>
      </c>
      <c r="D67" s="423">
        <f t="shared" si="0"/>
        <v>13.0169</v>
      </c>
      <c r="E67" t="s">
        <v>552</v>
      </c>
      <c r="F67" t="s">
        <v>558</v>
      </c>
    </row>
    <row r="68" spans="1:6" hidden="1">
      <c r="A68" s="420" t="s">
        <v>532</v>
      </c>
      <c r="B68" s="420">
        <v>1</v>
      </c>
      <c r="C68" s="422">
        <v>2910.9</v>
      </c>
      <c r="D68" s="423">
        <f t="shared" si="0"/>
        <v>2.4257500000000003</v>
      </c>
      <c r="E68" t="s">
        <v>552</v>
      </c>
      <c r="F68" t="s">
        <v>567</v>
      </c>
    </row>
    <row r="69" spans="1:6" hidden="1">
      <c r="A69" s="420" t="s">
        <v>533</v>
      </c>
      <c r="B69" s="420">
        <v>1</v>
      </c>
      <c r="C69" s="422">
        <v>2746.73</v>
      </c>
      <c r="D69" s="423">
        <f t="shared" si="0"/>
        <v>2.2889416666666667</v>
      </c>
      <c r="E69" t="s">
        <v>552</v>
      </c>
      <c r="F69" t="s">
        <v>567</v>
      </c>
    </row>
    <row r="70" spans="1:6" hidden="1">
      <c r="A70" s="420" t="s">
        <v>534</v>
      </c>
      <c r="B70" s="420">
        <v>1</v>
      </c>
      <c r="C70" s="422">
        <v>3318.2</v>
      </c>
      <c r="D70" s="423">
        <f t="shared" si="0"/>
        <v>2.7651666666666666</v>
      </c>
      <c r="E70" t="s">
        <v>552</v>
      </c>
      <c r="F70" t="s">
        <v>567</v>
      </c>
    </row>
    <row r="71" spans="1:6" hidden="1">
      <c r="A71" s="420" t="s">
        <v>535</v>
      </c>
      <c r="B71" s="420">
        <v>1</v>
      </c>
      <c r="C71" s="421">
        <v>698.47</v>
      </c>
      <c r="D71" s="423">
        <f t="shared" si="0"/>
        <v>0.58205833333333334</v>
      </c>
      <c r="E71" t="s">
        <v>552</v>
      </c>
      <c r="F71" t="s">
        <v>563</v>
      </c>
    </row>
    <row r="72" spans="1:6" hidden="1">
      <c r="A72" s="420" t="s">
        <v>536</v>
      </c>
      <c r="B72" s="420">
        <v>1</v>
      </c>
      <c r="C72" s="422">
        <v>1502.26</v>
      </c>
      <c r="D72" s="423">
        <f t="shared" si="0"/>
        <v>1.2518833333333332</v>
      </c>
      <c r="E72" t="s">
        <v>552</v>
      </c>
      <c r="F72" t="s">
        <v>563</v>
      </c>
    </row>
    <row r="73" spans="1:6" hidden="1">
      <c r="A73" s="420" t="s">
        <v>537</v>
      </c>
      <c r="B73" s="420">
        <v>1</v>
      </c>
      <c r="C73" s="421">
        <v>226.37</v>
      </c>
      <c r="D73" s="423">
        <f t="shared" si="0"/>
        <v>0.18864166666666668</v>
      </c>
      <c r="E73" t="s">
        <v>552</v>
      </c>
      <c r="F73" t="s">
        <v>563</v>
      </c>
    </row>
    <row r="74" spans="1:6" hidden="1">
      <c r="A74" s="420" t="s">
        <v>538</v>
      </c>
      <c r="B74" s="420">
        <v>1</v>
      </c>
      <c r="C74" s="421">
        <v>992.26</v>
      </c>
      <c r="D74" s="423">
        <f t="shared" ref="D74:D84" si="1">C74/1200</f>
        <v>0.8268833333333333</v>
      </c>
      <c r="E74" t="s">
        <v>552</v>
      </c>
      <c r="F74" t="s">
        <v>563</v>
      </c>
    </row>
    <row r="75" spans="1:6" hidden="1">
      <c r="A75" s="420" t="s">
        <v>539</v>
      </c>
      <c r="B75" s="420">
        <v>1</v>
      </c>
      <c r="C75" s="422">
        <v>2546.42</v>
      </c>
      <c r="D75" s="423">
        <f t="shared" si="1"/>
        <v>2.1220166666666667</v>
      </c>
      <c r="E75" t="s">
        <v>552</v>
      </c>
      <c r="F75" t="s">
        <v>563</v>
      </c>
    </row>
    <row r="76" spans="1:6" hidden="1">
      <c r="A76" s="420" t="s">
        <v>540</v>
      </c>
      <c r="B76" s="420">
        <v>1</v>
      </c>
      <c r="C76" s="421">
        <v>857.08</v>
      </c>
      <c r="D76" s="423">
        <f t="shared" si="1"/>
        <v>0.71423333333333339</v>
      </c>
      <c r="E76" t="s">
        <v>552</v>
      </c>
      <c r="F76" t="s">
        <v>563</v>
      </c>
    </row>
    <row r="77" spans="1:6" hidden="1">
      <c r="A77" s="420" t="s">
        <v>541</v>
      </c>
      <c r="B77" s="420">
        <v>1</v>
      </c>
      <c r="C77" s="422">
        <v>1550.47</v>
      </c>
      <c r="D77" s="423">
        <f t="shared" si="1"/>
        <v>1.2920583333333333</v>
      </c>
      <c r="E77" t="s">
        <v>552</v>
      </c>
      <c r="F77" t="s">
        <v>563</v>
      </c>
    </row>
    <row r="78" spans="1:6" hidden="1">
      <c r="A78" s="420" t="s">
        <v>542</v>
      </c>
      <c r="B78" s="420">
        <v>1</v>
      </c>
      <c r="C78" s="422">
        <v>1417.88</v>
      </c>
      <c r="D78" s="423">
        <f t="shared" si="1"/>
        <v>1.1815666666666667</v>
      </c>
      <c r="E78" t="s">
        <v>552</v>
      </c>
      <c r="F78" t="s">
        <v>563</v>
      </c>
    </row>
    <row r="79" spans="1:6" hidden="1">
      <c r="A79" s="420" t="s">
        <v>543</v>
      </c>
      <c r="B79" s="420">
        <v>1</v>
      </c>
      <c r="C79" s="422">
        <v>1117.28</v>
      </c>
      <c r="D79" s="423">
        <f t="shared" si="1"/>
        <v>0.9310666666666666</v>
      </c>
      <c r="E79" t="s">
        <v>552</v>
      </c>
      <c r="F79" t="s">
        <v>563</v>
      </c>
    </row>
    <row r="80" spans="1:6" hidden="1">
      <c r="A80" s="420" t="s">
        <v>544</v>
      </c>
      <c r="B80" s="420">
        <v>1</v>
      </c>
      <c r="C80" s="421">
        <v>949.16</v>
      </c>
      <c r="D80" s="423">
        <f t="shared" si="1"/>
        <v>0.7909666666666666</v>
      </c>
      <c r="E80" t="s">
        <v>552</v>
      </c>
      <c r="F80" t="s">
        <v>563</v>
      </c>
    </row>
    <row r="81" spans="1:6" hidden="1">
      <c r="A81" s="420" t="s">
        <v>545</v>
      </c>
      <c r="B81" s="420">
        <v>1</v>
      </c>
      <c r="C81" s="422">
        <v>1320.78</v>
      </c>
      <c r="D81" s="423">
        <f t="shared" si="1"/>
        <v>1.1006499999999999</v>
      </c>
      <c r="E81" t="s">
        <v>552</v>
      </c>
      <c r="F81" t="s">
        <v>563</v>
      </c>
    </row>
    <row r="82" spans="1:6" hidden="1">
      <c r="A82" s="420" t="s">
        <v>546</v>
      </c>
      <c r="B82" s="420">
        <v>1</v>
      </c>
      <c r="C82" s="422">
        <v>2719.3</v>
      </c>
      <c r="D82" s="423">
        <f t="shared" si="1"/>
        <v>2.2660833333333334</v>
      </c>
      <c r="E82" t="s">
        <v>552</v>
      </c>
      <c r="F82" t="s">
        <v>563</v>
      </c>
    </row>
    <row r="83" spans="1:6" hidden="1">
      <c r="A83" s="420" t="s">
        <v>547</v>
      </c>
      <c r="B83" s="420">
        <v>1</v>
      </c>
      <c r="C83" s="422">
        <v>4309.49</v>
      </c>
      <c r="D83" s="423">
        <f t="shared" si="1"/>
        <v>3.5912416666666664</v>
      </c>
      <c r="E83" t="s">
        <v>552</v>
      </c>
      <c r="F83" t="s">
        <v>554</v>
      </c>
    </row>
    <row r="84" spans="1:6" hidden="1">
      <c r="A84" s="420" t="s">
        <v>548</v>
      </c>
      <c r="B84" s="420">
        <v>1</v>
      </c>
      <c r="C84" s="421">
        <v>360.94</v>
      </c>
      <c r="D84" s="423">
        <f t="shared" si="1"/>
        <v>0.30078333333333335</v>
      </c>
      <c r="E84" t="s">
        <v>552</v>
      </c>
      <c r="F84" t="s">
        <v>568</v>
      </c>
    </row>
    <row r="85" spans="1:6">
      <c r="A85" s="416"/>
      <c r="B85" s="416"/>
      <c r="C85" s="416"/>
    </row>
    <row r="86" spans="1:6">
      <c r="A86" s="416"/>
      <c r="B86" s="416"/>
      <c r="C86" s="416"/>
    </row>
    <row r="87" spans="1:6">
      <c r="A87" s="416"/>
      <c r="B87" s="416"/>
      <c r="C87" s="416"/>
    </row>
    <row r="88" spans="1:6">
      <c r="A88" s="416"/>
      <c r="B88" s="416"/>
      <c r="C88" s="416"/>
    </row>
    <row r="89" spans="1:6">
      <c r="A89" s="416"/>
      <c r="B89" s="416"/>
      <c r="C89" s="416"/>
    </row>
    <row r="90" spans="1:6">
      <c r="A90" s="416"/>
      <c r="B90" s="416"/>
      <c r="C90" s="416"/>
    </row>
    <row r="91" spans="1:6">
      <c r="A91" s="416"/>
      <c r="B91" s="416"/>
      <c r="C91" s="416"/>
    </row>
    <row r="92" spans="1:6">
      <c r="A92" s="416"/>
      <c r="B92" s="416"/>
      <c r="C92" s="416"/>
    </row>
  </sheetData>
  <autoFilter ref="A8:F84">
    <filterColumn colId="1"/>
    <filterColumn colId="5">
      <filters>
        <filter val="Работы в охранной зоне"/>
      </filters>
    </filterColumn>
  </autoFilter>
  <mergeCells count="1"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3:Q131"/>
  <sheetViews>
    <sheetView workbookViewId="0">
      <selection activeCell="B33" sqref="B33"/>
    </sheetView>
  </sheetViews>
  <sheetFormatPr defaultRowHeight="15.75" outlineLevelRow="1"/>
  <cols>
    <col min="1" max="1" width="9.140625" style="468"/>
    <col min="2" max="2" width="54.28515625" style="469" customWidth="1"/>
    <col min="3" max="16384" width="9.140625" style="469"/>
  </cols>
  <sheetData>
    <row r="3" spans="1:13" s="467" customFormat="1" ht="31.5">
      <c r="A3" s="36"/>
      <c r="B3" s="465" t="s">
        <v>735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</row>
    <row r="5" spans="1:13">
      <c r="B5" s="470"/>
    </row>
    <row r="6" spans="1:13" ht="31.5">
      <c r="A6" s="543" t="s">
        <v>657</v>
      </c>
      <c r="B6" s="545" t="s">
        <v>658</v>
      </c>
      <c r="C6" s="542" t="s">
        <v>659</v>
      </c>
      <c r="D6" s="542"/>
      <c r="E6" s="542" t="s">
        <v>660</v>
      </c>
      <c r="F6" s="542"/>
      <c r="G6" s="542" t="s">
        <v>661</v>
      </c>
      <c r="H6" s="542"/>
      <c r="I6" s="542" t="s">
        <v>662</v>
      </c>
      <c r="J6" s="542"/>
      <c r="K6" s="471" t="s">
        <v>663</v>
      </c>
      <c r="L6" s="542" t="s">
        <v>664</v>
      </c>
      <c r="M6" s="542"/>
    </row>
    <row r="7" spans="1:13" ht="63">
      <c r="A7" s="544"/>
      <c r="B7" s="546"/>
      <c r="C7" s="471" t="s">
        <v>665</v>
      </c>
      <c r="D7" s="471" t="s">
        <v>666</v>
      </c>
      <c r="E7" s="471" t="s">
        <v>667</v>
      </c>
      <c r="F7" s="471" t="s">
        <v>666</v>
      </c>
      <c r="G7" s="471" t="s">
        <v>667</v>
      </c>
      <c r="H7" s="471" t="s">
        <v>668</v>
      </c>
      <c r="I7" s="471" t="s">
        <v>669</v>
      </c>
      <c r="J7" s="471" t="s">
        <v>666</v>
      </c>
      <c r="K7" s="471" t="s">
        <v>670</v>
      </c>
      <c r="L7" s="471" t="s">
        <v>669</v>
      </c>
      <c r="M7" s="471" t="s">
        <v>668</v>
      </c>
    </row>
    <row r="8" spans="1:13" s="477" customFormat="1">
      <c r="A8" s="472"/>
      <c r="B8" s="473" t="s">
        <v>436</v>
      </c>
      <c r="C8" s="474">
        <f>SUM(C9:C18)</f>
        <v>985</v>
      </c>
      <c r="D8" s="474">
        <f>SUM(D9:D18)</f>
        <v>752.50975000000005</v>
      </c>
      <c r="E8" s="475"/>
      <c r="F8" s="476"/>
      <c r="G8" s="474">
        <f>SUM(G9:G18)</f>
        <v>985</v>
      </c>
      <c r="H8" s="476">
        <f>D8</f>
        <v>752.50975000000005</v>
      </c>
      <c r="I8" s="476"/>
      <c r="J8" s="476"/>
      <c r="K8" s="476">
        <f>SUM(K9:K29)</f>
        <v>61.950629999999997</v>
      </c>
      <c r="L8" s="476">
        <f>G8</f>
        <v>985</v>
      </c>
      <c r="M8" s="476">
        <f>SUM(M9:M29)</f>
        <v>814.46037999999999</v>
      </c>
    </row>
    <row r="9" spans="1:13">
      <c r="A9" s="478">
        <v>1</v>
      </c>
      <c r="B9" s="479" t="s">
        <v>636</v>
      </c>
      <c r="C9" s="480">
        <f>'план тариф'!E26</f>
        <v>31</v>
      </c>
      <c r="D9" s="481">
        <f>GETPIVOTDATA("сумма, тис.грн.",'свод расходов'!$A$3,"квартал",1,"6 НКРЕ ","Прочие","Расшифровки","Прочие","Подрасшифровки ","Повышение квалификации")</f>
        <v>28.291899999999998</v>
      </c>
      <c r="E9" s="482"/>
      <c r="F9" s="483"/>
      <c r="G9" s="483">
        <f>C9</f>
        <v>31</v>
      </c>
      <c r="H9" s="483">
        <f t="shared" ref="H9:H18" si="0">D9</f>
        <v>28.291899999999998</v>
      </c>
      <c r="I9" s="483"/>
      <c r="J9" s="483"/>
      <c r="K9" s="483"/>
      <c r="L9" s="483">
        <f t="shared" ref="L9:M18" si="1">G9</f>
        <v>31</v>
      </c>
      <c r="M9" s="483">
        <f t="shared" si="1"/>
        <v>28.291899999999998</v>
      </c>
    </row>
    <row r="10" spans="1:13">
      <c r="A10" s="478">
        <v>2</v>
      </c>
      <c r="B10" s="479" t="s">
        <v>637</v>
      </c>
      <c r="C10" s="480">
        <f>'план тариф'!E27</f>
        <v>122.75</v>
      </c>
      <c r="D10" s="481">
        <f>GETPIVOTDATA("сумма, тис.грн.",'свод расходов'!$A$3,"квартал",1,"6 НКРЕ ","Прочие","Расшифровки","Прочие","Подрасшифровки ","ОТ ")</f>
        <v>31.94725</v>
      </c>
      <c r="E10" s="482"/>
      <c r="F10" s="483"/>
      <c r="G10" s="483">
        <f t="shared" ref="G10:G18" si="2">C10</f>
        <v>122.75</v>
      </c>
      <c r="H10" s="483">
        <f t="shared" si="0"/>
        <v>31.94725</v>
      </c>
      <c r="I10" s="483"/>
      <c r="J10" s="483"/>
      <c r="K10" s="483"/>
      <c r="L10" s="483">
        <f t="shared" si="1"/>
        <v>122.75</v>
      </c>
      <c r="M10" s="483">
        <f t="shared" si="1"/>
        <v>31.94725</v>
      </c>
    </row>
    <row r="11" spans="1:13">
      <c r="A11" s="478">
        <v>3</v>
      </c>
      <c r="B11" s="479" t="s">
        <v>638</v>
      </c>
      <c r="C11" s="480">
        <f>'план тариф'!E28</f>
        <v>216</v>
      </c>
      <c r="D11" s="481">
        <f>GETPIVOTDATA("сумма, тис.грн.",'свод расходов'!$A$3,"квартал",1,"6 НКРЕ ","Прочие","Расшифровки","Прочие","Подрасшифровки ","УСО")</f>
        <v>180.37307999999999</v>
      </c>
      <c r="E11" s="482"/>
      <c r="F11" s="483"/>
      <c r="G11" s="483">
        <f t="shared" si="2"/>
        <v>216</v>
      </c>
      <c r="H11" s="483">
        <f t="shared" si="0"/>
        <v>180.37307999999999</v>
      </c>
      <c r="I11" s="483"/>
      <c r="J11" s="483"/>
      <c r="K11" s="483"/>
      <c r="L11" s="483">
        <f t="shared" si="1"/>
        <v>216</v>
      </c>
      <c r="M11" s="483">
        <f t="shared" si="1"/>
        <v>180.37307999999999</v>
      </c>
    </row>
    <row r="12" spans="1:13">
      <c r="A12" s="478">
        <v>4</v>
      </c>
      <c r="B12" s="479" t="s">
        <v>639</v>
      </c>
      <c r="C12" s="480">
        <f>'план тариф'!E29</f>
        <v>129.5</v>
      </c>
      <c r="D12" s="481">
        <f>GETPIVOTDATA("сумма, тис.грн.",'свод расходов'!$A$3,"квартал",1,"6 НКРЕ ","Прочие","Расшифровки","Прочие","Подрасшифровки ","Аренда")</f>
        <v>83.152320000000003</v>
      </c>
      <c r="E12" s="482"/>
      <c r="F12" s="483"/>
      <c r="G12" s="483">
        <f t="shared" si="2"/>
        <v>129.5</v>
      </c>
      <c r="H12" s="483">
        <f t="shared" si="0"/>
        <v>83.152320000000003</v>
      </c>
      <c r="I12" s="483"/>
      <c r="J12" s="483"/>
      <c r="K12" s="483"/>
      <c r="L12" s="483">
        <f t="shared" si="1"/>
        <v>129.5</v>
      </c>
      <c r="M12" s="483">
        <f t="shared" si="1"/>
        <v>83.152320000000003</v>
      </c>
    </row>
    <row r="13" spans="1:13">
      <c r="A13" s="478">
        <v>5</v>
      </c>
      <c r="B13" s="479" t="s">
        <v>640</v>
      </c>
      <c r="C13" s="480">
        <f>'план тариф'!E30</f>
        <v>55</v>
      </c>
      <c r="D13" s="481">
        <v>0</v>
      </c>
      <c r="E13" s="482"/>
      <c r="F13" s="483"/>
      <c r="G13" s="483">
        <f t="shared" si="2"/>
        <v>55</v>
      </c>
      <c r="H13" s="483">
        <f t="shared" si="0"/>
        <v>0</v>
      </c>
      <c r="I13" s="483"/>
      <c r="J13" s="483"/>
      <c r="K13" s="483"/>
      <c r="L13" s="483">
        <f t="shared" si="1"/>
        <v>55</v>
      </c>
      <c r="M13" s="483">
        <f t="shared" si="1"/>
        <v>0</v>
      </c>
    </row>
    <row r="14" spans="1:13">
      <c r="A14" s="478">
        <v>6</v>
      </c>
      <c r="B14" s="479" t="s">
        <v>641</v>
      </c>
      <c r="C14" s="480">
        <f>'план тариф'!E31</f>
        <v>54.5</v>
      </c>
      <c r="D14" s="481">
        <f>GETPIVOTDATA("сумма, тис.грн.",'свод расходов'!$A$3,"квартал",1,"6 НКРЕ ","Прочие","Расшифровки","Прочие","Подрасшифровки ","Хознужды")</f>
        <v>25.542659999999998</v>
      </c>
      <c r="E14" s="482"/>
      <c r="F14" s="483"/>
      <c r="G14" s="483">
        <f t="shared" si="2"/>
        <v>54.5</v>
      </c>
      <c r="H14" s="483">
        <f t="shared" si="0"/>
        <v>25.542659999999998</v>
      </c>
      <c r="I14" s="483"/>
      <c r="J14" s="483"/>
      <c r="K14" s="483"/>
      <c r="L14" s="483">
        <f t="shared" si="1"/>
        <v>54.5</v>
      </c>
      <c r="M14" s="483">
        <f t="shared" si="1"/>
        <v>25.542659999999998</v>
      </c>
    </row>
    <row r="15" spans="1:13">
      <c r="A15" s="478">
        <v>7</v>
      </c>
      <c r="B15" s="479" t="s">
        <v>642</v>
      </c>
      <c r="C15" s="480">
        <f>'план тариф'!E32</f>
        <v>96.25</v>
      </c>
      <c r="D15" s="481">
        <f>GETPIVOTDATA("сумма, тис.грн.",'свод расходов'!$A$3,"квартал",1,"6 НКРЕ ","Прочие","Расшифровки","Прочие","Подрасшифровки ","Коммунальные услуги")</f>
        <v>145.66875999999999</v>
      </c>
      <c r="E15" s="482"/>
      <c r="F15" s="483"/>
      <c r="G15" s="483">
        <f t="shared" si="2"/>
        <v>96.25</v>
      </c>
      <c r="H15" s="483">
        <f t="shared" si="0"/>
        <v>145.66875999999999</v>
      </c>
      <c r="I15" s="483"/>
      <c r="J15" s="483"/>
      <c r="K15" s="483"/>
      <c r="L15" s="483">
        <f t="shared" si="1"/>
        <v>96.25</v>
      </c>
      <c r="M15" s="483">
        <f t="shared" si="1"/>
        <v>145.66875999999999</v>
      </c>
    </row>
    <row r="16" spans="1:13">
      <c r="A16" s="478">
        <v>8</v>
      </c>
      <c r="B16" s="479" t="s">
        <v>643</v>
      </c>
      <c r="C16" s="480">
        <f>'план тариф'!E33</f>
        <v>95.25</v>
      </c>
      <c r="D16" s="481">
        <f>GETPIVOTDATA("сумма, тис.грн.",'свод расходов'!$A$3,"квартал",1,"6 НКРЕ ","Прочие","Расшифровки","Прочие","Подрасшифровки ","Страхование")</f>
        <v>24.650490000000001</v>
      </c>
      <c r="E16" s="482"/>
      <c r="F16" s="483"/>
      <c r="G16" s="483">
        <f t="shared" si="2"/>
        <v>95.25</v>
      </c>
      <c r="H16" s="483">
        <f t="shared" si="0"/>
        <v>24.650490000000001</v>
      </c>
      <c r="I16" s="483"/>
      <c r="J16" s="483"/>
      <c r="K16" s="483"/>
      <c r="L16" s="483">
        <f t="shared" si="1"/>
        <v>95.25</v>
      </c>
      <c r="M16" s="483">
        <f t="shared" si="1"/>
        <v>24.650490000000001</v>
      </c>
    </row>
    <row r="17" spans="1:13">
      <c r="A17" s="478">
        <v>9</v>
      </c>
      <c r="B17" s="479" t="s">
        <v>671</v>
      </c>
      <c r="C17" s="480">
        <f>'план тариф'!E35</f>
        <v>64.25</v>
      </c>
      <c r="D17" s="484">
        <f>'Прочие счета'!D25/1000</f>
        <v>122.22287</v>
      </c>
      <c r="E17" s="482"/>
      <c r="F17" s="483"/>
      <c r="G17" s="483">
        <f>C17</f>
        <v>64.25</v>
      </c>
      <c r="H17" s="483">
        <f>D17</f>
        <v>122.22287</v>
      </c>
      <c r="I17" s="483"/>
      <c r="J17" s="483"/>
      <c r="K17" s="483"/>
      <c r="L17" s="483">
        <f t="shared" si="1"/>
        <v>64.25</v>
      </c>
      <c r="M17" s="483">
        <f t="shared" si="1"/>
        <v>122.22287</v>
      </c>
    </row>
    <row r="18" spans="1:13">
      <c r="A18" s="478">
        <v>10</v>
      </c>
      <c r="B18" s="479" t="s">
        <v>672</v>
      </c>
      <c r="C18" s="480">
        <f>'план тариф'!E34</f>
        <v>120.5</v>
      </c>
      <c r="D18" s="481">
        <f>GETPIVOTDATA("сумма, тис.грн.",'свод расходов'!$A$3,"квартал",1,"6 НКРЕ ","Прочие","Расшифровки","Прочие","Подрасшифровки ","Прочие")</f>
        <v>110.66042</v>
      </c>
      <c r="E18" s="482"/>
      <c r="F18" s="483"/>
      <c r="G18" s="483">
        <f t="shared" si="2"/>
        <v>120.5</v>
      </c>
      <c r="H18" s="483">
        <f t="shared" si="0"/>
        <v>110.66042</v>
      </c>
      <c r="I18" s="483"/>
      <c r="J18" s="483"/>
      <c r="K18" s="483"/>
      <c r="L18" s="483">
        <f t="shared" si="1"/>
        <v>120.5</v>
      </c>
      <c r="M18" s="483">
        <f>H18</f>
        <v>110.66042</v>
      </c>
    </row>
    <row r="19" spans="1:13" hidden="1" outlineLevel="1">
      <c r="A19" s="478"/>
      <c r="B19" s="485" t="s">
        <v>673</v>
      </c>
      <c r="C19" s="480"/>
      <c r="D19" s="481"/>
      <c r="E19" s="482"/>
      <c r="F19" s="483"/>
      <c r="G19" s="483"/>
      <c r="H19" s="483"/>
      <c r="I19" s="483"/>
      <c r="J19" s="483"/>
      <c r="K19" s="483"/>
      <c r="L19" s="483"/>
      <c r="M19" s="483"/>
    </row>
    <row r="20" spans="1:13" hidden="1" outlineLevel="1">
      <c r="A20" s="478"/>
      <c r="B20" s="485" t="s">
        <v>674</v>
      </c>
      <c r="C20" s="480"/>
      <c r="D20" s="481"/>
      <c r="E20" s="482"/>
      <c r="F20" s="483"/>
      <c r="G20" s="483"/>
      <c r="H20" s="483"/>
      <c r="I20" s="483"/>
      <c r="J20" s="483"/>
      <c r="K20" s="483"/>
      <c r="L20" s="483"/>
      <c r="M20" s="483"/>
    </row>
    <row r="21" spans="1:13" hidden="1" outlineLevel="1">
      <c r="A21" s="478"/>
      <c r="B21" s="485" t="s">
        <v>675</v>
      </c>
      <c r="C21" s="480"/>
      <c r="D21" s="481"/>
      <c r="E21" s="482"/>
      <c r="F21" s="483"/>
      <c r="G21" s="483"/>
      <c r="H21" s="483"/>
      <c r="I21" s="483"/>
      <c r="J21" s="483"/>
      <c r="K21" s="483"/>
      <c r="L21" s="483"/>
      <c r="M21" s="483"/>
    </row>
    <row r="22" spans="1:13" hidden="1" outlineLevel="1">
      <c r="A22" s="478"/>
      <c r="B22" s="485" t="s">
        <v>676</v>
      </c>
      <c r="C22" s="480"/>
      <c r="D22" s="481"/>
      <c r="E22" s="482"/>
      <c r="F22" s="483"/>
      <c r="G22" s="483"/>
      <c r="H22" s="483"/>
      <c r="I22" s="483"/>
      <c r="J22" s="483"/>
      <c r="K22" s="483"/>
      <c r="L22" s="483"/>
      <c r="M22" s="483"/>
    </row>
    <row r="23" spans="1:13" hidden="1" outlineLevel="1">
      <c r="A23" s="478"/>
      <c r="B23" s="485" t="s">
        <v>677</v>
      </c>
      <c r="C23" s="480"/>
      <c r="D23" s="481"/>
      <c r="E23" s="482"/>
      <c r="F23" s="483"/>
      <c r="G23" s="483"/>
      <c r="H23" s="483"/>
      <c r="I23" s="483"/>
      <c r="J23" s="483"/>
      <c r="K23" s="483"/>
      <c r="L23" s="483"/>
      <c r="M23" s="483"/>
    </row>
    <row r="24" spans="1:13" hidden="1" outlineLevel="1">
      <c r="A24" s="478"/>
      <c r="B24" s="485" t="s">
        <v>678</v>
      </c>
      <c r="C24" s="480"/>
      <c r="D24" s="481"/>
      <c r="E24" s="482"/>
      <c r="F24" s="483"/>
      <c r="G24" s="483"/>
      <c r="H24" s="483"/>
      <c r="I24" s="483"/>
      <c r="J24" s="483"/>
      <c r="K24" s="483"/>
      <c r="L24" s="483"/>
      <c r="M24" s="483"/>
    </row>
    <row r="25" spans="1:13" hidden="1" outlineLevel="1">
      <c r="A25" s="478"/>
      <c r="B25" s="485" t="s">
        <v>679</v>
      </c>
      <c r="C25" s="480"/>
      <c r="D25" s="481"/>
      <c r="E25" s="482"/>
      <c r="F25" s="483"/>
      <c r="G25" s="483"/>
      <c r="H25" s="483"/>
      <c r="I25" s="483"/>
      <c r="J25" s="483"/>
      <c r="K25" s="483"/>
      <c r="L25" s="483"/>
      <c r="M25" s="483"/>
    </row>
    <row r="26" spans="1:13" hidden="1" outlineLevel="1">
      <c r="A26" s="478"/>
      <c r="B26" s="485" t="s">
        <v>385</v>
      </c>
      <c r="C26" s="480"/>
      <c r="D26" s="481"/>
      <c r="E26" s="482"/>
      <c r="F26" s="483"/>
      <c r="G26" s="483"/>
      <c r="H26" s="483"/>
      <c r="I26" s="483"/>
      <c r="J26" s="483"/>
      <c r="K26" s="483"/>
      <c r="L26" s="483"/>
      <c r="M26" s="483"/>
    </row>
    <row r="27" spans="1:13" collapsed="1">
      <c r="A27" s="478">
        <v>11</v>
      </c>
      <c r="B27" s="479" t="s">
        <v>680</v>
      </c>
      <c r="C27" s="486"/>
      <c r="D27" s="486"/>
      <c r="E27" s="487"/>
      <c r="F27" s="483"/>
      <c r="G27" s="483"/>
      <c r="H27" s="483"/>
      <c r="I27" s="483"/>
      <c r="J27" s="483"/>
      <c r="K27" s="483">
        <f>'Прочие счета'!D22/1000</f>
        <v>28.685599999999997</v>
      </c>
      <c r="L27" s="483"/>
      <c r="M27" s="483">
        <f>K27</f>
        <v>28.685599999999997</v>
      </c>
    </row>
    <row r="28" spans="1:13">
      <c r="A28" s="478">
        <v>12</v>
      </c>
      <c r="B28" s="479" t="s">
        <v>681</v>
      </c>
      <c r="C28" s="486"/>
      <c r="D28" s="486"/>
      <c r="E28" s="487"/>
      <c r="F28" s="483"/>
      <c r="G28" s="483"/>
      <c r="H28" s="483"/>
      <c r="I28" s="483"/>
      <c r="J28" s="483"/>
      <c r="K28" s="483">
        <f>('Прочие счета'!D19+'Прочие счета'!D20)/1000</f>
        <v>5.8499799999999995</v>
      </c>
      <c r="L28" s="483"/>
      <c r="M28" s="483">
        <f>K28</f>
        <v>5.8499799999999995</v>
      </c>
    </row>
    <row r="29" spans="1:13">
      <c r="A29" s="478">
        <v>13</v>
      </c>
      <c r="B29" s="479" t="s">
        <v>733</v>
      </c>
      <c r="C29" s="488"/>
      <c r="D29" s="488"/>
      <c r="E29" s="489"/>
      <c r="F29" s="490"/>
      <c r="G29" s="490"/>
      <c r="H29" s="490"/>
      <c r="I29" s="490"/>
      <c r="J29" s="490"/>
      <c r="K29" s="483">
        <f>('Прочие счета'!D16+'Прочие счета'!D17+'Прочие счета'!D18+'Прочие счета'!D21+'Прочие счета'!D23+'Прочие счета'!D24+'Прочие счета'!D26)/1000</f>
        <v>27.415050000000001</v>
      </c>
      <c r="L29" s="490"/>
      <c r="M29" s="483">
        <f>K29</f>
        <v>27.415050000000001</v>
      </c>
    </row>
    <row r="30" spans="1:13">
      <c r="E30" s="491"/>
    </row>
    <row r="31" spans="1:13">
      <c r="E31" s="491"/>
    </row>
    <row r="32" spans="1:13">
      <c r="E32" s="491"/>
    </row>
    <row r="33" spans="1:13" s="467" customFormat="1">
      <c r="A33" s="36"/>
      <c r="B33" s="492" t="s">
        <v>682</v>
      </c>
      <c r="C33" s="492"/>
      <c r="D33" s="492"/>
      <c r="E33" s="492"/>
      <c r="F33" s="492"/>
      <c r="G33" s="492"/>
      <c r="H33" s="492"/>
      <c r="I33" s="492"/>
      <c r="J33" s="492" t="s">
        <v>683</v>
      </c>
      <c r="K33" s="492"/>
      <c r="L33" s="36"/>
      <c r="M33" s="36"/>
    </row>
    <row r="34" spans="1:13" s="467" customFormat="1">
      <c r="A34" s="36"/>
      <c r="B34" s="36"/>
      <c r="C34" s="493"/>
      <c r="D34" s="492"/>
      <c r="E34" s="492"/>
      <c r="F34" s="492"/>
      <c r="G34" s="492"/>
      <c r="H34" s="492"/>
      <c r="I34" s="492"/>
      <c r="J34" s="492"/>
      <c r="K34" s="492"/>
      <c r="L34" s="36"/>
      <c r="M34" s="36"/>
    </row>
    <row r="35" spans="1:13" s="467" customFormat="1">
      <c r="A35" s="468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</row>
    <row r="36" spans="1:13" s="467" customFormat="1">
      <c r="A36" s="36"/>
      <c r="B36" s="492" t="s">
        <v>684</v>
      </c>
      <c r="C36" s="492"/>
      <c r="D36" s="492"/>
      <c r="E36" s="492"/>
      <c r="F36" s="492"/>
      <c r="G36" s="492"/>
      <c r="H36" s="492"/>
      <c r="I36" s="492"/>
      <c r="J36" s="492" t="s">
        <v>685</v>
      </c>
      <c r="K36" s="492"/>
      <c r="L36" s="36"/>
      <c r="M36" s="36"/>
    </row>
    <row r="39" spans="1:13">
      <c r="A39" s="36" t="s">
        <v>686</v>
      </c>
    </row>
    <row r="40" spans="1:13">
      <c r="A40" s="36" t="s">
        <v>687</v>
      </c>
    </row>
    <row r="128" spans="10:10">
      <c r="J128" s="469">
        <f>J129+J130</f>
        <v>0</v>
      </c>
    </row>
    <row r="131" spans="17:17">
      <c r="Q131" s="469">
        <v>2840.2190000000001</v>
      </c>
    </row>
  </sheetData>
  <mergeCells count="7">
    <mergeCell ref="L6:M6"/>
    <mergeCell ref="A6:A7"/>
    <mergeCell ref="B6:B7"/>
    <mergeCell ref="C6:D6"/>
    <mergeCell ref="E6:F6"/>
    <mergeCell ref="G6:H6"/>
    <mergeCell ref="I6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2:I53"/>
  <sheetViews>
    <sheetView workbookViewId="0">
      <selection activeCell="D24" sqref="D24"/>
    </sheetView>
  </sheetViews>
  <sheetFormatPr defaultRowHeight="12.75"/>
  <cols>
    <col min="1" max="1" width="7.85546875" style="561" customWidth="1"/>
    <col min="2" max="2" width="45.140625" style="561" customWidth="1"/>
    <col min="3" max="3" width="12.42578125" style="561" customWidth="1"/>
    <col min="4" max="4" width="12.85546875" style="561" customWidth="1"/>
    <col min="5" max="5" width="11.85546875" style="561" customWidth="1"/>
    <col min="6" max="6" width="12.7109375" style="561" customWidth="1"/>
    <col min="7" max="16384" width="9.140625" style="561"/>
  </cols>
  <sheetData>
    <row r="2" spans="1:9">
      <c r="A2" s="560" t="s">
        <v>689</v>
      </c>
      <c r="B2" s="560"/>
      <c r="C2" s="560"/>
      <c r="D2" s="560"/>
      <c r="E2" s="560"/>
      <c r="F2" s="560" t="s">
        <v>13</v>
      </c>
    </row>
    <row r="3" spans="1:9">
      <c r="A3" s="562" t="s">
        <v>690</v>
      </c>
      <c r="B3" s="562"/>
      <c r="C3" s="562"/>
      <c r="D3" s="562"/>
      <c r="E3" s="562"/>
      <c r="F3" s="562"/>
    </row>
    <row r="5" spans="1:9">
      <c r="A5" s="562" t="s">
        <v>691</v>
      </c>
      <c r="B5" s="562"/>
      <c r="C5" s="562"/>
      <c r="D5" s="562"/>
      <c r="E5" s="562"/>
      <c r="F5" s="562"/>
    </row>
    <row r="6" spans="1:9">
      <c r="A6" s="563"/>
      <c r="B6" s="563"/>
      <c r="C6" s="563"/>
      <c r="D6" s="563"/>
      <c r="E6" s="563"/>
      <c r="F6" s="563"/>
    </row>
    <row r="7" spans="1:9">
      <c r="F7" s="564" t="s">
        <v>692</v>
      </c>
    </row>
    <row r="8" spans="1:9" ht="38.25">
      <c r="A8" s="565" t="s">
        <v>657</v>
      </c>
      <c r="B8" s="565" t="s">
        <v>693</v>
      </c>
      <c r="C8" s="565" t="s">
        <v>694</v>
      </c>
      <c r="D8" s="565" t="s">
        <v>695</v>
      </c>
      <c r="E8" s="565" t="s">
        <v>124</v>
      </c>
      <c r="F8" s="565" t="s">
        <v>696</v>
      </c>
      <c r="I8" s="561" t="s">
        <v>730</v>
      </c>
    </row>
    <row r="9" spans="1:9">
      <c r="A9" s="566">
        <v>1</v>
      </c>
      <c r="B9" s="567" t="s">
        <v>697</v>
      </c>
      <c r="C9" s="568">
        <f>'Затраті под прочие услуги'!L52/1200</f>
        <v>19.025258333333319</v>
      </c>
      <c r="D9" s="568">
        <f>'Затраті под прочие услуги'!M52/1000</f>
        <v>17.295563999999988</v>
      </c>
      <c r="E9" s="569">
        <f>C9-D9</f>
        <v>1.729694333333331</v>
      </c>
      <c r="F9" s="569">
        <f>'[2]Отчет НКРЕ Прочие услуги'!F9</f>
        <v>19.350141666666669</v>
      </c>
      <c r="G9" s="570"/>
      <c r="I9" s="571">
        <f>E9/D9</f>
        <v>0.10000797506998513</v>
      </c>
    </row>
    <row r="10" spans="1:9">
      <c r="A10" s="566">
        <v>2</v>
      </c>
      <c r="B10" s="567" t="s">
        <v>698</v>
      </c>
      <c r="C10" s="568">
        <f>'Затраті под прочие услуги'!L50/1200</f>
        <v>20.472091666666678</v>
      </c>
      <c r="D10" s="569">
        <f>'Затраті под прочие услуги'!M50/1000</f>
        <v>19.53980884560001</v>
      </c>
      <c r="E10" s="569">
        <f>C10-D10</f>
        <v>0.93228282106666782</v>
      </c>
      <c r="F10" s="569">
        <f>'[2]Отчет НКРЕ Прочие услуги'!F10</f>
        <v>20.460891666666665</v>
      </c>
      <c r="G10" s="570"/>
      <c r="I10" s="571">
        <f t="shared" ref="I10:I11" si="0">E10/D10</f>
        <v>4.7711972437058922E-2</v>
      </c>
    </row>
    <row r="11" spans="1:9">
      <c r="A11" s="566">
        <v>3</v>
      </c>
      <c r="B11" s="567" t="s">
        <v>699</v>
      </c>
      <c r="C11" s="568">
        <f>'Затраті под прочие услуги'!L51/1200</f>
        <v>15.18214166666667</v>
      </c>
      <c r="D11" s="569">
        <f>'Затраті под прочие услуги'!M51/1000</f>
        <v>14.131171700000005</v>
      </c>
      <c r="E11" s="569">
        <f>C11-D11</f>
        <v>1.0509699666666652</v>
      </c>
      <c r="F11" s="569">
        <f>'[2]Отчет НКРЕ Прочие услуги'!F11</f>
        <v>20.640933333333336</v>
      </c>
      <c r="G11" s="570"/>
      <c r="I11" s="571">
        <f t="shared" si="0"/>
        <v>7.4372457498811995E-2</v>
      </c>
    </row>
    <row r="12" spans="1:9">
      <c r="A12" s="572"/>
      <c r="B12" s="573" t="s">
        <v>457</v>
      </c>
      <c r="C12" s="574">
        <f>SUM(C9:C11)</f>
        <v>54.679491666666664</v>
      </c>
      <c r="D12" s="574">
        <f>SUM(D9:D11)</f>
        <v>50.966544545600001</v>
      </c>
      <c r="E12" s="574">
        <f>SUM(E9:E11)</f>
        <v>3.712947121066664</v>
      </c>
      <c r="F12" s="574">
        <f>SUM(F9:F11)</f>
        <v>60.451966666666671</v>
      </c>
    </row>
    <row r="17" spans="1:9" s="575" customFormat="1">
      <c r="A17" s="562" t="s">
        <v>700</v>
      </c>
      <c r="B17" s="562"/>
      <c r="C17" s="562"/>
      <c r="D17" s="562"/>
      <c r="E17" s="562"/>
      <c r="F17" s="562"/>
    </row>
    <row r="18" spans="1:9" s="575" customFormat="1">
      <c r="A18" s="563"/>
      <c r="B18" s="563"/>
      <c r="C18" s="563"/>
      <c r="D18" s="563"/>
      <c r="E18" s="563"/>
      <c r="F18" s="563"/>
    </row>
    <row r="19" spans="1:9">
      <c r="F19" s="564" t="s">
        <v>692</v>
      </c>
    </row>
    <row r="20" spans="1:9" ht="38.25">
      <c r="A20" s="565" t="s">
        <v>657</v>
      </c>
      <c r="B20" s="565" t="s">
        <v>693</v>
      </c>
      <c r="C20" s="565" t="s">
        <v>694</v>
      </c>
      <c r="D20" s="565" t="s">
        <v>695</v>
      </c>
      <c r="E20" s="565" t="s">
        <v>124</v>
      </c>
      <c r="F20" s="565" t="s">
        <v>696</v>
      </c>
    </row>
    <row r="21" spans="1:9" ht="25.5">
      <c r="A21" s="565">
        <v>1</v>
      </c>
      <c r="B21" s="567" t="s">
        <v>701</v>
      </c>
      <c r="C21" s="615">
        <f>C22+C23+C24+C25+C26+C27+C28</f>
        <v>303.21261333333331</v>
      </c>
      <c r="D21" s="568">
        <f>D22+D23+D24+D25+D26+D27+D28</f>
        <v>270.38220361480001</v>
      </c>
      <c r="E21" s="569">
        <f>C21-D21</f>
        <v>32.830409718533303</v>
      </c>
      <c r="F21" s="568">
        <f>F22+F23+F24+F25+F26+F27+F28</f>
        <v>269.59969166666662</v>
      </c>
      <c r="I21" s="571">
        <f t="shared" ref="I21:I28" si="1">E21/D21</f>
        <v>0.12142222853285546</v>
      </c>
    </row>
    <row r="22" spans="1:9">
      <c r="A22" s="565"/>
      <c r="B22" s="576" t="s">
        <v>556</v>
      </c>
      <c r="C22" s="615">
        <f>'Затраті под прочие услуги'!L63/1200</f>
        <v>5.5620416666666666</v>
      </c>
      <c r="D22" s="569">
        <f>'Затраті под прочие услуги'!M63/1000</f>
        <v>4.6350109999999995</v>
      </c>
      <c r="E22" s="569">
        <f>C22-D22</f>
        <v>0.927030666666667</v>
      </c>
      <c r="F22" s="569">
        <f>'[2]Отчет НКРЕ Прочие услуги'!F22</f>
        <v>5.0901416666666668</v>
      </c>
      <c r="I22" s="571">
        <f t="shared" si="1"/>
        <v>0.20000614166108066</v>
      </c>
    </row>
    <row r="23" spans="1:9">
      <c r="A23" s="565"/>
      <c r="B23" s="576" t="s">
        <v>702</v>
      </c>
      <c r="C23" s="615">
        <f>'Затраті под прочие услуги'!L67/1200</f>
        <v>2.8479583333333336</v>
      </c>
      <c r="D23" s="569">
        <f>'Затраті под прочие услуги'!M67/1000</f>
        <v>2.7099604948000002</v>
      </c>
      <c r="E23" s="569">
        <f t="shared" ref="E23:E28" si="2">C23-D23</f>
        <v>0.13799783853333336</v>
      </c>
      <c r="F23" s="569">
        <f>'[2]Отчет НКРЕ Прочие услуги'!F23</f>
        <v>3.0405333333333329</v>
      </c>
      <c r="I23" s="571">
        <f t="shared" si="1"/>
        <v>5.0922453961277335E-2</v>
      </c>
    </row>
    <row r="24" spans="1:9">
      <c r="A24" s="565"/>
      <c r="B24" s="576" t="s">
        <v>566</v>
      </c>
      <c r="C24" s="615">
        <f>'Затраті под прочие услуги'!L64/1200</f>
        <v>246.18102499999998</v>
      </c>
      <c r="D24" s="616">
        <f>'Затраті под прочие услуги'!M64/1000</f>
        <v>219.58881499999998</v>
      </c>
      <c r="E24" s="569">
        <f t="shared" si="2"/>
        <v>26.592209999999994</v>
      </c>
      <c r="F24" s="569">
        <f>'[2]Отчет НКРЕ Прочие услуги'!F24</f>
        <v>218.56997499999997</v>
      </c>
      <c r="I24" s="571">
        <f t="shared" si="1"/>
        <v>0.12110002050878592</v>
      </c>
    </row>
    <row r="25" spans="1:9">
      <c r="A25" s="565"/>
      <c r="B25" s="576" t="s">
        <v>703</v>
      </c>
      <c r="C25" s="615">
        <f>'Затраті под прочие услуги'!L66/1000</f>
        <v>0.15168000000000001</v>
      </c>
      <c r="D25" s="569">
        <f>'Затраті под прочие услуги'!M66/1000</f>
        <v>0.15168000000000001</v>
      </c>
      <c r="E25" s="569">
        <f t="shared" si="2"/>
        <v>0</v>
      </c>
      <c r="F25" s="569">
        <f>'[2]Отчет НКРЕ Прочие услуги'!F25</f>
        <v>0.12640000000000001</v>
      </c>
      <c r="I25" s="571">
        <f t="shared" si="1"/>
        <v>0</v>
      </c>
    </row>
    <row r="26" spans="1:9">
      <c r="A26" s="565"/>
      <c r="B26" s="576" t="s">
        <v>563</v>
      </c>
      <c r="C26" s="615">
        <f>'Затраті под прочие услуги'!L68/1200</f>
        <v>40.689266666666668</v>
      </c>
      <c r="D26" s="569">
        <f>'Затраті под прочие услуги'!M68/1000</f>
        <v>36.519142739999992</v>
      </c>
      <c r="E26" s="569">
        <f t="shared" si="2"/>
        <v>4.1701239266666761</v>
      </c>
      <c r="F26" s="569">
        <f>'[2]Отчет НКРЕ Прочие услуги'!F26</f>
        <v>34.992000000000004</v>
      </c>
      <c r="I26" s="571">
        <f t="shared" si="1"/>
        <v>0.11419008261930184</v>
      </c>
    </row>
    <row r="27" spans="1:9">
      <c r="A27" s="565"/>
      <c r="B27" s="576" t="s">
        <v>383</v>
      </c>
      <c r="C27" s="568">
        <f>'Затраті под прочие услуги'!L69/1200</f>
        <v>7.4798583333333335</v>
      </c>
      <c r="D27" s="569">
        <f>'Затраті под прочие услуги'!M69/1000</f>
        <v>6.4768103799999999</v>
      </c>
      <c r="E27" s="569">
        <f t="shared" si="2"/>
        <v>1.0030479533333336</v>
      </c>
      <c r="F27" s="569">
        <f>'[2]Отчет НКРЕ Прочие услуги'!F27</f>
        <v>7.4798583333333326</v>
      </c>
      <c r="I27" s="571">
        <f t="shared" si="1"/>
        <v>0.15486758056568789</v>
      </c>
    </row>
    <row r="28" spans="1:9">
      <c r="A28" s="565"/>
      <c r="B28" s="576" t="s">
        <v>704</v>
      </c>
      <c r="C28" s="568">
        <f>'Затраті под прочие услуги'!L70/1200</f>
        <v>0.30078333333333335</v>
      </c>
      <c r="D28" s="569">
        <f>'Затраті под прочие услуги'!M70/1000</f>
        <v>0.300784</v>
      </c>
      <c r="E28" s="569">
        <f t="shared" si="2"/>
        <v>-6.6666666664882968E-7</v>
      </c>
      <c r="F28" s="569">
        <f>'[2]Отчет НКРЕ Прочие услуги'!F28</f>
        <v>0.30078333333333335</v>
      </c>
      <c r="I28" s="571">
        <f t="shared" si="1"/>
        <v>-2.2164299518884969E-6</v>
      </c>
    </row>
    <row r="29" spans="1:9" ht="25.5">
      <c r="A29" s="565">
        <v>2</v>
      </c>
      <c r="B29" s="567" t="s">
        <v>705</v>
      </c>
      <c r="C29" s="568">
        <f>'Затраті под прочие услуги'!L65/1200</f>
        <v>4.6398000000000001</v>
      </c>
      <c r="D29" s="569">
        <f>'Затраті под прочие услуги'!M65/1000</f>
        <v>4.0665635000000009</v>
      </c>
      <c r="E29" s="569">
        <f>C29-D29</f>
        <v>0.57323649999999926</v>
      </c>
      <c r="F29" s="569">
        <f>'[2]Отчет НКРЕ Прочие услуги'!F29</f>
        <v>3.5179749999999999</v>
      </c>
      <c r="I29" s="571">
        <f t="shared" ref="I29:I31" si="3">E29/D29</f>
        <v>0.1409633711609321</v>
      </c>
    </row>
    <row r="30" spans="1:9">
      <c r="A30" s="565">
        <v>3</v>
      </c>
      <c r="B30" s="577" t="s">
        <v>706</v>
      </c>
      <c r="C30" s="568">
        <f>'Затраті под прочие услуги'!L71/1200</f>
        <v>20.863033333333323</v>
      </c>
      <c r="D30" s="569">
        <f>'Затраті под прочие услуги'!M71/1000</f>
        <v>17.385824079999988</v>
      </c>
      <c r="E30" s="569">
        <f>C30-D30</f>
        <v>3.477209253333335</v>
      </c>
      <c r="F30" s="569">
        <f>'[2]Отчет НКРЕ Прочие услуги'!F30</f>
        <v>21.041333333333334</v>
      </c>
      <c r="I30" s="571">
        <f t="shared" si="3"/>
        <v>0.20000255595208677</v>
      </c>
    </row>
    <row r="31" spans="1:9" ht="25.5">
      <c r="A31" s="565">
        <v>4</v>
      </c>
      <c r="B31" s="567" t="s">
        <v>707</v>
      </c>
      <c r="C31" s="568">
        <f>'Затраті под прочие услуги'!L72/1200</f>
        <v>10.844975000000002</v>
      </c>
      <c r="D31" s="569">
        <f>'Затраті под прочие услуги'!M72/1000</f>
        <v>6.9375125000000004</v>
      </c>
      <c r="E31" s="569">
        <f>C31-D31</f>
        <v>3.9074625000000012</v>
      </c>
      <c r="F31" s="569">
        <f>'[2]Отчет НКРЕ Прочие услуги'!F31</f>
        <v>10.5725</v>
      </c>
      <c r="I31" s="571">
        <f t="shared" si="3"/>
        <v>0.5632368229967154</v>
      </c>
    </row>
    <row r="32" spans="1:9" s="575" customFormat="1">
      <c r="A32" s="578"/>
      <c r="B32" s="573" t="s">
        <v>457</v>
      </c>
      <c r="C32" s="574">
        <f>C31+C30+C21+C29</f>
        <v>339.56042166666663</v>
      </c>
      <c r="D32" s="574">
        <f>D31+D30+D21+D29</f>
        <v>298.77210369479997</v>
      </c>
      <c r="E32" s="574">
        <f>E31+E30+E21+E29</f>
        <v>40.78831797186664</v>
      </c>
      <c r="F32" s="574">
        <f>F31+F30+F21+F29</f>
        <v>304.73149999999993</v>
      </c>
    </row>
    <row r="33" spans="1:7">
      <c r="C33" s="579"/>
      <c r="D33" s="579"/>
      <c r="E33" s="579"/>
      <c r="F33" s="579"/>
    </row>
    <row r="34" spans="1:7">
      <c r="C34" s="579"/>
      <c r="D34" s="579"/>
      <c r="E34" s="579"/>
      <c r="F34" s="579"/>
    </row>
    <row r="35" spans="1:7">
      <c r="B35" s="580" t="s">
        <v>664</v>
      </c>
      <c r="C35" s="574">
        <f>C32+C12</f>
        <v>394.23991333333328</v>
      </c>
      <c r="D35" s="574">
        <f>D32+D12</f>
        <v>349.73864824039998</v>
      </c>
      <c r="E35" s="574">
        <f>E32+E12</f>
        <v>44.501265092933302</v>
      </c>
      <c r="F35" s="574">
        <f>F32+F12</f>
        <v>365.18346666666662</v>
      </c>
    </row>
    <row r="37" spans="1:7">
      <c r="A37" s="581" t="s">
        <v>708</v>
      </c>
      <c r="B37" s="581"/>
      <c r="C37" s="581"/>
      <c r="D37" s="581"/>
      <c r="E37" s="581"/>
      <c r="F37" s="581"/>
    </row>
    <row r="38" spans="1:7">
      <c r="C38" s="570"/>
    </row>
    <row r="39" spans="1:7">
      <c r="D39" s="570"/>
    </row>
    <row r="40" spans="1:7" s="371" customFormat="1" ht="15.75">
      <c r="A40" s="582"/>
      <c r="B40" s="492" t="s">
        <v>709</v>
      </c>
      <c r="C40" s="492"/>
      <c r="D40" s="492"/>
      <c r="E40" s="492" t="s">
        <v>710</v>
      </c>
      <c r="F40" s="492"/>
      <c r="G40" s="36"/>
    </row>
    <row r="41" spans="1:7" s="371" customFormat="1" ht="15">
      <c r="A41" s="582"/>
      <c r="B41" s="582"/>
      <c r="C41" s="583"/>
      <c r="D41" s="583"/>
      <c r="E41" s="583"/>
      <c r="F41" s="583"/>
      <c r="G41" s="582"/>
    </row>
    <row r="42" spans="1:7" s="371" customFormat="1" ht="15">
      <c r="A42" s="584"/>
      <c r="B42" s="582"/>
      <c r="C42" s="582"/>
      <c r="D42" s="582"/>
      <c r="E42" s="582"/>
      <c r="F42" s="582"/>
      <c r="G42" s="582"/>
    </row>
    <row r="43" spans="1:7" s="371" customFormat="1" ht="15.75">
      <c r="A43" s="582"/>
      <c r="B43" s="492" t="s">
        <v>684</v>
      </c>
      <c r="C43" s="492"/>
      <c r="D43" s="492"/>
      <c r="E43" s="492" t="s">
        <v>685</v>
      </c>
      <c r="F43" s="492"/>
      <c r="G43" s="36"/>
    </row>
    <row r="44" spans="1:7" s="585" customFormat="1">
      <c r="A44" s="584"/>
    </row>
    <row r="45" spans="1:7" s="585" customFormat="1">
      <c r="A45" s="584"/>
    </row>
    <row r="46" spans="1:7" s="585" customFormat="1">
      <c r="A46" s="586" t="s">
        <v>686</v>
      </c>
    </row>
    <row r="47" spans="1:7" s="585" customFormat="1">
      <c r="A47" s="586" t="s">
        <v>687</v>
      </c>
    </row>
    <row r="52" spans="3:3">
      <c r="C52" s="570"/>
    </row>
    <row r="53" spans="3:3">
      <c r="C53" s="570"/>
    </row>
  </sheetData>
  <mergeCells count="5">
    <mergeCell ref="A2:F2"/>
    <mergeCell ref="A3:F3"/>
    <mergeCell ref="A5:F5"/>
    <mergeCell ref="A17:F17"/>
    <mergeCell ref="A37:F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2:S77"/>
  <sheetViews>
    <sheetView topLeftCell="A23" workbookViewId="0">
      <selection activeCell="J28" sqref="J28"/>
    </sheetView>
  </sheetViews>
  <sheetFormatPr defaultRowHeight="12.75" outlineLevelCol="1"/>
  <cols>
    <col min="1" max="1" width="32" style="561" customWidth="1"/>
    <col min="2" max="2" width="10.42578125" style="561" customWidth="1" outlineLevel="1"/>
    <col min="3" max="3" width="9.28515625" style="561" customWidth="1" outlineLevel="1"/>
    <col min="4" max="4" width="10.7109375" style="561" customWidth="1" outlineLevel="1"/>
    <col min="5" max="5" width="9.140625" style="561" customWidth="1" outlineLevel="1"/>
    <col min="6" max="6" width="13.5703125" style="561" customWidth="1" outlineLevel="1"/>
    <col min="7" max="7" width="9.140625" style="561" customWidth="1" outlineLevel="1"/>
    <col min="8" max="8" width="9.28515625" style="561" customWidth="1" outlineLevel="1"/>
    <col min="9" max="9" width="9.140625" style="561" customWidth="1" outlineLevel="1"/>
    <col min="10" max="10" width="11.28515625" style="561" customWidth="1" outlineLevel="1"/>
    <col min="11" max="11" width="9.28515625" style="561" customWidth="1" outlineLevel="1"/>
    <col min="12" max="12" width="14.140625" style="561" customWidth="1"/>
    <col min="13" max="13" width="13.5703125" style="561" customWidth="1"/>
    <col min="14" max="14" width="11" style="600" customWidth="1"/>
    <col min="15" max="17" width="9.140625" style="561"/>
    <col min="18" max="18" width="36.140625" style="561" customWidth="1"/>
    <col min="19" max="16384" width="9.140625" style="561"/>
  </cols>
  <sheetData>
    <row r="22" spans="1:19">
      <c r="A22"/>
      <c r="B22"/>
      <c r="C22"/>
      <c r="D22" s="587" t="s">
        <v>711</v>
      </c>
      <c r="E22" s="587"/>
      <c r="F22" s="587"/>
      <c r="G22" s="587"/>
      <c r="H22"/>
      <c r="I22"/>
      <c r="J22"/>
      <c r="K22"/>
      <c r="L22"/>
      <c r="M22"/>
    </row>
    <row r="23" spans="1:19">
      <c r="A23"/>
      <c r="B23"/>
      <c r="C23"/>
      <c r="D23" s="588"/>
      <c r="E23" s="588"/>
      <c r="F23" s="588"/>
      <c r="G23" s="588"/>
      <c r="H23"/>
      <c r="I23"/>
      <c r="J23"/>
      <c r="K23"/>
      <c r="L23"/>
      <c r="M23"/>
    </row>
    <row r="24" spans="1:19" ht="63.75">
      <c r="A24" s="589" t="s">
        <v>712</v>
      </c>
      <c r="B24" s="589" t="s">
        <v>713</v>
      </c>
      <c r="C24" s="589" t="s">
        <v>398</v>
      </c>
      <c r="D24" s="589" t="s">
        <v>714</v>
      </c>
      <c r="E24" s="589" t="s">
        <v>715</v>
      </c>
      <c r="F24" s="589" t="s">
        <v>716</v>
      </c>
      <c r="G24" s="589" t="s">
        <v>717</v>
      </c>
      <c r="H24" s="589" t="s">
        <v>718</v>
      </c>
      <c r="I24" s="589" t="s">
        <v>719</v>
      </c>
      <c r="J24" s="589" t="s">
        <v>720</v>
      </c>
      <c r="K24" s="589" t="s">
        <v>721</v>
      </c>
      <c r="L24" s="589" t="s">
        <v>722</v>
      </c>
      <c r="M24" s="590" t="s">
        <v>723</v>
      </c>
      <c r="R24" s="561" t="s">
        <v>731</v>
      </c>
    </row>
    <row r="25" spans="1:19">
      <c r="A25" s="591" t="s">
        <v>556</v>
      </c>
      <c r="B25" s="592">
        <v>1997.7249999999999</v>
      </c>
      <c r="C25" s="592">
        <v>740.31499999999994</v>
      </c>
      <c r="D25" s="592">
        <v>1776.7000000000005</v>
      </c>
      <c r="E25" s="592">
        <v>110.78</v>
      </c>
      <c r="F25" s="592">
        <v>9.4050000000000011</v>
      </c>
      <c r="G25" s="592"/>
      <c r="H25" s="592"/>
      <c r="I25" s="592"/>
      <c r="J25" s="592">
        <v>927.04499999999985</v>
      </c>
      <c r="K25" s="592">
        <v>1112.3940000000002</v>
      </c>
      <c r="L25" s="592">
        <v>6674.45</v>
      </c>
      <c r="M25" s="593">
        <f>L25-J25-K25</f>
        <v>4635.0109999999995</v>
      </c>
      <c r="N25" s="600">
        <f>SUM(B25:K25)-L25</f>
        <v>-8.5999999999330612E-2</v>
      </c>
    </row>
    <row r="26" spans="1:19" s="579" customFormat="1" ht="22.5">
      <c r="A26" s="603" t="s">
        <v>702</v>
      </c>
      <c r="B26" s="594">
        <v>789.95674399999984</v>
      </c>
      <c r="C26" s="594">
        <v>292.82361600000002</v>
      </c>
      <c r="D26" s="594">
        <v>549.48413399999993</v>
      </c>
      <c r="E26" s="594">
        <v>1005.391692</v>
      </c>
      <c r="F26" s="594">
        <v>72.379599999999996</v>
      </c>
      <c r="G26" s="594"/>
      <c r="H26" s="594"/>
      <c r="I26" s="594"/>
      <c r="J26" s="594">
        <v>137.98528999999999</v>
      </c>
      <c r="K26" s="594">
        <v>569.60421520000011</v>
      </c>
      <c r="L26" s="594">
        <v>3417.55</v>
      </c>
      <c r="M26" s="604">
        <f t="shared" ref="M26:M37" si="0">L26-J26-K26</f>
        <v>2709.9604948000001</v>
      </c>
      <c r="N26" s="605">
        <f t="shared" ref="N26:N38" si="1">SUM(B26:K26)-L26</f>
        <v>7.5291199999810487E-2</v>
      </c>
      <c r="R26" s="609" t="s">
        <v>308</v>
      </c>
      <c r="S26" s="610">
        <v>66151.62</v>
      </c>
    </row>
    <row r="27" spans="1:19" ht="22.5">
      <c r="A27" s="591" t="s">
        <v>566</v>
      </c>
      <c r="B27" s="592">
        <f>S42</f>
        <v>152394.07</v>
      </c>
      <c r="C27" s="592">
        <f>S43</f>
        <v>56000.74</v>
      </c>
      <c r="D27" s="592">
        <f>S32+S33+S34+S38+S39+S40</f>
        <v>1205.74</v>
      </c>
      <c r="E27" s="592"/>
      <c r="F27" s="592"/>
      <c r="G27" s="592"/>
      <c r="H27" s="592">
        <f>S27+S28+S29+S35</f>
        <v>9515.77</v>
      </c>
      <c r="I27" s="592">
        <f>S30+S31</f>
        <v>472.5</v>
      </c>
      <c r="J27" s="592">
        <v>26592.21</v>
      </c>
      <c r="K27" s="592">
        <f>L27/6</f>
        <v>49236.204999999994</v>
      </c>
      <c r="L27" s="592">
        <v>295417.23</v>
      </c>
      <c r="M27" s="593">
        <f t="shared" si="0"/>
        <v>219588.81499999997</v>
      </c>
      <c r="N27" s="600">
        <f t="shared" si="1"/>
        <v>5.0000000046566129E-3</v>
      </c>
      <c r="O27" s="561" t="s">
        <v>732</v>
      </c>
      <c r="R27" s="606" t="s">
        <v>310</v>
      </c>
      <c r="S27" s="608">
        <v>1444.66</v>
      </c>
    </row>
    <row r="28" spans="1:19" ht="22.5">
      <c r="A28" s="601" t="s">
        <v>724</v>
      </c>
      <c r="B28" s="595">
        <v>4850.9239999999982</v>
      </c>
      <c r="C28" s="595">
        <v>1797.9589999999994</v>
      </c>
      <c r="D28" s="595">
        <v>3996.3900000000012</v>
      </c>
      <c r="E28" s="595">
        <v>1303.3800000000003</v>
      </c>
      <c r="F28" s="595">
        <v>1635.7185000000009</v>
      </c>
      <c r="G28" s="595">
        <v>546.55999999999995</v>
      </c>
      <c r="H28" s="595"/>
      <c r="I28" s="595"/>
      <c r="J28" s="595">
        <v>1051.0099999999998</v>
      </c>
      <c r="K28" s="595">
        <v>3036.3883000000001</v>
      </c>
      <c r="L28" s="595">
        <v>18218.570000000003</v>
      </c>
      <c r="M28" s="602">
        <f t="shared" si="0"/>
        <v>14131.171700000004</v>
      </c>
      <c r="N28" s="600">
        <f t="shared" si="1"/>
        <v>-0.24020000000382424</v>
      </c>
      <c r="R28" s="606" t="s">
        <v>313</v>
      </c>
      <c r="S28" s="608">
        <v>1955.2</v>
      </c>
    </row>
    <row r="29" spans="1:19">
      <c r="A29" s="591" t="s">
        <v>725</v>
      </c>
      <c r="B29" s="592">
        <v>1586.6175000000001</v>
      </c>
      <c r="C29" s="592">
        <v>587.92750000000001</v>
      </c>
      <c r="D29" s="592">
        <v>1365.86</v>
      </c>
      <c r="E29" s="592">
        <v>329</v>
      </c>
      <c r="F29" s="592">
        <v>196.65750000000003</v>
      </c>
      <c r="G29" s="592"/>
      <c r="H29" s="592"/>
      <c r="I29" s="592"/>
      <c r="J29" s="592">
        <v>573.31999999999994</v>
      </c>
      <c r="K29" s="592">
        <v>927.87649999999996</v>
      </c>
      <c r="L29" s="592">
        <v>5567.76</v>
      </c>
      <c r="M29" s="593">
        <f t="shared" si="0"/>
        <v>4066.5635000000007</v>
      </c>
      <c r="N29" s="600">
        <f t="shared" si="1"/>
        <v>-0.50100000000020373</v>
      </c>
      <c r="R29" s="606" t="s">
        <v>315</v>
      </c>
      <c r="S29" s="608">
        <v>5815.91</v>
      </c>
    </row>
    <row r="30" spans="1:19">
      <c r="A30" s="591" t="s">
        <v>703</v>
      </c>
      <c r="B30" s="592"/>
      <c r="C30" s="592"/>
      <c r="D30" s="592"/>
      <c r="E30" s="592"/>
      <c r="F30" s="592">
        <v>152</v>
      </c>
      <c r="G30" s="592"/>
      <c r="H30" s="592"/>
      <c r="I30" s="592"/>
      <c r="J30" s="592"/>
      <c r="K30" s="592"/>
      <c r="L30" s="592">
        <v>151.68</v>
      </c>
      <c r="M30" s="593">
        <f t="shared" si="0"/>
        <v>151.68</v>
      </c>
      <c r="N30" s="600">
        <f t="shared" si="1"/>
        <v>0.31999999999999318</v>
      </c>
      <c r="R30" s="606" t="s">
        <v>317</v>
      </c>
      <c r="S30" s="607">
        <v>140</v>
      </c>
    </row>
    <row r="31" spans="1:19" ht="22.5">
      <c r="A31" s="601" t="s">
        <v>726</v>
      </c>
      <c r="B31" s="595">
        <v>5478.8546000000078</v>
      </c>
      <c r="C31" s="595">
        <v>2029.7982999999983</v>
      </c>
      <c r="D31" s="595">
        <v>3674.0934000000038</v>
      </c>
      <c r="E31" s="595">
        <v>6807.5122700000065</v>
      </c>
      <c r="F31" s="595">
        <v>1550.3415020000007</v>
      </c>
      <c r="G31" s="595"/>
      <c r="H31" s="595"/>
      <c r="I31" s="595"/>
      <c r="J31" s="595">
        <v>932.1509499999994</v>
      </c>
      <c r="K31" s="595">
        <v>4094.5502044000013</v>
      </c>
      <c r="L31" s="595">
        <v>24566.510000000013</v>
      </c>
      <c r="M31" s="602">
        <f t="shared" si="0"/>
        <v>19539.808845600011</v>
      </c>
      <c r="N31" s="600">
        <f t="shared" si="1"/>
        <v>0.79122640000423416</v>
      </c>
      <c r="R31" s="606" t="s">
        <v>318</v>
      </c>
      <c r="S31" s="607">
        <v>332.5</v>
      </c>
    </row>
    <row r="32" spans="1:19">
      <c r="A32" s="591" t="s">
        <v>563</v>
      </c>
      <c r="B32" s="592">
        <v>19806.106333333337</v>
      </c>
      <c r="C32" s="592">
        <v>2840.2333333333331</v>
      </c>
      <c r="D32" s="592">
        <v>6491.2050666666646</v>
      </c>
      <c r="E32" s="592">
        <v>2886.733999999999</v>
      </c>
      <c r="F32" s="592">
        <v>1569.8041666666668</v>
      </c>
      <c r="G32" s="592"/>
      <c r="H32" s="592">
        <v>2528.31</v>
      </c>
      <c r="I32" s="592">
        <v>396.59999999999997</v>
      </c>
      <c r="J32" s="592">
        <v>4170.4264000000003</v>
      </c>
      <c r="K32" s="592">
        <v>8137.5508600000021</v>
      </c>
      <c r="L32" s="594">
        <v>48827.12</v>
      </c>
      <c r="M32" s="593">
        <f t="shared" si="0"/>
        <v>36519.142739999996</v>
      </c>
      <c r="N32" s="600">
        <f t="shared" si="1"/>
        <v>-0.14984000000549713</v>
      </c>
      <c r="R32" s="606" t="s">
        <v>320</v>
      </c>
      <c r="S32" s="607">
        <v>560.12</v>
      </c>
    </row>
    <row r="33" spans="1:19">
      <c r="A33" s="591" t="s">
        <v>567</v>
      </c>
      <c r="B33" s="592">
        <v>1708.6555999999996</v>
      </c>
      <c r="C33" s="592">
        <v>633.27260000000001</v>
      </c>
      <c r="D33" s="592">
        <v>1399.1376</v>
      </c>
      <c r="E33" s="592">
        <v>893.98</v>
      </c>
      <c r="F33" s="592">
        <v>269.28230000000002</v>
      </c>
      <c r="G33" s="592"/>
      <c r="H33" s="592">
        <v>1573.13</v>
      </c>
      <c r="I33" s="592"/>
      <c r="J33" s="592">
        <v>1002.9399999999999</v>
      </c>
      <c r="K33" s="592">
        <v>1496.0796200000004</v>
      </c>
      <c r="L33" s="594">
        <v>8975.83</v>
      </c>
      <c r="M33" s="593">
        <f t="shared" si="0"/>
        <v>6476.8103799999999</v>
      </c>
      <c r="N33" s="600">
        <f t="shared" si="1"/>
        <v>0.64771999999902619</v>
      </c>
      <c r="R33" s="606" t="s">
        <v>322</v>
      </c>
      <c r="S33" s="607">
        <v>9.52</v>
      </c>
    </row>
    <row r="34" spans="1:19">
      <c r="A34" s="591" t="s">
        <v>568</v>
      </c>
      <c r="B34" s="592">
        <v>44.86</v>
      </c>
      <c r="C34" s="592">
        <v>16.62</v>
      </c>
      <c r="D34" s="592"/>
      <c r="E34" s="592">
        <v>227.46</v>
      </c>
      <c r="F34" s="592">
        <v>11.84</v>
      </c>
      <c r="G34" s="592"/>
      <c r="H34" s="592"/>
      <c r="I34" s="592"/>
      <c r="J34" s="592"/>
      <c r="K34" s="592">
        <v>60.155999999999999</v>
      </c>
      <c r="L34" s="592">
        <v>360.94</v>
      </c>
      <c r="M34" s="593">
        <f t="shared" si="0"/>
        <v>300.78399999999999</v>
      </c>
      <c r="N34" s="600">
        <f t="shared" si="1"/>
        <v>-4.0000000000190994E-3</v>
      </c>
      <c r="R34" s="606" t="s">
        <v>324</v>
      </c>
      <c r="S34" s="607">
        <v>73.05</v>
      </c>
    </row>
    <row r="35" spans="1:19">
      <c r="A35" s="601" t="s">
        <v>554</v>
      </c>
      <c r="B35" s="595">
        <v>7593.1100000000051</v>
      </c>
      <c r="C35" s="595">
        <v>2813.8799999999983</v>
      </c>
      <c r="D35" s="595">
        <v>6888.6599999999917</v>
      </c>
      <c r="E35" s="595"/>
      <c r="F35" s="595"/>
      <c r="G35" s="595"/>
      <c r="H35" s="595"/>
      <c r="I35" s="595"/>
      <c r="J35" s="595">
        <v>1729.6799999999973</v>
      </c>
      <c r="K35" s="595">
        <v>3805.0659999999984</v>
      </c>
      <c r="L35" s="595">
        <v>22830.309999999983</v>
      </c>
      <c r="M35" s="602">
        <f>L35-J35-K35</f>
        <v>17295.563999999988</v>
      </c>
      <c r="N35" s="600">
        <f t="shared" si="1"/>
        <v>8.600000000660657E-2</v>
      </c>
      <c r="R35" s="606" t="s">
        <v>326</v>
      </c>
      <c r="S35" s="607">
        <v>300</v>
      </c>
    </row>
    <row r="36" spans="1:19">
      <c r="A36" s="591" t="s">
        <v>727</v>
      </c>
      <c r="B36" s="592">
        <v>5501.7090000000035</v>
      </c>
      <c r="C36" s="592">
        <v>2038.9289999999994</v>
      </c>
      <c r="D36" s="592">
        <v>4907.7524999999987</v>
      </c>
      <c r="E36" s="592">
        <v>732.47999999999979</v>
      </c>
      <c r="F36" s="592">
        <v>4205.0091000000011</v>
      </c>
      <c r="G36" s="592"/>
      <c r="H36" s="592"/>
      <c r="I36" s="592"/>
      <c r="J36" s="592">
        <v>3477.2000000000007</v>
      </c>
      <c r="K36" s="592">
        <v>4172.6159200000002</v>
      </c>
      <c r="L36" s="592">
        <v>25035.639999999989</v>
      </c>
      <c r="M36" s="593">
        <f t="shared" si="0"/>
        <v>17385.824079999988</v>
      </c>
      <c r="N36" s="600">
        <f t="shared" si="1"/>
        <v>5.5520000012620585E-2</v>
      </c>
      <c r="R36" s="606" t="s">
        <v>329</v>
      </c>
      <c r="S36" s="608">
        <v>38924.46</v>
      </c>
    </row>
    <row r="37" spans="1:19">
      <c r="A37" s="591" t="s">
        <v>396</v>
      </c>
      <c r="B37" s="592"/>
      <c r="C37" s="592"/>
      <c r="D37" s="592">
        <f>GETPIVOTDATA("Сумма, тыс.грн. без НДС",'свод продаж'!$A$3,"Квартал",1,"6 НКРЕ","Услуги","Расшифровка","Компенсация коммунальных услуг")*1000</f>
        <v>3030.05</v>
      </c>
      <c r="E37" s="592"/>
      <c r="F37" s="592">
        <f>(L37-K37-D37)*0.5</f>
        <v>3907.462500000001</v>
      </c>
      <c r="G37" s="592"/>
      <c r="H37" s="592"/>
      <c r="I37" s="592"/>
      <c r="J37" s="592">
        <f>(L37-K37-D37)*0.5</f>
        <v>3907.462500000001</v>
      </c>
      <c r="K37" s="592">
        <f>L37-L37/1.2</f>
        <v>2168.994999999999</v>
      </c>
      <c r="L37" s="592">
        <f>(GETPIVOTDATA("Сумма, тыс.грн. без НДС",'свод продаж'!$A$3,"Квартал",1,"6 НКРЕ","Услуги","Расшифровка","Аренда")+GETPIVOTDATA("Сумма, тыс.грн. без НДС",'свод продаж'!$A$3,"Квартал",1,"6 НКРЕ","Услуги","Расшифровка","Компенсация коммунальных услуг"))*1200</f>
        <v>13013.970000000001</v>
      </c>
      <c r="M37" s="593">
        <f t="shared" si="0"/>
        <v>6937.5125000000007</v>
      </c>
      <c r="N37" s="600">
        <f>SUM(B37:K37)-L37</f>
        <v>0</v>
      </c>
      <c r="R37" s="606" t="s">
        <v>331</v>
      </c>
      <c r="S37" s="608">
        <v>16033.15</v>
      </c>
    </row>
    <row r="38" spans="1:19">
      <c r="A38" s="596" t="s">
        <v>209</v>
      </c>
      <c r="B38" s="597">
        <f>SUM(B25:B37)</f>
        <v>201752.58877733335</v>
      </c>
      <c r="C38" s="597">
        <f t="shared" ref="C38:M38" si="2">SUM(C25:C37)</f>
        <v>69792.498349333327</v>
      </c>
      <c r="D38" s="597">
        <f t="shared" si="2"/>
        <v>35285.072700666664</v>
      </c>
      <c r="E38" s="597">
        <f t="shared" si="2"/>
        <v>14296.717962000004</v>
      </c>
      <c r="F38" s="597">
        <f t="shared" si="2"/>
        <v>13579.900168666671</v>
      </c>
      <c r="G38" s="597">
        <f t="shared" si="2"/>
        <v>546.55999999999995</v>
      </c>
      <c r="H38" s="597">
        <f t="shared" si="2"/>
        <v>13617.21</v>
      </c>
      <c r="I38" s="597">
        <f t="shared" si="2"/>
        <v>869.09999999999991</v>
      </c>
      <c r="J38" s="597">
        <f t="shared" si="2"/>
        <v>44501.430140000004</v>
      </c>
      <c r="K38" s="597">
        <f t="shared" si="2"/>
        <v>78817.481619599988</v>
      </c>
      <c r="L38" s="597">
        <f t="shared" si="2"/>
        <v>473057.56000000006</v>
      </c>
      <c r="M38" s="597">
        <f t="shared" si="2"/>
        <v>349738.64824039995</v>
      </c>
      <c r="N38" s="600">
        <f t="shared" si="1"/>
        <v>0.99971759994514287</v>
      </c>
      <c r="R38" s="606" t="s">
        <v>332</v>
      </c>
      <c r="S38" s="607">
        <v>6.32</v>
      </c>
    </row>
    <row r="39" spans="1:19">
      <c r="R39" s="606" t="s">
        <v>335</v>
      </c>
      <c r="S39" s="607">
        <v>49.87</v>
      </c>
    </row>
    <row r="40" spans="1:19">
      <c r="R40" s="606" t="s">
        <v>336</v>
      </c>
      <c r="S40" s="607">
        <v>506.86</v>
      </c>
    </row>
    <row r="41" spans="1:19">
      <c r="A41" s="587" t="s">
        <v>711</v>
      </c>
      <c r="B41" s="587"/>
      <c r="C41" s="587"/>
      <c r="D41" s="587"/>
    </row>
    <row r="42" spans="1:19">
      <c r="R42" s="561" t="s">
        <v>399</v>
      </c>
      <c r="S42" s="561">
        <v>152394.07</v>
      </c>
    </row>
    <row r="43" spans="1:19">
      <c r="R43" s="561" t="s">
        <v>398</v>
      </c>
      <c r="S43" s="561">
        <v>56000.74</v>
      </c>
    </row>
    <row r="44" spans="1:19">
      <c r="A44" s="562" t="s">
        <v>691</v>
      </c>
      <c r="B44" s="562"/>
      <c r="C44" s="562"/>
      <c r="D44" s="562"/>
      <c r="E44" s="562"/>
      <c r="F44" s="562"/>
      <c r="R44" s="561" t="s">
        <v>397</v>
      </c>
      <c r="S44" s="561">
        <v>199273.24</v>
      </c>
    </row>
    <row r="47" spans="1:19">
      <c r="A47"/>
      <c r="B47"/>
      <c r="C47"/>
      <c r="H47"/>
      <c r="I47"/>
      <c r="J47"/>
      <c r="K47"/>
      <c r="L47"/>
      <c r="M47"/>
    </row>
    <row r="48" spans="1:19">
      <c r="A48"/>
      <c r="B48"/>
      <c r="C48"/>
      <c r="D48" s="588"/>
      <c r="E48" s="588"/>
      <c r="F48" s="588"/>
      <c r="G48" s="588"/>
      <c r="H48"/>
      <c r="I48"/>
      <c r="J48"/>
      <c r="K48"/>
      <c r="L48" t="s">
        <v>728</v>
      </c>
      <c r="M48" t="s">
        <v>729</v>
      </c>
    </row>
    <row r="49" spans="1:14" ht="63.75">
      <c r="A49" s="589" t="s">
        <v>712</v>
      </c>
      <c r="B49" s="589" t="s">
        <v>713</v>
      </c>
      <c r="C49" s="589" t="s">
        <v>398</v>
      </c>
      <c r="D49" s="589" t="s">
        <v>714</v>
      </c>
      <c r="E49" s="589" t="s">
        <v>715</v>
      </c>
      <c r="F49" s="589" t="s">
        <v>716</v>
      </c>
      <c r="G49" s="589" t="s">
        <v>717</v>
      </c>
      <c r="H49" s="589" t="s">
        <v>718</v>
      </c>
      <c r="I49" s="589" t="s">
        <v>719</v>
      </c>
      <c r="J49" s="589" t="s">
        <v>720</v>
      </c>
      <c r="K49" s="589" t="s">
        <v>721</v>
      </c>
      <c r="L49" s="589" t="s">
        <v>722</v>
      </c>
      <c r="M49" s="590" t="s">
        <v>723</v>
      </c>
    </row>
    <row r="50" spans="1:14">
      <c r="A50" s="591" t="s">
        <v>726</v>
      </c>
      <c r="B50" s="592">
        <f t="shared" ref="B50:L50" si="3">B31</f>
        <v>5478.8546000000078</v>
      </c>
      <c r="C50" s="592">
        <f t="shared" si="3"/>
        <v>2029.7982999999983</v>
      </c>
      <c r="D50" s="592">
        <f t="shared" si="3"/>
        <v>3674.0934000000038</v>
      </c>
      <c r="E50" s="592">
        <f t="shared" si="3"/>
        <v>6807.5122700000065</v>
      </c>
      <c r="F50" s="592">
        <f t="shared" si="3"/>
        <v>1550.3415020000007</v>
      </c>
      <c r="G50" s="592">
        <f t="shared" si="3"/>
        <v>0</v>
      </c>
      <c r="H50" s="592">
        <f t="shared" si="3"/>
        <v>0</v>
      </c>
      <c r="I50" s="592">
        <f t="shared" si="3"/>
        <v>0</v>
      </c>
      <c r="J50" s="592">
        <f t="shared" si="3"/>
        <v>932.1509499999994</v>
      </c>
      <c r="K50" s="592">
        <f t="shared" si="3"/>
        <v>4094.5502044000013</v>
      </c>
      <c r="L50" s="592">
        <f t="shared" si="3"/>
        <v>24566.510000000013</v>
      </c>
      <c r="M50" s="593">
        <f>L50-J50-K50</f>
        <v>19539.808845600011</v>
      </c>
      <c r="N50" s="600">
        <f t="shared" ref="N50:N52" si="4">SUM(B50:I50)-M50</f>
        <v>0.79122640000423416</v>
      </c>
    </row>
    <row r="51" spans="1:14" s="579" customFormat="1">
      <c r="A51" s="603" t="s">
        <v>724</v>
      </c>
      <c r="B51" s="594">
        <f>B28</f>
        <v>4850.9239999999982</v>
      </c>
      <c r="C51" s="594">
        <f t="shared" ref="C51:L51" si="5">C28</f>
        <v>1797.9589999999994</v>
      </c>
      <c r="D51" s="594">
        <f t="shared" si="5"/>
        <v>3996.3900000000012</v>
      </c>
      <c r="E51" s="594">
        <f t="shared" si="5"/>
        <v>1303.3800000000003</v>
      </c>
      <c r="F51" s="594">
        <f t="shared" si="5"/>
        <v>1635.7185000000009</v>
      </c>
      <c r="G51" s="594">
        <f t="shared" si="5"/>
        <v>546.55999999999995</v>
      </c>
      <c r="H51" s="594">
        <f t="shared" si="5"/>
        <v>0</v>
      </c>
      <c r="I51" s="594">
        <f t="shared" si="5"/>
        <v>0</v>
      </c>
      <c r="J51" s="594">
        <f t="shared" si="5"/>
        <v>1051.0099999999998</v>
      </c>
      <c r="K51" s="594">
        <f t="shared" si="5"/>
        <v>3036.3883000000001</v>
      </c>
      <c r="L51" s="594">
        <f t="shared" si="5"/>
        <v>18218.570000000003</v>
      </c>
      <c r="M51" s="604">
        <f t="shared" ref="M51" si="6">L51-J51-K51</f>
        <v>14131.171700000004</v>
      </c>
      <c r="N51" s="600">
        <f t="shared" si="4"/>
        <v>-0.24020000000382424</v>
      </c>
    </row>
    <row r="52" spans="1:14" s="579" customFormat="1">
      <c r="A52" s="603" t="s">
        <v>554</v>
      </c>
      <c r="B52" s="594">
        <f>B35</f>
        <v>7593.1100000000051</v>
      </c>
      <c r="C52" s="594">
        <f t="shared" ref="C52:L52" si="7">C35</f>
        <v>2813.8799999999983</v>
      </c>
      <c r="D52" s="594">
        <f t="shared" si="7"/>
        <v>6888.6599999999917</v>
      </c>
      <c r="E52" s="594">
        <f t="shared" si="7"/>
        <v>0</v>
      </c>
      <c r="F52" s="594">
        <f t="shared" si="7"/>
        <v>0</v>
      </c>
      <c r="G52" s="594">
        <f t="shared" si="7"/>
        <v>0</v>
      </c>
      <c r="H52" s="594">
        <f t="shared" si="7"/>
        <v>0</v>
      </c>
      <c r="I52" s="594">
        <f t="shared" si="7"/>
        <v>0</v>
      </c>
      <c r="J52" s="594">
        <f t="shared" si="7"/>
        <v>1729.6799999999973</v>
      </c>
      <c r="K52" s="594">
        <f t="shared" si="7"/>
        <v>3805.0659999999984</v>
      </c>
      <c r="L52" s="594">
        <f t="shared" si="7"/>
        <v>22830.309999999983</v>
      </c>
      <c r="M52" s="604">
        <f>L52-J52-K52</f>
        <v>17295.563999999988</v>
      </c>
      <c r="N52" s="600">
        <f t="shared" si="4"/>
        <v>8.600000000660657E-2</v>
      </c>
    </row>
    <row r="53" spans="1:14">
      <c r="A53" s="596" t="s">
        <v>209</v>
      </c>
      <c r="B53" s="597">
        <f>SUM(B50:B52)</f>
        <v>17922.888600000009</v>
      </c>
      <c r="C53" s="597">
        <f t="shared" ref="C53:M53" si="8">SUM(C50:C52)</f>
        <v>6641.6372999999958</v>
      </c>
      <c r="D53" s="597">
        <f t="shared" si="8"/>
        <v>14559.143399999997</v>
      </c>
      <c r="E53" s="597">
        <f t="shared" si="8"/>
        <v>8110.8922700000066</v>
      </c>
      <c r="F53" s="597">
        <f t="shared" si="8"/>
        <v>3186.0600020000015</v>
      </c>
      <c r="G53" s="597">
        <f t="shared" si="8"/>
        <v>546.55999999999995</v>
      </c>
      <c r="H53" s="597">
        <f t="shared" si="8"/>
        <v>0</v>
      </c>
      <c r="I53" s="597">
        <f t="shared" si="8"/>
        <v>0</v>
      </c>
      <c r="J53" s="597">
        <f t="shared" si="8"/>
        <v>3712.8409499999962</v>
      </c>
      <c r="K53" s="597">
        <f t="shared" si="8"/>
        <v>10936.0045044</v>
      </c>
      <c r="L53" s="597">
        <f t="shared" si="8"/>
        <v>65615.39</v>
      </c>
      <c r="M53" s="597">
        <f t="shared" si="8"/>
        <v>50966.544545600002</v>
      </c>
    </row>
    <row r="59" spans="1:14">
      <c r="A59" s="562" t="s">
        <v>700</v>
      </c>
      <c r="B59" s="562"/>
      <c r="C59" s="562"/>
      <c r="D59" s="562"/>
      <c r="E59" s="562"/>
      <c r="F59" s="562"/>
    </row>
    <row r="62" spans="1:14" ht="63.75">
      <c r="A62" s="589" t="s">
        <v>712</v>
      </c>
      <c r="B62" s="589" t="s">
        <v>713</v>
      </c>
      <c r="C62" s="589" t="s">
        <v>398</v>
      </c>
      <c r="D62" s="589" t="s">
        <v>714</v>
      </c>
      <c r="E62" s="589" t="s">
        <v>715</v>
      </c>
      <c r="F62" s="589" t="s">
        <v>716</v>
      </c>
      <c r="G62" s="589" t="s">
        <v>717</v>
      </c>
      <c r="H62" s="589" t="s">
        <v>718</v>
      </c>
      <c r="I62" s="589" t="s">
        <v>719</v>
      </c>
      <c r="J62" s="589" t="s">
        <v>720</v>
      </c>
      <c r="K62" s="589" t="s">
        <v>721</v>
      </c>
      <c r="L62" s="589" t="s">
        <v>722</v>
      </c>
      <c r="M62" s="590" t="s">
        <v>723</v>
      </c>
    </row>
    <row r="63" spans="1:14">
      <c r="A63" s="591" t="s">
        <v>556</v>
      </c>
      <c r="B63" s="592">
        <f>B25</f>
        <v>1997.7249999999999</v>
      </c>
      <c r="C63" s="592">
        <f t="shared" ref="C63:K63" si="9">C25</f>
        <v>740.31499999999994</v>
      </c>
      <c r="D63" s="592">
        <f t="shared" si="9"/>
        <v>1776.7000000000005</v>
      </c>
      <c r="E63" s="592">
        <f t="shared" si="9"/>
        <v>110.78</v>
      </c>
      <c r="F63" s="592">
        <f t="shared" si="9"/>
        <v>9.4050000000000011</v>
      </c>
      <c r="G63" s="592">
        <f t="shared" si="9"/>
        <v>0</v>
      </c>
      <c r="H63" s="592">
        <f t="shared" si="9"/>
        <v>0</v>
      </c>
      <c r="I63" s="592">
        <f t="shared" si="9"/>
        <v>0</v>
      </c>
      <c r="J63" s="592">
        <f t="shared" si="9"/>
        <v>927.04499999999985</v>
      </c>
      <c r="K63" s="592">
        <f t="shared" si="9"/>
        <v>1112.3940000000002</v>
      </c>
      <c r="L63" s="592">
        <f>L25</f>
        <v>6674.45</v>
      </c>
      <c r="M63" s="593">
        <f>L63-J63-K63</f>
        <v>4635.0109999999995</v>
      </c>
      <c r="N63" s="600">
        <f>SUM(B63:I63)-M63</f>
        <v>-8.5999999999330612E-2</v>
      </c>
    </row>
    <row r="64" spans="1:14">
      <c r="A64" s="591" t="s">
        <v>566</v>
      </c>
      <c r="B64" s="592">
        <f>B27</f>
        <v>152394.07</v>
      </c>
      <c r="C64" s="592">
        <f t="shared" ref="C64:L64" si="10">C27</f>
        <v>56000.74</v>
      </c>
      <c r="D64" s="592">
        <f t="shared" si="10"/>
        <v>1205.74</v>
      </c>
      <c r="E64" s="592">
        <f t="shared" si="10"/>
        <v>0</v>
      </c>
      <c r="F64" s="592">
        <f t="shared" si="10"/>
        <v>0</v>
      </c>
      <c r="G64" s="592">
        <f t="shared" si="10"/>
        <v>0</v>
      </c>
      <c r="H64" s="592">
        <f t="shared" si="10"/>
        <v>9515.77</v>
      </c>
      <c r="I64" s="592">
        <f t="shared" si="10"/>
        <v>472.5</v>
      </c>
      <c r="J64" s="592">
        <f t="shared" si="10"/>
        <v>26592.21</v>
      </c>
      <c r="K64" s="592">
        <f t="shared" si="10"/>
        <v>49236.204999999994</v>
      </c>
      <c r="L64" s="592">
        <f t="shared" si="10"/>
        <v>295417.23</v>
      </c>
      <c r="M64" s="593">
        <f t="shared" ref="M64:M70" si="11">L64-J64-K64</f>
        <v>219588.81499999997</v>
      </c>
      <c r="N64" s="600">
        <f t="shared" ref="N64:N72" si="12">SUM(B64:I64)-M64</f>
        <v>5.0000000046566129E-3</v>
      </c>
    </row>
    <row r="65" spans="1:14">
      <c r="A65" s="591" t="s">
        <v>725</v>
      </c>
      <c r="B65" s="592">
        <f>B29</f>
        <v>1586.6175000000001</v>
      </c>
      <c r="C65" s="592">
        <f t="shared" ref="C65:K65" si="13">C29</f>
        <v>587.92750000000001</v>
      </c>
      <c r="D65" s="592">
        <f t="shared" si="13"/>
        <v>1365.86</v>
      </c>
      <c r="E65" s="592">
        <f t="shared" si="13"/>
        <v>329</v>
      </c>
      <c r="F65" s="592">
        <f t="shared" si="13"/>
        <v>196.65750000000003</v>
      </c>
      <c r="G65" s="592">
        <f t="shared" si="13"/>
        <v>0</v>
      </c>
      <c r="H65" s="592">
        <f t="shared" si="13"/>
        <v>0</v>
      </c>
      <c r="I65" s="592">
        <f t="shared" si="13"/>
        <v>0</v>
      </c>
      <c r="J65" s="592">
        <f t="shared" si="13"/>
        <v>573.31999999999994</v>
      </c>
      <c r="K65" s="592">
        <f t="shared" si="13"/>
        <v>927.87649999999996</v>
      </c>
      <c r="L65" s="592">
        <f>L29</f>
        <v>5567.76</v>
      </c>
      <c r="M65" s="593">
        <f t="shared" si="11"/>
        <v>4066.5635000000007</v>
      </c>
      <c r="N65" s="600">
        <f t="shared" si="12"/>
        <v>-0.50100000000065847</v>
      </c>
    </row>
    <row r="66" spans="1:14">
      <c r="A66" s="591" t="s">
        <v>703</v>
      </c>
      <c r="B66" s="592">
        <f>B30</f>
        <v>0</v>
      </c>
      <c r="C66" s="592">
        <f t="shared" ref="C66:K66" si="14">C30</f>
        <v>0</v>
      </c>
      <c r="D66" s="592">
        <f t="shared" si="14"/>
        <v>0</v>
      </c>
      <c r="E66" s="592">
        <f t="shared" si="14"/>
        <v>0</v>
      </c>
      <c r="F66" s="592">
        <f t="shared" si="14"/>
        <v>152</v>
      </c>
      <c r="G66" s="592">
        <f t="shared" si="14"/>
        <v>0</v>
      </c>
      <c r="H66" s="592">
        <f t="shared" si="14"/>
        <v>0</v>
      </c>
      <c r="I66" s="592">
        <f t="shared" si="14"/>
        <v>0</v>
      </c>
      <c r="J66" s="592">
        <f t="shared" si="14"/>
        <v>0</v>
      </c>
      <c r="K66" s="592">
        <f t="shared" si="14"/>
        <v>0</v>
      </c>
      <c r="L66" s="592">
        <f>L30</f>
        <v>151.68</v>
      </c>
      <c r="M66" s="593">
        <f t="shared" si="11"/>
        <v>151.68</v>
      </c>
      <c r="N66" s="600">
        <f t="shared" si="12"/>
        <v>0.31999999999999318</v>
      </c>
    </row>
    <row r="67" spans="1:14" s="579" customFormat="1">
      <c r="A67" s="603" t="s">
        <v>702</v>
      </c>
      <c r="B67" s="594">
        <f t="shared" ref="B67:L67" si="15">B26</f>
        <v>789.95674399999984</v>
      </c>
      <c r="C67" s="594">
        <f t="shared" si="15"/>
        <v>292.82361600000002</v>
      </c>
      <c r="D67" s="594">
        <f t="shared" si="15"/>
        <v>549.48413399999993</v>
      </c>
      <c r="E67" s="594">
        <f t="shared" si="15"/>
        <v>1005.391692</v>
      </c>
      <c r="F67" s="594">
        <f t="shared" si="15"/>
        <v>72.379599999999996</v>
      </c>
      <c r="G67" s="594">
        <f t="shared" si="15"/>
        <v>0</v>
      </c>
      <c r="H67" s="594">
        <f t="shared" si="15"/>
        <v>0</v>
      </c>
      <c r="I67" s="594">
        <f t="shared" si="15"/>
        <v>0</v>
      </c>
      <c r="J67" s="594">
        <f t="shared" si="15"/>
        <v>137.98528999999999</v>
      </c>
      <c r="K67" s="594">
        <f t="shared" si="15"/>
        <v>569.60421520000011</v>
      </c>
      <c r="L67" s="594">
        <f t="shared" si="15"/>
        <v>3417.55</v>
      </c>
      <c r="M67" s="604">
        <f>L67-J67-K67</f>
        <v>2709.9604948000001</v>
      </c>
      <c r="N67" s="600">
        <f t="shared" si="12"/>
        <v>7.5291199999810487E-2</v>
      </c>
    </row>
    <row r="68" spans="1:14">
      <c r="A68" s="591" t="s">
        <v>563</v>
      </c>
      <c r="B68" s="592">
        <f>B32</f>
        <v>19806.106333333337</v>
      </c>
      <c r="C68" s="592">
        <f t="shared" ref="C68:K68" si="16">C32</f>
        <v>2840.2333333333331</v>
      </c>
      <c r="D68" s="592">
        <f t="shared" si="16"/>
        <v>6491.2050666666646</v>
      </c>
      <c r="E68" s="592">
        <f t="shared" si="16"/>
        <v>2886.733999999999</v>
      </c>
      <c r="F68" s="592">
        <f t="shared" si="16"/>
        <v>1569.8041666666668</v>
      </c>
      <c r="G68" s="592">
        <f t="shared" si="16"/>
        <v>0</v>
      </c>
      <c r="H68" s="592">
        <f t="shared" si="16"/>
        <v>2528.31</v>
      </c>
      <c r="I68" s="592">
        <f t="shared" si="16"/>
        <v>396.59999999999997</v>
      </c>
      <c r="J68" s="592">
        <f t="shared" si="16"/>
        <v>4170.4264000000003</v>
      </c>
      <c r="K68" s="592">
        <f t="shared" si="16"/>
        <v>8137.5508600000021</v>
      </c>
      <c r="L68" s="592">
        <f>L32</f>
        <v>48827.12</v>
      </c>
      <c r="M68" s="593">
        <f t="shared" si="11"/>
        <v>36519.142739999996</v>
      </c>
      <c r="N68" s="600">
        <f t="shared" si="12"/>
        <v>-0.14983999999822117</v>
      </c>
    </row>
    <row r="69" spans="1:14">
      <c r="A69" s="591" t="s">
        <v>567</v>
      </c>
      <c r="B69" s="592">
        <f>B33</f>
        <v>1708.6555999999996</v>
      </c>
      <c r="C69" s="592">
        <f t="shared" ref="C69:K69" si="17">C33</f>
        <v>633.27260000000001</v>
      </c>
      <c r="D69" s="592">
        <f t="shared" si="17"/>
        <v>1399.1376</v>
      </c>
      <c r="E69" s="592">
        <f t="shared" si="17"/>
        <v>893.98</v>
      </c>
      <c r="F69" s="592">
        <f t="shared" si="17"/>
        <v>269.28230000000002</v>
      </c>
      <c r="G69" s="592">
        <f t="shared" si="17"/>
        <v>0</v>
      </c>
      <c r="H69" s="592">
        <f t="shared" si="17"/>
        <v>1573.13</v>
      </c>
      <c r="I69" s="592">
        <f t="shared" si="17"/>
        <v>0</v>
      </c>
      <c r="J69" s="592">
        <f t="shared" si="17"/>
        <v>1002.9399999999999</v>
      </c>
      <c r="K69" s="592">
        <f t="shared" si="17"/>
        <v>1496.0796200000004</v>
      </c>
      <c r="L69" s="592">
        <f>L33</f>
        <v>8975.83</v>
      </c>
      <c r="M69" s="593">
        <f t="shared" si="11"/>
        <v>6476.8103799999999</v>
      </c>
      <c r="N69" s="600">
        <f t="shared" si="12"/>
        <v>0.64771999999993568</v>
      </c>
    </row>
    <row r="70" spans="1:14">
      <c r="A70" s="591" t="s">
        <v>568</v>
      </c>
      <c r="B70" s="592">
        <f>B34</f>
        <v>44.86</v>
      </c>
      <c r="C70" s="592">
        <f t="shared" ref="C70:K70" si="18">C34</f>
        <v>16.62</v>
      </c>
      <c r="D70" s="592">
        <f t="shared" si="18"/>
        <v>0</v>
      </c>
      <c r="E70" s="592">
        <f t="shared" si="18"/>
        <v>227.46</v>
      </c>
      <c r="F70" s="592">
        <f t="shared" si="18"/>
        <v>11.84</v>
      </c>
      <c r="G70" s="592">
        <f t="shared" si="18"/>
        <v>0</v>
      </c>
      <c r="H70" s="592">
        <f t="shared" si="18"/>
        <v>0</v>
      </c>
      <c r="I70" s="592">
        <f t="shared" si="18"/>
        <v>0</v>
      </c>
      <c r="J70" s="592">
        <f t="shared" si="18"/>
        <v>0</v>
      </c>
      <c r="K70" s="592">
        <f t="shared" si="18"/>
        <v>60.155999999999999</v>
      </c>
      <c r="L70" s="592">
        <f>L34</f>
        <v>360.94</v>
      </c>
      <c r="M70" s="593">
        <f t="shared" si="11"/>
        <v>300.78399999999999</v>
      </c>
      <c r="N70" s="600">
        <f t="shared" si="12"/>
        <v>-4.0000000000190994E-3</v>
      </c>
    </row>
    <row r="71" spans="1:14">
      <c r="A71" s="591" t="s">
        <v>727</v>
      </c>
      <c r="B71" s="592">
        <f>B36</f>
        <v>5501.7090000000035</v>
      </c>
      <c r="C71" s="592">
        <f t="shared" ref="C71:K71" si="19">C36</f>
        <v>2038.9289999999994</v>
      </c>
      <c r="D71" s="592">
        <f t="shared" si="19"/>
        <v>4907.7524999999987</v>
      </c>
      <c r="E71" s="592">
        <f t="shared" si="19"/>
        <v>732.47999999999979</v>
      </c>
      <c r="F71" s="592">
        <f t="shared" si="19"/>
        <v>4205.0091000000011</v>
      </c>
      <c r="G71" s="592">
        <f t="shared" si="19"/>
        <v>0</v>
      </c>
      <c r="H71" s="592">
        <f t="shared" si="19"/>
        <v>0</v>
      </c>
      <c r="I71" s="592">
        <f t="shared" si="19"/>
        <v>0</v>
      </c>
      <c r="J71" s="592">
        <f t="shared" si="19"/>
        <v>3477.2000000000007</v>
      </c>
      <c r="K71" s="592">
        <f t="shared" si="19"/>
        <v>4172.6159200000002</v>
      </c>
      <c r="L71" s="592">
        <f>L36</f>
        <v>25035.639999999989</v>
      </c>
      <c r="M71" s="593">
        <f t="shared" ref="M71:M72" si="20">L71-J71-K71</f>
        <v>17385.824079999988</v>
      </c>
      <c r="N71" s="600">
        <f t="shared" si="12"/>
        <v>5.5520000012620585E-2</v>
      </c>
    </row>
    <row r="72" spans="1:14">
      <c r="A72" s="591" t="s">
        <v>396</v>
      </c>
      <c r="B72" s="592">
        <f>B37</f>
        <v>0</v>
      </c>
      <c r="C72" s="592">
        <f t="shared" ref="C72:L72" si="21">C37</f>
        <v>0</v>
      </c>
      <c r="D72" s="592">
        <f t="shared" si="21"/>
        <v>3030.05</v>
      </c>
      <c r="E72" s="592">
        <f t="shared" si="21"/>
        <v>0</v>
      </c>
      <c r="F72" s="592">
        <f t="shared" si="21"/>
        <v>3907.462500000001</v>
      </c>
      <c r="G72" s="592">
        <f t="shared" si="21"/>
        <v>0</v>
      </c>
      <c r="H72" s="592">
        <f t="shared" si="21"/>
        <v>0</v>
      </c>
      <c r="I72" s="592">
        <f t="shared" si="21"/>
        <v>0</v>
      </c>
      <c r="J72" s="592">
        <f t="shared" si="21"/>
        <v>3907.462500000001</v>
      </c>
      <c r="K72" s="592">
        <f t="shared" si="21"/>
        <v>2168.994999999999</v>
      </c>
      <c r="L72" s="592">
        <f t="shared" si="21"/>
        <v>13013.970000000001</v>
      </c>
      <c r="M72" s="593">
        <f t="shared" si="20"/>
        <v>6937.5125000000007</v>
      </c>
      <c r="N72" s="600">
        <f t="shared" si="12"/>
        <v>0</v>
      </c>
    </row>
    <row r="73" spans="1:14">
      <c r="A73" s="596" t="s">
        <v>209</v>
      </c>
      <c r="B73" s="598">
        <f>SUM(B63:B72)</f>
        <v>183829.70017733332</v>
      </c>
      <c r="C73" s="598">
        <f t="shared" ref="C73:M73" si="22">SUM(C63:C72)</f>
        <v>63150.861049333325</v>
      </c>
      <c r="D73" s="598">
        <f t="shared" si="22"/>
        <v>20725.929300666663</v>
      </c>
      <c r="E73" s="598">
        <f t="shared" si="22"/>
        <v>6185.8256919999976</v>
      </c>
      <c r="F73" s="598">
        <f t="shared" si="22"/>
        <v>10393.840166666669</v>
      </c>
      <c r="G73" s="598">
        <f t="shared" si="22"/>
        <v>0</v>
      </c>
      <c r="H73" s="598">
        <f t="shared" si="22"/>
        <v>13617.21</v>
      </c>
      <c r="I73" s="598">
        <f t="shared" si="22"/>
        <v>869.09999999999991</v>
      </c>
      <c r="J73" s="598">
        <f t="shared" si="22"/>
        <v>40788.589190000006</v>
      </c>
      <c r="K73" s="598">
        <f t="shared" si="22"/>
        <v>67881.477115199988</v>
      </c>
      <c r="L73" s="598">
        <f t="shared" si="22"/>
        <v>407442.17000000004</v>
      </c>
      <c r="M73" s="598">
        <f t="shared" si="22"/>
        <v>298772.10369479994</v>
      </c>
    </row>
    <row r="77" spans="1:14">
      <c r="B77" s="599">
        <f>B73+B53-B38</f>
        <v>0</v>
      </c>
      <c r="C77" s="599">
        <f t="shared" ref="C77:M77" si="23">C73+C53-C38</f>
        <v>0</v>
      </c>
      <c r="D77" s="599">
        <f t="shared" si="23"/>
        <v>0</v>
      </c>
      <c r="E77" s="599">
        <f t="shared" si="23"/>
        <v>0</v>
      </c>
      <c r="F77" s="599">
        <f t="shared" si="23"/>
        <v>0</v>
      </c>
      <c r="G77" s="599">
        <f t="shared" si="23"/>
        <v>0</v>
      </c>
      <c r="H77" s="599">
        <f t="shared" si="23"/>
        <v>0</v>
      </c>
      <c r="I77" s="599">
        <f t="shared" si="23"/>
        <v>0</v>
      </c>
      <c r="J77" s="599">
        <f t="shared" si="23"/>
        <v>0</v>
      </c>
      <c r="K77" s="599">
        <f t="shared" si="23"/>
        <v>0</v>
      </c>
      <c r="L77" s="599">
        <f t="shared" si="23"/>
        <v>0</v>
      </c>
      <c r="M77" s="599">
        <f t="shared" si="23"/>
        <v>0</v>
      </c>
    </row>
  </sheetData>
  <mergeCells count="4">
    <mergeCell ref="A44:F44"/>
    <mergeCell ref="A41:D41"/>
    <mergeCell ref="A59:F59"/>
    <mergeCell ref="D22:G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G59"/>
  <sheetViews>
    <sheetView workbookViewId="0">
      <selection activeCell="I13" sqref="I13"/>
    </sheetView>
  </sheetViews>
  <sheetFormatPr defaultRowHeight="12.75"/>
  <cols>
    <col min="1" max="1" width="68.7109375" customWidth="1"/>
    <col min="4" max="4" width="12" customWidth="1"/>
    <col min="5" max="5" width="12.7109375" customWidth="1"/>
    <col min="6" max="6" width="13.140625" customWidth="1"/>
  </cols>
  <sheetData>
    <row r="3" spans="1:6" ht="12.75" customHeight="1">
      <c r="A3" s="375" t="s">
        <v>200</v>
      </c>
      <c r="B3" s="557" t="s">
        <v>201</v>
      </c>
      <c r="C3" s="557"/>
      <c r="D3" s="557" t="s">
        <v>202</v>
      </c>
      <c r="E3" s="557"/>
    </row>
    <row r="4" spans="1:6">
      <c r="A4" s="375" t="s">
        <v>403</v>
      </c>
      <c r="B4" s="375" t="s">
        <v>204</v>
      </c>
      <c r="C4" s="375" t="s">
        <v>205</v>
      </c>
      <c r="D4" s="375" t="s">
        <v>204</v>
      </c>
      <c r="E4" s="375" t="s">
        <v>205</v>
      </c>
    </row>
    <row r="5" spans="1:6">
      <c r="A5" s="376">
        <v>71</v>
      </c>
      <c r="B5" s="377"/>
      <c r="C5" s="377"/>
      <c r="D5" s="378">
        <v>106013.43</v>
      </c>
      <c r="E5" s="378">
        <v>106013.43</v>
      </c>
    </row>
    <row r="6" spans="1:6">
      <c r="A6" s="379" t="s">
        <v>206</v>
      </c>
      <c r="B6" s="380"/>
      <c r="C6" s="380"/>
      <c r="D6" s="381">
        <v>101346.76</v>
      </c>
      <c r="E6" s="380"/>
    </row>
    <row r="7" spans="1:6">
      <c r="A7" s="379" t="s">
        <v>404</v>
      </c>
      <c r="B7" s="380"/>
      <c r="C7" s="380"/>
      <c r="D7" s="380"/>
      <c r="E7" s="381">
        <v>78013.429999999993</v>
      </c>
      <c r="F7" t="s">
        <v>580</v>
      </c>
    </row>
    <row r="8" spans="1:6">
      <c r="A8" s="379" t="s">
        <v>405</v>
      </c>
      <c r="B8" s="380"/>
      <c r="C8" s="380"/>
      <c r="D8" s="381">
        <v>4666.67</v>
      </c>
      <c r="E8" s="381">
        <v>28000</v>
      </c>
    </row>
    <row r="9" spans="1:6">
      <c r="A9" s="382" t="s">
        <v>209</v>
      </c>
      <c r="B9" s="383"/>
      <c r="C9" s="383"/>
      <c r="D9" s="384">
        <v>106013.43</v>
      </c>
      <c r="E9" s="384">
        <v>106013.43</v>
      </c>
    </row>
    <row r="10" spans="1:6">
      <c r="D10" s="350"/>
    </row>
    <row r="13" spans="1:6">
      <c r="A13" s="375" t="s">
        <v>200</v>
      </c>
      <c r="B13" s="557" t="s">
        <v>201</v>
      </c>
      <c r="C13" s="557"/>
      <c r="D13" s="557" t="s">
        <v>202</v>
      </c>
      <c r="E13" s="557"/>
    </row>
    <row r="14" spans="1:6">
      <c r="A14" s="375" t="s">
        <v>203</v>
      </c>
      <c r="B14" s="375" t="s">
        <v>204</v>
      </c>
      <c r="C14" s="375" t="s">
        <v>205</v>
      </c>
      <c r="D14" s="375" t="s">
        <v>204</v>
      </c>
      <c r="E14" s="375" t="s">
        <v>205</v>
      </c>
    </row>
    <row r="15" spans="1:6">
      <c r="A15" s="376" t="s">
        <v>588</v>
      </c>
      <c r="B15" s="377"/>
      <c r="C15" s="377"/>
      <c r="D15" s="378">
        <v>184173.5</v>
      </c>
      <c r="E15" s="378">
        <v>184173.5</v>
      </c>
    </row>
    <row r="16" spans="1:6">
      <c r="A16" s="379" t="s">
        <v>583</v>
      </c>
      <c r="B16" s="380"/>
      <c r="C16" s="380"/>
      <c r="D16" s="381">
        <v>2442.6</v>
      </c>
      <c r="E16" s="381">
        <v>2442.6</v>
      </c>
    </row>
    <row r="17" spans="1:7">
      <c r="A17" s="379" t="s">
        <v>584</v>
      </c>
      <c r="B17" s="380"/>
      <c r="C17" s="380"/>
      <c r="D17" s="381">
        <v>1865.02</v>
      </c>
      <c r="E17" s="381">
        <v>53232.18</v>
      </c>
    </row>
    <row r="18" spans="1:7">
      <c r="A18" s="379" t="s">
        <v>406</v>
      </c>
      <c r="B18" s="380"/>
      <c r="C18" s="380"/>
      <c r="D18" s="385">
        <v>333.2</v>
      </c>
      <c r="E18" s="385">
        <v>333.2</v>
      </c>
    </row>
    <row r="19" spans="1:7">
      <c r="A19" s="379" t="s">
        <v>407</v>
      </c>
      <c r="B19" s="380"/>
      <c r="C19" s="380"/>
      <c r="D19" s="381">
        <v>5562.65</v>
      </c>
      <c r="E19" s="381">
        <v>1410.5</v>
      </c>
    </row>
    <row r="20" spans="1:7">
      <c r="A20" s="379" t="s">
        <v>407</v>
      </c>
      <c r="B20" s="380"/>
      <c r="C20" s="380"/>
      <c r="D20" s="385">
        <v>287.33</v>
      </c>
      <c r="E20" s="385">
        <v>287.33</v>
      </c>
    </row>
    <row r="21" spans="1:7">
      <c r="A21" s="379" t="s">
        <v>408</v>
      </c>
      <c r="B21" s="380"/>
      <c r="C21" s="380"/>
      <c r="D21" s="381">
        <v>18529.41</v>
      </c>
      <c r="E21" s="380"/>
    </row>
    <row r="22" spans="1:7">
      <c r="A22" s="379" t="s">
        <v>409</v>
      </c>
      <c r="B22" s="380"/>
      <c r="C22" s="380"/>
      <c r="D22" s="381">
        <v>28685.599999999999</v>
      </c>
      <c r="E22" s="380"/>
    </row>
    <row r="23" spans="1:7">
      <c r="A23" s="379" t="s">
        <v>410</v>
      </c>
      <c r="B23" s="380"/>
      <c r="C23" s="380"/>
      <c r="D23" s="385">
        <v>295</v>
      </c>
      <c r="E23" s="385">
        <v>295</v>
      </c>
    </row>
    <row r="24" spans="1:7">
      <c r="A24" s="379" t="s">
        <v>411</v>
      </c>
      <c r="B24" s="380"/>
      <c r="C24" s="380"/>
      <c r="D24" s="385">
        <v>52.88</v>
      </c>
      <c r="E24" s="385">
        <v>52.88</v>
      </c>
    </row>
    <row r="25" spans="1:7">
      <c r="A25" s="379" t="s">
        <v>412</v>
      </c>
      <c r="B25" s="380"/>
      <c r="C25" s="380"/>
      <c r="D25" s="381">
        <v>122222.87</v>
      </c>
      <c r="E25" s="381">
        <v>122222.87</v>
      </c>
      <c r="G25">
        <f>D25/1000+GETPIVOTDATA("сумма, тис.грн.",'свод расходов'!$A$3,"квартал",1,"6 НКРЕ ","ЗП")+GETPIVOTDATA("сумма, тис.грн.",'свод расходов'!$A$3,"квартал",1,"6 НКРЕ ","Налоги на ЗП")</f>
        <v>10718.808529999998</v>
      </c>
    </row>
    <row r="26" spans="1:7">
      <c r="A26" s="379" t="s">
        <v>413</v>
      </c>
      <c r="B26" s="380"/>
      <c r="C26" s="380"/>
      <c r="D26" s="381">
        <v>3896.94</v>
      </c>
      <c r="E26" s="381">
        <v>3896.94</v>
      </c>
    </row>
    <row r="27" spans="1:7">
      <c r="A27" s="382" t="s">
        <v>209</v>
      </c>
      <c r="B27" s="383"/>
      <c r="C27" s="383"/>
      <c r="D27" s="384">
        <v>184173.5</v>
      </c>
      <c r="E27" s="384">
        <v>184173.5</v>
      </c>
    </row>
    <row r="30" spans="1:7">
      <c r="A30" s="375" t="s">
        <v>200</v>
      </c>
      <c r="B30" s="557" t="s">
        <v>201</v>
      </c>
      <c r="C30" s="557"/>
      <c r="D30" s="557" t="s">
        <v>202</v>
      </c>
      <c r="E30" s="557"/>
    </row>
    <row r="31" spans="1:7">
      <c r="A31" s="375" t="s">
        <v>403</v>
      </c>
      <c r="B31" s="375" t="s">
        <v>204</v>
      </c>
      <c r="C31" s="375" t="s">
        <v>205</v>
      </c>
      <c r="D31" s="375" t="s">
        <v>204</v>
      </c>
      <c r="E31" s="375" t="s">
        <v>205</v>
      </c>
    </row>
    <row r="32" spans="1:7">
      <c r="A32" s="376" t="s">
        <v>586</v>
      </c>
      <c r="B32" s="377"/>
      <c r="C32" s="377"/>
      <c r="D32" s="386">
        <v>16.170000000000002</v>
      </c>
      <c r="E32" s="386">
        <v>16.170000000000002</v>
      </c>
    </row>
    <row r="33" spans="1:5">
      <c r="A33" s="379" t="s">
        <v>206</v>
      </c>
      <c r="B33" s="380"/>
      <c r="C33" s="380"/>
      <c r="D33" s="385">
        <v>16.170000000000002</v>
      </c>
      <c r="E33" s="385">
        <v>16.170000000000002</v>
      </c>
    </row>
    <row r="34" spans="1:5">
      <c r="A34" s="382" t="s">
        <v>209</v>
      </c>
      <c r="B34" s="383"/>
      <c r="C34" s="383"/>
      <c r="D34" s="387">
        <v>16.170000000000002</v>
      </c>
      <c r="E34" s="387">
        <v>16.170000000000002</v>
      </c>
    </row>
    <row r="37" spans="1:5">
      <c r="A37" s="375" t="s">
        <v>200</v>
      </c>
      <c r="B37" s="557" t="s">
        <v>201</v>
      </c>
      <c r="C37" s="557"/>
      <c r="D37" s="557" t="s">
        <v>202</v>
      </c>
      <c r="E37" s="557"/>
    </row>
    <row r="38" spans="1:5">
      <c r="A38" s="375" t="s">
        <v>403</v>
      </c>
      <c r="B38" s="375" t="s">
        <v>204</v>
      </c>
      <c r="C38" s="375" t="s">
        <v>205</v>
      </c>
      <c r="D38" s="375" t="s">
        <v>204</v>
      </c>
      <c r="E38" s="375" t="s">
        <v>205</v>
      </c>
    </row>
    <row r="39" spans="1:5">
      <c r="A39" s="376">
        <v>74</v>
      </c>
      <c r="B39" s="377"/>
      <c r="C39" s="377"/>
      <c r="D39" s="378">
        <v>3348.07</v>
      </c>
      <c r="E39" s="378">
        <v>3348.07</v>
      </c>
    </row>
    <row r="40" spans="1:5">
      <c r="A40" s="379" t="s">
        <v>206</v>
      </c>
      <c r="B40" s="380"/>
      <c r="C40" s="380"/>
      <c r="D40" s="381">
        <v>3348.07</v>
      </c>
      <c r="E40" s="385">
        <v>76.569999999999993</v>
      </c>
    </row>
    <row r="41" spans="1:5">
      <c r="A41" s="379" t="s">
        <v>414</v>
      </c>
      <c r="B41" s="380"/>
      <c r="C41" s="380"/>
      <c r="D41" s="380"/>
      <c r="E41" s="381">
        <v>3271.5</v>
      </c>
    </row>
    <row r="42" spans="1:5">
      <c r="A42" s="382" t="s">
        <v>209</v>
      </c>
      <c r="B42" s="383"/>
      <c r="C42" s="383"/>
      <c r="D42" s="384">
        <v>3348.07</v>
      </c>
      <c r="E42" s="384">
        <v>3348.07</v>
      </c>
    </row>
    <row r="46" spans="1:5">
      <c r="A46" s="375" t="s">
        <v>200</v>
      </c>
      <c r="B46" s="557" t="s">
        <v>201</v>
      </c>
      <c r="C46" s="557"/>
      <c r="D46" s="557" t="s">
        <v>202</v>
      </c>
      <c r="E46" s="557"/>
    </row>
    <row r="47" spans="1:5">
      <c r="A47" s="375" t="s">
        <v>415</v>
      </c>
      <c r="B47" s="375" t="s">
        <v>204</v>
      </c>
      <c r="C47" s="375" t="s">
        <v>205</v>
      </c>
      <c r="D47" s="375" t="s">
        <v>204</v>
      </c>
      <c r="E47" s="375" t="s">
        <v>205</v>
      </c>
    </row>
    <row r="48" spans="1:5">
      <c r="A48" s="376">
        <v>95</v>
      </c>
      <c r="B48" s="377"/>
      <c r="C48" s="377"/>
      <c r="D48" s="378">
        <v>38401.339999999997</v>
      </c>
      <c r="E48" s="378">
        <v>38401.339999999997</v>
      </c>
    </row>
    <row r="49" spans="1:5">
      <c r="A49" s="379" t="s">
        <v>206</v>
      </c>
      <c r="B49" s="380"/>
      <c r="C49" s="380"/>
      <c r="D49" s="381">
        <v>38401.339999999997</v>
      </c>
      <c r="E49" s="381">
        <v>38401.339999999997</v>
      </c>
    </row>
    <row r="50" spans="1:5">
      <c r="A50" s="382" t="s">
        <v>209</v>
      </c>
      <c r="B50" s="383"/>
      <c r="C50" s="383"/>
      <c r="D50" s="384">
        <v>38401.339999999997</v>
      </c>
      <c r="E50" s="384">
        <v>38401.339999999997</v>
      </c>
    </row>
    <row r="54" spans="1:5">
      <c r="A54" s="375" t="s">
        <v>200</v>
      </c>
      <c r="B54" s="557" t="s">
        <v>201</v>
      </c>
      <c r="C54" s="557"/>
      <c r="D54" s="557" t="s">
        <v>202</v>
      </c>
      <c r="E54" s="557"/>
    </row>
    <row r="55" spans="1:5">
      <c r="A55" s="375" t="s">
        <v>415</v>
      </c>
      <c r="B55" s="375" t="s">
        <v>204</v>
      </c>
      <c r="C55" s="375" t="s">
        <v>205</v>
      </c>
      <c r="D55" s="375" t="s">
        <v>204</v>
      </c>
      <c r="E55" s="375" t="s">
        <v>205</v>
      </c>
    </row>
    <row r="56" spans="1:5">
      <c r="A56" s="376">
        <v>97</v>
      </c>
      <c r="B56" s="377"/>
      <c r="C56" s="377"/>
      <c r="D56" s="378">
        <v>8225</v>
      </c>
      <c r="E56" s="378">
        <v>8225</v>
      </c>
    </row>
    <row r="57" spans="1:5">
      <c r="A57" s="379" t="s">
        <v>206</v>
      </c>
      <c r="B57" s="380"/>
      <c r="C57" s="380"/>
      <c r="D57" s="380"/>
      <c r="E57" s="381">
        <v>8225</v>
      </c>
    </row>
    <row r="58" spans="1:5">
      <c r="A58" s="379" t="s">
        <v>416</v>
      </c>
      <c r="B58" s="380"/>
      <c r="C58" s="380"/>
      <c r="D58" s="381">
        <v>8225</v>
      </c>
      <c r="E58" s="380"/>
    </row>
    <row r="59" spans="1:5">
      <c r="A59" s="382" t="s">
        <v>209</v>
      </c>
      <c r="B59" s="383"/>
      <c r="C59" s="383"/>
      <c r="D59" s="384">
        <v>8225</v>
      </c>
      <c r="E59" s="384">
        <v>8225</v>
      </c>
    </row>
  </sheetData>
  <mergeCells count="12">
    <mergeCell ref="B37:C37"/>
    <mergeCell ref="D37:E37"/>
    <mergeCell ref="B46:C46"/>
    <mergeCell ref="D46:E46"/>
    <mergeCell ref="B54:C54"/>
    <mergeCell ref="D54:E54"/>
    <mergeCell ref="B3:C3"/>
    <mergeCell ref="D3:E3"/>
    <mergeCell ref="B13:C13"/>
    <mergeCell ref="D13:E13"/>
    <mergeCell ref="B30:C30"/>
    <mergeCell ref="D30:E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65"/>
  <sheetViews>
    <sheetView topLeftCell="A4" workbookViewId="0">
      <selection activeCell="D11" sqref="D11"/>
    </sheetView>
  </sheetViews>
  <sheetFormatPr defaultRowHeight="12.75"/>
  <cols>
    <col min="1" max="1" width="55.7109375" style="388" customWidth="1"/>
    <col min="2" max="2" width="9.140625" style="388"/>
    <col min="3" max="3" width="9.7109375" style="388" customWidth="1"/>
    <col min="4" max="4" width="15.5703125" style="440" customWidth="1"/>
    <col min="5" max="16384" width="9.140625" style="388"/>
  </cols>
  <sheetData>
    <row r="1" spans="1:10" ht="15.75">
      <c r="A1" s="547" t="s">
        <v>417</v>
      </c>
      <c r="B1" s="547"/>
      <c r="C1" s="547"/>
      <c r="D1" s="547"/>
    </row>
    <row r="2" spans="1:10">
      <c r="A2" s="548" t="s">
        <v>418</v>
      </c>
      <c r="B2" s="548"/>
      <c r="C2" s="548"/>
      <c r="D2" s="548"/>
      <c r="E2" s="494"/>
    </row>
    <row r="4" spans="1:10" ht="12.75" customHeight="1">
      <c r="A4" s="391" t="s">
        <v>419</v>
      </c>
      <c r="B4" s="391" t="s">
        <v>420</v>
      </c>
      <c r="C4" s="414" t="s">
        <v>464</v>
      </c>
      <c r="D4" s="433" t="s">
        <v>421</v>
      </c>
    </row>
    <row r="5" spans="1:10">
      <c r="A5" s="391">
        <v>1</v>
      </c>
      <c r="B5" s="391">
        <v>2</v>
      </c>
      <c r="C5" s="391">
        <v>3</v>
      </c>
      <c r="D5" s="431">
        <v>4</v>
      </c>
    </row>
    <row r="6" spans="1:10" ht="12.75" customHeight="1">
      <c r="A6" s="392" t="s">
        <v>422</v>
      </c>
      <c r="B6" s="400">
        <v>2000</v>
      </c>
      <c r="C6" s="389" t="s">
        <v>577</v>
      </c>
      <c r="D6" s="434">
        <f>GETPIVOTDATA("Сумма, тыс.грн. без НДС",'свод продаж'!$A$3,"Квартал",1,"6 НКРЕ","Реактив")+GETPIVOTDATA("Сумма, тыс.грн. без НДС",'свод продаж'!$A$3,"Квартал",1,"6 НКРЕ","транзит")</f>
        <v>24822.473133333333</v>
      </c>
    </row>
    <row r="7" spans="1:10" ht="12.75" customHeight="1">
      <c r="A7" s="393" t="s">
        <v>423</v>
      </c>
      <c r="B7" s="402">
        <v>2050</v>
      </c>
      <c r="C7" s="407">
        <v>23.91</v>
      </c>
      <c r="D7" s="433">
        <f>GETPIVOTDATA("сумма, тис.грн.",'свод расходов'!$A$3,"квартал",1,"Счет",23.91)</f>
        <v>17208.236070000003</v>
      </c>
    </row>
    <row r="8" spans="1:10">
      <c r="A8" s="394" t="s">
        <v>424</v>
      </c>
      <c r="B8" s="553">
        <v>2090</v>
      </c>
      <c r="C8" s="408"/>
      <c r="D8" s="435"/>
    </row>
    <row r="9" spans="1:10" ht="12.75" customHeight="1">
      <c r="A9" s="395" t="s">
        <v>425</v>
      </c>
      <c r="B9" s="553"/>
      <c r="C9" s="409"/>
      <c r="D9" s="436">
        <f>D6-D7</f>
        <v>7614.2370633333303</v>
      </c>
    </row>
    <row r="10" spans="1:10">
      <c r="A10" s="396" t="s">
        <v>426</v>
      </c>
      <c r="B10" s="403">
        <v>2095</v>
      </c>
      <c r="C10" s="410"/>
      <c r="D10" s="433"/>
    </row>
    <row r="11" spans="1:10" ht="12.75" customHeight="1">
      <c r="A11" s="392" t="s">
        <v>113</v>
      </c>
      <c r="B11" s="400">
        <v>2120</v>
      </c>
      <c r="C11" s="389" t="s">
        <v>581</v>
      </c>
      <c r="D11" s="434">
        <f>('Прочие счета'!D9-'Прочие счета'!D8)/1000+GETPIVOTDATA("Сумма, тыс.грн. без НДС",'свод продаж'!$A$3,"Квартал",1,"6 НКРЕ","Услуги")-('Прочие счета'!D58/1000*0.2)+0.5</f>
        <v>590.64955666666663</v>
      </c>
    </row>
    <row r="12" spans="1:10" ht="12.75" customHeight="1">
      <c r="A12" s="392" t="s">
        <v>427</v>
      </c>
      <c r="B12" s="400">
        <v>2130</v>
      </c>
      <c r="C12" s="389" t="s">
        <v>582</v>
      </c>
      <c r="D12" s="433">
        <f>GETPIVOTDATA("сумма, тис.грн.",'свод расходов'!$A$3,"квартал",1,"Счет",92)</f>
        <v>3388.7658500000007</v>
      </c>
      <c r="J12" s="413"/>
    </row>
    <row r="13" spans="1:10" ht="12.75" customHeight="1">
      <c r="A13" s="392" t="s">
        <v>428</v>
      </c>
      <c r="B13" s="400">
        <v>2150</v>
      </c>
      <c r="C13" s="389"/>
      <c r="D13" s="433"/>
    </row>
    <row r="14" spans="1:10" ht="12.75" customHeight="1">
      <c r="A14" s="393" t="s">
        <v>429</v>
      </c>
      <c r="B14" s="400">
        <v>2180</v>
      </c>
      <c r="C14" s="389" t="s">
        <v>585</v>
      </c>
      <c r="D14" s="433">
        <f>'Прочие счета'!D27/1000</f>
        <v>184.17349999999999</v>
      </c>
    </row>
    <row r="15" spans="1:10" ht="12.75" customHeight="1">
      <c r="A15" s="394" t="s">
        <v>430</v>
      </c>
      <c r="B15" s="551">
        <v>2190</v>
      </c>
      <c r="C15" s="408"/>
      <c r="D15" s="435"/>
    </row>
    <row r="16" spans="1:10" ht="12.75" customHeight="1">
      <c r="A16" s="395" t="s">
        <v>425</v>
      </c>
      <c r="B16" s="552"/>
      <c r="C16" s="409"/>
      <c r="D16" s="436">
        <f>D9+D11-D12-D14</f>
        <v>4631.9472699999969</v>
      </c>
    </row>
    <row r="17" spans="1:4">
      <c r="A17" s="396" t="s">
        <v>426</v>
      </c>
      <c r="B17" s="400">
        <v>2195</v>
      </c>
      <c r="C17" s="389"/>
      <c r="D17" s="433"/>
    </row>
    <row r="18" spans="1:4" ht="12.75" customHeight="1">
      <c r="A18" s="392" t="s">
        <v>431</v>
      </c>
      <c r="B18" s="400">
        <v>2200</v>
      </c>
      <c r="C18" s="389"/>
      <c r="D18" s="434"/>
    </row>
    <row r="19" spans="1:4" ht="12.75" customHeight="1">
      <c r="A19" s="392" t="s">
        <v>432</v>
      </c>
      <c r="B19" s="400">
        <v>2220</v>
      </c>
      <c r="C19" s="389" t="s">
        <v>587</v>
      </c>
      <c r="D19" s="434">
        <f>'Прочие счета'!D34/1000</f>
        <v>1.617E-2</v>
      </c>
    </row>
    <row r="20" spans="1:4" ht="12.75" customHeight="1">
      <c r="A20" s="392" t="s">
        <v>433</v>
      </c>
      <c r="B20" s="400">
        <v>2240</v>
      </c>
      <c r="C20" s="389" t="s">
        <v>589</v>
      </c>
      <c r="D20" s="434">
        <f>'Прочие счета'!D42/1000</f>
        <v>3.3480700000000003</v>
      </c>
    </row>
    <row r="21" spans="1:4" ht="12.75" customHeight="1">
      <c r="A21" s="392" t="s">
        <v>434</v>
      </c>
      <c r="B21" s="400">
        <v>2250</v>
      </c>
      <c r="C21" s="389" t="s">
        <v>590</v>
      </c>
      <c r="D21" s="433">
        <f>'Прочие счета'!D50/1000</f>
        <v>38.401339999999998</v>
      </c>
    </row>
    <row r="22" spans="1:4" ht="12.75" customHeight="1">
      <c r="A22" s="392" t="s">
        <v>435</v>
      </c>
      <c r="B22" s="400">
        <v>2255</v>
      </c>
      <c r="C22" s="389"/>
      <c r="D22" s="433"/>
    </row>
    <row r="23" spans="1:4" ht="12.75" customHeight="1">
      <c r="A23" s="393" t="s">
        <v>436</v>
      </c>
      <c r="B23" s="400">
        <v>2270</v>
      </c>
      <c r="C23" s="389" t="s">
        <v>591</v>
      </c>
      <c r="D23" s="433">
        <f>'Прочие счета'!D59/1000</f>
        <v>8.2249999999999996</v>
      </c>
    </row>
    <row r="24" spans="1:4" ht="12.75" customHeight="1">
      <c r="A24" s="394" t="s">
        <v>437</v>
      </c>
      <c r="B24" s="551">
        <v>2290</v>
      </c>
      <c r="C24" s="408"/>
      <c r="D24" s="437"/>
    </row>
    <row r="25" spans="1:4" ht="12.75" customHeight="1">
      <c r="A25" s="395" t="s">
        <v>425</v>
      </c>
      <c r="B25" s="552"/>
      <c r="C25" s="409"/>
      <c r="D25" s="438">
        <f>D16+D19+D20-D21-D23</f>
        <v>4588.6851699999961</v>
      </c>
    </row>
    <row r="26" spans="1:4">
      <c r="A26" s="396" t="s">
        <v>426</v>
      </c>
      <c r="B26" s="404">
        <v>2295</v>
      </c>
      <c r="C26" s="390"/>
      <c r="D26" s="433"/>
    </row>
    <row r="27" spans="1:4" ht="12.75" customHeight="1">
      <c r="A27" s="392" t="s">
        <v>438</v>
      </c>
      <c r="B27" s="400">
        <v>2300</v>
      </c>
      <c r="C27" s="389"/>
      <c r="D27" s="434"/>
    </row>
    <row r="28" spans="1:4" ht="12.75" customHeight="1">
      <c r="A28" s="397" t="s">
        <v>439</v>
      </c>
      <c r="B28" s="400">
        <v>2305</v>
      </c>
      <c r="C28" s="389"/>
      <c r="D28" s="433"/>
    </row>
    <row r="29" spans="1:4" ht="12.75" customHeight="1">
      <c r="A29" s="394" t="s">
        <v>440</v>
      </c>
      <c r="B29" s="549">
        <v>2350</v>
      </c>
      <c r="C29" s="411"/>
      <c r="D29" s="435"/>
    </row>
    <row r="30" spans="1:4" ht="12.75" customHeight="1">
      <c r="A30" s="395" t="s">
        <v>425</v>
      </c>
      <c r="B30" s="550"/>
      <c r="C30" s="412"/>
      <c r="D30" s="436"/>
    </row>
    <row r="31" spans="1:4">
      <c r="A31" s="396" t="s">
        <v>426</v>
      </c>
      <c r="B31" s="404">
        <v>2355</v>
      </c>
      <c r="C31" s="390"/>
      <c r="D31" s="433"/>
    </row>
    <row r="32" spans="1:4">
      <c r="A32" s="548" t="s">
        <v>441</v>
      </c>
      <c r="B32" s="548"/>
      <c r="C32" s="548"/>
      <c r="D32" s="548"/>
    </row>
    <row r="34" spans="1:4" ht="12.75" customHeight="1">
      <c r="A34" s="391" t="s">
        <v>419</v>
      </c>
      <c r="B34" s="391" t="s">
        <v>420</v>
      </c>
      <c r="C34" s="391"/>
      <c r="D34" s="431" t="s">
        <v>421</v>
      </c>
    </row>
    <row r="35" spans="1:4">
      <c r="A35" s="391">
        <v>1</v>
      </c>
      <c r="B35" s="391">
        <v>2</v>
      </c>
      <c r="C35" s="391"/>
      <c r="D35" s="431">
        <v>3</v>
      </c>
    </row>
    <row r="36" spans="1:4" ht="12.75" customHeight="1">
      <c r="A36" s="398" t="s">
        <v>442</v>
      </c>
      <c r="B36" s="404">
        <v>2400</v>
      </c>
      <c r="C36" s="404"/>
      <c r="D36" s="432"/>
    </row>
    <row r="37" spans="1:4" ht="12.75" customHeight="1">
      <c r="A37" s="398" t="s">
        <v>443</v>
      </c>
      <c r="B37" s="404">
        <v>2405</v>
      </c>
      <c r="C37" s="404"/>
      <c r="D37" s="432"/>
    </row>
    <row r="38" spans="1:4" ht="12.75" customHeight="1">
      <c r="A38" s="398" t="s">
        <v>444</v>
      </c>
      <c r="B38" s="400">
        <v>2410</v>
      </c>
      <c r="C38" s="400"/>
      <c r="D38" s="432"/>
    </row>
    <row r="39" spans="1:4" ht="12.75" customHeight="1">
      <c r="A39" s="398" t="s">
        <v>445</v>
      </c>
      <c r="B39" s="404">
        <v>2415</v>
      </c>
      <c r="C39" s="404"/>
      <c r="D39" s="432"/>
    </row>
    <row r="40" spans="1:4" ht="12.75" customHeight="1">
      <c r="A40" s="398" t="s">
        <v>446</v>
      </c>
      <c r="B40" s="404">
        <v>2445</v>
      </c>
      <c r="C40" s="404"/>
      <c r="D40" s="432"/>
    </row>
    <row r="41" spans="1:4" ht="12.75" customHeight="1">
      <c r="A41" s="399" t="s">
        <v>447</v>
      </c>
      <c r="B41" s="405">
        <v>2450</v>
      </c>
      <c r="C41" s="405"/>
      <c r="D41" s="432"/>
    </row>
    <row r="42" spans="1:4" ht="12.75" customHeight="1">
      <c r="A42" s="398" t="s">
        <v>448</v>
      </c>
      <c r="B42" s="404">
        <v>2455</v>
      </c>
      <c r="C42" s="404"/>
      <c r="D42" s="432"/>
    </row>
    <row r="43" spans="1:4" ht="12.75" customHeight="1">
      <c r="A43" s="399" t="s">
        <v>449</v>
      </c>
      <c r="B43" s="405">
        <v>2460</v>
      </c>
      <c r="C43" s="405"/>
      <c r="D43" s="432"/>
    </row>
    <row r="44" spans="1:4" ht="12.75" customHeight="1">
      <c r="A44" s="399" t="s">
        <v>450</v>
      </c>
      <c r="B44" s="405">
        <v>2465</v>
      </c>
      <c r="C44" s="405"/>
      <c r="D44" s="432"/>
    </row>
    <row r="46" spans="1:4">
      <c r="A46" s="548" t="s">
        <v>451</v>
      </c>
      <c r="B46" s="548"/>
      <c r="C46" s="548"/>
      <c r="D46" s="548"/>
    </row>
    <row r="48" spans="1:4" ht="12.75" customHeight="1">
      <c r="A48" s="391" t="s">
        <v>452</v>
      </c>
      <c r="B48" s="391" t="s">
        <v>420</v>
      </c>
      <c r="C48" s="391"/>
      <c r="D48" s="431" t="s">
        <v>421</v>
      </c>
    </row>
    <row r="49" spans="1:4">
      <c r="A49" s="391">
        <v>1</v>
      </c>
      <c r="B49" s="391">
        <v>2</v>
      </c>
      <c r="C49" s="391"/>
      <c r="D49" s="431">
        <v>3</v>
      </c>
    </row>
    <row r="50" spans="1:4" ht="12.75" customHeight="1">
      <c r="A50" s="398" t="s">
        <v>453</v>
      </c>
      <c r="B50" s="391">
        <v>2500</v>
      </c>
      <c r="C50" s="391"/>
      <c r="D50" s="439">
        <f>GETPIVOTDATA("сумма, тис.грн.",'свод расходов'!$A$3,"квартал",1,"6 НКРЕ ","Материальные")</f>
        <v>1769.2583500000001</v>
      </c>
    </row>
    <row r="51" spans="1:4" ht="12.75" customHeight="1">
      <c r="A51" s="398" t="s">
        <v>454</v>
      </c>
      <c r="B51" s="391">
        <v>2505</v>
      </c>
      <c r="C51" s="391"/>
      <c r="D51" s="439">
        <f>GETPIVOTDATA("сумма, тис.грн.",'свод расходов'!$A$3,"квартал",1,"6 НКРЕ ","ЗП")</f>
        <v>8100.7716700000001</v>
      </c>
    </row>
    <row r="52" spans="1:4" ht="12.75" customHeight="1">
      <c r="A52" s="398" t="s">
        <v>455</v>
      </c>
      <c r="B52" s="391">
        <v>2510</v>
      </c>
      <c r="C52" s="391"/>
      <c r="D52" s="439">
        <f>GETPIVOTDATA("сумма, тис.грн.",'свод расходов'!$A$3,"квартал",1,"6 НКРЕ ","Налоги на ЗП")</f>
        <v>2495.8139899999996</v>
      </c>
    </row>
    <row r="53" spans="1:4" ht="12.75" customHeight="1">
      <c r="A53" s="398" t="s">
        <v>456</v>
      </c>
      <c r="B53" s="391">
        <v>2515</v>
      </c>
      <c r="C53" s="391"/>
      <c r="D53" s="439">
        <f>GETPIVOTDATA("сумма, тис.грн.",'свод расходов'!$A$3,"квартал",1,"6 НКРЕ ","Амортизация")</f>
        <v>7221.9121500000001</v>
      </c>
    </row>
    <row r="54" spans="1:4" ht="12.75" customHeight="1">
      <c r="A54" s="398" t="s">
        <v>429</v>
      </c>
      <c r="B54" s="391">
        <v>2520</v>
      </c>
      <c r="C54" s="391"/>
      <c r="D54" s="439">
        <f>GETPIVOTDATA("сумма, тис.грн.",'свод расходов'!$A$3,"квартал",1,"6 НКРЕ ","Прочие")+D14</f>
        <v>1193.4192599999999</v>
      </c>
    </row>
    <row r="55" spans="1:4">
      <c r="A55" s="399" t="s">
        <v>457</v>
      </c>
      <c r="B55" s="406">
        <v>2550</v>
      </c>
      <c r="C55" s="406"/>
      <c r="D55" s="439">
        <f>SUM(D50:D54)</f>
        <v>20781.17542</v>
      </c>
    </row>
    <row r="57" spans="1:4">
      <c r="A57" s="548" t="s">
        <v>458</v>
      </c>
      <c r="B57" s="548"/>
      <c r="C57" s="548"/>
      <c r="D57" s="548"/>
    </row>
    <row r="59" spans="1:4" ht="12.75" customHeight="1">
      <c r="A59" s="400" t="s">
        <v>452</v>
      </c>
      <c r="B59" s="400" t="s">
        <v>420</v>
      </c>
      <c r="C59" s="400"/>
      <c r="D59" s="431" t="s">
        <v>421</v>
      </c>
    </row>
    <row r="60" spans="1:4">
      <c r="A60" s="400">
        <v>1</v>
      </c>
      <c r="B60" s="400">
        <v>2</v>
      </c>
      <c r="C60" s="400"/>
      <c r="D60" s="431">
        <v>3</v>
      </c>
    </row>
    <row r="61" spans="1:4" ht="12.75" customHeight="1">
      <c r="A61" s="401" t="s">
        <v>459</v>
      </c>
      <c r="B61" s="400">
        <v>2600</v>
      </c>
      <c r="C61" s="400"/>
      <c r="D61" s="432"/>
    </row>
    <row r="62" spans="1:4" ht="12.75" customHeight="1">
      <c r="A62" s="401" t="s">
        <v>460</v>
      </c>
      <c r="B62" s="400">
        <v>2605</v>
      </c>
      <c r="C62" s="400"/>
      <c r="D62" s="432"/>
    </row>
    <row r="63" spans="1:4" ht="12.75" customHeight="1">
      <c r="A63" s="401" t="s">
        <v>461</v>
      </c>
      <c r="B63" s="400">
        <v>2610</v>
      </c>
      <c r="C63" s="400"/>
      <c r="D63" s="432"/>
    </row>
    <row r="64" spans="1:4" ht="12.75" customHeight="1">
      <c r="A64" s="401" t="s">
        <v>462</v>
      </c>
      <c r="B64" s="400">
        <v>2615</v>
      </c>
      <c r="C64" s="400"/>
      <c r="D64" s="432"/>
    </row>
    <row r="65" spans="1:4" ht="12.75" customHeight="1">
      <c r="A65" s="401" t="s">
        <v>463</v>
      </c>
      <c r="B65" s="400">
        <v>2650</v>
      </c>
      <c r="C65" s="400"/>
      <c r="D65" s="432"/>
    </row>
  </sheetData>
  <mergeCells count="9">
    <mergeCell ref="A1:D1"/>
    <mergeCell ref="A2:D2"/>
    <mergeCell ref="A57:D57"/>
    <mergeCell ref="A46:D46"/>
    <mergeCell ref="A32:D32"/>
    <mergeCell ref="B29:B30"/>
    <mergeCell ref="B24:B25"/>
    <mergeCell ref="B15:B16"/>
    <mergeCell ref="B8:B9"/>
  </mergeCells>
  <pageMargins left="0.28000000000000003" right="0.28999999999999998" top="0.74803149606299213" bottom="0.74803149606299213" header="0.31496062992125984" footer="0.31496062992125984"/>
  <pageSetup paperSize="9" scale="90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E43"/>
  <sheetViews>
    <sheetView topLeftCell="A10" workbookViewId="0">
      <selection activeCell="E21" sqref="E21"/>
    </sheetView>
  </sheetViews>
  <sheetFormatPr defaultRowHeight="12.75"/>
  <cols>
    <col min="1" max="1" width="61.140625" style="441" customWidth="1"/>
    <col min="2" max="2" width="9.140625" style="441"/>
    <col min="3" max="3" width="16.42578125" style="441" customWidth="1"/>
    <col min="4" max="4" width="13.5703125" style="441" customWidth="1"/>
    <col min="5" max="5" width="20" style="442" customWidth="1"/>
    <col min="6" max="16384" width="9.140625" style="441"/>
  </cols>
  <sheetData>
    <row r="2" spans="1:5" ht="18">
      <c r="A2" s="541" t="s">
        <v>592</v>
      </c>
      <c r="B2" s="541"/>
      <c r="C2" s="541"/>
    </row>
    <row r="3" spans="1:5">
      <c r="A3" s="443"/>
    </row>
    <row r="4" spans="1:5" ht="15.75">
      <c r="A4" s="444"/>
      <c r="B4" s="444"/>
      <c r="C4" s="444"/>
    </row>
    <row r="5" spans="1:5" ht="95.25" customHeight="1">
      <c r="A5" s="445" t="s">
        <v>593</v>
      </c>
      <c r="B5" s="446" t="s">
        <v>594</v>
      </c>
      <c r="C5" s="447" t="s">
        <v>595</v>
      </c>
      <c r="D5" s="447" t="s">
        <v>596</v>
      </c>
      <c r="E5" s="448" t="s">
        <v>688</v>
      </c>
    </row>
    <row r="6" spans="1:5" ht="16.5">
      <c r="A6" s="449" t="s">
        <v>597</v>
      </c>
      <c r="B6" s="450" t="s">
        <v>598</v>
      </c>
      <c r="C6" s="451">
        <f>C7+C14+C15+C16+C17+C36</f>
        <v>71764</v>
      </c>
      <c r="D6" s="451">
        <f>D7+D14+D15+D16+D17+D36</f>
        <v>74374</v>
      </c>
      <c r="E6" s="452">
        <f>E7+E14+E15+E16+E17+E36</f>
        <v>18158.5</v>
      </c>
    </row>
    <row r="7" spans="1:5" ht="16.5">
      <c r="A7" s="449" t="s">
        <v>599</v>
      </c>
      <c r="B7" s="450" t="s">
        <v>600</v>
      </c>
      <c r="C7" s="451">
        <f>C8+C9+C11+C12+C13</f>
        <v>16065</v>
      </c>
      <c r="D7" s="451">
        <f>D8+D9+D11+D12+D13</f>
        <v>16065</v>
      </c>
      <c r="E7" s="452">
        <f>E8+E9+E11+E12+E13</f>
        <v>4016.25</v>
      </c>
    </row>
    <row r="8" spans="1:5" ht="16.5">
      <c r="A8" s="453" t="s">
        <v>601</v>
      </c>
      <c r="B8" s="454" t="s">
        <v>602</v>
      </c>
      <c r="C8" s="455">
        <v>626</v>
      </c>
      <c r="D8" s="455">
        <f>C8</f>
        <v>626</v>
      </c>
      <c r="E8" s="456">
        <f>C8/12*2+D8/12</f>
        <v>156.5</v>
      </c>
    </row>
    <row r="9" spans="1:5" ht="16.5">
      <c r="A9" s="453" t="s">
        <v>603</v>
      </c>
      <c r="B9" s="454" t="s">
        <v>604</v>
      </c>
      <c r="C9" s="455">
        <v>796</v>
      </c>
      <c r="D9" s="455">
        <f t="shared" ref="D9:D16" si="0">C9</f>
        <v>796</v>
      </c>
      <c r="E9" s="456">
        <f t="shared" ref="E9:E23" si="1">C9/12*2+D9/12</f>
        <v>199</v>
      </c>
    </row>
    <row r="10" spans="1:5" ht="16.5">
      <c r="A10" s="457" t="s">
        <v>605</v>
      </c>
      <c r="B10" s="454"/>
      <c r="C10" s="455">
        <v>0</v>
      </c>
      <c r="D10" s="455">
        <f t="shared" si="0"/>
        <v>0</v>
      </c>
      <c r="E10" s="456">
        <f t="shared" si="1"/>
        <v>0</v>
      </c>
    </row>
    <row r="11" spans="1:5" ht="16.5">
      <c r="A11" s="453" t="s">
        <v>606</v>
      </c>
      <c r="B11" s="454" t="s">
        <v>607</v>
      </c>
      <c r="C11" s="455">
        <v>1381</v>
      </c>
      <c r="D11" s="455">
        <f t="shared" si="0"/>
        <v>1381</v>
      </c>
      <c r="E11" s="456">
        <f t="shared" si="1"/>
        <v>345.25</v>
      </c>
    </row>
    <row r="12" spans="1:5" ht="16.5">
      <c r="A12" s="453" t="s">
        <v>608</v>
      </c>
      <c r="B12" s="454" t="s">
        <v>609</v>
      </c>
      <c r="C12" s="455">
        <v>12284</v>
      </c>
      <c r="D12" s="455">
        <f t="shared" si="0"/>
        <v>12284</v>
      </c>
      <c r="E12" s="456">
        <f t="shared" si="1"/>
        <v>3071</v>
      </c>
    </row>
    <row r="13" spans="1:5" ht="16.5">
      <c r="A13" s="453" t="s">
        <v>610</v>
      </c>
      <c r="B13" s="454" t="s">
        <v>611</v>
      </c>
      <c r="C13" s="455">
        <v>978</v>
      </c>
      <c r="D13" s="455">
        <v>978</v>
      </c>
      <c r="E13" s="456">
        <f t="shared" si="1"/>
        <v>244.5</v>
      </c>
    </row>
    <row r="14" spans="1:5" ht="16.5">
      <c r="A14" s="449" t="s">
        <v>612</v>
      </c>
      <c r="B14" s="450" t="s">
        <v>613</v>
      </c>
      <c r="C14" s="451">
        <v>28846</v>
      </c>
      <c r="D14" s="451">
        <v>30750</v>
      </c>
      <c r="E14" s="456">
        <f t="shared" si="1"/>
        <v>7370.166666666667</v>
      </c>
    </row>
    <row r="15" spans="1:5" ht="16.5">
      <c r="A15" s="449" t="s">
        <v>614</v>
      </c>
      <c r="B15" s="450" t="s">
        <v>615</v>
      </c>
      <c r="C15" s="451">
        <v>10690</v>
      </c>
      <c r="D15" s="451">
        <v>11396</v>
      </c>
      <c r="E15" s="456">
        <f t="shared" si="1"/>
        <v>2731.3333333333335</v>
      </c>
    </row>
    <row r="16" spans="1:5" ht="16.5">
      <c r="A16" s="449" t="s">
        <v>616</v>
      </c>
      <c r="B16" s="450" t="s">
        <v>617</v>
      </c>
      <c r="C16" s="451">
        <v>13424</v>
      </c>
      <c r="D16" s="451">
        <f t="shared" si="0"/>
        <v>13424</v>
      </c>
      <c r="E16" s="456">
        <f t="shared" si="1"/>
        <v>3356</v>
      </c>
    </row>
    <row r="17" spans="1:5" ht="16.5">
      <c r="A17" s="449" t="s">
        <v>618</v>
      </c>
      <c r="B17" s="454" t="s">
        <v>619</v>
      </c>
      <c r="C17" s="451">
        <f>SUM(C18:C25)</f>
        <v>5426</v>
      </c>
      <c r="D17" s="451">
        <f>SUM(D18:D25)</f>
        <v>5426</v>
      </c>
      <c r="E17" s="452">
        <f>SUM(E18:E25)</f>
        <v>1356.5</v>
      </c>
    </row>
    <row r="18" spans="1:5" ht="16.5">
      <c r="A18" s="453" t="s">
        <v>620</v>
      </c>
      <c r="B18" s="454" t="s">
        <v>621</v>
      </c>
      <c r="C18" s="455">
        <v>350</v>
      </c>
      <c r="D18" s="455">
        <f>C18</f>
        <v>350</v>
      </c>
      <c r="E18" s="456">
        <f t="shared" si="1"/>
        <v>87.5</v>
      </c>
    </row>
    <row r="19" spans="1:5" ht="16.5">
      <c r="A19" s="453" t="s">
        <v>622</v>
      </c>
      <c r="B19" s="454" t="s">
        <v>623</v>
      </c>
      <c r="C19" s="455">
        <v>0</v>
      </c>
      <c r="D19" s="455">
        <f t="shared" ref="D19:D24" si="2">C19</f>
        <v>0</v>
      </c>
      <c r="E19" s="456">
        <f t="shared" si="1"/>
        <v>0</v>
      </c>
    </row>
    <row r="20" spans="1:5" ht="16.5">
      <c r="A20" s="453" t="s">
        <v>624</v>
      </c>
      <c r="B20" s="454" t="s">
        <v>625</v>
      </c>
      <c r="C20" s="455">
        <v>557</v>
      </c>
      <c r="D20" s="455">
        <f t="shared" si="2"/>
        <v>557</v>
      </c>
      <c r="E20" s="456">
        <f t="shared" si="1"/>
        <v>139.25</v>
      </c>
    </row>
    <row r="21" spans="1:5" ht="16.5">
      <c r="A21" s="453" t="s">
        <v>626</v>
      </c>
      <c r="B21" s="454" t="s">
        <v>627</v>
      </c>
      <c r="C21" s="455">
        <v>218</v>
      </c>
      <c r="D21" s="455">
        <f t="shared" si="2"/>
        <v>218</v>
      </c>
      <c r="E21" s="456">
        <f t="shared" si="1"/>
        <v>54.5</v>
      </c>
    </row>
    <row r="22" spans="1:5" ht="16.5">
      <c r="A22" s="453" t="s">
        <v>628</v>
      </c>
      <c r="B22" s="454" t="s">
        <v>629</v>
      </c>
      <c r="C22" s="455">
        <v>0</v>
      </c>
      <c r="D22" s="455">
        <f t="shared" si="2"/>
        <v>0</v>
      </c>
      <c r="E22" s="456">
        <f t="shared" si="1"/>
        <v>0</v>
      </c>
    </row>
    <row r="23" spans="1:5" ht="16.5">
      <c r="A23" s="453" t="s">
        <v>630</v>
      </c>
      <c r="B23" s="454" t="s">
        <v>631</v>
      </c>
      <c r="C23" s="455">
        <v>361</v>
      </c>
      <c r="D23" s="455">
        <f t="shared" si="2"/>
        <v>361</v>
      </c>
      <c r="E23" s="456">
        <f t="shared" si="1"/>
        <v>90.25</v>
      </c>
    </row>
    <row r="24" spans="1:5" ht="16.5">
      <c r="A24" s="453" t="s">
        <v>632</v>
      </c>
      <c r="B24" s="454" t="s">
        <v>633</v>
      </c>
      <c r="C24" s="455">
        <v>0</v>
      </c>
      <c r="D24" s="455">
        <f t="shared" si="2"/>
        <v>0</v>
      </c>
      <c r="E24" s="456">
        <f>C24/12*5+D24/12</f>
        <v>0</v>
      </c>
    </row>
    <row r="25" spans="1:5" ht="16.5">
      <c r="A25" s="457" t="s">
        <v>634</v>
      </c>
      <c r="B25" s="458" t="s">
        <v>635</v>
      </c>
      <c r="C25" s="455">
        <f>SUM(C26:C35)</f>
        <v>3940</v>
      </c>
      <c r="D25" s="455">
        <f>SUM(D26:D35)</f>
        <v>3940</v>
      </c>
      <c r="E25" s="455">
        <f>SUM(E26:E35)</f>
        <v>985</v>
      </c>
    </row>
    <row r="26" spans="1:5" ht="16.5">
      <c r="A26" s="459" t="s">
        <v>636</v>
      </c>
      <c r="B26" s="458"/>
      <c r="C26" s="460">
        <v>124</v>
      </c>
      <c r="D26" s="455">
        <f>C26</f>
        <v>124</v>
      </c>
      <c r="E26" s="456">
        <f t="shared" ref="E26:E36" si="3">C26/12*2+D26/12</f>
        <v>31</v>
      </c>
    </row>
    <row r="27" spans="1:5" ht="16.5">
      <c r="A27" s="461" t="s">
        <v>637</v>
      </c>
      <c r="B27" s="458"/>
      <c r="C27" s="460">
        <v>491</v>
      </c>
      <c r="D27" s="455">
        <f t="shared" ref="D27:D35" si="4">C27</f>
        <v>491</v>
      </c>
      <c r="E27" s="456">
        <f t="shared" si="3"/>
        <v>122.75</v>
      </c>
    </row>
    <row r="28" spans="1:5" ht="16.5">
      <c r="A28" s="461" t="s">
        <v>638</v>
      </c>
      <c r="B28" s="458"/>
      <c r="C28" s="460">
        <v>864</v>
      </c>
      <c r="D28" s="455">
        <f t="shared" si="4"/>
        <v>864</v>
      </c>
      <c r="E28" s="456">
        <f t="shared" si="3"/>
        <v>216</v>
      </c>
    </row>
    <row r="29" spans="1:5" ht="16.5">
      <c r="A29" s="461" t="s">
        <v>639</v>
      </c>
      <c r="B29" s="458"/>
      <c r="C29" s="460">
        <v>518</v>
      </c>
      <c r="D29" s="455">
        <f t="shared" si="4"/>
        <v>518</v>
      </c>
      <c r="E29" s="456">
        <f t="shared" si="3"/>
        <v>129.5</v>
      </c>
    </row>
    <row r="30" spans="1:5" ht="16.5">
      <c r="A30" s="461" t="s">
        <v>640</v>
      </c>
      <c r="B30" s="458"/>
      <c r="C30" s="460">
        <v>220</v>
      </c>
      <c r="D30" s="455">
        <f t="shared" si="4"/>
        <v>220</v>
      </c>
      <c r="E30" s="456">
        <f t="shared" si="3"/>
        <v>55</v>
      </c>
    </row>
    <row r="31" spans="1:5" ht="16.5">
      <c r="A31" s="461" t="s">
        <v>641</v>
      </c>
      <c r="B31" s="458"/>
      <c r="C31" s="460">
        <v>218</v>
      </c>
      <c r="D31" s="455">
        <v>218</v>
      </c>
      <c r="E31" s="456">
        <f t="shared" si="3"/>
        <v>54.5</v>
      </c>
    </row>
    <row r="32" spans="1:5" ht="16.5">
      <c r="A32" s="461" t="s">
        <v>642</v>
      </c>
      <c r="B32" s="458"/>
      <c r="C32" s="460">
        <v>385</v>
      </c>
      <c r="D32" s="455">
        <v>385</v>
      </c>
      <c r="E32" s="456">
        <f t="shared" si="3"/>
        <v>96.25</v>
      </c>
    </row>
    <row r="33" spans="1:5" ht="16.5">
      <c r="A33" s="461" t="s">
        <v>643</v>
      </c>
      <c r="B33" s="458"/>
      <c r="C33" s="460">
        <v>381</v>
      </c>
      <c r="D33" s="455">
        <f t="shared" si="4"/>
        <v>381</v>
      </c>
      <c r="E33" s="456">
        <f t="shared" si="3"/>
        <v>95.25</v>
      </c>
    </row>
    <row r="34" spans="1:5" ht="16.5">
      <c r="A34" s="459" t="s">
        <v>644</v>
      </c>
      <c r="B34" s="458"/>
      <c r="C34" s="460">
        <v>482</v>
      </c>
      <c r="D34" s="455">
        <f t="shared" si="4"/>
        <v>482</v>
      </c>
      <c r="E34" s="456">
        <f t="shared" si="3"/>
        <v>120.5</v>
      </c>
    </row>
    <row r="35" spans="1:5" ht="16.5">
      <c r="A35" s="459" t="s">
        <v>645</v>
      </c>
      <c r="B35" s="458"/>
      <c r="C35" s="460">
        <v>257</v>
      </c>
      <c r="D35" s="455">
        <f t="shared" si="4"/>
        <v>257</v>
      </c>
      <c r="E35" s="456">
        <f t="shared" si="3"/>
        <v>64.25</v>
      </c>
    </row>
    <row r="36" spans="1:5" ht="16.5">
      <c r="A36" s="449" t="s">
        <v>646</v>
      </c>
      <c r="B36" s="458"/>
      <c r="C36" s="451">
        <v>-2687</v>
      </c>
      <c r="D36" s="451">
        <f>C36</f>
        <v>-2687</v>
      </c>
      <c r="E36" s="456">
        <f t="shared" si="3"/>
        <v>-671.75</v>
      </c>
    </row>
    <row r="37" spans="1:5" ht="16.5">
      <c r="A37" s="449" t="s">
        <v>647</v>
      </c>
      <c r="B37" s="462">
        <v>2</v>
      </c>
      <c r="C37" s="451">
        <f>C39+C40+C41</f>
        <v>7386</v>
      </c>
      <c r="D37" s="451">
        <f>D39+D40+D41</f>
        <v>4327</v>
      </c>
      <c r="E37" s="452">
        <f>E39+E40+E41</f>
        <v>1591.5833333333335</v>
      </c>
    </row>
    <row r="38" spans="1:5" ht="16.5">
      <c r="A38" s="453" t="s">
        <v>648</v>
      </c>
      <c r="B38" s="454" t="s">
        <v>649</v>
      </c>
      <c r="C38" s="455"/>
      <c r="D38" s="455"/>
      <c r="E38" s="456"/>
    </row>
    <row r="39" spans="1:5" ht="16.5">
      <c r="A39" s="453" t="s">
        <v>650</v>
      </c>
      <c r="B39" s="454" t="s">
        <v>651</v>
      </c>
      <c r="C39" s="455">
        <v>2478</v>
      </c>
      <c r="D39" s="455"/>
      <c r="E39" s="456">
        <f t="shared" ref="E39:E40" si="5">C39/12*2+D39/12</f>
        <v>413</v>
      </c>
    </row>
    <row r="40" spans="1:5" ht="16.5">
      <c r="A40" s="453" t="s">
        <v>652</v>
      </c>
      <c r="B40" s="454" t="s">
        <v>653</v>
      </c>
      <c r="C40" s="455">
        <v>1403</v>
      </c>
      <c r="D40" s="455">
        <v>822</v>
      </c>
      <c r="E40" s="456">
        <f t="shared" si="5"/>
        <v>302.33333333333337</v>
      </c>
    </row>
    <row r="41" spans="1:5" ht="16.5">
      <c r="A41" s="453" t="s">
        <v>654</v>
      </c>
      <c r="B41" s="454" t="s">
        <v>655</v>
      </c>
      <c r="C41" s="455">
        <v>3505</v>
      </c>
      <c r="D41" s="455">
        <f t="shared" ref="D41" si="6">C41</f>
        <v>3505</v>
      </c>
      <c r="E41" s="456">
        <f t="shared" ref="E41" si="7">C41/12*2+D41/12</f>
        <v>876.25</v>
      </c>
    </row>
    <row r="42" spans="1:5" ht="16.5">
      <c r="A42" s="449" t="s">
        <v>656</v>
      </c>
      <c r="B42" s="462">
        <v>3</v>
      </c>
      <c r="C42" s="451">
        <f>C37+C6</f>
        <v>79150</v>
      </c>
      <c r="D42" s="451">
        <f>D37+D6</f>
        <v>78701</v>
      </c>
      <c r="E42" s="452">
        <f>E37+E6</f>
        <v>19750.083333333332</v>
      </c>
    </row>
    <row r="43" spans="1:5" ht="15.75">
      <c r="A43" s="463"/>
      <c r="B43" s="464"/>
      <c r="C43" s="464"/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G47"/>
  <sheetViews>
    <sheetView workbookViewId="0">
      <selection activeCell="B19" sqref="B19"/>
    </sheetView>
  </sheetViews>
  <sheetFormatPr defaultRowHeight="12.75"/>
  <cols>
    <col min="1" max="1" width="31.140625" bestFit="1" customWidth="1"/>
    <col min="2" max="2" width="22" style="423" bestFit="1" customWidth="1"/>
    <col min="3" max="3" width="11" style="423" bestFit="1" customWidth="1"/>
    <col min="4" max="5" width="12" style="423" bestFit="1" customWidth="1"/>
    <col min="6" max="6" width="11.85546875" style="423" bestFit="1" customWidth="1"/>
    <col min="7" max="7" width="12" style="423" bestFit="1" customWidth="1"/>
  </cols>
  <sheetData>
    <row r="3" spans="1:7">
      <c r="A3" s="425" t="s">
        <v>579</v>
      </c>
      <c r="B3" s="425" t="s">
        <v>574</v>
      </c>
      <c r="C3"/>
      <c r="D3"/>
      <c r="E3"/>
      <c r="F3"/>
      <c r="G3"/>
    </row>
    <row r="4" spans="1:7">
      <c r="B4">
        <v>1</v>
      </c>
      <c r="C4"/>
      <c r="D4" t="s">
        <v>576</v>
      </c>
      <c r="E4" t="s">
        <v>570</v>
      </c>
      <c r="F4"/>
      <c r="G4"/>
    </row>
    <row r="5" spans="1:7">
      <c r="A5" s="425" t="s">
        <v>569</v>
      </c>
      <c r="B5">
        <v>23.91</v>
      </c>
      <c r="C5">
        <v>92</v>
      </c>
      <c r="D5"/>
      <c r="E5"/>
      <c r="F5"/>
      <c r="G5"/>
    </row>
    <row r="6" spans="1:7">
      <c r="A6" s="426" t="s">
        <v>397</v>
      </c>
      <c r="B6" s="559">
        <v>7213.8460500000001</v>
      </c>
      <c r="C6" s="559">
        <v>8.0661000000000005</v>
      </c>
      <c r="D6" s="559">
        <v>7221.9121500000001</v>
      </c>
      <c r="E6" s="559">
        <v>7221.9121500000001</v>
      </c>
      <c r="F6"/>
      <c r="G6"/>
    </row>
    <row r="7" spans="1:7">
      <c r="A7" s="427" t="s">
        <v>571</v>
      </c>
      <c r="B7" s="559">
        <v>7213.8460500000001</v>
      </c>
      <c r="C7" s="559">
        <v>8.0661000000000005</v>
      </c>
      <c r="D7" s="559">
        <v>7221.9121500000001</v>
      </c>
      <c r="E7" s="559">
        <v>7221.9121500000001</v>
      </c>
      <c r="F7"/>
      <c r="G7"/>
    </row>
    <row r="8" spans="1:7">
      <c r="A8" s="429" t="s">
        <v>571</v>
      </c>
      <c r="B8" s="559">
        <v>7213.8460500000001</v>
      </c>
      <c r="C8" s="559">
        <v>8.0661000000000005</v>
      </c>
      <c r="D8" s="559">
        <v>7221.9121500000001</v>
      </c>
      <c r="E8" s="559">
        <v>7221.9121500000001</v>
      </c>
      <c r="F8"/>
      <c r="G8"/>
    </row>
    <row r="9" spans="1:7">
      <c r="A9" s="426" t="s">
        <v>399</v>
      </c>
      <c r="B9" s="559">
        <v>5873.1532200000001</v>
      </c>
      <c r="C9" s="559">
        <v>2227.6184500000004</v>
      </c>
      <c r="D9" s="559">
        <v>8100.7716700000001</v>
      </c>
      <c r="E9" s="559">
        <v>8100.7716700000001</v>
      </c>
      <c r="F9"/>
      <c r="G9"/>
    </row>
    <row r="10" spans="1:7">
      <c r="A10" s="427" t="s">
        <v>571</v>
      </c>
      <c r="B10" s="559">
        <v>5873.1532200000001</v>
      </c>
      <c r="C10" s="559">
        <v>2227.6184500000004</v>
      </c>
      <c r="D10" s="559">
        <v>8100.7716700000001</v>
      </c>
      <c r="E10" s="559">
        <v>8100.7716700000001</v>
      </c>
      <c r="F10"/>
      <c r="G10"/>
    </row>
    <row r="11" spans="1:7">
      <c r="A11" s="429" t="s">
        <v>571</v>
      </c>
      <c r="B11" s="559">
        <v>5873.1532200000001</v>
      </c>
      <c r="C11" s="559">
        <v>2227.6184500000004</v>
      </c>
      <c r="D11" s="559">
        <v>8100.7716700000001</v>
      </c>
      <c r="E11" s="559">
        <v>8100.7716700000001</v>
      </c>
      <c r="F11"/>
      <c r="G11"/>
    </row>
    <row r="12" spans="1:7">
      <c r="A12" s="426" t="s">
        <v>381</v>
      </c>
      <c r="B12" s="559">
        <v>1642.2985600000002</v>
      </c>
      <c r="C12" s="559">
        <v>126.95979000000001</v>
      </c>
      <c r="D12" s="559">
        <v>1769.2583500000001</v>
      </c>
      <c r="E12" s="559">
        <v>1769.2583500000001</v>
      </c>
      <c r="F12"/>
      <c r="G12"/>
    </row>
    <row r="13" spans="1:7">
      <c r="A13" s="427" t="s">
        <v>384</v>
      </c>
      <c r="B13" s="559">
        <v>324.69104999999996</v>
      </c>
      <c r="C13" s="559">
        <v>113.22966000000001</v>
      </c>
      <c r="D13" s="559">
        <v>437.92070999999999</v>
      </c>
      <c r="E13" s="559">
        <v>437.92070999999999</v>
      </c>
      <c r="F13"/>
      <c r="G13"/>
    </row>
    <row r="14" spans="1:7">
      <c r="A14" s="429" t="s">
        <v>571</v>
      </c>
      <c r="B14" s="559">
        <v>324.69104999999996</v>
      </c>
      <c r="C14" s="559">
        <v>113.22966000000001</v>
      </c>
      <c r="D14" s="559">
        <v>437.92070999999999</v>
      </c>
      <c r="E14" s="559">
        <v>437.92070999999999</v>
      </c>
      <c r="F14"/>
      <c r="G14"/>
    </row>
    <row r="15" spans="1:7">
      <c r="A15" s="427" t="s">
        <v>390</v>
      </c>
      <c r="B15" s="559">
        <v>60.63767</v>
      </c>
      <c r="C15" s="559"/>
      <c r="D15" s="559">
        <v>60.63767</v>
      </c>
      <c r="E15" s="559">
        <v>60.63767</v>
      </c>
      <c r="F15"/>
      <c r="G15"/>
    </row>
    <row r="16" spans="1:7">
      <c r="A16" s="429" t="s">
        <v>571</v>
      </c>
      <c r="B16" s="559">
        <v>60.63767</v>
      </c>
      <c r="C16" s="559"/>
      <c r="D16" s="559">
        <v>60.63767</v>
      </c>
      <c r="E16" s="559">
        <v>60.63767</v>
      </c>
      <c r="F16"/>
      <c r="G16"/>
    </row>
    <row r="17" spans="1:7">
      <c r="A17" s="427" t="s">
        <v>383</v>
      </c>
      <c r="B17" s="559">
        <v>859.77341000000013</v>
      </c>
      <c r="C17" s="559">
        <v>13.730129999999999</v>
      </c>
      <c r="D17" s="559">
        <v>873.50354000000016</v>
      </c>
      <c r="E17" s="559">
        <v>873.50354000000016</v>
      </c>
      <c r="F17"/>
      <c r="G17"/>
    </row>
    <row r="18" spans="1:7">
      <c r="A18" s="429" t="s">
        <v>571</v>
      </c>
      <c r="B18" s="559">
        <v>859.77341000000013</v>
      </c>
      <c r="C18" s="559">
        <v>13.730129999999999</v>
      </c>
      <c r="D18" s="559">
        <v>873.50354000000016</v>
      </c>
      <c r="E18" s="559">
        <v>873.50354000000016</v>
      </c>
      <c r="F18"/>
      <c r="G18"/>
    </row>
    <row r="19" spans="1:7">
      <c r="A19" s="427" t="s">
        <v>382</v>
      </c>
      <c r="B19" s="559">
        <v>67.670480000000012</v>
      </c>
      <c r="C19" s="559"/>
      <c r="D19" s="559">
        <v>67.670480000000012</v>
      </c>
      <c r="E19" s="559">
        <v>67.670480000000012</v>
      </c>
      <c r="F19"/>
      <c r="G19"/>
    </row>
    <row r="20" spans="1:7">
      <c r="A20" s="429" t="s">
        <v>571</v>
      </c>
      <c r="B20" s="559">
        <v>67.670480000000012</v>
      </c>
      <c r="C20" s="559"/>
      <c r="D20" s="559">
        <v>67.670480000000012</v>
      </c>
      <c r="E20" s="559">
        <v>67.670480000000012</v>
      </c>
      <c r="F20"/>
      <c r="G20"/>
    </row>
    <row r="21" spans="1:7">
      <c r="A21" s="427" t="s">
        <v>388</v>
      </c>
      <c r="B21" s="559">
        <v>329.52594999999991</v>
      </c>
      <c r="C21" s="559"/>
      <c r="D21" s="559">
        <v>329.52594999999991</v>
      </c>
      <c r="E21" s="559">
        <v>329.52594999999991</v>
      </c>
      <c r="F21"/>
      <c r="G21"/>
    </row>
    <row r="22" spans="1:7">
      <c r="A22" s="429" t="s">
        <v>571</v>
      </c>
      <c r="B22" s="559">
        <v>329.52594999999991</v>
      </c>
      <c r="C22" s="559"/>
      <c r="D22" s="559">
        <v>329.52594999999991</v>
      </c>
      <c r="E22" s="559">
        <v>329.52594999999991</v>
      </c>
      <c r="F22"/>
      <c r="G22"/>
    </row>
    <row r="23" spans="1:7">
      <c r="A23" s="426" t="s">
        <v>398</v>
      </c>
      <c r="B23" s="559">
        <v>2132.4422399999999</v>
      </c>
      <c r="C23" s="559">
        <v>363.37175000000002</v>
      </c>
      <c r="D23" s="559">
        <v>2495.8139899999996</v>
      </c>
      <c r="E23" s="559">
        <v>2495.8139899999996</v>
      </c>
      <c r="F23"/>
      <c r="G23"/>
    </row>
    <row r="24" spans="1:7">
      <c r="A24" s="427" t="s">
        <v>571</v>
      </c>
      <c r="B24" s="559">
        <v>2132.4422399999999</v>
      </c>
      <c r="C24" s="559">
        <v>363.37175000000002</v>
      </c>
      <c r="D24" s="559">
        <v>2495.8139899999996</v>
      </c>
      <c r="E24" s="559">
        <v>2495.8139899999996</v>
      </c>
      <c r="F24"/>
      <c r="G24"/>
    </row>
    <row r="25" spans="1:7">
      <c r="A25" s="429" t="s">
        <v>571</v>
      </c>
      <c r="B25" s="559">
        <v>2132.4422399999999</v>
      </c>
      <c r="C25" s="559">
        <v>363.37175000000002</v>
      </c>
      <c r="D25" s="559">
        <v>2495.8139899999996</v>
      </c>
      <c r="E25" s="559">
        <v>2495.8139899999996</v>
      </c>
      <c r="F25"/>
      <c r="G25"/>
    </row>
    <row r="26" spans="1:7">
      <c r="A26" s="426" t="s">
        <v>385</v>
      </c>
      <c r="B26" s="559">
        <v>346.49599999999998</v>
      </c>
      <c r="C26" s="559">
        <v>662.74975999999992</v>
      </c>
      <c r="D26" s="559">
        <v>1009.2457599999999</v>
      </c>
      <c r="E26" s="559">
        <v>1009.2457599999999</v>
      </c>
      <c r="F26"/>
      <c r="G26"/>
    </row>
    <row r="27" spans="1:7">
      <c r="A27" s="427" t="s">
        <v>402</v>
      </c>
      <c r="B27" s="559"/>
      <c r="C27" s="559">
        <v>117.69011999999999</v>
      </c>
      <c r="D27" s="559">
        <v>117.69011999999999</v>
      </c>
      <c r="E27" s="559">
        <v>117.69011999999999</v>
      </c>
      <c r="F27"/>
      <c r="G27"/>
    </row>
    <row r="28" spans="1:7">
      <c r="A28" s="429" t="s">
        <v>571</v>
      </c>
      <c r="B28" s="559"/>
      <c r="C28" s="559">
        <v>117.69011999999999</v>
      </c>
      <c r="D28" s="559">
        <v>117.69011999999999</v>
      </c>
      <c r="E28" s="559">
        <v>117.69011999999999</v>
      </c>
      <c r="F28"/>
      <c r="G28"/>
    </row>
    <row r="29" spans="1:7">
      <c r="A29" s="427" t="s">
        <v>393</v>
      </c>
      <c r="B29" s="559">
        <v>63.750819999999997</v>
      </c>
      <c r="C29" s="559">
        <v>29.00311</v>
      </c>
      <c r="D29" s="559">
        <v>92.753929999999997</v>
      </c>
      <c r="E29" s="559">
        <v>92.753929999999997</v>
      </c>
      <c r="F29"/>
      <c r="G29"/>
    </row>
    <row r="30" spans="1:7">
      <c r="A30" s="429" t="s">
        <v>571</v>
      </c>
      <c r="B30" s="559">
        <v>63.750819999999997</v>
      </c>
      <c r="C30" s="559">
        <v>29.00311</v>
      </c>
      <c r="D30" s="559">
        <v>92.753929999999997</v>
      </c>
      <c r="E30" s="559">
        <v>92.753929999999997</v>
      </c>
      <c r="F30"/>
      <c r="G30"/>
    </row>
    <row r="31" spans="1:7">
      <c r="A31" s="427" t="s">
        <v>401</v>
      </c>
      <c r="B31" s="559"/>
      <c r="C31" s="559">
        <v>0.14780000000000001</v>
      </c>
      <c r="D31" s="559">
        <v>0.14780000000000001</v>
      </c>
      <c r="E31" s="559">
        <v>0.14780000000000001</v>
      </c>
      <c r="F31"/>
      <c r="G31"/>
    </row>
    <row r="32" spans="1:7">
      <c r="A32" s="429" t="s">
        <v>571</v>
      </c>
      <c r="B32" s="559"/>
      <c r="C32" s="559">
        <v>0.14780000000000001</v>
      </c>
      <c r="D32" s="559">
        <v>0.14780000000000001</v>
      </c>
      <c r="E32" s="559">
        <v>0.14780000000000001</v>
      </c>
      <c r="F32"/>
      <c r="G32"/>
    </row>
    <row r="33" spans="1:7">
      <c r="A33" s="427" t="s">
        <v>385</v>
      </c>
      <c r="B33" s="559">
        <v>233.83686</v>
      </c>
      <c r="C33" s="559">
        <v>396.45001999999999</v>
      </c>
      <c r="D33" s="559">
        <v>630.28687999999988</v>
      </c>
      <c r="E33" s="559">
        <v>630.28687999999988</v>
      </c>
      <c r="F33"/>
      <c r="G33"/>
    </row>
    <row r="34" spans="1:7">
      <c r="A34" s="429" t="s">
        <v>396</v>
      </c>
      <c r="B34" s="559">
        <v>13.314819999999999</v>
      </c>
      <c r="C34" s="559">
        <v>69.837500000000006</v>
      </c>
      <c r="D34" s="559">
        <v>83.152320000000003</v>
      </c>
      <c r="E34" s="559">
        <v>83.152320000000003</v>
      </c>
      <c r="F34"/>
      <c r="G34"/>
    </row>
    <row r="35" spans="1:7">
      <c r="A35" s="429" t="s">
        <v>389</v>
      </c>
      <c r="B35" s="559">
        <v>145.66875999999999</v>
      </c>
      <c r="C35" s="559"/>
      <c r="D35" s="559">
        <v>145.66875999999999</v>
      </c>
      <c r="E35" s="559">
        <v>145.66875999999999</v>
      </c>
      <c r="F35"/>
      <c r="G35"/>
    </row>
    <row r="36" spans="1:7">
      <c r="A36" s="429" t="s">
        <v>386</v>
      </c>
      <c r="B36" s="559">
        <v>31.94725</v>
      </c>
      <c r="C36" s="559"/>
      <c r="D36" s="559">
        <v>31.94725</v>
      </c>
      <c r="E36" s="559">
        <v>31.94725</v>
      </c>
      <c r="F36"/>
      <c r="G36"/>
    </row>
    <row r="37" spans="1:7">
      <c r="A37" s="429" t="s">
        <v>395</v>
      </c>
      <c r="B37" s="559">
        <v>20.364999999999998</v>
      </c>
      <c r="C37" s="559">
        <v>7.9268999999999998</v>
      </c>
      <c r="D37" s="559">
        <v>28.291899999999998</v>
      </c>
      <c r="E37" s="559">
        <v>28.291899999999998</v>
      </c>
      <c r="F37"/>
      <c r="G37"/>
    </row>
    <row r="38" spans="1:7">
      <c r="A38" s="429" t="s">
        <v>385</v>
      </c>
      <c r="B38" s="559"/>
      <c r="C38" s="559">
        <v>110.66042</v>
      </c>
      <c r="D38" s="559">
        <v>110.66042</v>
      </c>
      <c r="E38" s="559">
        <v>110.66042</v>
      </c>
      <c r="F38"/>
      <c r="G38"/>
    </row>
    <row r="39" spans="1:7">
      <c r="A39" s="429" t="s">
        <v>400</v>
      </c>
      <c r="B39" s="559"/>
      <c r="C39" s="559">
        <v>24.650490000000001</v>
      </c>
      <c r="D39" s="559">
        <v>24.650490000000001</v>
      </c>
      <c r="E39" s="559">
        <v>24.650490000000001</v>
      </c>
      <c r="F39"/>
      <c r="G39"/>
    </row>
    <row r="40" spans="1:7">
      <c r="A40" s="429" t="s">
        <v>394</v>
      </c>
      <c r="B40" s="559">
        <v>0.51239000000000001</v>
      </c>
      <c r="C40" s="559">
        <v>179.86068999999998</v>
      </c>
      <c r="D40" s="559">
        <v>180.37307999999999</v>
      </c>
      <c r="E40" s="559">
        <v>180.37307999999999</v>
      </c>
      <c r="F40"/>
      <c r="G40"/>
    </row>
    <row r="41" spans="1:7">
      <c r="A41" s="429" t="s">
        <v>387</v>
      </c>
      <c r="B41" s="559">
        <v>22.028639999999999</v>
      </c>
      <c r="C41" s="559">
        <v>3.5140199999999999</v>
      </c>
      <c r="D41" s="559">
        <v>25.542659999999998</v>
      </c>
      <c r="E41" s="559">
        <v>25.542659999999998</v>
      </c>
      <c r="F41"/>
      <c r="G41"/>
    </row>
    <row r="42" spans="1:7">
      <c r="A42" s="427" t="s">
        <v>392</v>
      </c>
      <c r="B42" s="559">
        <v>23.271660000000001</v>
      </c>
      <c r="C42" s="559">
        <v>76.904869999999988</v>
      </c>
      <c r="D42" s="559">
        <v>100.17652999999999</v>
      </c>
      <c r="E42" s="559">
        <v>100.17652999999999</v>
      </c>
      <c r="F42"/>
      <c r="G42"/>
    </row>
    <row r="43" spans="1:7">
      <c r="A43" s="429" t="s">
        <v>571</v>
      </c>
      <c r="B43" s="559">
        <v>23.271660000000001</v>
      </c>
      <c r="C43" s="559">
        <v>76.904869999999988</v>
      </c>
      <c r="D43" s="559">
        <v>100.17652999999999</v>
      </c>
      <c r="E43" s="559">
        <v>100.17652999999999</v>
      </c>
      <c r="F43"/>
      <c r="G43"/>
    </row>
    <row r="44" spans="1:7">
      <c r="A44" s="427" t="s">
        <v>391</v>
      </c>
      <c r="B44" s="559">
        <v>25.636660000000003</v>
      </c>
      <c r="C44" s="559">
        <v>42.553839999999994</v>
      </c>
      <c r="D44" s="559">
        <v>68.1905</v>
      </c>
      <c r="E44" s="559">
        <v>68.1905</v>
      </c>
      <c r="F44"/>
      <c r="G44"/>
    </row>
    <row r="45" spans="1:7">
      <c r="A45" s="429" t="s">
        <v>571</v>
      </c>
      <c r="B45" s="559">
        <v>25.636660000000003</v>
      </c>
      <c r="C45" s="559">
        <v>42.553839999999994</v>
      </c>
      <c r="D45" s="559">
        <v>68.1905</v>
      </c>
      <c r="E45" s="559">
        <v>68.1905</v>
      </c>
      <c r="F45"/>
      <c r="G45"/>
    </row>
    <row r="46" spans="1:7">
      <c r="A46" s="426" t="s">
        <v>570</v>
      </c>
      <c r="B46" s="559">
        <v>17208.236070000003</v>
      </c>
      <c r="C46" s="559">
        <v>3388.7658500000007</v>
      </c>
      <c r="D46" s="559">
        <v>20597.001920000002</v>
      </c>
      <c r="E46" s="559">
        <v>20597.001920000002</v>
      </c>
      <c r="F46"/>
      <c r="G46"/>
    </row>
    <row r="47" spans="1:7">
      <c r="B47"/>
      <c r="C47"/>
      <c r="D47"/>
      <c r="E4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ф 6НКРЕ</vt:lpstr>
      <vt:lpstr>расш. 305</vt:lpstr>
      <vt:lpstr>Прочие услуги НКРЕ</vt:lpstr>
      <vt:lpstr>Затраті под прочие услуги</vt:lpstr>
      <vt:lpstr>Прочие счета</vt:lpstr>
      <vt:lpstr>Ф2</vt:lpstr>
      <vt:lpstr>план тариф</vt:lpstr>
      <vt:lpstr>свод расходов</vt:lpstr>
      <vt:lpstr>Лист3</vt:lpstr>
      <vt:lpstr>резерв отпусков</vt:lpstr>
      <vt:lpstr>себестоимость</vt:lpstr>
      <vt:lpstr>все расходы</vt:lpstr>
      <vt:lpstr>свод продаж</vt:lpstr>
      <vt:lpstr>продажи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mkireycevaya</dc:creator>
  <cp:lastModifiedBy>mkireycevaya</cp:lastModifiedBy>
  <cp:lastPrinted>2013-04-29T11:00:08Z</cp:lastPrinted>
  <dcterms:created xsi:type="dcterms:W3CDTF">2013-04-23T08:57:31Z</dcterms:created>
  <dcterms:modified xsi:type="dcterms:W3CDTF">2013-04-30T05:19:37Z</dcterms:modified>
</cp:coreProperties>
</file>