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showInkAnnotation="0" autoCompressPictures="0"/>
  <xr:revisionPtr revIDLastSave="0" documentId="8_{2BDF54C5-93E6-441E-B931-7EE041081B44}" xr6:coauthVersionLast="47" xr6:coauthVersionMax="47" xr10:uidLastSave="{00000000-0000-0000-0000-000000000000}"/>
  <bookViews>
    <workbookView xWindow="0" yWindow="40" windowWidth="15960" windowHeight="18080" firstSheet="1" activeTab="1" xr2:uid="{00000000-000D-0000-FFFF-FFFF00000000}"/>
  </bookViews>
  <sheets>
    <sheet name="DAX 50 (Text disclosure)" sheetId="1" r:id="rId1"/>
    <sheet name="Finance Variables" sheetId="2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3" i="2"/>
  <c r="D32" i="2"/>
  <c r="D31" i="2"/>
  <c r="D30" i="2"/>
  <c r="D29" i="2"/>
  <c r="D28" i="2"/>
  <c r="D27" i="2"/>
  <c r="D23" i="2"/>
  <c r="D22" i="2"/>
  <c r="D21" i="2"/>
  <c r="D20" i="2"/>
  <c r="D19" i="2"/>
  <c r="D18" i="2"/>
  <c r="D17" i="2"/>
  <c r="D16" i="2"/>
  <c r="D15" i="2"/>
  <c r="D14" i="2"/>
  <c r="D10" i="2"/>
  <c r="D9" i="2"/>
  <c r="D8" i="2"/>
  <c r="D7" i="2"/>
  <c r="D6" i="2"/>
  <c r="D5" i="2"/>
  <c r="D4" i="2"/>
  <c r="D3" i="2"/>
  <c r="D2" i="2"/>
  <c r="Q100" i="1"/>
  <c r="P100" i="1"/>
  <c r="O100" i="1"/>
  <c r="N100" i="1"/>
  <c r="K100" i="1"/>
  <c r="J100" i="1"/>
  <c r="I100" i="1"/>
  <c r="H100" i="1"/>
  <c r="Q99" i="1"/>
  <c r="P99" i="1"/>
  <c r="O99" i="1"/>
  <c r="N99" i="1"/>
  <c r="K99" i="1"/>
  <c r="J99" i="1"/>
  <c r="I99" i="1"/>
  <c r="H99" i="1"/>
  <c r="Q98" i="1"/>
  <c r="P98" i="1"/>
  <c r="O98" i="1"/>
  <c r="N98" i="1"/>
  <c r="K98" i="1"/>
  <c r="J98" i="1"/>
  <c r="I98" i="1"/>
  <c r="H98" i="1"/>
  <c r="Q97" i="1"/>
  <c r="P97" i="1"/>
  <c r="O97" i="1"/>
  <c r="N97" i="1"/>
  <c r="K97" i="1"/>
  <c r="J97" i="1"/>
  <c r="I97" i="1"/>
  <c r="H97" i="1"/>
  <c r="Q96" i="1"/>
  <c r="P96" i="1"/>
  <c r="O96" i="1"/>
  <c r="N96" i="1"/>
  <c r="K96" i="1"/>
  <c r="J96" i="1"/>
  <c r="I96" i="1"/>
  <c r="H96" i="1"/>
  <c r="Q95" i="1"/>
  <c r="P95" i="1"/>
  <c r="O95" i="1"/>
  <c r="N95" i="1"/>
  <c r="K95" i="1"/>
  <c r="J95" i="1"/>
  <c r="I95" i="1"/>
  <c r="H95" i="1"/>
  <c r="Q94" i="1"/>
  <c r="O94" i="1"/>
  <c r="N94" i="1"/>
  <c r="K94" i="1"/>
  <c r="J94" i="1"/>
  <c r="I94" i="1"/>
  <c r="H94" i="1"/>
  <c r="Q93" i="1"/>
  <c r="P93" i="1"/>
  <c r="O93" i="1"/>
  <c r="N93" i="1"/>
  <c r="K93" i="1"/>
  <c r="J93" i="1"/>
  <c r="I93" i="1"/>
  <c r="H93" i="1"/>
  <c r="Q92" i="1"/>
  <c r="P92" i="1"/>
  <c r="O92" i="1"/>
  <c r="N92" i="1"/>
  <c r="K92" i="1"/>
  <c r="J92" i="1"/>
  <c r="I92" i="1"/>
  <c r="H92" i="1"/>
  <c r="Q91" i="1"/>
  <c r="P91" i="1"/>
  <c r="O91" i="1"/>
  <c r="N91" i="1"/>
  <c r="K91" i="1"/>
  <c r="J91" i="1"/>
  <c r="I91" i="1"/>
  <c r="H91" i="1"/>
  <c r="Q90" i="1"/>
  <c r="P90" i="1"/>
  <c r="O90" i="1"/>
  <c r="N90" i="1"/>
  <c r="K90" i="1"/>
  <c r="J90" i="1"/>
  <c r="I90" i="1"/>
  <c r="H90" i="1"/>
  <c r="Q89" i="1"/>
  <c r="P89" i="1"/>
  <c r="O89" i="1"/>
  <c r="N89" i="1"/>
  <c r="K89" i="1"/>
  <c r="J89" i="1"/>
  <c r="I89" i="1"/>
  <c r="H89" i="1"/>
  <c r="Q88" i="1"/>
  <c r="P88" i="1"/>
  <c r="O88" i="1"/>
  <c r="N88" i="1"/>
  <c r="K88" i="1"/>
  <c r="J88" i="1"/>
  <c r="I88" i="1"/>
  <c r="H88" i="1"/>
  <c r="Q87" i="1"/>
  <c r="P87" i="1"/>
  <c r="O87" i="1"/>
  <c r="N87" i="1"/>
  <c r="K87" i="1"/>
  <c r="J87" i="1"/>
  <c r="I87" i="1"/>
  <c r="H87" i="1"/>
  <c r="Q86" i="1"/>
  <c r="P86" i="1"/>
  <c r="O86" i="1"/>
  <c r="N86" i="1"/>
  <c r="K86" i="1"/>
  <c r="J86" i="1"/>
  <c r="I86" i="1"/>
  <c r="H86" i="1"/>
  <c r="Q85" i="1"/>
  <c r="P85" i="1"/>
  <c r="O85" i="1"/>
  <c r="N85" i="1"/>
  <c r="K85" i="1"/>
  <c r="J85" i="1"/>
  <c r="I85" i="1"/>
  <c r="H85" i="1"/>
  <c r="Q84" i="1"/>
  <c r="P84" i="1"/>
  <c r="O84" i="1"/>
  <c r="N84" i="1"/>
  <c r="K84" i="1"/>
  <c r="J84" i="1"/>
  <c r="I84" i="1"/>
  <c r="H84" i="1"/>
  <c r="Q83" i="1"/>
  <c r="P83" i="1"/>
  <c r="O83" i="1"/>
  <c r="N83" i="1"/>
  <c r="K83" i="1"/>
  <c r="J83" i="1"/>
  <c r="I83" i="1"/>
  <c r="H83" i="1"/>
  <c r="Q82" i="1"/>
  <c r="P82" i="1"/>
  <c r="O82" i="1"/>
  <c r="N82" i="1"/>
  <c r="K82" i="1"/>
  <c r="J82" i="1"/>
  <c r="I82" i="1"/>
  <c r="H82" i="1"/>
  <c r="Q81" i="1"/>
  <c r="P81" i="1"/>
  <c r="O81" i="1"/>
  <c r="N81" i="1"/>
  <c r="K81" i="1"/>
  <c r="J81" i="1"/>
  <c r="I81" i="1"/>
  <c r="H81" i="1"/>
  <c r="Q80" i="1"/>
  <c r="P80" i="1"/>
  <c r="O80" i="1"/>
  <c r="N80" i="1"/>
  <c r="K80" i="1"/>
  <c r="J80" i="1"/>
  <c r="I80" i="1"/>
  <c r="H80" i="1"/>
  <c r="Q79" i="1"/>
  <c r="P79" i="1"/>
  <c r="O79" i="1"/>
  <c r="N79" i="1"/>
  <c r="K79" i="1"/>
  <c r="J79" i="1"/>
  <c r="I79" i="1"/>
  <c r="H79" i="1"/>
  <c r="Q78" i="1"/>
  <c r="P78" i="1"/>
  <c r="O78" i="1"/>
  <c r="N78" i="1"/>
  <c r="K78" i="1"/>
  <c r="J78" i="1"/>
  <c r="I78" i="1"/>
  <c r="H78" i="1"/>
  <c r="Q77" i="1"/>
  <c r="P77" i="1"/>
  <c r="O77" i="1"/>
  <c r="N77" i="1"/>
  <c r="K77" i="1"/>
  <c r="J77" i="1"/>
  <c r="I77" i="1"/>
  <c r="H77" i="1"/>
  <c r="Q76" i="1"/>
  <c r="P76" i="1"/>
  <c r="O76" i="1"/>
  <c r="N76" i="1"/>
  <c r="K76" i="1"/>
  <c r="J76" i="1"/>
  <c r="I76" i="1"/>
  <c r="H76" i="1"/>
  <c r="Q75" i="1"/>
  <c r="P75" i="1"/>
  <c r="N75" i="1"/>
  <c r="K75" i="1"/>
  <c r="J75" i="1"/>
  <c r="I75" i="1"/>
  <c r="H75" i="1"/>
  <c r="Q74" i="1"/>
  <c r="O74" i="1"/>
  <c r="N74" i="1"/>
  <c r="K74" i="1"/>
  <c r="J74" i="1"/>
  <c r="I74" i="1"/>
  <c r="H74" i="1"/>
  <c r="Q73" i="1"/>
  <c r="P73" i="1"/>
  <c r="O73" i="1"/>
  <c r="N73" i="1"/>
  <c r="K73" i="1"/>
  <c r="J73" i="1"/>
  <c r="I73" i="1"/>
  <c r="H73" i="1"/>
  <c r="Q72" i="1"/>
  <c r="P72" i="1"/>
  <c r="O72" i="1"/>
  <c r="N72" i="1"/>
  <c r="K72" i="1"/>
  <c r="J72" i="1"/>
  <c r="I72" i="1"/>
  <c r="H72" i="1"/>
  <c r="Q71" i="1"/>
  <c r="P71" i="1"/>
  <c r="O71" i="1"/>
  <c r="N71" i="1"/>
  <c r="K71" i="1"/>
  <c r="J71" i="1"/>
  <c r="I71" i="1"/>
  <c r="H71" i="1"/>
  <c r="Q70" i="1"/>
  <c r="P70" i="1"/>
  <c r="O70" i="1"/>
  <c r="N70" i="1"/>
  <c r="K70" i="1"/>
  <c r="J70" i="1"/>
  <c r="I70" i="1"/>
  <c r="H70" i="1"/>
  <c r="Q69" i="1"/>
  <c r="O69" i="1"/>
  <c r="N69" i="1"/>
  <c r="K69" i="1"/>
  <c r="J69" i="1"/>
  <c r="I69" i="1"/>
  <c r="H69" i="1"/>
  <c r="Q68" i="1"/>
  <c r="P68" i="1"/>
  <c r="O68" i="1"/>
  <c r="N68" i="1"/>
  <c r="K68" i="1"/>
  <c r="J68" i="1"/>
  <c r="I68" i="1"/>
  <c r="H68" i="1"/>
  <c r="Q67" i="1"/>
  <c r="P67" i="1"/>
  <c r="O67" i="1"/>
  <c r="N67" i="1"/>
  <c r="K67" i="1"/>
  <c r="J67" i="1"/>
  <c r="I67" i="1"/>
  <c r="H67" i="1"/>
  <c r="Q66" i="1"/>
  <c r="P66" i="1"/>
  <c r="O66" i="1"/>
  <c r="N66" i="1"/>
  <c r="K66" i="1"/>
  <c r="J66" i="1"/>
  <c r="I66" i="1"/>
  <c r="H66" i="1"/>
  <c r="Q65" i="1"/>
  <c r="P65" i="1"/>
  <c r="O65" i="1"/>
  <c r="N65" i="1"/>
  <c r="K65" i="1"/>
  <c r="J65" i="1"/>
  <c r="I65" i="1"/>
  <c r="H65" i="1"/>
  <c r="Q64" i="1"/>
  <c r="P64" i="1"/>
  <c r="O64" i="1"/>
  <c r="N64" i="1"/>
  <c r="K64" i="1"/>
  <c r="J64" i="1"/>
  <c r="I64" i="1"/>
  <c r="H64" i="1"/>
  <c r="Q63" i="1"/>
  <c r="P63" i="1"/>
  <c r="O63" i="1"/>
  <c r="N63" i="1"/>
  <c r="K63" i="1"/>
  <c r="J63" i="1"/>
  <c r="I63" i="1"/>
  <c r="H63" i="1"/>
  <c r="Q62" i="1"/>
  <c r="P62" i="1"/>
  <c r="O62" i="1"/>
  <c r="N62" i="1"/>
  <c r="K62" i="1"/>
  <c r="J62" i="1"/>
  <c r="I62" i="1"/>
  <c r="Q61" i="1"/>
  <c r="P61" i="1"/>
  <c r="O61" i="1"/>
  <c r="N61" i="1"/>
  <c r="K61" i="1"/>
  <c r="J61" i="1"/>
  <c r="I61" i="1"/>
  <c r="Q60" i="1"/>
  <c r="P60" i="1"/>
  <c r="O60" i="1"/>
  <c r="N60" i="1"/>
  <c r="J60" i="1"/>
  <c r="I60" i="1"/>
  <c r="H60" i="1"/>
  <c r="Q59" i="1"/>
  <c r="P59" i="1"/>
  <c r="O59" i="1"/>
  <c r="N59" i="1"/>
  <c r="K59" i="1"/>
  <c r="J59" i="1"/>
  <c r="I59" i="1"/>
  <c r="H59" i="1"/>
  <c r="P58" i="1"/>
  <c r="O58" i="1"/>
  <c r="N58" i="1"/>
  <c r="K58" i="1"/>
  <c r="J58" i="1"/>
  <c r="I58" i="1"/>
  <c r="H58" i="1"/>
  <c r="Q57" i="1"/>
  <c r="P57" i="1"/>
  <c r="O57" i="1"/>
  <c r="K57" i="1"/>
  <c r="J57" i="1"/>
  <c r="I57" i="1"/>
  <c r="H57" i="1"/>
  <c r="Q56" i="1"/>
  <c r="P56" i="1"/>
  <c r="O56" i="1"/>
  <c r="N56" i="1"/>
  <c r="K56" i="1"/>
  <c r="J56" i="1"/>
  <c r="I56" i="1"/>
  <c r="H56" i="1"/>
  <c r="Q55" i="1"/>
  <c r="O55" i="1"/>
  <c r="N55" i="1"/>
  <c r="K55" i="1"/>
  <c r="J55" i="1"/>
  <c r="I55" i="1"/>
  <c r="H55" i="1"/>
  <c r="Q54" i="1"/>
  <c r="P54" i="1"/>
  <c r="O54" i="1"/>
  <c r="N54" i="1"/>
  <c r="K54" i="1"/>
  <c r="J54" i="1"/>
  <c r="I54" i="1"/>
  <c r="H54" i="1"/>
  <c r="Q53" i="1"/>
  <c r="P53" i="1"/>
  <c r="O53" i="1"/>
  <c r="N53" i="1"/>
  <c r="K53" i="1"/>
  <c r="J53" i="1"/>
  <c r="I53" i="1"/>
  <c r="H53" i="1"/>
  <c r="Q52" i="1"/>
  <c r="P52" i="1"/>
  <c r="O52" i="1"/>
  <c r="N52" i="1"/>
  <c r="K52" i="1"/>
  <c r="J52" i="1"/>
  <c r="I52" i="1"/>
  <c r="H52" i="1"/>
  <c r="Q51" i="1"/>
  <c r="P51" i="1"/>
  <c r="O51" i="1"/>
  <c r="N51" i="1"/>
  <c r="K51" i="1"/>
  <c r="J51" i="1"/>
  <c r="I51" i="1"/>
  <c r="H51" i="1"/>
  <c r="Q50" i="1"/>
  <c r="P50" i="1"/>
  <c r="O50" i="1"/>
  <c r="N50" i="1"/>
  <c r="K50" i="1"/>
  <c r="J50" i="1"/>
  <c r="I50" i="1"/>
  <c r="H50" i="1"/>
  <c r="Q49" i="1"/>
  <c r="P49" i="1"/>
  <c r="O49" i="1"/>
  <c r="N49" i="1"/>
  <c r="K49" i="1"/>
  <c r="J49" i="1"/>
  <c r="I49" i="1"/>
  <c r="H49" i="1"/>
  <c r="Q48" i="1"/>
  <c r="P48" i="1"/>
  <c r="O48" i="1"/>
  <c r="N48" i="1"/>
  <c r="K48" i="1"/>
  <c r="J48" i="1"/>
  <c r="I48" i="1"/>
  <c r="H48" i="1"/>
  <c r="Q47" i="1"/>
  <c r="P47" i="1"/>
  <c r="O47" i="1"/>
  <c r="N47" i="1"/>
  <c r="K47" i="1"/>
  <c r="J47" i="1"/>
  <c r="I47" i="1"/>
  <c r="H47" i="1"/>
  <c r="Q46" i="1"/>
  <c r="P46" i="1"/>
  <c r="O46" i="1"/>
  <c r="N46" i="1"/>
  <c r="K46" i="1"/>
  <c r="J46" i="1"/>
  <c r="I46" i="1"/>
  <c r="H46" i="1"/>
  <c r="Q45" i="1"/>
  <c r="P45" i="1"/>
  <c r="O45" i="1"/>
  <c r="N45" i="1"/>
  <c r="K45" i="1"/>
  <c r="J45" i="1"/>
  <c r="I45" i="1"/>
  <c r="H45" i="1"/>
  <c r="Q44" i="1"/>
  <c r="P44" i="1"/>
  <c r="O44" i="1"/>
  <c r="N44" i="1"/>
  <c r="K44" i="1"/>
  <c r="J44" i="1"/>
  <c r="I44" i="1"/>
  <c r="H44" i="1"/>
  <c r="Q43" i="1"/>
  <c r="P43" i="1"/>
  <c r="O43" i="1"/>
  <c r="N43" i="1"/>
  <c r="K43" i="1"/>
  <c r="J43" i="1"/>
  <c r="I43" i="1"/>
  <c r="H43" i="1"/>
  <c r="Q42" i="1"/>
  <c r="P42" i="1"/>
  <c r="O42" i="1"/>
  <c r="N42" i="1"/>
  <c r="K42" i="1"/>
  <c r="J42" i="1"/>
  <c r="I42" i="1"/>
  <c r="H42" i="1"/>
  <c r="Q41" i="1"/>
  <c r="P41" i="1"/>
  <c r="O41" i="1"/>
  <c r="N41" i="1"/>
  <c r="K41" i="1"/>
  <c r="J41" i="1"/>
  <c r="I41" i="1"/>
  <c r="H41" i="1"/>
  <c r="Q40" i="1"/>
  <c r="P40" i="1"/>
  <c r="O40" i="1"/>
  <c r="N40" i="1"/>
  <c r="K40" i="1"/>
  <c r="J40" i="1"/>
  <c r="I40" i="1"/>
  <c r="H40" i="1"/>
  <c r="Q39" i="1"/>
  <c r="P39" i="1"/>
  <c r="O39" i="1"/>
  <c r="N39" i="1"/>
  <c r="K39" i="1"/>
  <c r="J39" i="1"/>
  <c r="I39" i="1"/>
  <c r="H39" i="1"/>
  <c r="Q38" i="1"/>
  <c r="P38" i="1"/>
  <c r="O38" i="1"/>
  <c r="N38" i="1"/>
  <c r="K38" i="1"/>
  <c r="J38" i="1"/>
  <c r="I38" i="1"/>
  <c r="H38" i="1"/>
  <c r="Q37" i="1"/>
  <c r="P37" i="1"/>
  <c r="O37" i="1"/>
  <c r="N37" i="1"/>
  <c r="K37" i="1"/>
  <c r="J37" i="1"/>
  <c r="I37" i="1"/>
  <c r="H37" i="1"/>
  <c r="Q36" i="1"/>
  <c r="P36" i="1"/>
  <c r="O36" i="1"/>
  <c r="N36" i="1"/>
  <c r="K36" i="1"/>
  <c r="J36" i="1"/>
  <c r="I36" i="1"/>
  <c r="Q35" i="1"/>
  <c r="P35" i="1"/>
  <c r="O35" i="1"/>
  <c r="N35" i="1"/>
  <c r="K35" i="1"/>
  <c r="J35" i="1"/>
  <c r="I35" i="1"/>
  <c r="H35" i="1"/>
  <c r="Q34" i="1"/>
  <c r="P34" i="1"/>
  <c r="O34" i="1"/>
  <c r="N34" i="1"/>
  <c r="K34" i="1"/>
  <c r="J34" i="1"/>
  <c r="I34" i="1"/>
  <c r="H34" i="1"/>
  <c r="Q33" i="1"/>
  <c r="P33" i="1"/>
  <c r="O33" i="1"/>
  <c r="N33" i="1"/>
  <c r="K33" i="1"/>
  <c r="J33" i="1"/>
  <c r="I33" i="1"/>
  <c r="H33" i="1"/>
  <c r="Q32" i="1"/>
  <c r="P32" i="1"/>
  <c r="O32" i="1"/>
  <c r="N32" i="1"/>
  <c r="K32" i="1"/>
  <c r="J32" i="1"/>
  <c r="I32" i="1"/>
  <c r="H32" i="1"/>
  <c r="Q31" i="1"/>
  <c r="P31" i="1"/>
  <c r="O31" i="1"/>
  <c r="N31" i="1"/>
  <c r="K31" i="1"/>
  <c r="J31" i="1"/>
  <c r="I31" i="1"/>
  <c r="H31" i="1"/>
  <c r="Q30" i="1"/>
  <c r="P30" i="1"/>
  <c r="O30" i="1"/>
  <c r="N30" i="1"/>
  <c r="K30" i="1"/>
  <c r="J30" i="1"/>
  <c r="I30" i="1"/>
  <c r="Q29" i="1"/>
  <c r="P29" i="1"/>
  <c r="O29" i="1"/>
  <c r="N29" i="1"/>
  <c r="K29" i="1"/>
  <c r="J29" i="1"/>
  <c r="I29" i="1"/>
  <c r="H29" i="1"/>
  <c r="Q28" i="1"/>
  <c r="P28" i="1"/>
  <c r="O28" i="1"/>
  <c r="N28" i="1"/>
  <c r="K28" i="1"/>
  <c r="J28" i="1"/>
  <c r="I28" i="1"/>
  <c r="H28" i="1"/>
  <c r="Q27" i="1"/>
  <c r="P27" i="1"/>
  <c r="O27" i="1"/>
  <c r="N27" i="1"/>
  <c r="K27" i="1"/>
  <c r="J27" i="1"/>
  <c r="I27" i="1"/>
  <c r="H27" i="1"/>
  <c r="Q26" i="1"/>
  <c r="P26" i="1"/>
  <c r="O26" i="1"/>
  <c r="N26" i="1"/>
  <c r="K26" i="1"/>
  <c r="J26" i="1"/>
  <c r="I26" i="1"/>
  <c r="H26" i="1"/>
  <c r="Q25" i="1"/>
  <c r="P25" i="1"/>
  <c r="O25" i="1"/>
  <c r="N25" i="1"/>
  <c r="K25" i="1"/>
  <c r="J25" i="1"/>
  <c r="I25" i="1"/>
  <c r="H25" i="1"/>
  <c r="Q24" i="1"/>
  <c r="P24" i="1"/>
  <c r="O24" i="1"/>
  <c r="N24" i="1"/>
  <c r="K24" i="1"/>
  <c r="J24" i="1"/>
  <c r="I24" i="1"/>
  <c r="H24" i="1"/>
  <c r="Q23" i="1"/>
  <c r="P23" i="1"/>
  <c r="O23" i="1"/>
  <c r="N23" i="1"/>
  <c r="K23" i="1"/>
  <c r="J23" i="1"/>
  <c r="I23" i="1"/>
  <c r="H23" i="1"/>
  <c r="Q22" i="1"/>
  <c r="P22" i="1"/>
  <c r="O22" i="1"/>
  <c r="N22" i="1"/>
  <c r="K22" i="1"/>
  <c r="J22" i="1"/>
  <c r="I22" i="1"/>
  <c r="H22" i="1"/>
  <c r="Q21" i="1"/>
  <c r="P21" i="1"/>
  <c r="O21" i="1"/>
  <c r="N21" i="1"/>
  <c r="K21" i="1"/>
  <c r="J21" i="1"/>
  <c r="I21" i="1"/>
  <c r="H21" i="1"/>
  <c r="Q20" i="1"/>
  <c r="P20" i="1"/>
  <c r="O20" i="1"/>
  <c r="N20" i="1"/>
  <c r="K20" i="1"/>
  <c r="J20" i="1"/>
  <c r="I20" i="1"/>
  <c r="H20" i="1"/>
  <c r="Q19" i="1"/>
  <c r="P19" i="1"/>
  <c r="O19" i="1"/>
  <c r="N19" i="1"/>
  <c r="K19" i="1"/>
  <c r="J19" i="1"/>
  <c r="H19" i="1"/>
  <c r="Q18" i="1"/>
  <c r="P18" i="1"/>
  <c r="O18" i="1"/>
  <c r="N18" i="1"/>
  <c r="K18" i="1"/>
  <c r="J18" i="1"/>
  <c r="I18" i="1"/>
  <c r="H18" i="1"/>
  <c r="Q17" i="1"/>
  <c r="P17" i="1"/>
  <c r="O17" i="1"/>
  <c r="N17" i="1"/>
  <c r="K17" i="1"/>
  <c r="J17" i="1"/>
  <c r="I17" i="1"/>
  <c r="H17" i="1"/>
  <c r="Q16" i="1"/>
  <c r="P16" i="1"/>
  <c r="O16" i="1"/>
  <c r="N16" i="1"/>
  <c r="K16" i="1"/>
  <c r="J16" i="1"/>
  <c r="I16" i="1"/>
  <c r="H16" i="1"/>
  <c r="Q15" i="1"/>
  <c r="P15" i="1"/>
  <c r="O15" i="1"/>
  <c r="N15" i="1"/>
  <c r="K15" i="1"/>
  <c r="J15" i="1"/>
  <c r="I15" i="1"/>
  <c r="H15" i="1"/>
  <c r="Q14" i="1"/>
  <c r="P14" i="1"/>
  <c r="O14" i="1"/>
  <c r="N14" i="1"/>
  <c r="K14" i="1"/>
  <c r="J14" i="1"/>
  <c r="I14" i="1"/>
  <c r="H14" i="1"/>
  <c r="Q13" i="1"/>
  <c r="P13" i="1"/>
  <c r="O13" i="1"/>
  <c r="N13" i="1"/>
  <c r="K13" i="1"/>
  <c r="J13" i="1"/>
  <c r="I13" i="1"/>
  <c r="H13" i="1"/>
  <c r="Q12" i="1"/>
  <c r="P12" i="1"/>
  <c r="O12" i="1"/>
  <c r="N12" i="1"/>
  <c r="K12" i="1"/>
  <c r="J12" i="1"/>
  <c r="I12" i="1"/>
  <c r="H12" i="1"/>
  <c r="Q11" i="1"/>
  <c r="P11" i="1"/>
  <c r="O11" i="1"/>
  <c r="N11" i="1"/>
  <c r="K11" i="1"/>
  <c r="J11" i="1"/>
  <c r="I11" i="1"/>
  <c r="H11" i="1"/>
  <c r="Q10" i="1"/>
  <c r="P10" i="1"/>
  <c r="O10" i="1"/>
  <c r="N10" i="1"/>
  <c r="K10" i="1"/>
  <c r="J10" i="1"/>
  <c r="I10" i="1"/>
  <c r="H10" i="1"/>
  <c r="Q9" i="1"/>
  <c r="P9" i="1"/>
  <c r="O9" i="1"/>
  <c r="N9" i="1"/>
  <c r="K9" i="1"/>
  <c r="J9" i="1"/>
  <c r="I9" i="1"/>
  <c r="H9" i="1"/>
  <c r="Q8" i="1"/>
  <c r="P8" i="1"/>
  <c r="O8" i="1"/>
  <c r="N8" i="1"/>
  <c r="K8" i="1"/>
  <c r="J8" i="1"/>
  <c r="I8" i="1"/>
  <c r="H8" i="1"/>
  <c r="Q7" i="1"/>
  <c r="P7" i="1"/>
  <c r="O7" i="1"/>
  <c r="N7" i="1"/>
  <c r="K7" i="1"/>
  <c r="J7" i="1"/>
  <c r="I7" i="1"/>
  <c r="H7" i="1"/>
  <c r="Q6" i="1"/>
  <c r="P6" i="1"/>
  <c r="O6" i="1"/>
  <c r="N6" i="1"/>
  <c r="K6" i="1"/>
  <c r="J6" i="1"/>
  <c r="I6" i="1"/>
  <c r="H6" i="1"/>
  <c r="Q5" i="1"/>
  <c r="P5" i="1"/>
  <c r="O5" i="1"/>
  <c r="N5" i="1"/>
  <c r="K5" i="1"/>
  <c r="J5" i="1"/>
  <c r="I5" i="1"/>
  <c r="H5" i="1"/>
  <c r="Q4" i="1"/>
  <c r="P4" i="1"/>
  <c r="O4" i="1"/>
  <c r="N4" i="1"/>
  <c r="K4" i="1"/>
  <c r="J4" i="1"/>
  <c r="I4" i="1"/>
  <c r="H4" i="1"/>
  <c r="Q3" i="1"/>
  <c r="O3" i="1"/>
  <c r="N3" i="1"/>
  <c r="K3" i="1"/>
  <c r="J3" i="1"/>
  <c r="I3" i="1"/>
  <c r="H3" i="1"/>
  <c r="Q2" i="1"/>
  <c r="P2" i="1"/>
  <c r="O2" i="1"/>
  <c r="K2" i="1"/>
  <c r="J2" i="1"/>
  <c r="I2" i="1"/>
  <c r="H2" i="1"/>
</calcChain>
</file>

<file path=xl/sharedStrings.xml><?xml version="1.0" encoding="utf-8"?>
<sst xmlns="http://schemas.openxmlformats.org/spreadsheetml/2006/main" count="470" uniqueCount="176">
  <si>
    <t>Filename</t>
  </si>
  <si>
    <t>Company Name /Symbol</t>
  </si>
  <si>
    <t xml:space="preserve">HQ location  </t>
  </si>
  <si>
    <t xml:space="preserve">Country </t>
  </si>
  <si>
    <t>Distance to Moscow Km (Haversine)</t>
  </si>
  <si>
    <t xml:space="preserve">Year </t>
  </si>
  <si>
    <t>Qtrly Release</t>
  </si>
  <si>
    <t>Total # of words</t>
  </si>
  <si>
    <t>Total # of syllables</t>
  </si>
  <si>
    <t>Ln(Gunning Fog readability index)</t>
  </si>
  <si>
    <t>Ln(Smog readability index)</t>
  </si>
  <si>
    <t>Ln(Loughran-McDonald Financial-Uncertainty words)</t>
  </si>
  <si>
    <t>Ln(Loughran-McDonald Financial-Negative words)</t>
  </si>
  <si>
    <t>Flesch Reading Ease Score</t>
  </si>
  <si>
    <t>Flesch-Kincaid Grade Level</t>
  </si>
  <si>
    <t>Reading time (secs)</t>
  </si>
  <si>
    <t xml:space="preserve">Sentence Count </t>
  </si>
  <si>
    <t>adidas_half_year_report_2022_en.pdf</t>
  </si>
  <si>
    <t>Adidas AG (ADS:GR)</t>
  </si>
  <si>
    <t>Herzogenaurach </t>
  </si>
  <si>
    <t xml:space="preserve">Germany </t>
  </si>
  <si>
    <t>H1</t>
  </si>
  <si>
    <t>adidas21_en.pdf</t>
  </si>
  <si>
    <t>FY</t>
  </si>
  <si>
    <t>adidasag_q1_2022results_en.pdf</t>
  </si>
  <si>
    <t>Q1</t>
  </si>
  <si>
    <t>adidasag_q3_2022results_en_final.pdf</t>
  </si>
  <si>
    <t>Q3</t>
  </si>
  <si>
    <t>Airbus SN H1 2022.pdf</t>
  </si>
  <si>
    <t>Airbus SE (AIR:GR)</t>
  </si>
  <si>
    <t>Toulouse-Blagnac Airport</t>
  </si>
  <si>
    <t>France</t>
  </si>
  <si>
    <t>Airbus_SN Q1 2022.pdf</t>
  </si>
  <si>
    <t>Airbus_SN_Q3-2022.pdf</t>
  </si>
  <si>
    <t>Airbus-SE-Full-Annual-Report-2021_0.pdf</t>
  </si>
  <si>
    <t>allianz half year report-2022.pdf</t>
  </si>
  <si>
    <t>Allianz SE (ALV:GR)</t>
  </si>
  <si>
    <t xml:space="preserve">Munich </t>
  </si>
  <si>
    <t>allianz-1q-2022.pdf</t>
  </si>
  <si>
    <t>allianz-2q-2022.pdf</t>
  </si>
  <si>
    <t>Q2</t>
  </si>
  <si>
    <t>allianz-3q-2022.pdf</t>
  </si>
  <si>
    <t>Allianz-SE-Annual-Report-2021.pdf</t>
  </si>
  <si>
    <t>BASF_Half-Year-Financial-Report_2022.pdf</t>
  </si>
  <si>
    <t>BASF SE (BAS:GR)</t>
  </si>
  <si>
    <t>Ludwigshafen</t>
  </si>
  <si>
    <t>BASF_Quarterly-Statement_01_2022.pdf</t>
  </si>
  <si>
    <t>BASF_Quarterly-Statement_03-2022.pdf</t>
  </si>
  <si>
    <t>BASF_Report_2021.pdf</t>
  </si>
  <si>
    <t>Bayer-Annual-Report-2021.pdf</t>
  </si>
  <si>
    <t>Bayer AG (BAYN:GR)</t>
  </si>
  <si>
    <t>Leverkusen</t>
  </si>
  <si>
    <t>bayer-half-year-financial-report-q2-2022.pdf</t>
  </si>
  <si>
    <t>bayer-quarterly-statement-q1-2022.pdf</t>
  </si>
  <si>
    <t>bayer-quarterly-statement-q3-2022.pdf</t>
  </si>
  <si>
    <t>Beiersdorf-Annual-Report-2021-EN.pdf</t>
  </si>
  <si>
    <t>Beiersdorf AG (BEI:GR)</t>
  </si>
  <si>
    <t xml:space="preserve">Hamburg </t>
  </si>
  <si>
    <t>Beiersdorf-first-half-of-2022.pdf</t>
  </si>
  <si>
    <t>Beiersdorf-Q1 2022.pdf</t>
  </si>
  <si>
    <t>Beiersdorf-Q3 2022.pdf</t>
  </si>
  <si>
    <t>BMW_Q2-2022_EN.pdf</t>
  </si>
  <si>
    <t>Bayerische Motoren Werke AG (BMW:GR)</t>
  </si>
  <si>
    <t>BMW_Q3-2022_EN.pdf</t>
  </si>
  <si>
    <t>BMW-Group-Q1-2022-en.pdf</t>
  </si>
  <si>
    <t>BMW-Group-Report-2021-en.pdf</t>
  </si>
  <si>
    <t>brenntag-se-interim-report-q12022.pdf</t>
  </si>
  <si>
    <t>Brenntag SE (BNR:GR)</t>
  </si>
  <si>
    <t xml:space="preserve">Essen </t>
  </si>
  <si>
    <t>brenntag-se-interim-report-q22022.pdf</t>
  </si>
  <si>
    <t>brenntag-sear2021en.pdf</t>
  </si>
  <si>
    <t>brenntagsequarterly-statementq32022.pdf</t>
  </si>
  <si>
    <t>continental_annual_report_2021_1_01.pdf</t>
  </si>
  <si>
    <t>Continental AG (CON:GR)</t>
  </si>
  <si>
    <t xml:space="preserve">Hanover </t>
  </si>
  <si>
    <t>continental_financial_report_h1_2022_01.pdf</t>
  </si>
  <si>
    <t>continental_q1-2022.pdf</t>
  </si>
  <si>
    <t>continental_quarterlystatement_q3-2022.pdf</t>
  </si>
  <si>
    <t>covestro-ar21(compressed).pdf</t>
  </si>
  <si>
    <t>(1COV:GR)</t>
  </si>
  <si>
    <t>Germany</t>
  </si>
  <si>
    <t>covestro-hyr-22.pdf</t>
  </si>
  <si>
    <t>covestro-q1-22.pdf</t>
  </si>
  <si>
    <t>DBG-annual-report-2021.pdf</t>
  </si>
  <si>
    <t>Deutsche Boerse AG (DB1:GR)</t>
  </si>
  <si>
    <t xml:space="preserve"> Eschborn</t>
  </si>
  <si>
    <t>DBG-half year-2022_en.pdf</t>
  </si>
  <si>
    <t>DBG-q1-2022_en.pdf</t>
  </si>
  <si>
    <t>DBG-q3-2022_en.pdf</t>
  </si>
  <si>
    <t>Delivery Hero AR 2021.pdf</t>
  </si>
  <si>
    <t>Delivery Hero SE (DHER:GE)</t>
  </si>
  <si>
    <t xml:space="preserve">Berlin </t>
  </si>
  <si>
    <t>Delivery Hero half year.pdf</t>
  </si>
  <si>
    <t>Delivery Hero-Q1.pdf</t>
  </si>
  <si>
    <t>Delivery Hero-Q3.pdf</t>
  </si>
  <si>
    <t>Deutsche Bank Annual Report 2021.pdf</t>
  </si>
  <si>
    <t>Deutsche Bank AG (DBK:GR)</t>
  </si>
  <si>
    <t xml:space="preserve">Frankfurt </t>
  </si>
  <si>
    <t>Deutsche Bank half year.pdf</t>
  </si>
  <si>
    <t>Deutsche Bank Q1.pdf</t>
  </si>
  <si>
    <t>Deutsche Bank Q3.pdf</t>
  </si>
  <si>
    <t>DPDHL-2021-Annual-Report.pdf</t>
  </si>
  <si>
    <t>Deutsche Post AG (DPW:GR)</t>
  </si>
  <si>
    <t xml:space="preserve">Bonn </t>
  </si>
  <si>
    <t>DPDHL-Half-year-Report-2022.pdf</t>
  </si>
  <si>
    <t>DPDHL-Quarterly-Statement-Q1-2022.pdf</t>
  </si>
  <si>
    <t>DPDHL-Quarterly-Statement-Q3-2022.pdf</t>
  </si>
  <si>
    <t>EON annual report 2021.pdf</t>
  </si>
  <si>
    <t xml:space="preserve">E.ON SE (EOAN:GR) </t>
  </si>
  <si>
    <t>EON_Half year.pdf</t>
  </si>
  <si>
    <t>EON_Q1.pdf</t>
  </si>
  <si>
    <t>FME_Annual_Report_2021_EN.pdf</t>
  </si>
  <si>
    <t>Fresenius Medical Care AG &amp; Co. KGaA (FME.GR)</t>
  </si>
  <si>
    <t>Bad Homburg</t>
  </si>
  <si>
    <t>FME_Q1_2022.pdf</t>
  </si>
  <si>
    <t>FME_Q2_2022.pdf</t>
  </si>
  <si>
    <t>FME_Q3_2022.pdf</t>
  </si>
  <si>
    <t>Fresenius SE Annual report 2021.pdf</t>
  </si>
  <si>
    <t>Fresenius SE &amp; Co. KGaA (FRE:GR)</t>
  </si>
  <si>
    <t>Fresenius SE half year.pdf</t>
  </si>
  <si>
    <t>Fresenius SE Q1.pdf</t>
  </si>
  <si>
    <t>Fresenius SE Q3.pdf</t>
  </si>
  <si>
    <t>HC_annual report_2021.pdf</t>
  </si>
  <si>
    <t>HeidelbergCement AG (HEI:GR)</t>
  </si>
  <si>
    <t>Heidelberg</t>
  </si>
  <si>
    <t>HC_EN_half year.pdf</t>
  </si>
  <si>
    <t>HC_EN_Q1_2022.pdf</t>
  </si>
  <si>
    <t>HC_Q3.pdf</t>
  </si>
  <si>
    <t>Henkel 2021-annual-report.pdf</t>
  </si>
  <si>
    <t>Henkel AG &amp; Co. KGaA (HEN3:GR)</t>
  </si>
  <si>
    <t xml:space="preserve">Düsseldorf </t>
  </si>
  <si>
    <t>Henkel 2022-half-year.pdf</t>
  </si>
  <si>
    <t>Henkel-q1-2022.pdf</t>
  </si>
  <si>
    <t>Henkel-q3-2022.pdf</t>
  </si>
  <si>
    <t>HF annual report 2021.pdf</t>
  </si>
  <si>
    <t>HelloFresh SE (HFG:GR)</t>
  </si>
  <si>
    <t>HF half year.pdf</t>
  </si>
  <si>
    <t>HF Q1.pdf</t>
  </si>
  <si>
    <t>HF Q3.pdf</t>
  </si>
  <si>
    <t>Infineon Annual Report 2021.pdf</t>
  </si>
  <si>
    <t>Infineon Technologies AG (IFX:GR)</t>
  </si>
  <si>
    <t>Neubiberg</t>
  </si>
  <si>
    <t>Infineon Half-year report 2022.pdf</t>
  </si>
  <si>
    <t>Infineon Q1.pdf</t>
  </si>
  <si>
    <t>Infineon Q3.pdf</t>
  </si>
  <si>
    <t>Linde 2021-annual-report.pdf</t>
  </si>
  <si>
    <t>Linde PLC (LIN:GR)</t>
  </si>
  <si>
    <t xml:space="preserve">Dublin </t>
  </si>
  <si>
    <t xml:space="preserve">Ireland </t>
  </si>
  <si>
    <t>linde-1q22.pdf</t>
  </si>
  <si>
    <t>linde-2q22.pdf</t>
  </si>
  <si>
    <t>linde-3q22.pdf</t>
  </si>
  <si>
    <t>mercedes-benz-annual-report-2021.pdf</t>
  </si>
  <si>
    <t>Daimler AG (DAI:GR)</t>
  </si>
  <si>
    <t>Stuttgart</t>
  </si>
  <si>
    <t>mercedes-benz-q1-2022.pdf</t>
  </si>
  <si>
    <t>mercedes-benz-q2-2022.pdf</t>
  </si>
  <si>
    <t>mercedes-benz-q3-2022.pdf</t>
  </si>
  <si>
    <t>Merck annual report 2021.pdf</t>
  </si>
  <si>
    <t>Merck KGaA (MRK:GR)</t>
  </si>
  <si>
    <t> Darmstadt</t>
  </si>
  <si>
    <t>Merck half year.pdf</t>
  </si>
  <si>
    <t>Merck Q1.pdf</t>
  </si>
  <si>
    <t>Merck Q3.pdf</t>
  </si>
  <si>
    <t>MTU half year.pdf</t>
  </si>
  <si>
    <t>MTU Aero Engines AG (MTX:GR)</t>
  </si>
  <si>
    <t>Friedrichshafen</t>
  </si>
  <si>
    <t>MTU Q1.pdf</t>
  </si>
  <si>
    <t>MTU Q3.pdf</t>
  </si>
  <si>
    <t>MTU_annual report_2021_en.pdf</t>
  </si>
  <si>
    <t>Total assets (€ in millions)</t>
  </si>
  <si>
    <t>SIZE:                            natural logarithm of total assets </t>
  </si>
  <si>
    <t>ROA:                      Return on assets </t>
  </si>
  <si>
    <t>Leverage:                                     sum of long term debt and current liabilities ÷ total assets</t>
  </si>
  <si>
    <t>Cash Flow:                              Cash and short-term investments  ÷  by total assets </t>
  </si>
  <si>
    <t>Market-to-Book:                     Market value of equity ÷  by book value of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</si>
</sst>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#"/>
    <numFmt numFmtId="165" formatCode="#,##0.0"/>
  </numFmts>
  <fonts count="6">
    <font>
      <sz val="11"/>
      <color indexed="8"/>
      <name val="Calibri"/>
    </font>
    <font>
      <sz val="11"/>
      <color indexed="8"/>
      <name val="Times New Roman"/>
    </font>
    <font>
      <sz val="11"/>
      <color indexed="12"/>
      <name val="Times New Roman"/>
    </font>
    <font>
      <sz val="10"/>
      <color indexed="8"/>
      <name val="Helvetica"/>
    </font>
    <font>
      <sz val="11"/>
      <color indexed="14"/>
      <name val="Calibri"/>
    </font>
    <font>
      <sz val="9"/>
      <color rgb="FF000000"/>
      <name val="Helvetic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0" fillId="2" borderId="2" xfId="0" applyNumberForma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0" fillId="0" borderId="7" xfId="0" applyNumberFormat="1" applyBorder="1"/>
    <xf numFmtId="164" fontId="0" fillId="0" borderId="7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8" xfId="0" applyBorder="1"/>
    <xf numFmtId="49" fontId="0" fillId="0" borderId="9" xfId="0" applyNumberFormat="1" applyBorder="1"/>
    <xf numFmtId="0" fontId="0" fillId="0" borderId="9" xfId="0" applyBorder="1"/>
    <xf numFmtId="3" fontId="0" fillId="0" borderId="9" xfId="0" applyNumberFormat="1" applyBorder="1"/>
    <xf numFmtId="0" fontId="0" fillId="0" borderId="9" xfId="0" applyNumberFormat="1" applyBorder="1"/>
    <xf numFmtId="164" fontId="0" fillId="0" borderId="9" xfId="0" applyNumberFormat="1" applyBorder="1" applyAlignment="1">
      <alignment readingOrder="1"/>
    </xf>
    <xf numFmtId="164" fontId="0" fillId="0" borderId="9" xfId="0" applyNumberFormat="1" applyBorder="1" applyAlignment="1">
      <alignment horizontal="right"/>
    </xf>
    <xf numFmtId="49" fontId="0" fillId="3" borderId="9" xfId="0" applyNumberFormat="1" applyFill="1" applyBorder="1" applyAlignment="1">
      <alignment wrapText="1"/>
    </xf>
    <xf numFmtId="164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3" fontId="0" fillId="3" borderId="9" xfId="0" applyNumberFormat="1" applyFill="1" applyBorder="1" applyAlignment="1">
      <alignment wrapText="1"/>
    </xf>
    <xf numFmtId="164" fontId="0" fillId="0" borderId="9" xfId="0" applyNumberFormat="1" applyBorder="1"/>
    <xf numFmtId="49" fontId="3" fillId="0" borderId="9" xfId="0" applyNumberFormat="1" applyFont="1" applyBorder="1"/>
    <xf numFmtId="164" fontId="3" fillId="0" borderId="9" xfId="0" applyNumberFormat="1" applyFont="1" applyBorder="1"/>
    <xf numFmtId="0" fontId="3" fillId="0" borderId="9" xfId="0" applyFont="1" applyBorder="1"/>
    <xf numFmtId="3" fontId="3" fillId="0" borderId="9" xfId="0" applyNumberFormat="1" applyFont="1" applyBorder="1"/>
    <xf numFmtId="49" fontId="3" fillId="3" borderId="9" xfId="0" applyNumberFormat="1" applyFont="1" applyFill="1" applyBorder="1" applyAlignment="1">
      <alignment wrapText="1"/>
    </xf>
    <xf numFmtId="164" fontId="3" fillId="3" borderId="9" xfId="0" applyNumberFormat="1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3" fontId="3" fillId="3" borderId="9" xfId="0" applyNumberFormat="1" applyFont="1" applyFill="1" applyBorder="1" applyAlignment="1">
      <alignment wrapText="1"/>
    </xf>
    <xf numFmtId="165" fontId="3" fillId="0" borderId="9" xfId="0" applyNumberFormat="1" applyFont="1" applyBorder="1" applyAlignment="1">
      <alignment horizontal="right"/>
    </xf>
    <xf numFmtId="165" fontId="0" fillId="3" borderId="9" xfId="0" applyNumberFormat="1" applyFill="1" applyBorder="1" applyAlignment="1">
      <alignment wrapText="1"/>
    </xf>
    <xf numFmtId="0" fontId="0" fillId="3" borderId="9" xfId="0" applyNumberFormat="1" applyFill="1" applyBorder="1" applyAlignment="1">
      <alignment wrapText="1"/>
    </xf>
    <xf numFmtId="0" fontId="4" fillId="0" borderId="9" xfId="0" applyNumberFormat="1" applyFont="1" applyBorder="1"/>
    <xf numFmtId="165" fontId="0" fillId="0" borderId="9" xfId="0" applyNumberFormat="1" applyBorder="1"/>
    <xf numFmtId="164" fontId="0" fillId="3" borderId="9" xfId="0" applyNumberFormat="1" applyFill="1" applyBorder="1" applyAlignment="1">
      <alignment horizontal="right" wrapText="1"/>
    </xf>
    <xf numFmtId="49" fontId="0" fillId="3" borderId="9" xfId="0" applyNumberFormat="1" applyFill="1" applyBorder="1" applyAlignment="1">
      <alignment wrapText="1" readingOrder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3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wrapText="1"/>
    </xf>
    <xf numFmtId="4" fontId="0" fillId="0" borderId="0" xfId="0" applyNumberFormat="1"/>
    <xf numFmtId="2" fontId="5" fillId="0" borderId="0" xfId="0" applyNumberFormat="1" applyFon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9A9A9A"/>
      <rgbColor rgb="FF292929"/>
      <rgbColor rgb="FFFFFFFF"/>
      <rgbColor rgb="FF21212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 Theme 2013 - 2022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 2013 - 2022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13 - 2022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showGridLines="0" workbookViewId="0">
      <selection sqref="A1:A1048576"/>
    </sheetView>
  </sheetViews>
  <sheetFormatPr defaultColWidth="8.85546875" defaultRowHeight="15" customHeight="1"/>
  <cols>
    <col min="1" max="1" width="51" style="1" customWidth="1"/>
    <col min="2" max="2" width="27.140625" style="1" customWidth="1"/>
    <col min="3" max="4" width="19.85546875" style="1" customWidth="1"/>
    <col min="5" max="5" width="18.28515625" style="1" customWidth="1"/>
    <col min="6" max="6" width="8.85546875" style="1" customWidth="1"/>
    <col min="7" max="7" width="13.140625" style="1" customWidth="1"/>
    <col min="8" max="8" width="17.7109375" style="1" customWidth="1"/>
    <col min="9" max="9" width="19.140625" style="1" customWidth="1"/>
    <col min="10" max="10" width="19.7109375" style="1" customWidth="1"/>
    <col min="11" max="11" width="16.42578125" style="1" customWidth="1"/>
    <col min="12" max="12" width="27.28515625" style="1" customWidth="1"/>
    <col min="13" max="13" width="28.7109375" style="1" customWidth="1"/>
    <col min="14" max="14" width="17.140625" style="1" customWidth="1"/>
    <col min="15" max="15" width="17.85546875" style="1" customWidth="1"/>
    <col min="16" max="16" width="17.28515625" style="1" customWidth="1"/>
    <col min="17" max="17" width="17.42578125" style="1" customWidth="1"/>
    <col min="18" max="18" width="8.85546875" style="1" customWidth="1"/>
    <col min="19" max="16384" width="8.85546875" style="1"/>
  </cols>
  <sheetData>
    <row r="1" spans="1:17" ht="30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10" t="s">
        <v>13</v>
      </c>
      <c r="O1" s="11" t="s">
        <v>14</v>
      </c>
      <c r="P1" s="12" t="s">
        <v>15</v>
      </c>
      <c r="Q1" s="13" t="s">
        <v>16</v>
      </c>
    </row>
    <row r="2" spans="1:17" ht="13.5" customHeight="1">
      <c r="A2" s="14" t="s">
        <v>17</v>
      </c>
      <c r="B2" s="14" t="s">
        <v>18</v>
      </c>
      <c r="C2" s="14" t="s">
        <v>19</v>
      </c>
      <c r="D2" s="14" t="s">
        <v>20</v>
      </c>
      <c r="E2" s="15">
        <v>1915.15</v>
      </c>
      <c r="F2" s="16">
        <v>2022</v>
      </c>
      <c r="G2" s="14" t="s">
        <v>21</v>
      </c>
      <c r="H2" s="16">
        <f>12279</f>
        <v>12279</v>
      </c>
      <c r="I2" s="17">
        <f>19641</f>
        <v>19641</v>
      </c>
      <c r="J2" s="17">
        <f>10.94</f>
        <v>10.94</v>
      </c>
      <c r="K2" s="17">
        <f t="shared" ref="K2:O46" si="0">15.4</f>
        <v>15.4</v>
      </c>
      <c r="L2" s="18"/>
      <c r="M2" s="18"/>
      <c r="N2" s="16">
        <v>39.06</v>
      </c>
      <c r="O2" s="16">
        <f>13.7</f>
        <v>13.7</v>
      </c>
      <c r="P2" s="16">
        <f>975.36</f>
        <v>975.36</v>
      </c>
      <c r="Q2" s="16">
        <f>495</f>
        <v>495</v>
      </c>
    </row>
    <row r="3" spans="1:17" ht="13.5" customHeight="1">
      <c r="A3" s="19" t="s">
        <v>22</v>
      </c>
      <c r="B3" s="19" t="s">
        <v>18</v>
      </c>
      <c r="C3" s="20"/>
      <c r="D3" s="20"/>
      <c r="E3" s="21"/>
      <c r="F3" s="22">
        <v>2021</v>
      </c>
      <c r="G3" s="19" t="s">
        <v>23</v>
      </c>
      <c r="H3" s="22">
        <f>149970</f>
        <v>149970</v>
      </c>
      <c r="I3" s="22">
        <f>256238</f>
        <v>256238</v>
      </c>
      <c r="J3" s="22">
        <f>11.54</f>
        <v>11.54</v>
      </c>
      <c r="K3" s="22">
        <f>17.1</f>
        <v>17.100000000000001</v>
      </c>
      <c r="L3" s="20"/>
      <c r="M3" s="20"/>
      <c r="N3" s="22">
        <f>35.51</f>
        <v>35.51</v>
      </c>
      <c r="O3" s="22">
        <f t="shared" ref="O3:O93" si="1">15</f>
        <v>15</v>
      </c>
      <c r="P3" s="22">
        <v>11898.3</v>
      </c>
      <c r="Q3" s="22">
        <f>5402</f>
        <v>5402</v>
      </c>
    </row>
    <row r="4" spans="1:17" ht="13.5" customHeight="1">
      <c r="A4" s="19" t="s">
        <v>24</v>
      </c>
      <c r="B4" s="19" t="s">
        <v>18</v>
      </c>
      <c r="C4" s="20"/>
      <c r="D4" s="20"/>
      <c r="E4" s="21"/>
      <c r="F4" s="22">
        <v>2022</v>
      </c>
      <c r="G4" s="19" t="s">
        <v>25</v>
      </c>
      <c r="H4" s="22">
        <f>2268</f>
        <v>2268</v>
      </c>
      <c r="I4" s="22">
        <f>3451</f>
        <v>3451</v>
      </c>
      <c r="J4" s="22">
        <f>9.26</f>
        <v>9.26</v>
      </c>
      <c r="K4" s="22">
        <f t="shared" ref="K4:O33" si="2">12.4</f>
        <v>12.4</v>
      </c>
      <c r="L4" s="20"/>
      <c r="M4" s="20"/>
      <c r="N4" s="22">
        <f>53</f>
        <v>53</v>
      </c>
      <c r="O4" s="22">
        <f t="shared" ref="O4:O78" si="3">10.4</f>
        <v>10.4</v>
      </c>
      <c r="P4" s="22">
        <f>181.38</f>
        <v>181.38</v>
      </c>
      <c r="Q4" s="22">
        <f>121</f>
        <v>121</v>
      </c>
    </row>
    <row r="5" spans="1:17" ht="13.5" customHeight="1">
      <c r="A5" s="19" t="s">
        <v>26</v>
      </c>
      <c r="B5" s="19" t="s">
        <v>18</v>
      </c>
      <c r="C5" s="20"/>
      <c r="D5" s="20"/>
      <c r="E5" s="21"/>
      <c r="F5" s="22">
        <v>2022</v>
      </c>
      <c r="G5" s="19" t="s">
        <v>27</v>
      </c>
      <c r="H5" s="22">
        <f>2907</f>
        <v>2907</v>
      </c>
      <c r="I5" s="22">
        <f>4504</f>
        <v>4504</v>
      </c>
      <c r="J5" s="22">
        <f>8.27</f>
        <v>8.27</v>
      </c>
      <c r="K5" s="22">
        <f t="shared" ref="K5:O58" si="4">12</f>
        <v>12</v>
      </c>
      <c r="L5" s="20"/>
      <c r="M5" s="20"/>
      <c r="N5" s="22">
        <f>55.03</f>
        <v>55.03</v>
      </c>
      <c r="O5" s="22">
        <f>9.6</f>
        <v>9.6</v>
      </c>
      <c r="P5" s="22">
        <f>237.08</f>
        <v>237.08</v>
      </c>
      <c r="Q5" s="22">
        <f>176</f>
        <v>176</v>
      </c>
    </row>
    <row r="6" spans="1:17" ht="13.5" customHeight="1">
      <c r="A6" s="19" t="s">
        <v>28</v>
      </c>
      <c r="B6" s="19" t="s">
        <v>29</v>
      </c>
      <c r="C6" s="19" t="s">
        <v>30</v>
      </c>
      <c r="D6" s="19" t="s">
        <v>31</v>
      </c>
      <c r="E6" s="23">
        <v>2887.43</v>
      </c>
      <c r="F6" s="22">
        <v>2022</v>
      </c>
      <c r="G6" s="19" t="s">
        <v>21</v>
      </c>
      <c r="H6" s="22">
        <f>2957</f>
        <v>2957</v>
      </c>
      <c r="I6" s="22">
        <f>17801</f>
        <v>17801</v>
      </c>
      <c r="J6" s="22">
        <f>14.01</f>
        <v>14.01</v>
      </c>
      <c r="K6" s="22">
        <f>16.03</f>
        <v>16.03</v>
      </c>
      <c r="L6" s="20"/>
      <c r="M6" s="20"/>
      <c r="N6" s="22">
        <f>32.46</f>
        <v>32.46</v>
      </c>
      <c r="O6" s="22">
        <f t="shared" ref="O6:O27" si="5">16.2</f>
        <v>16.2</v>
      </c>
      <c r="P6" s="22">
        <f>955.76</f>
        <v>955.76</v>
      </c>
      <c r="Q6" s="22">
        <f>357</f>
        <v>357</v>
      </c>
    </row>
    <row r="7" spans="1:17" ht="13.5" customHeight="1">
      <c r="A7" s="19" t="s">
        <v>32</v>
      </c>
      <c r="B7" s="19" t="s">
        <v>29</v>
      </c>
      <c r="C7" s="20"/>
      <c r="D7" s="20"/>
      <c r="E7" s="21"/>
      <c r="F7" s="22">
        <v>2022</v>
      </c>
      <c r="G7" s="19" t="s">
        <v>25</v>
      </c>
      <c r="H7" s="22">
        <f>8917</f>
        <v>8917</v>
      </c>
      <c r="I7" s="22">
        <f>14430</f>
        <v>14430</v>
      </c>
      <c r="J7" s="22">
        <f t="shared" ref="J7:J27" si="6">14.25</f>
        <v>14.25</v>
      </c>
      <c r="K7" s="22">
        <f t="shared" ref="K7:O81" si="7">16.1</f>
        <v>16.100000000000001</v>
      </c>
      <c r="L7" s="20"/>
      <c r="M7" s="20"/>
      <c r="N7" s="22">
        <f>40.31</f>
        <v>40.31</v>
      </c>
      <c r="O7" s="22">
        <f>15.3</f>
        <v>15.3</v>
      </c>
      <c r="P7" s="22">
        <f>786.15</f>
        <v>786.15</v>
      </c>
      <c r="Q7" s="22">
        <f>286</f>
        <v>286</v>
      </c>
    </row>
    <row r="8" spans="1:17" ht="13.5" customHeight="1">
      <c r="A8" s="19" t="s">
        <v>33</v>
      </c>
      <c r="B8" s="19" t="s">
        <v>29</v>
      </c>
      <c r="C8" s="20"/>
      <c r="D8" s="20"/>
      <c r="E8" s="21"/>
      <c r="F8" s="22">
        <v>2022</v>
      </c>
      <c r="G8" s="19" t="s">
        <v>27</v>
      </c>
      <c r="H8" s="22">
        <f>9703</f>
        <v>9703</v>
      </c>
      <c r="I8" s="22">
        <f>15611</f>
        <v>15611</v>
      </c>
      <c r="J8" s="22">
        <f>13.54</f>
        <v>13.54</v>
      </c>
      <c r="K8" s="22">
        <f t="shared" ref="K8:O52" si="8">15.6</f>
        <v>15.6</v>
      </c>
      <c r="L8" s="20"/>
      <c r="M8" s="20"/>
      <c r="N8" s="22">
        <f>42.04</f>
        <v>42.04</v>
      </c>
      <c r="O8" s="22">
        <f t="shared" ref="O8:O90" si="9">14.6</f>
        <v>14.6</v>
      </c>
      <c r="P8" s="22">
        <f>851.27</f>
        <v>851.27</v>
      </c>
      <c r="Q8" s="22">
        <f>329</f>
        <v>329</v>
      </c>
    </row>
    <row r="9" spans="1:17" ht="13.5" customHeight="1">
      <c r="A9" s="19" t="s">
        <v>34</v>
      </c>
      <c r="B9" s="19" t="s">
        <v>29</v>
      </c>
      <c r="C9" s="20"/>
      <c r="D9" s="20"/>
      <c r="E9" s="21"/>
      <c r="F9" s="22">
        <v>2021</v>
      </c>
      <c r="G9" s="19" t="s">
        <v>23</v>
      </c>
      <c r="H9" s="22">
        <f>200500</f>
        <v>200500</v>
      </c>
      <c r="I9" s="22">
        <f>330220</f>
        <v>330220</v>
      </c>
      <c r="J9" s="22">
        <f>10.53</f>
        <v>10.53</v>
      </c>
      <c r="K9" s="22">
        <f t="shared" ref="K9:O59" si="10">15.2</f>
        <v>15.2</v>
      </c>
      <c r="L9" s="20"/>
      <c r="M9" s="20"/>
      <c r="N9" s="22">
        <f>46.2</f>
        <v>46.2</v>
      </c>
      <c r="O9" s="22">
        <f>13</f>
        <v>13</v>
      </c>
      <c r="P9" s="22">
        <f>16429.96</f>
        <v>16429.96</v>
      </c>
      <c r="Q9" s="22">
        <f>8093</f>
        <v>8093</v>
      </c>
    </row>
    <row r="10" spans="1:17" ht="13.5" customHeight="1">
      <c r="A10" s="19" t="s">
        <v>35</v>
      </c>
      <c r="B10" s="19" t="s">
        <v>36</v>
      </c>
      <c r="C10" s="19" t="s">
        <v>37</v>
      </c>
      <c r="D10" s="19" t="s">
        <v>20</v>
      </c>
      <c r="E10" s="24">
        <v>1960.08</v>
      </c>
      <c r="F10" s="22">
        <v>2022</v>
      </c>
      <c r="G10" s="19" t="s">
        <v>21</v>
      </c>
      <c r="H10" s="22">
        <f>23668</f>
        <v>23668</v>
      </c>
      <c r="I10" s="22">
        <f>37479</f>
        <v>37479</v>
      </c>
      <c r="J10" s="22">
        <f>12.75</f>
        <v>12.75</v>
      </c>
      <c r="K10" s="22">
        <f t="shared" ref="K10:K93" si="11">16.3</f>
        <v>16.3</v>
      </c>
      <c r="L10" s="20"/>
      <c r="M10" s="20"/>
      <c r="N10" s="22">
        <f>42.24</f>
        <v>42.24</v>
      </c>
      <c r="O10" s="22">
        <f t="shared" ref="O10:O68" si="12">14.5</f>
        <v>14.5</v>
      </c>
      <c r="P10" s="22">
        <f>1906.95</f>
        <v>1906.95</v>
      </c>
      <c r="Q10" s="22">
        <f t="shared" ref="Q10:Q32" si="13">795</f>
        <v>795</v>
      </c>
    </row>
    <row r="11" spans="1:17" ht="13.5" customHeight="1">
      <c r="A11" s="19" t="s">
        <v>38</v>
      </c>
      <c r="B11" s="19" t="s">
        <v>36</v>
      </c>
      <c r="C11" s="20"/>
      <c r="D11" s="20"/>
      <c r="E11" s="21"/>
      <c r="F11" s="22">
        <v>2022</v>
      </c>
      <c r="G11" s="19" t="s">
        <v>25</v>
      </c>
      <c r="H11" s="22">
        <f>1991</f>
        <v>1991</v>
      </c>
      <c r="I11" s="22">
        <f>3302</f>
        <v>3302</v>
      </c>
      <c r="J11" s="22">
        <f>8</f>
        <v>8</v>
      </c>
      <c r="K11" s="22">
        <f t="shared" ref="K11:O16" si="14">11.5</f>
        <v>11.5</v>
      </c>
      <c r="L11" s="20"/>
      <c r="M11" s="20"/>
      <c r="N11" s="22">
        <f>50.53</f>
        <v>50.53</v>
      </c>
      <c r="O11" s="22">
        <f t="shared" ref="O11:O25" si="15">9.3</f>
        <v>9.3000000000000007</v>
      </c>
      <c r="P11" s="22">
        <f>172.43</f>
        <v>172.43</v>
      </c>
      <c r="Q11" s="22">
        <f>159</f>
        <v>159</v>
      </c>
    </row>
    <row r="12" spans="1:17" ht="13.5" customHeight="1">
      <c r="A12" s="19" t="s">
        <v>39</v>
      </c>
      <c r="B12" s="19" t="s">
        <v>36</v>
      </c>
      <c r="C12" s="20"/>
      <c r="D12" s="20"/>
      <c r="E12" s="21"/>
      <c r="F12" s="22">
        <v>2022</v>
      </c>
      <c r="G12" s="19" t="s">
        <v>40</v>
      </c>
      <c r="H12" s="22">
        <f>2478</f>
        <v>2478</v>
      </c>
      <c r="I12" s="22">
        <f>4131</f>
        <v>4131</v>
      </c>
      <c r="J12" s="22">
        <f>7.42</f>
        <v>7.42</v>
      </c>
      <c r="K12" s="22">
        <f t="shared" si="14"/>
        <v>11.5</v>
      </c>
      <c r="L12" s="20"/>
      <c r="M12" s="20"/>
      <c r="N12" s="22">
        <f t="shared" ref="N12:N13" si="16">50.84</f>
        <v>50.84</v>
      </c>
      <c r="O12" s="22">
        <f t="shared" ref="O12:O76" si="17">9.2</f>
        <v>9.1999999999999993</v>
      </c>
      <c r="P12" s="22">
        <f>217.51</f>
        <v>217.51</v>
      </c>
      <c r="Q12" s="22">
        <f>203</f>
        <v>203</v>
      </c>
    </row>
    <row r="13" spans="1:17" ht="13.5" customHeight="1">
      <c r="A13" s="19" t="s">
        <v>41</v>
      </c>
      <c r="B13" s="19" t="s">
        <v>36</v>
      </c>
      <c r="C13" s="20"/>
      <c r="D13" s="20"/>
      <c r="E13" s="21"/>
      <c r="F13" s="22">
        <v>2022</v>
      </c>
      <c r="G13" s="19" t="s">
        <v>27</v>
      </c>
      <c r="H13" s="22">
        <f>2520</f>
        <v>2520</v>
      </c>
      <c r="I13" s="22">
        <f>4197</f>
        <v>4197</v>
      </c>
      <c r="J13" s="22">
        <f>7.56</f>
        <v>7.56</v>
      </c>
      <c r="K13" s="22">
        <f t="shared" ref="K13:O41" si="18">11.4</f>
        <v>11.4</v>
      </c>
      <c r="L13" s="20"/>
      <c r="M13" s="20"/>
      <c r="N13" s="22">
        <f t="shared" si="16"/>
        <v>50.84</v>
      </c>
      <c r="O13" s="22">
        <f t="shared" si="17"/>
        <v>9.1999999999999993</v>
      </c>
      <c r="P13" s="22">
        <f>220.95</f>
        <v>220.95</v>
      </c>
      <c r="Q13" s="22">
        <f>207</f>
        <v>207</v>
      </c>
    </row>
    <row r="14" spans="1:17" ht="13.5" customHeight="1">
      <c r="A14" s="19" t="s">
        <v>42</v>
      </c>
      <c r="B14" s="19" t="s">
        <v>36</v>
      </c>
      <c r="C14" s="20"/>
      <c r="D14" s="20"/>
      <c r="E14" s="21"/>
      <c r="F14" s="22">
        <v>2021</v>
      </c>
      <c r="G14" s="19" t="s">
        <v>23</v>
      </c>
      <c r="H14" s="22">
        <f>85839</f>
        <v>85839</v>
      </c>
      <c r="I14" s="22">
        <f>136561</f>
        <v>136561</v>
      </c>
      <c r="J14" s="22">
        <f>8.73</f>
        <v>8.73</v>
      </c>
      <c r="K14" s="22">
        <f t="shared" ref="K14:O52" si="19">14.3</f>
        <v>14.3</v>
      </c>
      <c r="L14" s="20"/>
      <c r="M14" s="20"/>
      <c r="N14" s="22">
        <f t="shared" ref="N14:N35" si="20">43.12</f>
        <v>43.12</v>
      </c>
      <c r="O14" s="22">
        <f t="shared" ref="O14:O96" si="21">12.1</f>
        <v>12.1</v>
      </c>
      <c r="P14" s="22">
        <f>6800.07</f>
        <v>6800.07</v>
      </c>
      <c r="Q14" s="22">
        <f>4220</f>
        <v>4220</v>
      </c>
    </row>
    <row r="15" spans="1:17" ht="13.5" customHeight="1">
      <c r="A15" s="19" t="s">
        <v>43</v>
      </c>
      <c r="B15" s="25" t="s">
        <v>44</v>
      </c>
      <c r="C15" s="25" t="s">
        <v>45</v>
      </c>
      <c r="D15" s="25" t="s">
        <v>20</v>
      </c>
      <c r="E15" s="26">
        <v>2071.15</v>
      </c>
      <c r="F15" s="22">
        <v>2022</v>
      </c>
      <c r="G15" s="19" t="s">
        <v>21</v>
      </c>
      <c r="H15" s="22">
        <f>21066</f>
        <v>21066</v>
      </c>
      <c r="I15" s="22">
        <f>32807</f>
        <v>32807</v>
      </c>
      <c r="J15" s="22">
        <f t="shared" ref="J15:J32" si="22">9.86</f>
        <v>9.86</v>
      </c>
      <c r="K15" s="22">
        <f t="shared" ref="K15:O56" si="23">13.4</f>
        <v>13.4</v>
      </c>
      <c r="L15" s="20"/>
      <c r="M15" s="20"/>
      <c r="N15" s="22">
        <f>49.15</f>
        <v>49.15</v>
      </c>
      <c r="O15" s="22">
        <f>11.9</f>
        <v>11.9</v>
      </c>
      <c r="P15" s="22">
        <f>1707.61</f>
        <v>1707.61</v>
      </c>
      <c r="Q15" s="22">
        <f>954</f>
        <v>954</v>
      </c>
    </row>
    <row r="16" spans="1:17" ht="13.5" customHeight="1">
      <c r="A16" s="19" t="s">
        <v>46</v>
      </c>
      <c r="B16" s="25" t="s">
        <v>44</v>
      </c>
      <c r="C16" s="27"/>
      <c r="D16" s="27"/>
      <c r="E16" s="28"/>
      <c r="F16" s="22">
        <v>2022</v>
      </c>
      <c r="G16" s="19" t="s">
        <v>25</v>
      </c>
      <c r="H16" s="22">
        <f>8345</f>
        <v>8345</v>
      </c>
      <c r="I16" s="22">
        <f>13163</f>
        <v>13163</v>
      </c>
      <c r="J16" s="22">
        <f>9.88</f>
        <v>9.8800000000000008</v>
      </c>
      <c r="K16" s="22">
        <f t="shared" ref="K16:O44" si="24">13.2</f>
        <v>13.2</v>
      </c>
      <c r="L16" s="20"/>
      <c r="M16" s="20"/>
      <c r="N16" s="22">
        <f>50.16</f>
        <v>50.16</v>
      </c>
      <c r="O16" s="22">
        <f t="shared" si="14"/>
        <v>11.5</v>
      </c>
      <c r="P16" s="22">
        <f>685.98</f>
        <v>685.98</v>
      </c>
      <c r="Q16" s="22">
        <f>398</f>
        <v>398</v>
      </c>
    </row>
    <row r="17" spans="1:17" ht="13.5" customHeight="1">
      <c r="A17" s="19" t="s">
        <v>47</v>
      </c>
      <c r="B17" s="25" t="s">
        <v>44</v>
      </c>
      <c r="C17" s="27"/>
      <c r="D17" s="27"/>
      <c r="E17" s="28"/>
      <c r="F17" s="22">
        <v>2022</v>
      </c>
      <c r="G17" s="19" t="s">
        <v>27</v>
      </c>
      <c r="H17" s="22">
        <f>8876</f>
        <v>8876</v>
      </c>
      <c r="I17" s="22">
        <f>13762</f>
        <v>13762</v>
      </c>
      <c r="J17" s="22">
        <f>9.29</f>
        <v>9.2899999999999991</v>
      </c>
      <c r="K17" s="22">
        <f t="shared" ref="K17:O38" si="25">12.6</f>
        <v>12.6</v>
      </c>
      <c r="L17" s="20"/>
      <c r="M17" s="20"/>
      <c r="N17" s="22">
        <f>59.74</f>
        <v>59.74</v>
      </c>
      <c r="O17" s="22">
        <f t="shared" ref="O17:O79" si="26">9.9</f>
        <v>9.9</v>
      </c>
      <c r="P17" s="22">
        <f>730.8</f>
        <v>730.8</v>
      </c>
      <c r="Q17" s="22">
        <f>446</f>
        <v>446</v>
      </c>
    </row>
    <row r="18" spans="1:17" ht="13.5" customHeight="1">
      <c r="A18" s="19" t="s">
        <v>48</v>
      </c>
      <c r="B18" s="25" t="s">
        <v>44</v>
      </c>
      <c r="C18" s="27"/>
      <c r="D18" s="27"/>
      <c r="E18" s="28"/>
      <c r="F18" s="22">
        <v>2021</v>
      </c>
      <c r="G18" s="19" t="s">
        <v>23</v>
      </c>
      <c r="H18" s="22">
        <f>158552</f>
        <v>158552</v>
      </c>
      <c r="I18" s="22">
        <f>261011</f>
        <v>261011</v>
      </c>
      <c r="J18" s="22">
        <f>10.02</f>
        <v>10.02</v>
      </c>
      <c r="K18" s="22">
        <f t="shared" ref="K18:O65" si="27">15.1</f>
        <v>15.1</v>
      </c>
      <c r="L18" s="20"/>
      <c r="M18" s="20"/>
      <c r="N18" s="22">
        <f>39.16</f>
        <v>39.159999999999997</v>
      </c>
      <c r="O18" s="22">
        <f>13.6</f>
        <v>13.6</v>
      </c>
      <c r="P18" s="22">
        <f>13035.74</f>
        <v>13035.74</v>
      </c>
      <c r="Q18" s="22">
        <f>6724</f>
        <v>6724</v>
      </c>
    </row>
    <row r="19" spans="1:17" ht="13.5" customHeight="1">
      <c r="A19" s="19" t="s">
        <v>49</v>
      </c>
      <c r="B19" s="19" t="s">
        <v>50</v>
      </c>
      <c r="C19" s="19" t="s">
        <v>51</v>
      </c>
      <c r="D19" s="19" t="s">
        <v>20</v>
      </c>
      <c r="E19" s="29">
        <v>2078.9499999999998</v>
      </c>
      <c r="F19" s="22">
        <v>2021</v>
      </c>
      <c r="G19" s="19" t="s">
        <v>23</v>
      </c>
      <c r="H19" s="22">
        <f>130447</f>
        <v>130447</v>
      </c>
      <c r="I19" s="22">
        <v>222228</v>
      </c>
      <c r="J19" s="22">
        <f>10.13</f>
        <v>10.130000000000001</v>
      </c>
      <c r="K19" s="22">
        <f>16</f>
        <v>16</v>
      </c>
      <c r="L19" s="20"/>
      <c r="M19" s="20"/>
      <c r="N19" s="22">
        <f>30.91</f>
        <v>30.91</v>
      </c>
      <c r="O19" s="22">
        <f t="shared" ref="O19:O73" si="28">14.7</f>
        <v>14.7</v>
      </c>
      <c r="P19" s="22">
        <f>10555.84</f>
        <v>10555.84</v>
      </c>
      <c r="Q19" s="22">
        <f>5443</f>
        <v>5443</v>
      </c>
    </row>
    <row r="20" spans="1:17" ht="13.5" customHeight="1">
      <c r="A20" s="19" t="s">
        <v>52</v>
      </c>
      <c r="B20" s="19" t="s">
        <v>50</v>
      </c>
      <c r="C20" s="20"/>
      <c r="D20" s="20"/>
      <c r="E20" s="21"/>
      <c r="F20" s="22">
        <v>2022</v>
      </c>
      <c r="G20" s="19" t="s">
        <v>21</v>
      </c>
      <c r="H20" s="22">
        <f>20887</f>
        <v>20887</v>
      </c>
      <c r="I20" s="22">
        <f>33202</f>
        <v>33202</v>
      </c>
      <c r="J20" s="22">
        <f>11.36</f>
        <v>11.36</v>
      </c>
      <c r="K20" s="22">
        <f t="shared" si="27"/>
        <v>15.1</v>
      </c>
      <c r="L20" s="20"/>
      <c r="M20" s="20"/>
      <c r="N20" s="22">
        <f>37.84</f>
        <v>37.840000000000003</v>
      </c>
      <c r="O20" s="22">
        <f>14.1</f>
        <v>14.1</v>
      </c>
      <c r="P20" s="22">
        <f>1628.43</f>
        <v>1628.43</v>
      </c>
      <c r="Q20" s="22">
        <f>807</f>
        <v>807</v>
      </c>
    </row>
    <row r="21" spans="1:17" ht="13.5" customHeight="1">
      <c r="A21" s="19" t="s">
        <v>53</v>
      </c>
      <c r="B21" s="19" t="s">
        <v>50</v>
      </c>
      <c r="C21" s="20"/>
      <c r="D21" s="20"/>
      <c r="E21" s="21"/>
      <c r="F21" s="22">
        <v>2022</v>
      </c>
      <c r="G21" s="19" t="s">
        <v>25</v>
      </c>
      <c r="H21" s="22">
        <f>5968</f>
        <v>5968</v>
      </c>
      <c r="I21" s="22">
        <f>8456</f>
        <v>8456</v>
      </c>
      <c r="J21" s="22">
        <f>10.07</f>
        <v>10.07</v>
      </c>
      <c r="K21" s="22">
        <f t="shared" si="2"/>
        <v>12.4</v>
      </c>
      <c r="L21" s="20"/>
      <c r="M21" s="20"/>
      <c r="N21" s="22">
        <f t="shared" ref="N21:N22" si="29">58.72</f>
        <v>58.72</v>
      </c>
      <c r="O21" s="22">
        <f t="shared" ref="O21:O22" si="30">10.3</f>
        <v>10.3</v>
      </c>
      <c r="P21" s="22">
        <f>450.2</f>
        <v>450.2</v>
      </c>
      <c r="Q21" s="22">
        <f>266</f>
        <v>266</v>
      </c>
    </row>
    <row r="22" spans="1:17" ht="13.5" customHeight="1">
      <c r="A22" s="19" t="s">
        <v>54</v>
      </c>
      <c r="B22" s="19" t="s">
        <v>50</v>
      </c>
      <c r="C22" s="20"/>
      <c r="D22" s="20"/>
      <c r="E22" s="21"/>
      <c r="F22" s="22">
        <v>2022</v>
      </c>
      <c r="G22" s="19" t="s">
        <v>27</v>
      </c>
      <c r="H22" s="22">
        <f>7787</f>
        <v>7787</v>
      </c>
      <c r="I22" s="22">
        <f>10810</f>
        <v>10810</v>
      </c>
      <c r="J22" s="22">
        <f>10.06</f>
        <v>10.06</v>
      </c>
      <c r="K22" s="22">
        <f>12.1</f>
        <v>12.1</v>
      </c>
      <c r="L22" s="20"/>
      <c r="M22" s="20"/>
      <c r="N22" s="22">
        <f t="shared" si="29"/>
        <v>58.72</v>
      </c>
      <c r="O22" s="22">
        <f t="shared" si="30"/>
        <v>10.3</v>
      </c>
      <c r="P22" s="22">
        <f>579.51</f>
        <v>579.51</v>
      </c>
      <c r="Q22" s="22">
        <f>348</f>
        <v>348</v>
      </c>
    </row>
    <row r="23" spans="1:17" ht="15" customHeight="1">
      <c r="A23" s="19" t="s">
        <v>55</v>
      </c>
      <c r="B23" s="30" t="s">
        <v>56</v>
      </c>
      <c r="C23" s="30" t="s">
        <v>57</v>
      </c>
      <c r="D23" s="30" t="s">
        <v>20</v>
      </c>
      <c r="E23" s="31">
        <v>1781.69</v>
      </c>
      <c r="F23" s="22">
        <v>2021</v>
      </c>
      <c r="G23" s="19" t="s">
        <v>23</v>
      </c>
      <c r="H23" s="22">
        <f>35716</f>
        <v>35716</v>
      </c>
      <c r="I23" s="22">
        <f>201808</f>
        <v>201808</v>
      </c>
      <c r="J23" s="22">
        <f>9.85</f>
        <v>9.85</v>
      </c>
      <c r="K23" s="22">
        <f>15.3</f>
        <v>15.3</v>
      </c>
      <c r="L23" s="20"/>
      <c r="M23" s="20"/>
      <c r="N23" s="22">
        <f t="shared" ref="N23:N43" si="31">40.28</f>
        <v>40.28</v>
      </c>
      <c r="O23" s="22">
        <f t="shared" si="24"/>
        <v>13.2</v>
      </c>
      <c r="P23" s="22">
        <f>9558.36</f>
        <v>9558.36</v>
      </c>
      <c r="Q23" s="22">
        <f>5253</f>
        <v>5253</v>
      </c>
    </row>
    <row r="24" spans="1:17" ht="15" customHeight="1">
      <c r="A24" s="19" t="s">
        <v>58</v>
      </c>
      <c r="B24" s="30" t="s">
        <v>56</v>
      </c>
      <c r="C24" s="32"/>
      <c r="D24" s="32"/>
      <c r="E24" s="33"/>
      <c r="F24" s="22">
        <v>2022</v>
      </c>
      <c r="G24" s="19" t="s">
        <v>21</v>
      </c>
      <c r="H24" s="22">
        <f>1374</f>
        <v>1374</v>
      </c>
      <c r="I24" s="22">
        <f>2164</f>
        <v>2164</v>
      </c>
      <c r="J24" s="22">
        <f>9.23</f>
        <v>9.23</v>
      </c>
      <c r="K24" s="22">
        <f t="shared" si="4"/>
        <v>12</v>
      </c>
      <c r="L24" s="20"/>
      <c r="M24" s="20"/>
      <c r="N24" s="22">
        <f>56.66</f>
        <v>56.66</v>
      </c>
      <c r="O24" s="22">
        <f>9</f>
        <v>9</v>
      </c>
      <c r="P24" s="22">
        <f>109.93</f>
        <v>109.93</v>
      </c>
      <c r="Q24" s="22">
        <f>92</f>
        <v>92</v>
      </c>
    </row>
    <row r="25" spans="1:17" ht="15" customHeight="1">
      <c r="A25" s="19" t="s">
        <v>59</v>
      </c>
      <c r="B25" s="30" t="s">
        <v>56</v>
      </c>
      <c r="C25" s="32"/>
      <c r="D25" s="32"/>
      <c r="E25" s="33"/>
      <c r="F25" s="22">
        <v>2022</v>
      </c>
      <c r="G25" s="19" t="s">
        <v>25</v>
      </c>
      <c r="H25" s="22">
        <f>1265</f>
        <v>1265</v>
      </c>
      <c r="I25" s="22">
        <f>2037</f>
        <v>2037</v>
      </c>
      <c r="J25" s="22">
        <f>9.84</f>
        <v>9.84</v>
      </c>
      <c r="K25" s="22">
        <f t="shared" si="2"/>
        <v>12.4</v>
      </c>
      <c r="L25" s="20"/>
      <c r="M25" s="20"/>
      <c r="N25" s="22">
        <f>55.74</f>
        <v>55.74</v>
      </c>
      <c r="O25" s="22">
        <f t="shared" si="15"/>
        <v>9.3000000000000007</v>
      </c>
      <c r="P25" s="22">
        <f>102.79</f>
        <v>102.79</v>
      </c>
      <c r="Q25" s="22">
        <f>80</f>
        <v>80</v>
      </c>
    </row>
    <row r="26" spans="1:17" ht="15" customHeight="1">
      <c r="A26" s="19" t="s">
        <v>60</v>
      </c>
      <c r="B26" s="30" t="s">
        <v>56</v>
      </c>
      <c r="C26" s="32"/>
      <c r="D26" s="32"/>
      <c r="E26" s="33"/>
      <c r="F26" s="22">
        <v>2022</v>
      </c>
      <c r="G26" s="19" t="s">
        <v>27</v>
      </c>
      <c r="H26" s="22">
        <f>1326</f>
        <v>1326</v>
      </c>
      <c r="I26" s="22">
        <f>2052</f>
        <v>2052</v>
      </c>
      <c r="J26" s="22">
        <f>9.47</f>
        <v>9.4700000000000006</v>
      </c>
      <c r="K26" s="22">
        <f t="shared" ref="K26:O34" si="32">11.8</f>
        <v>11.8</v>
      </c>
      <c r="L26" s="20"/>
      <c r="M26" s="20"/>
      <c r="N26" s="22">
        <f>56.05</f>
        <v>56.05</v>
      </c>
      <c r="O26" s="22">
        <f t="shared" si="17"/>
        <v>9.1999999999999993</v>
      </c>
      <c r="P26" s="22">
        <f>105.2</f>
        <v>105.2</v>
      </c>
      <c r="Q26" s="22">
        <f t="shared" ref="Q26:Q71" si="33">86</f>
        <v>86</v>
      </c>
    </row>
    <row r="27" spans="1:17" ht="27.75" customHeight="1">
      <c r="A27" s="19" t="s">
        <v>61</v>
      </c>
      <c r="B27" s="34" t="s">
        <v>62</v>
      </c>
      <c r="C27" s="34" t="s">
        <v>37</v>
      </c>
      <c r="D27" s="34" t="s">
        <v>20</v>
      </c>
      <c r="E27" s="35">
        <v>1960.08</v>
      </c>
      <c r="F27" s="22">
        <v>2022</v>
      </c>
      <c r="G27" s="19" t="s">
        <v>40</v>
      </c>
      <c r="H27" s="22">
        <f>26152</f>
        <v>26152</v>
      </c>
      <c r="I27" s="22">
        <f>41481</f>
        <v>41481</v>
      </c>
      <c r="J27" s="22">
        <f t="shared" si="6"/>
        <v>14.25</v>
      </c>
      <c r="K27" s="22">
        <f t="shared" ref="K27:K92" si="34">16.9</f>
        <v>16.899999999999999</v>
      </c>
      <c r="L27" s="20"/>
      <c r="M27" s="20"/>
      <c r="N27" s="22">
        <f>37.88</f>
        <v>37.880000000000003</v>
      </c>
      <c r="O27" s="22">
        <f t="shared" si="5"/>
        <v>16.2</v>
      </c>
      <c r="P27" s="22">
        <f>1965.21</f>
        <v>1965.21</v>
      </c>
      <c r="Q27" s="22">
        <f>770</f>
        <v>770</v>
      </c>
    </row>
    <row r="28" spans="1:17" ht="27.75" customHeight="1">
      <c r="A28" s="19" t="s">
        <v>63</v>
      </c>
      <c r="B28" s="34" t="s">
        <v>62</v>
      </c>
      <c r="C28" s="36"/>
      <c r="D28" s="36"/>
      <c r="E28" s="37"/>
      <c r="F28" s="22">
        <v>2022</v>
      </c>
      <c r="G28" s="19" t="s">
        <v>27</v>
      </c>
      <c r="H28" s="22">
        <f>14782</f>
        <v>14782</v>
      </c>
      <c r="I28" s="22">
        <f>22604</f>
        <v>22604</v>
      </c>
      <c r="J28" s="22">
        <f>13.74</f>
        <v>13.74</v>
      </c>
      <c r="K28" s="22">
        <f t="shared" si="11"/>
        <v>16.3</v>
      </c>
      <c r="L28" s="20"/>
      <c r="M28" s="20"/>
      <c r="N28" s="22">
        <f>39.4</f>
        <v>39.4</v>
      </c>
      <c r="O28" s="22">
        <f t="shared" si="8"/>
        <v>15.6</v>
      </c>
      <c r="P28" s="22">
        <f>1073.3</f>
        <v>1073.3</v>
      </c>
      <c r="Q28" s="22">
        <f>448</f>
        <v>448</v>
      </c>
    </row>
    <row r="29" spans="1:17" ht="27.75" customHeight="1">
      <c r="A29" s="19" t="s">
        <v>64</v>
      </c>
      <c r="B29" s="34" t="s">
        <v>62</v>
      </c>
      <c r="C29" s="36"/>
      <c r="D29" s="36"/>
      <c r="E29" s="37"/>
      <c r="F29" s="22">
        <v>2022</v>
      </c>
      <c r="G29" s="19" t="s">
        <v>25</v>
      </c>
      <c r="H29" s="22">
        <f>12389</f>
        <v>12389</v>
      </c>
      <c r="I29" s="22">
        <f>18996</f>
        <v>18996</v>
      </c>
      <c r="J29" s="22">
        <f>12.86</f>
        <v>12.86</v>
      </c>
      <c r="K29" s="22">
        <f t="shared" ref="K29:K74" si="35">15.8</f>
        <v>15.8</v>
      </c>
      <c r="L29" s="20"/>
      <c r="M29" s="20"/>
      <c r="N29" s="22">
        <f>42.14</f>
        <v>42.14</v>
      </c>
      <c r="O29" s="22">
        <f t="shared" si="9"/>
        <v>14.6</v>
      </c>
      <c r="P29" s="22">
        <f>895.05</f>
        <v>895.05</v>
      </c>
      <c r="Q29" s="22">
        <f>409</f>
        <v>409</v>
      </c>
    </row>
    <row r="30" spans="1:17" ht="27.75" customHeight="1">
      <c r="A30" s="19" t="s">
        <v>65</v>
      </c>
      <c r="B30" s="34" t="s">
        <v>62</v>
      </c>
      <c r="C30" s="36"/>
      <c r="D30" s="36"/>
      <c r="E30" s="37"/>
      <c r="F30" s="22">
        <v>2021</v>
      </c>
      <c r="G30" s="19" t="s">
        <v>23</v>
      </c>
      <c r="H30" s="22">
        <v>184881</v>
      </c>
      <c r="I30" s="22">
        <f>296323</f>
        <v>296323</v>
      </c>
      <c r="J30" s="22">
        <f>11.85</f>
        <v>11.85</v>
      </c>
      <c r="K30" s="22">
        <f t="shared" si="11"/>
        <v>16.3</v>
      </c>
      <c r="L30" s="20"/>
      <c r="M30" s="20"/>
      <c r="N30" s="22">
        <f>34.49</f>
        <v>34.49</v>
      </c>
      <c r="O30" s="22">
        <f t="shared" si="0"/>
        <v>15.4</v>
      </c>
      <c r="P30" s="22">
        <f>13774.05</f>
        <v>13774.05</v>
      </c>
      <c r="Q30" s="22">
        <f>6329</f>
        <v>6329</v>
      </c>
    </row>
    <row r="31" spans="1:17" ht="15" customHeight="1">
      <c r="A31" s="19" t="s">
        <v>66</v>
      </c>
      <c r="B31" s="30" t="s">
        <v>67</v>
      </c>
      <c r="C31" s="30" t="s">
        <v>68</v>
      </c>
      <c r="D31" s="30" t="s">
        <v>20</v>
      </c>
      <c r="E31" s="38">
        <v>2056.8000000000002</v>
      </c>
      <c r="F31" s="22">
        <v>2022</v>
      </c>
      <c r="G31" s="19" t="s">
        <v>25</v>
      </c>
      <c r="H31" s="22">
        <f>21141</f>
        <v>21141</v>
      </c>
      <c r="I31" s="22">
        <f>32918</f>
        <v>32918</v>
      </c>
      <c r="J31" s="22">
        <f>10.08</f>
        <v>10.08</v>
      </c>
      <c r="K31" s="22">
        <f t="shared" ref="K31:O67" si="36">14</f>
        <v>14</v>
      </c>
      <c r="L31" s="20"/>
      <c r="M31" s="20"/>
      <c r="N31" s="22">
        <f>49.25</f>
        <v>49.25</v>
      </c>
      <c r="O31" s="22">
        <f t="shared" si="32"/>
        <v>11.8</v>
      </c>
      <c r="P31" s="22">
        <f>1487.88</f>
        <v>1487.88</v>
      </c>
      <c r="Q31" s="22">
        <f>949</f>
        <v>949</v>
      </c>
    </row>
    <row r="32" spans="1:17" ht="13.5" customHeight="1">
      <c r="A32" s="19" t="s">
        <v>69</v>
      </c>
      <c r="B32" s="19" t="s">
        <v>67</v>
      </c>
      <c r="C32" s="20"/>
      <c r="D32" s="20"/>
      <c r="E32" s="21"/>
      <c r="F32" s="22">
        <v>2022</v>
      </c>
      <c r="G32" s="19" t="s">
        <v>40</v>
      </c>
      <c r="H32" s="22">
        <f>17575</f>
        <v>17575</v>
      </c>
      <c r="I32" s="22">
        <f>26473</f>
        <v>26473</v>
      </c>
      <c r="J32" s="22">
        <f t="shared" si="22"/>
        <v>9.86</v>
      </c>
      <c r="K32" s="22">
        <f>13.6</f>
        <v>13.6</v>
      </c>
      <c r="L32" s="20"/>
      <c r="M32" s="20"/>
      <c r="N32" s="22">
        <f>49.75</f>
        <v>49.75</v>
      </c>
      <c r="O32" s="22">
        <f t="shared" ref="O32:O56" si="37">11.6</f>
        <v>11.6</v>
      </c>
      <c r="P32" s="22">
        <f>1203.36</f>
        <v>1203.3599999999999</v>
      </c>
      <c r="Q32" s="22">
        <f t="shared" si="13"/>
        <v>795</v>
      </c>
    </row>
    <row r="33" spans="1:17" ht="13.5" customHeight="1">
      <c r="A33" s="19" t="s">
        <v>70</v>
      </c>
      <c r="B33" s="19" t="s">
        <v>67</v>
      </c>
      <c r="C33" s="20"/>
      <c r="D33" s="20"/>
      <c r="E33" s="21"/>
      <c r="F33" s="22">
        <v>2021</v>
      </c>
      <c r="G33" s="19" t="s">
        <v>23</v>
      </c>
      <c r="H33" s="22">
        <f>115316</f>
        <v>115316</v>
      </c>
      <c r="I33" s="22">
        <f>180661</f>
        <v>180661</v>
      </c>
      <c r="J33" s="22">
        <f>10.04</f>
        <v>10.039999999999999</v>
      </c>
      <c r="K33" s="22">
        <f>14.6</f>
        <v>14.6</v>
      </c>
      <c r="L33" s="20"/>
      <c r="M33" s="20"/>
      <c r="N33" s="22">
        <f>47.72</f>
        <v>47.72</v>
      </c>
      <c r="O33" s="22">
        <f t="shared" si="2"/>
        <v>12.4</v>
      </c>
      <c r="P33" s="22">
        <f>8360.89</f>
        <v>8360.89</v>
      </c>
      <c r="Q33" s="22">
        <f>4822</f>
        <v>4822</v>
      </c>
    </row>
    <row r="34" spans="1:17" ht="13.5" customHeight="1">
      <c r="A34" s="19" t="s">
        <v>71</v>
      </c>
      <c r="B34" s="19" t="s">
        <v>67</v>
      </c>
      <c r="C34" s="20"/>
      <c r="D34" s="20"/>
      <c r="E34" s="21"/>
      <c r="F34" s="22">
        <v>2022</v>
      </c>
      <c r="G34" s="19" t="s">
        <v>27</v>
      </c>
      <c r="H34" s="22">
        <f>6661</f>
        <v>6661</v>
      </c>
      <c r="I34" s="22">
        <f>9882</f>
        <v>9882</v>
      </c>
      <c r="J34" s="22">
        <f>10.5</f>
        <v>10.5</v>
      </c>
      <c r="K34" s="22">
        <f>13.7</f>
        <v>13.7</v>
      </c>
      <c r="L34" s="20"/>
      <c r="M34" s="20"/>
      <c r="N34" s="22">
        <f>49.35</f>
        <v>49.35</v>
      </c>
      <c r="O34" s="22">
        <f t="shared" si="32"/>
        <v>11.8</v>
      </c>
      <c r="P34" s="22">
        <f>473.87</f>
        <v>473.87</v>
      </c>
      <c r="Q34" s="22">
        <f>291</f>
        <v>291</v>
      </c>
    </row>
    <row r="35" spans="1:17" ht="13.5" customHeight="1">
      <c r="A35" s="19" t="s">
        <v>72</v>
      </c>
      <c r="B35" s="19" t="s">
        <v>73</v>
      </c>
      <c r="C35" s="19" t="s">
        <v>74</v>
      </c>
      <c r="D35" s="19" t="s">
        <v>20</v>
      </c>
      <c r="E35" s="21"/>
      <c r="F35" s="22">
        <v>2021</v>
      </c>
      <c r="G35" s="19" t="s">
        <v>23</v>
      </c>
      <c r="H35" s="22">
        <f>122786</f>
        <v>122786</v>
      </c>
      <c r="I35" s="22">
        <f>210132</f>
        <v>210132</v>
      </c>
      <c r="J35" s="22">
        <f>8.54</f>
        <v>8.5399999999999991</v>
      </c>
      <c r="K35" s="22">
        <f t="shared" ref="K35:K77" si="38">14.9</f>
        <v>14.9</v>
      </c>
      <c r="L35" s="20"/>
      <c r="M35" s="20"/>
      <c r="N35" s="22">
        <f t="shared" si="20"/>
        <v>43.12</v>
      </c>
      <c r="O35" s="22">
        <f t="shared" si="21"/>
        <v>12.1</v>
      </c>
      <c r="P35" s="22">
        <f>10021.61</f>
        <v>10021.61</v>
      </c>
      <c r="Q35" s="22">
        <f>675</f>
        <v>675</v>
      </c>
    </row>
    <row r="36" spans="1:17" ht="13.5" customHeight="1">
      <c r="A36" s="19" t="s">
        <v>75</v>
      </c>
      <c r="B36" s="19" t="s">
        <v>73</v>
      </c>
      <c r="C36" s="20"/>
      <c r="D36" s="20"/>
      <c r="E36" s="21"/>
      <c r="F36" s="22">
        <v>2022</v>
      </c>
      <c r="G36" s="19" t="s">
        <v>21</v>
      </c>
      <c r="H36" s="22">
        <v>19839</v>
      </c>
      <c r="I36" s="22">
        <f>32368</f>
        <v>32368</v>
      </c>
      <c r="J36" s="22">
        <f t="shared" ref="J36:J80" si="39">7.97</f>
        <v>7.97</v>
      </c>
      <c r="K36" s="22">
        <f>13.6</f>
        <v>13.6</v>
      </c>
      <c r="L36" s="20"/>
      <c r="M36" s="20"/>
      <c r="N36" s="22">
        <f t="shared" ref="N36:N47" si="40">45.76</f>
        <v>45.76</v>
      </c>
      <c r="O36" s="22">
        <f t="shared" ref="O36:O99" si="41">11.1</f>
        <v>11.1</v>
      </c>
      <c r="P36" s="22">
        <f>1586.4</f>
        <v>1586.4</v>
      </c>
      <c r="Q36" s="22">
        <f>1139</f>
        <v>1139</v>
      </c>
    </row>
    <row r="37" spans="1:17" ht="13.5" customHeight="1">
      <c r="A37" s="19" t="s">
        <v>76</v>
      </c>
      <c r="B37" s="19" t="s">
        <v>73</v>
      </c>
      <c r="C37" s="20"/>
      <c r="D37" s="20"/>
      <c r="E37" s="21"/>
      <c r="F37" s="22">
        <v>2022</v>
      </c>
      <c r="G37" s="19" t="s">
        <v>25</v>
      </c>
      <c r="H37" s="22">
        <f>5329</f>
        <v>5329</v>
      </c>
      <c r="I37" s="22">
        <f>8843</f>
        <v>8843</v>
      </c>
      <c r="J37" s="22">
        <f t="shared" ref="J37:J46" si="42">9.5</f>
        <v>9.5</v>
      </c>
      <c r="K37" s="22">
        <f t="shared" si="27"/>
        <v>15.1</v>
      </c>
      <c r="L37" s="20"/>
      <c r="M37" s="20"/>
      <c r="N37" s="22">
        <f>42.72</f>
        <v>42.72</v>
      </c>
      <c r="O37" s="22">
        <f>12.3</f>
        <v>12.3</v>
      </c>
      <c r="P37" s="22">
        <f>435.62</f>
        <v>435.62</v>
      </c>
      <c r="Q37" s="22">
        <f>257</f>
        <v>257</v>
      </c>
    </row>
    <row r="38" spans="1:17" ht="13.5" customHeight="1">
      <c r="A38" s="19" t="s">
        <v>77</v>
      </c>
      <c r="B38" s="19" t="s">
        <v>73</v>
      </c>
      <c r="C38" s="20"/>
      <c r="D38" s="20"/>
      <c r="E38" s="21"/>
      <c r="F38" s="22">
        <v>2022</v>
      </c>
      <c r="G38" s="19" t="s">
        <v>27</v>
      </c>
      <c r="H38" s="22">
        <f>6021</f>
        <v>6021</v>
      </c>
      <c r="I38" s="22">
        <f>9804</f>
        <v>9804</v>
      </c>
      <c r="J38" s="22">
        <f>9.79</f>
        <v>9.7899999999999991</v>
      </c>
      <c r="K38" s="22">
        <f>15</f>
        <v>15</v>
      </c>
      <c r="L38" s="20"/>
      <c r="M38" s="20"/>
      <c r="N38" s="22">
        <f t="shared" ref="N38:N77" si="43">41.9</f>
        <v>41.9</v>
      </c>
      <c r="O38" s="22">
        <f t="shared" si="25"/>
        <v>12.6</v>
      </c>
      <c r="P38" s="22">
        <f>493.33</f>
        <v>493.33</v>
      </c>
      <c r="Q38" s="22">
        <f>280</f>
        <v>280</v>
      </c>
    </row>
    <row r="39" spans="1:17" ht="13.5" customHeight="1">
      <c r="A39" s="19" t="s">
        <v>78</v>
      </c>
      <c r="B39" s="19" t="s">
        <v>79</v>
      </c>
      <c r="C39" s="19" t="s">
        <v>51</v>
      </c>
      <c r="D39" s="19" t="s">
        <v>80</v>
      </c>
      <c r="E39" s="29">
        <v>2078.9499999999998</v>
      </c>
      <c r="F39" s="22">
        <v>2021</v>
      </c>
      <c r="G39" s="19" t="s">
        <v>23</v>
      </c>
      <c r="H39" s="22">
        <f>136343</f>
        <v>136343</v>
      </c>
      <c r="I39" s="22">
        <f>242155</f>
        <v>242155</v>
      </c>
      <c r="J39" s="22">
        <f>10.15</f>
        <v>10.15</v>
      </c>
      <c r="K39" s="22">
        <f>16.6</f>
        <v>16.600000000000001</v>
      </c>
      <c r="L39" s="20"/>
      <c r="M39" s="20"/>
      <c r="N39" s="22">
        <f>30.7</f>
        <v>30.7</v>
      </c>
      <c r="O39" s="22">
        <f t="shared" ref="O39:O64" si="44">14.8</f>
        <v>14.8</v>
      </c>
      <c r="P39" s="22">
        <f>11379.18</f>
        <v>11379.18</v>
      </c>
      <c r="Q39" s="22">
        <f>5702</f>
        <v>5702</v>
      </c>
    </row>
    <row r="40" spans="1:17" ht="13.5" customHeight="1">
      <c r="A40" s="19" t="s">
        <v>81</v>
      </c>
      <c r="B40" s="19" t="s">
        <v>79</v>
      </c>
      <c r="C40" s="20"/>
      <c r="D40" s="20"/>
      <c r="E40" s="21"/>
      <c r="F40" s="22">
        <v>2022</v>
      </c>
      <c r="G40" s="19" t="s">
        <v>21</v>
      </c>
      <c r="H40" s="22">
        <f>17110</f>
        <v>17110</v>
      </c>
      <c r="I40" s="22">
        <f>28455</f>
        <v>28455</v>
      </c>
      <c r="J40" s="22">
        <f>11.49</f>
        <v>11.49</v>
      </c>
      <c r="K40" s="22">
        <f t="shared" si="35"/>
        <v>15.8</v>
      </c>
      <c r="L40" s="20"/>
      <c r="M40" s="20"/>
      <c r="N40" s="22">
        <f>37.23</f>
        <v>37.229999999999997</v>
      </c>
      <c r="O40" s="22">
        <f>14.4</f>
        <v>14.4</v>
      </c>
      <c r="P40" s="22">
        <f>1368.55</f>
        <v>1368.55</v>
      </c>
      <c r="Q40" s="22">
        <f>660</f>
        <v>660</v>
      </c>
    </row>
    <row r="41" spans="1:17" ht="13.5" customHeight="1">
      <c r="A41" s="19" t="s">
        <v>82</v>
      </c>
      <c r="B41" s="19" t="s">
        <v>79</v>
      </c>
      <c r="C41" s="20"/>
      <c r="D41" s="20"/>
      <c r="E41" s="21"/>
      <c r="F41" s="22">
        <v>2022</v>
      </c>
      <c r="G41" s="19" t="s">
        <v>25</v>
      </c>
      <c r="H41" s="22">
        <f>6153</f>
        <v>6153</v>
      </c>
      <c r="I41" s="22">
        <f>9940</f>
        <v>9940</v>
      </c>
      <c r="J41" s="22">
        <f>10.28</f>
        <v>10.28</v>
      </c>
      <c r="K41" s="22">
        <f t="shared" ref="K41:O85" si="45">13.9</f>
        <v>13.9</v>
      </c>
      <c r="L41" s="20"/>
      <c r="M41" s="20"/>
      <c r="N41" s="22">
        <f>50.46</f>
        <v>50.46</v>
      </c>
      <c r="O41" s="22">
        <f t="shared" si="18"/>
        <v>11.4</v>
      </c>
      <c r="P41" s="22">
        <f>518.95</f>
        <v>518.95000000000005</v>
      </c>
      <c r="Q41" s="22">
        <f>292</f>
        <v>292</v>
      </c>
    </row>
    <row r="42" spans="1:17" ht="13.5" customHeight="1">
      <c r="A42" s="19" t="s">
        <v>83</v>
      </c>
      <c r="B42" s="25" t="s">
        <v>84</v>
      </c>
      <c r="C42" s="25" t="s">
        <v>85</v>
      </c>
      <c r="D42" s="25" t="s">
        <v>20</v>
      </c>
      <c r="E42" s="39">
        <v>2026.4</v>
      </c>
      <c r="F42" s="22">
        <v>2021</v>
      </c>
      <c r="G42" s="19" t="s">
        <v>23</v>
      </c>
      <c r="H42" s="22">
        <f>126797</f>
        <v>126797</v>
      </c>
      <c r="I42" s="22">
        <f>216490</f>
        <v>216490</v>
      </c>
      <c r="J42" s="22">
        <f>9.66</f>
        <v>9.66</v>
      </c>
      <c r="K42" s="22">
        <f t="shared" ref="K42:K68" si="46">15.7</f>
        <v>15.7</v>
      </c>
      <c r="L42" s="20"/>
      <c r="M42" s="20"/>
      <c r="N42" s="22">
        <f>40.18</f>
        <v>40.18</v>
      </c>
      <c r="O42" s="22">
        <f t="shared" si="24"/>
        <v>13.2</v>
      </c>
      <c r="P42" s="22">
        <f>10287.54</f>
        <v>10287.540000000001</v>
      </c>
      <c r="Q42" s="22">
        <f>5526</f>
        <v>5526</v>
      </c>
    </row>
    <row r="43" spans="1:17" ht="13.5" customHeight="1">
      <c r="A43" s="19" t="s">
        <v>86</v>
      </c>
      <c r="B43" s="25" t="s">
        <v>84</v>
      </c>
      <c r="C43" s="27"/>
      <c r="D43" s="27"/>
      <c r="E43" s="28"/>
      <c r="F43" s="40">
        <v>2022</v>
      </c>
      <c r="G43" s="25" t="s">
        <v>21</v>
      </c>
      <c r="H43" s="41">
        <f>16964</f>
        <v>16964</v>
      </c>
      <c r="I43" s="22">
        <f>28406</f>
        <v>28406</v>
      </c>
      <c r="J43" s="22">
        <f>10.49</f>
        <v>10.49</v>
      </c>
      <c r="K43" s="22">
        <f>15.3</f>
        <v>15.3</v>
      </c>
      <c r="L43" s="20"/>
      <c r="M43" s="20"/>
      <c r="N43" s="22">
        <f t="shared" si="31"/>
        <v>40.28</v>
      </c>
      <c r="O43" s="22">
        <f t="shared" si="24"/>
        <v>13.2</v>
      </c>
      <c r="P43" s="22">
        <f>1381.55</f>
        <v>1381.55</v>
      </c>
      <c r="Q43" s="22">
        <f>742</f>
        <v>742</v>
      </c>
    </row>
    <row r="44" spans="1:17" ht="13.5" customHeight="1">
      <c r="A44" s="19" t="s">
        <v>87</v>
      </c>
      <c r="B44" s="25" t="s">
        <v>84</v>
      </c>
      <c r="C44" s="27"/>
      <c r="D44" s="27"/>
      <c r="E44" s="28"/>
      <c r="F44" s="40">
        <v>2022</v>
      </c>
      <c r="G44" s="25" t="s">
        <v>25</v>
      </c>
      <c r="H44" s="40">
        <f>2029</f>
        <v>2029</v>
      </c>
      <c r="I44" s="22">
        <f>3316</f>
        <v>3316</v>
      </c>
      <c r="J44" s="22">
        <f>10.58</f>
        <v>10.58</v>
      </c>
      <c r="K44" s="22">
        <f t="shared" si="24"/>
        <v>13.2</v>
      </c>
      <c r="L44" s="20"/>
      <c r="M44" s="20"/>
      <c r="N44" s="22">
        <f>44.44</f>
        <v>44.44</v>
      </c>
      <c r="O44" s="22">
        <f t="shared" si="37"/>
        <v>11.6</v>
      </c>
      <c r="P44" s="22">
        <f>166.95</f>
        <v>166.95</v>
      </c>
      <c r="Q44" s="22">
        <f>109</f>
        <v>109</v>
      </c>
    </row>
    <row r="45" spans="1:17" ht="13.5" customHeight="1">
      <c r="A45" s="19" t="s">
        <v>88</v>
      </c>
      <c r="B45" s="25" t="s">
        <v>84</v>
      </c>
      <c r="C45" s="27"/>
      <c r="D45" s="27"/>
      <c r="E45" s="28"/>
      <c r="F45" s="40">
        <v>2022</v>
      </c>
      <c r="G45" s="25" t="s">
        <v>27</v>
      </c>
      <c r="H45" s="40">
        <f>2662</f>
        <v>2662</v>
      </c>
      <c r="I45" s="22">
        <f>4149</f>
        <v>4149</v>
      </c>
      <c r="J45" s="22">
        <f>9.53</f>
        <v>9.5299999999999994</v>
      </c>
      <c r="K45" s="22">
        <f>12.3</f>
        <v>12.3</v>
      </c>
      <c r="L45" s="20"/>
      <c r="M45" s="20"/>
      <c r="N45" s="22">
        <f>54.12</f>
        <v>54.12</v>
      </c>
      <c r="O45" s="22">
        <f>10</f>
        <v>10</v>
      </c>
      <c r="P45" s="22">
        <f>208.08</f>
        <v>208.08</v>
      </c>
      <c r="Q45" s="22">
        <f>153</f>
        <v>153</v>
      </c>
    </row>
    <row r="46" spans="1:17" ht="13.5" customHeight="1">
      <c r="A46" s="19" t="s">
        <v>89</v>
      </c>
      <c r="B46" s="19" t="s">
        <v>90</v>
      </c>
      <c r="C46" s="19" t="s">
        <v>91</v>
      </c>
      <c r="D46" s="19" t="s">
        <v>20</v>
      </c>
      <c r="E46" s="29">
        <v>1608.31</v>
      </c>
      <c r="F46" s="22">
        <v>2021</v>
      </c>
      <c r="G46" s="19" t="s">
        <v>23</v>
      </c>
      <c r="H46" s="22">
        <f>117044</f>
        <v>117044</v>
      </c>
      <c r="I46" s="22">
        <f>196404</f>
        <v>196404</v>
      </c>
      <c r="J46" s="22">
        <f t="shared" si="42"/>
        <v>9.5</v>
      </c>
      <c r="K46" s="22">
        <f t="shared" si="0"/>
        <v>15.4</v>
      </c>
      <c r="L46" s="20"/>
      <c r="M46" s="20"/>
      <c r="N46" s="22">
        <f>40.99</f>
        <v>40.99</v>
      </c>
      <c r="O46" s="22">
        <f t="shared" ref="O46:O95" si="47">12.9</f>
        <v>12.9</v>
      </c>
      <c r="P46" s="22">
        <f>9322.58</f>
        <v>9322.58</v>
      </c>
      <c r="Q46" s="22">
        <f>5285</f>
        <v>5285</v>
      </c>
    </row>
    <row r="47" spans="1:17" ht="13.5" customHeight="1">
      <c r="A47" s="19" t="s">
        <v>92</v>
      </c>
      <c r="B47" s="19" t="s">
        <v>90</v>
      </c>
      <c r="C47" s="20"/>
      <c r="D47" s="20"/>
      <c r="E47" s="21"/>
      <c r="F47" s="22">
        <v>2022</v>
      </c>
      <c r="G47" s="19" t="s">
        <v>21</v>
      </c>
      <c r="H47" s="22">
        <f>19374</f>
        <v>19374</v>
      </c>
      <c r="I47" s="22">
        <f>31215</f>
        <v>31215</v>
      </c>
      <c r="J47" s="22">
        <f>8.46</f>
        <v>8.4600000000000009</v>
      </c>
      <c r="K47" s="22">
        <f t="shared" si="23"/>
        <v>13.4</v>
      </c>
      <c r="L47" s="20"/>
      <c r="M47" s="20"/>
      <c r="N47" s="22">
        <f t="shared" si="40"/>
        <v>45.76</v>
      </c>
      <c r="O47" s="22">
        <f t="shared" si="41"/>
        <v>11.1</v>
      </c>
      <c r="P47" s="22">
        <f>1513.54</f>
        <v>1513.54</v>
      </c>
      <c r="Q47" s="22">
        <f>1104</f>
        <v>1104</v>
      </c>
    </row>
    <row r="48" spans="1:17" ht="13.5" customHeight="1">
      <c r="A48" s="19" t="s">
        <v>93</v>
      </c>
      <c r="B48" s="19" t="s">
        <v>90</v>
      </c>
      <c r="C48" s="20"/>
      <c r="D48" s="20"/>
      <c r="E48" s="21"/>
      <c r="F48" s="22">
        <v>2022</v>
      </c>
      <c r="G48" s="19" t="s">
        <v>25</v>
      </c>
      <c r="H48" s="22">
        <f>1602</f>
        <v>1602</v>
      </c>
      <c r="I48" s="22">
        <f>2642</f>
        <v>2642</v>
      </c>
      <c r="J48" s="22">
        <f>13.05</f>
        <v>13.05</v>
      </c>
      <c r="K48" s="22">
        <f t="shared" si="38"/>
        <v>14.9</v>
      </c>
      <c r="L48" s="20"/>
      <c r="M48" s="20"/>
      <c r="N48" s="22">
        <f>39.67</f>
        <v>39.67</v>
      </c>
      <c r="O48" s="22">
        <f t="shared" si="23"/>
        <v>13.4</v>
      </c>
      <c r="P48" s="22">
        <f>127.4</f>
        <v>127.4</v>
      </c>
      <c r="Q48" s="22">
        <f>69</f>
        <v>69</v>
      </c>
    </row>
    <row r="49" spans="1:17" ht="13.5" customHeight="1">
      <c r="A49" s="19" t="s">
        <v>94</v>
      </c>
      <c r="B49" s="19" t="s">
        <v>90</v>
      </c>
      <c r="C49" s="20"/>
      <c r="D49" s="20"/>
      <c r="E49" s="21"/>
      <c r="F49" s="22">
        <v>2022</v>
      </c>
      <c r="G49" s="19" t="s">
        <v>27</v>
      </c>
      <c r="H49" s="22">
        <f>1735</f>
        <v>1735</v>
      </c>
      <c r="I49" s="22">
        <f>2822</f>
        <v>2822</v>
      </c>
      <c r="J49" s="22">
        <f>12.55</f>
        <v>12.55</v>
      </c>
      <c r="K49" s="22">
        <f>14.6</f>
        <v>14.6</v>
      </c>
      <c r="L49" s="20"/>
      <c r="M49" s="20"/>
      <c r="N49" s="22">
        <f>48.54</f>
        <v>48.54</v>
      </c>
      <c r="O49" s="22">
        <f t="shared" si="21"/>
        <v>12.1</v>
      </c>
      <c r="P49" s="22">
        <f>136.35</f>
        <v>136.35</v>
      </c>
      <c r="Q49" s="22">
        <f>76</f>
        <v>76</v>
      </c>
    </row>
    <row r="50" spans="1:17" ht="13.5" customHeight="1">
      <c r="A50" s="19" t="s">
        <v>95</v>
      </c>
      <c r="B50" s="19" t="s">
        <v>96</v>
      </c>
      <c r="C50" s="19" t="s">
        <v>97</v>
      </c>
      <c r="D50" s="19" t="s">
        <v>20</v>
      </c>
      <c r="E50" s="42">
        <v>2021.2</v>
      </c>
      <c r="F50" s="22">
        <v>2021</v>
      </c>
      <c r="G50" s="19" t="s">
        <v>23</v>
      </c>
      <c r="H50" s="22">
        <f>292639</f>
        <v>292639</v>
      </c>
      <c r="I50" s="22">
        <f>493707</f>
        <v>493707</v>
      </c>
      <c r="J50" s="22">
        <f>11.48</f>
        <v>11.48</v>
      </c>
      <c r="K50" s="22">
        <f>17</f>
        <v>17</v>
      </c>
      <c r="L50" s="20"/>
      <c r="M50" s="20"/>
      <c r="N50" s="22">
        <f>35</f>
        <v>35</v>
      </c>
      <c r="O50" s="22">
        <f t="shared" si="10"/>
        <v>15.2</v>
      </c>
      <c r="P50" s="22">
        <f>23322.59</f>
        <v>23322.59</v>
      </c>
      <c r="Q50" s="22">
        <f>10369</f>
        <v>10369</v>
      </c>
    </row>
    <row r="51" spans="1:17" ht="13.5" customHeight="1">
      <c r="A51" s="19" t="s">
        <v>98</v>
      </c>
      <c r="B51" s="19" t="s">
        <v>96</v>
      </c>
      <c r="C51" s="20"/>
      <c r="D51" s="20"/>
      <c r="E51" s="21"/>
      <c r="F51" s="22">
        <v>2022</v>
      </c>
      <c r="G51" s="19" t="s">
        <v>21</v>
      </c>
      <c r="H51" s="22">
        <f>61796</f>
        <v>61796</v>
      </c>
      <c r="I51" s="22">
        <f>100807</f>
        <v>100807</v>
      </c>
      <c r="J51" s="22">
        <f>12.6</f>
        <v>12.6</v>
      </c>
      <c r="K51" s="22">
        <f t="shared" ref="K51:K65" si="48">16.5</f>
        <v>16.5</v>
      </c>
      <c r="L51" s="20"/>
      <c r="M51" s="20"/>
      <c r="N51" s="22">
        <f t="shared" ref="N51:N82" si="49">33.17</f>
        <v>33.17</v>
      </c>
      <c r="O51" s="22">
        <f t="shared" ref="O51:O100" si="50">15.9</f>
        <v>15.9</v>
      </c>
      <c r="P51" s="22">
        <f>4735.54</f>
        <v>4735.54</v>
      </c>
      <c r="Q51" s="22">
        <f>2066</f>
        <v>2066</v>
      </c>
    </row>
    <row r="52" spans="1:17" ht="13.5" customHeight="1">
      <c r="A52" s="19" t="s">
        <v>99</v>
      </c>
      <c r="B52" s="19" t="s">
        <v>96</v>
      </c>
      <c r="C52" s="20"/>
      <c r="D52" s="20"/>
      <c r="E52" s="21"/>
      <c r="F52" s="22">
        <v>2022</v>
      </c>
      <c r="G52" s="19" t="s">
        <v>25</v>
      </c>
      <c r="H52" s="22">
        <f>30891</f>
        <v>30891</v>
      </c>
      <c r="I52" s="22">
        <f>49965</f>
        <v>49965</v>
      </c>
      <c r="J52" s="22">
        <f>11.35</f>
        <v>11.35</v>
      </c>
      <c r="K52" s="22">
        <f t="shared" si="8"/>
        <v>15.6</v>
      </c>
      <c r="L52" s="20"/>
      <c r="M52" s="20"/>
      <c r="N52" s="22">
        <f t="shared" ref="N52:N74" si="51">37.44</f>
        <v>37.44</v>
      </c>
      <c r="O52" s="22">
        <f t="shared" si="19"/>
        <v>14.3</v>
      </c>
      <c r="P52" s="22">
        <f>2373.57</f>
        <v>2373.5700000000002</v>
      </c>
      <c r="Q52" s="22">
        <f>1187</f>
        <v>1187</v>
      </c>
    </row>
    <row r="53" spans="1:17" ht="13.5" customHeight="1">
      <c r="A53" s="19" t="s">
        <v>100</v>
      </c>
      <c r="B53" s="19" t="s">
        <v>96</v>
      </c>
      <c r="C53" s="20"/>
      <c r="D53" s="20"/>
      <c r="E53" s="21"/>
      <c r="F53" s="22">
        <v>2022</v>
      </c>
      <c r="G53" s="19" t="s">
        <v>27</v>
      </c>
      <c r="H53" s="22">
        <f>36987</f>
        <v>36987</v>
      </c>
      <c r="I53" s="22">
        <f>60448</f>
        <v>60448</v>
      </c>
      <c r="J53" s="22">
        <f t="shared" ref="J53:J81" si="52">11.56</f>
        <v>11.56</v>
      </c>
      <c r="K53" s="22">
        <f t="shared" si="35"/>
        <v>15.8</v>
      </c>
      <c r="L53" s="20"/>
      <c r="M53" s="20"/>
      <c r="N53" s="22">
        <f>36.63</f>
        <v>36.630000000000003</v>
      </c>
      <c r="O53" s="22">
        <f t="shared" si="9"/>
        <v>14.6</v>
      </c>
      <c r="P53" s="22">
        <f>2871.65</f>
        <v>2871.65</v>
      </c>
      <c r="Q53" s="22">
        <f>1394</f>
        <v>1394</v>
      </c>
    </row>
    <row r="54" spans="1:17" ht="13.5" customHeight="1">
      <c r="A54" s="19" t="s">
        <v>101</v>
      </c>
      <c r="B54" s="19" t="s">
        <v>102</v>
      </c>
      <c r="C54" s="19" t="s">
        <v>103</v>
      </c>
      <c r="D54" s="19" t="s">
        <v>20</v>
      </c>
      <c r="E54" s="29">
        <v>2086.88</v>
      </c>
      <c r="F54" s="22">
        <v>2021</v>
      </c>
      <c r="G54" s="19" t="s">
        <v>23</v>
      </c>
      <c r="H54" s="22">
        <f>88173</f>
        <v>88173</v>
      </c>
      <c r="I54" s="22">
        <f>148982</f>
        <v>148982</v>
      </c>
      <c r="J54" s="22">
        <f>11.13</f>
        <v>11.13</v>
      </c>
      <c r="K54" s="22">
        <f t="shared" si="7"/>
        <v>16.100000000000001</v>
      </c>
      <c r="L54" s="20"/>
      <c r="M54" s="20"/>
      <c r="N54" s="22">
        <f>37.03</f>
        <v>37.03</v>
      </c>
      <c r="O54" s="22">
        <f t="shared" si="12"/>
        <v>14.5</v>
      </c>
      <c r="P54" s="22">
        <f>7042.17</f>
        <v>7042.17</v>
      </c>
      <c r="Q54" s="22">
        <f>3443</f>
        <v>3443</v>
      </c>
    </row>
    <row r="55" spans="1:17" ht="13.5" customHeight="1">
      <c r="A55" s="19" t="s">
        <v>104</v>
      </c>
      <c r="B55" s="19" t="s">
        <v>102</v>
      </c>
      <c r="C55" s="20"/>
      <c r="D55" s="20"/>
      <c r="E55" s="21"/>
      <c r="F55" s="22">
        <v>2022</v>
      </c>
      <c r="G55" s="19" t="s">
        <v>21</v>
      </c>
      <c r="H55" s="22">
        <f>13990</f>
        <v>13990</v>
      </c>
      <c r="I55" s="22">
        <f>22416</f>
        <v>22416</v>
      </c>
      <c r="J55" s="22">
        <f t="shared" ref="J55:J73" si="53">11.22</f>
        <v>11.22</v>
      </c>
      <c r="K55" s="22">
        <f>14.7</f>
        <v>14.7</v>
      </c>
      <c r="L55" s="20"/>
      <c r="M55" s="20"/>
      <c r="N55" s="22">
        <f>46.71</f>
        <v>46.71</v>
      </c>
      <c r="O55" s="22">
        <f>12.8</f>
        <v>12.8</v>
      </c>
      <c r="P55" s="22">
        <v>1077.23</v>
      </c>
      <c r="Q55" s="22">
        <f>569</f>
        <v>569</v>
      </c>
    </row>
    <row r="56" spans="1:17" ht="13.5" customHeight="1">
      <c r="A56" s="19" t="s">
        <v>105</v>
      </c>
      <c r="B56" s="19" t="s">
        <v>102</v>
      </c>
      <c r="C56" s="20"/>
      <c r="D56" s="20"/>
      <c r="E56" s="21"/>
      <c r="F56" s="22">
        <v>2022</v>
      </c>
      <c r="G56" s="19" t="s">
        <v>25</v>
      </c>
      <c r="H56" s="22">
        <f>2715</f>
        <v>2715</v>
      </c>
      <c r="I56" s="22">
        <f>9476</f>
        <v>9476</v>
      </c>
      <c r="J56" s="22">
        <f>10.21</f>
        <v>10.210000000000001</v>
      </c>
      <c r="K56" s="22">
        <f t="shared" si="23"/>
        <v>13.4</v>
      </c>
      <c r="L56" s="20"/>
      <c r="M56" s="20"/>
      <c r="N56" s="22">
        <f>49.86</f>
        <v>49.86</v>
      </c>
      <c r="O56" s="22">
        <f t="shared" si="37"/>
        <v>11.6</v>
      </c>
      <c r="P56" s="22">
        <f>460.24</f>
        <v>460.24</v>
      </c>
      <c r="Q56" s="22">
        <f>281</f>
        <v>281</v>
      </c>
    </row>
    <row r="57" spans="1:17" ht="13.5" customHeight="1">
      <c r="A57" s="19" t="s">
        <v>106</v>
      </c>
      <c r="B57" s="19" t="s">
        <v>102</v>
      </c>
      <c r="C57" s="20"/>
      <c r="D57" s="20"/>
      <c r="E57" s="21"/>
      <c r="F57" s="22">
        <v>2022</v>
      </c>
      <c r="G57" s="19" t="s">
        <v>27</v>
      </c>
      <c r="H57" s="22">
        <f>7076</f>
        <v>7076</v>
      </c>
      <c r="I57" s="22">
        <f>10927</f>
        <v>10927</v>
      </c>
      <c r="J57" s="22">
        <f t="shared" ref="J57:J85" si="54">10.66</f>
        <v>10.66</v>
      </c>
      <c r="K57" s="22">
        <f>13.7</f>
        <v>13.7</v>
      </c>
      <c r="L57" s="20"/>
      <c r="M57" s="20"/>
      <c r="N57" s="22">
        <v>48.33</v>
      </c>
      <c r="O57" s="22">
        <f t="shared" ref="O57:O71" si="55">12.2</f>
        <v>12.2</v>
      </c>
      <c r="P57" s="22">
        <f>534.6</f>
        <v>534.6</v>
      </c>
      <c r="Q57" s="22">
        <f>306</f>
        <v>306</v>
      </c>
    </row>
    <row r="58" spans="1:17" ht="13.5" customHeight="1">
      <c r="A58" s="19" t="s">
        <v>107</v>
      </c>
      <c r="B58" s="19" t="s">
        <v>108</v>
      </c>
      <c r="C58" s="19" t="s">
        <v>68</v>
      </c>
      <c r="D58" s="19" t="s">
        <v>20</v>
      </c>
      <c r="E58" s="42">
        <v>2056.8000000000002</v>
      </c>
      <c r="F58" s="22">
        <v>2021</v>
      </c>
      <c r="G58" s="19" t="s">
        <v>23</v>
      </c>
      <c r="H58" s="22">
        <f>159121</f>
        <v>159121</v>
      </c>
      <c r="I58" s="22">
        <f>274217</f>
        <v>274217</v>
      </c>
      <c r="J58" s="22">
        <f>8.42</f>
        <v>8.42</v>
      </c>
      <c r="K58" s="22">
        <f>14.8</f>
        <v>14.8</v>
      </c>
      <c r="L58" s="20"/>
      <c r="M58" s="20"/>
      <c r="N58" s="22">
        <f t="shared" ref="N58:N69" si="56">43.53</f>
        <v>43.53</v>
      </c>
      <c r="O58" s="22">
        <f t="shared" si="4"/>
        <v>12</v>
      </c>
      <c r="P58" s="22">
        <f>13130.13</f>
        <v>13130.13</v>
      </c>
      <c r="Q58" s="22">
        <v>8216</v>
      </c>
    </row>
    <row r="59" spans="1:17" ht="13.5" customHeight="1">
      <c r="A59" s="19" t="s">
        <v>109</v>
      </c>
      <c r="B59" s="19" t="s">
        <v>108</v>
      </c>
      <c r="C59" s="20"/>
      <c r="D59" s="20"/>
      <c r="E59" s="21"/>
      <c r="F59" s="22">
        <v>2022</v>
      </c>
      <c r="G59" s="19" t="s">
        <v>21</v>
      </c>
      <c r="H59" s="22">
        <f>19042</f>
        <v>19042</v>
      </c>
      <c r="I59" s="22">
        <f>32317</f>
        <v>32317</v>
      </c>
      <c r="J59" s="22">
        <f>10.24</f>
        <v>10.24</v>
      </c>
      <c r="K59" s="22">
        <f t="shared" si="10"/>
        <v>15.2</v>
      </c>
      <c r="L59" s="20"/>
      <c r="M59" s="20"/>
      <c r="N59" s="22">
        <f>40.58</f>
        <v>40.58</v>
      </c>
      <c r="O59" s="22">
        <f>13.1</f>
        <v>13.1</v>
      </c>
      <c r="P59" s="22">
        <f>1551.18</f>
        <v>1551.18</v>
      </c>
      <c r="Q59" s="22">
        <f>848</f>
        <v>848</v>
      </c>
    </row>
    <row r="60" spans="1:17" ht="13.5" customHeight="1">
      <c r="A60" s="19" t="s">
        <v>110</v>
      </c>
      <c r="B60" s="19" t="s">
        <v>108</v>
      </c>
      <c r="C60" s="20"/>
      <c r="D60" s="20"/>
      <c r="E60" s="21"/>
      <c r="F60" s="22">
        <v>2022</v>
      </c>
      <c r="G60" s="19" t="s">
        <v>25</v>
      </c>
      <c r="H60" s="22">
        <f>6085</f>
        <v>6085</v>
      </c>
      <c r="I60" s="22">
        <f>10526</f>
        <v>10526</v>
      </c>
      <c r="J60" s="22">
        <f>10.75</f>
        <v>10.75</v>
      </c>
      <c r="K60" s="22">
        <v>15.7</v>
      </c>
      <c r="L60" s="20"/>
      <c r="M60" s="20"/>
      <c r="N60" s="22">
        <f>32.43</f>
        <v>32.43</v>
      </c>
      <c r="O60" s="22">
        <f t="shared" ref="O60:O66" si="57">14.2</f>
        <v>14.2</v>
      </c>
      <c r="P60" s="22">
        <f>509.49</f>
        <v>509.49</v>
      </c>
      <c r="Q60" s="22">
        <f>274</f>
        <v>274</v>
      </c>
    </row>
    <row r="61" spans="1:17" ht="30.75" customHeight="1">
      <c r="A61" s="19" t="s">
        <v>111</v>
      </c>
      <c r="B61" s="25" t="s">
        <v>112</v>
      </c>
      <c r="C61" s="25" t="s">
        <v>113</v>
      </c>
      <c r="D61" s="25" t="s">
        <v>20</v>
      </c>
      <c r="E61" s="43">
        <v>2018.41</v>
      </c>
      <c r="F61" s="22">
        <v>2021</v>
      </c>
      <c r="G61" s="19" t="s">
        <v>23</v>
      </c>
      <c r="H61" s="41">
        <v>186264</v>
      </c>
      <c r="I61" s="22">
        <f>303390</f>
        <v>303390</v>
      </c>
      <c r="J61" s="22">
        <f t="shared" ref="J61:O98" si="58">11.2</f>
        <v>11.2</v>
      </c>
      <c r="K61" s="22">
        <f t="shared" si="7"/>
        <v>16.100000000000001</v>
      </c>
      <c r="L61" s="20"/>
      <c r="M61" s="20"/>
      <c r="N61" s="22">
        <f t="shared" ref="N61:N64" si="59">36.12</f>
        <v>36.119999999999997</v>
      </c>
      <c r="O61" s="22">
        <f t="shared" si="44"/>
        <v>14.8</v>
      </c>
      <c r="P61" s="22">
        <f>13897.09</f>
        <v>13897.09</v>
      </c>
      <c r="Q61" s="22">
        <f>6905</f>
        <v>6905</v>
      </c>
    </row>
    <row r="62" spans="1:17" ht="30.75" customHeight="1">
      <c r="A62" s="19" t="s">
        <v>114</v>
      </c>
      <c r="B62" s="25" t="s">
        <v>112</v>
      </c>
      <c r="C62" s="20"/>
      <c r="D62" s="20"/>
      <c r="E62" s="21"/>
      <c r="F62" s="22">
        <v>2022</v>
      </c>
      <c r="G62" s="19" t="s">
        <v>25</v>
      </c>
      <c r="H62" s="41">
        <v>28964</v>
      </c>
      <c r="I62" s="22">
        <f>48926</f>
        <v>48926</v>
      </c>
      <c r="J62" s="22">
        <f>12.39</f>
        <v>12.39</v>
      </c>
      <c r="K62" s="22">
        <f t="shared" si="34"/>
        <v>16.899999999999999</v>
      </c>
      <c r="L62" s="20"/>
      <c r="M62" s="20"/>
      <c r="N62" s="22">
        <f>35.41</f>
        <v>35.409999999999997</v>
      </c>
      <c r="O62" s="22">
        <f t="shared" si="27"/>
        <v>15.1</v>
      </c>
      <c r="P62" s="22">
        <f>2397.51</f>
        <v>2397.5100000000002</v>
      </c>
      <c r="Q62" s="22">
        <f>1039</f>
        <v>1039</v>
      </c>
    </row>
    <row r="63" spans="1:17" ht="30.75" customHeight="1">
      <c r="A63" s="19" t="s">
        <v>115</v>
      </c>
      <c r="B63" s="25" t="s">
        <v>112</v>
      </c>
      <c r="C63" s="27"/>
      <c r="D63" s="27"/>
      <c r="E63" s="28"/>
      <c r="F63" s="22">
        <v>2022</v>
      </c>
      <c r="G63" s="19" t="s">
        <v>40</v>
      </c>
      <c r="H63" s="22">
        <f>34220</f>
        <v>34220</v>
      </c>
      <c r="I63" s="22">
        <f>57562</f>
        <v>57562</v>
      </c>
      <c r="J63" s="22">
        <f>12.25</f>
        <v>12.25</v>
      </c>
      <c r="K63" s="22">
        <f t="shared" ref="K63:K100" si="60">16.8</f>
        <v>16.8</v>
      </c>
      <c r="L63" s="20"/>
      <c r="M63" s="20"/>
      <c r="N63" s="22">
        <f>35.31</f>
        <v>35.31</v>
      </c>
      <c r="O63" s="22">
        <f t="shared" si="27"/>
        <v>15.1</v>
      </c>
      <c r="P63" s="22">
        <f>2822.48</f>
        <v>2822.48</v>
      </c>
      <c r="Q63" s="22">
        <f>1223</f>
        <v>1223</v>
      </c>
    </row>
    <row r="64" spans="1:17" ht="30.75" customHeight="1">
      <c r="A64" s="19" t="s">
        <v>116</v>
      </c>
      <c r="B64" s="25" t="s">
        <v>112</v>
      </c>
      <c r="C64" s="27"/>
      <c r="D64" s="27"/>
      <c r="E64" s="28"/>
      <c r="F64" s="22">
        <v>2022</v>
      </c>
      <c r="G64" s="19" t="s">
        <v>27</v>
      </c>
      <c r="H64" s="22">
        <f>38315</f>
        <v>38315</v>
      </c>
      <c r="I64" s="22">
        <f>64719</f>
        <v>64719</v>
      </c>
      <c r="J64" s="22">
        <f>11.84</f>
        <v>11.84</v>
      </c>
      <c r="K64" s="22">
        <f t="shared" si="60"/>
        <v>16.8</v>
      </c>
      <c r="L64" s="20"/>
      <c r="M64" s="20"/>
      <c r="N64" s="22">
        <f t="shared" si="59"/>
        <v>36.119999999999997</v>
      </c>
      <c r="O64" s="22">
        <f t="shared" si="44"/>
        <v>14.8</v>
      </c>
      <c r="P64" s="22">
        <f>3166.43</f>
        <v>3166.43</v>
      </c>
      <c r="Q64" s="22">
        <f>1413</f>
        <v>1413</v>
      </c>
    </row>
    <row r="65" spans="1:17" ht="30.75" customHeight="1">
      <c r="A65" s="19" t="s">
        <v>117</v>
      </c>
      <c r="B65" s="25" t="s">
        <v>118</v>
      </c>
      <c r="C65" s="25" t="s">
        <v>113</v>
      </c>
      <c r="D65" s="25" t="s">
        <v>20</v>
      </c>
      <c r="E65" s="26">
        <v>2018.41</v>
      </c>
      <c r="F65" s="22">
        <v>2021</v>
      </c>
      <c r="G65" s="19" t="s">
        <v>23</v>
      </c>
      <c r="H65" s="22">
        <f>231588</f>
        <v>231588</v>
      </c>
      <c r="I65" s="22">
        <f>399456</f>
        <v>399456</v>
      </c>
      <c r="J65" s="22">
        <f>10.25</f>
        <v>10.25</v>
      </c>
      <c r="K65" s="22">
        <f t="shared" si="48"/>
        <v>16.5</v>
      </c>
      <c r="L65" s="20"/>
      <c r="M65" s="20"/>
      <c r="N65" s="22">
        <f>29.99</f>
        <v>29.99</v>
      </c>
      <c r="O65" s="22">
        <f t="shared" si="27"/>
        <v>15.1</v>
      </c>
      <c r="P65" s="22">
        <f>18612.8</f>
        <v>18612.8</v>
      </c>
      <c r="Q65" s="22">
        <f>9360</f>
        <v>9360</v>
      </c>
    </row>
    <row r="66" spans="1:17" ht="30.75" customHeight="1">
      <c r="A66" s="19" t="s">
        <v>119</v>
      </c>
      <c r="B66" s="25" t="s">
        <v>118</v>
      </c>
      <c r="C66" s="27"/>
      <c r="D66" s="27"/>
      <c r="E66" s="28"/>
      <c r="F66" s="22">
        <v>2022</v>
      </c>
      <c r="G66" s="19" t="s">
        <v>21</v>
      </c>
      <c r="H66" s="22">
        <f>31258</f>
        <v>31258</v>
      </c>
      <c r="I66" s="22">
        <f>47863</f>
        <v>47863</v>
      </c>
      <c r="J66" s="22">
        <f>12.27</f>
        <v>12.27</v>
      </c>
      <c r="K66" s="22">
        <f>15.6</f>
        <v>15.6</v>
      </c>
      <c r="L66" s="20"/>
      <c r="M66" s="20"/>
      <c r="N66" s="22">
        <f>43.06</f>
        <v>43.06</v>
      </c>
      <c r="O66" s="22">
        <f t="shared" si="57"/>
        <v>14.2</v>
      </c>
      <c r="P66" s="22">
        <f>2168.77</f>
        <v>2168.77</v>
      </c>
      <c r="Q66" s="22">
        <f>1083</f>
        <v>1083</v>
      </c>
    </row>
    <row r="67" spans="1:17" ht="30.75" customHeight="1">
      <c r="A67" s="19" t="s">
        <v>120</v>
      </c>
      <c r="B67" s="25" t="s">
        <v>118</v>
      </c>
      <c r="C67" s="27"/>
      <c r="D67" s="27"/>
      <c r="E67" s="28"/>
      <c r="F67" s="22">
        <v>2022</v>
      </c>
      <c r="G67" s="19" t="s">
        <v>25</v>
      </c>
      <c r="H67" s="22">
        <f>23110</f>
        <v>23110</v>
      </c>
      <c r="I67" s="22">
        <f>35952</f>
        <v>35952</v>
      </c>
      <c r="J67" s="22">
        <f>12.15</f>
        <v>12.15</v>
      </c>
      <c r="K67" s="22">
        <f t="shared" si="46"/>
        <v>15.7</v>
      </c>
      <c r="L67" s="20"/>
      <c r="M67" s="20"/>
      <c r="N67" s="22">
        <f>43.56</f>
        <v>43.56</v>
      </c>
      <c r="O67" s="22">
        <f t="shared" si="36"/>
        <v>14</v>
      </c>
      <c r="P67" s="22">
        <f>1638.21</f>
        <v>1638.21</v>
      </c>
      <c r="Q67" s="22">
        <f>818</f>
        <v>818</v>
      </c>
    </row>
    <row r="68" spans="1:17" ht="30.75" customHeight="1">
      <c r="A68" s="19" t="s">
        <v>121</v>
      </c>
      <c r="B68" s="25" t="s">
        <v>118</v>
      </c>
      <c r="C68" s="27"/>
      <c r="D68" s="27"/>
      <c r="E68" s="28"/>
      <c r="F68" s="22">
        <v>2022</v>
      </c>
      <c r="G68" s="19" t="s">
        <v>27</v>
      </c>
      <c r="H68" s="22">
        <f>33115</f>
        <v>33115</v>
      </c>
      <c r="I68" s="22">
        <f>50370</f>
        <v>50370</v>
      </c>
      <c r="J68" s="22">
        <f>12.49</f>
        <v>12.49</v>
      </c>
      <c r="K68" s="22">
        <f t="shared" si="46"/>
        <v>15.7</v>
      </c>
      <c r="L68" s="20"/>
      <c r="M68" s="20"/>
      <c r="N68" s="22">
        <f>42.34</f>
        <v>42.34</v>
      </c>
      <c r="O68" s="22">
        <f t="shared" si="12"/>
        <v>14.5</v>
      </c>
      <c r="P68" s="22">
        <f>2287.38</f>
        <v>2287.38</v>
      </c>
      <c r="Q68" s="22">
        <f>1117</f>
        <v>1117</v>
      </c>
    </row>
    <row r="69" spans="1:17" ht="30.75" customHeight="1">
      <c r="A69" s="19" t="s">
        <v>122</v>
      </c>
      <c r="B69" s="25" t="s">
        <v>123</v>
      </c>
      <c r="C69" s="44" t="s">
        <v>124</v>
      </c>
      <c r="D69" s="25" t="s">
        <v>20</v>
      </c>
      <c r="E69" s="26">
        <v>2059.5100000000002</v>
      </c>
      <c r="F69" s="22">
        <v>2021</v>
      </c>
      <c r="G69" s="19" t="s">
        <v>23</v>
      </c>
      <c r="H69" s="22">
        <f>136709</f>
        <v>136709</v>
      </c>
      <c r="I69" s="22">
        <f>229866</f>
        <v>229866</v>
      </c>
      <c r="J69" s="22">
        <f>8.4</f>
        <v>8.4</v>
      </c>
      <c r="K69" s="22">
        <f>14.6</f>
        <v>14.6</v>
      </c>
      <c r="L69" s="20"/>
      <c r="M69" s="20"/>
      <c r="N69" s="22">
        <f t="shared" si="56"/>
        <v>43.53</v>
      </c>
      <c r="O69" s="22">
        <f>12</f>
        <v>12</v>
      </c>
      <c r="P69" s="22">
        <v>11031</v>
      </c>
      <c r="Q69" s="22">
        <f>6990</f>
        <v>6990</v>
      </c>
    </row>
    <row r="70" spans="1:17" ht="30.75" customHeight="1">
      <c r="A70" s="19" t="s">
        <v>125</v>
      </c>
      <c r="B70" s="25" t="s">
        <v>123</v>
      </c>
      <c r="C70" s="27"/>
      <c r="D70" s="27"/>
      <c r="E70" s="28"/>
      <c r="F70" s="22">
        <v>2022</v>
      </c>
      <c r="G70" s="19" t="s">
        <v>21</v>
      </c>
      <c r="H70" s="22">
        <f>1156</f>
        <v>1156</v>
      </c>
      <c r="I70" s="22">
        <f>1940</f>
        <v>1940</v>
      </c>
      <c r="J70" s="22">
        <f>9.96</f>
        <v>9.9600000000000009</v>
      </c>
      <c r="K70" s="22">
        <f>13</f>
        <v>13</v>
      </c>
      <c r="L70" s="20"/>
      <c r="M70" s="20"/>
      <c r="N70" s="22">
        <f>46.57</f>
        <v>46.57</v>
      </c>
      <c r="O70" s="22">
        <f t="shared" ref="O70:O84" si="61">10.8</f>
        <v>10.8</v>
      </c>
      <c r="P70" s="22">
        <f>93.91</f>
        <v>93.91</v>
      </c>
      <c r="Q70" s="22">
        <f>71</f>
        <v>71</v>
      </c>
    </row>
    <row r="71" spans="1:17" ht="30.75" customHeight="1">
      <c r="A71" s="19" t="s">
        <v>126</v>
      </c>
      <c r="B71" s="25" t="s">
        <v>123</v>
      </c>
      <c r="C71" s="27"/>
      <c r="D71" s="27"/>
      <c r="E71" s="28"/>
      <c r="F71" s="22">
        <v>2022</v>
      </c>
      <c r="G71" s="19" t="s">
        <v>25</v>
      </c>
      <c r="H71" s="22">
        <f>1712</f>
        <v>1712</v>
      </c>
      <c r="I71" s="22">
        <f>2913</f>
        <v>2913</v>
      </c>
      <c r="J71" s="22">
        <f>11.42</f>
        <v>11.42</v>
      </c>
      <c r="K71" s="22">
        <f>14.2</f>
        <v>14.2</v>
      </c>
      <c r="L71" s="20"/>
      <c r="M71" s="20"/>
      <c r="N71" s="22">
        <f>42.92</f>
        <v>42.92</v>
      </c>
      <c r="O71" s="22">
        <f t="shared" si="55"/>
        <v>12.2</v>
      </c>
      <c r="P71" s="22">
        <f>143.21</f>
        <v>143.21</v>
      </c>
      <c r="Q71" s="22">
        <f t="shared" si="33"/>
        <v>86</v>
      </c>
    </row>
    <row r="72" spans="1:17" ht="30.75" customHeight="1">
      <c r="A72" s="19" t="s">
        <v>127</v>
      </c>
      <c r="B72" s="25" t="s">
        <v>123</v>
      </c>
      <c r="C72" s="27"/>
      <c r="D72" s="27"/>
      <c r="E72" s="28"/>
      <c r="F72" s="22">
        <v>2022</v>
      </c>
      <c r="G72" s="19" t="s">
        <v>27</v>
      </c>
      <c r="H72" s="22">
        <f>1489</f>
        <v>1489</v>
      </c>
      <c r="I72" s="22">
        <f>2571</f>
        <v>2571</v>
      </c>
      <c r="J72" s="22">
        <f>9.52</f>
        <v>9.52</v>
      </c>
      <c r="K72" s="22">
        <f t="shared" ref="K72:K78" si="62">13.4</f>
        <v>13.4</v>
      </c>
      <c r="L72" s="20"/>
      <c r="M72" s="20"/>
      <c r="N72" s="22">
        <f>47.59</f>
        <v>47.59</v>
      </c>
      <c r="O72" s="22">
        <f t="shared" si="3"/>
        <v>10.4</v>
      </c>
      <c r="P72" s="22">
        <f>121.18</f>
        <v>121.18</v>
      </c>
      <c r="Q72" s="22">
        <f>97</f>
        <v>97</v>
      </c>
    </row>
    <row r="73" spans="1:17" ht="30.75" customHeight="1">
      <c r="A73" s="19" t="s">
        <v>128</v>
      </c>
      <c r="B73" s="25" t="s">
        <v>129</v>
      </c>
      <c r="C73" s="25" t="s">
        <v>130</v>
      </c>
      <c r="D73" s="25" t="s">
        <v>20</v>
      </c>
      <c r="E73" s="26">
        <v>2082.7600000000002</v>
      </c>
      <c r="F73" s="22">
        <v>2021</v>
      </c>
      <c r="G73" s="19" t="s">
        <v>23</v>
      </c>
      <c r="H73" s="22">
        <f>120486</f>
        <v>120486</v>
      </c>
      <c r="I73" s="22">
        <f>206071</f>
        <v>206071</v>
      </c>
      <c r="J73" s="22">
        <f t="shared" si="53"/>
        <v>11.22</v>
      </c>
      <c r="K73" s="22">
        <f t="shared" si="60"/>
        <v>16.8</v>
      </c>
      <c r="L73" s="20"/>
      <c r="M73" s="20"/>
      <c r="N73" s="22">
        <f>36.42</f>
        <v>36.42</v>
      </c>
      <c r="O73" s="22">
        <f t="shared" si="28"/>
        <v>14.7</v>
      </c>
      <c r="P73" s="22">
        <f>9748.83</f>
        <v>9748.83</v>
      </c>
      <c r="Q73" s="22">
        <f>4546</f>
        <v>4546</v>
      </c>
    </row>
    <row r="74" spans="1:17" ht="30.75" customHeight="1">
      <c r="A74" s="19" t="s">
        <v>131</v>
      </c>
      <c r="B74" s="25" t="s">
        <v>129</v>
      </c>
      <c r="C74" s="27"/>
      <c r="D74" s="27"/>
      <c r="E74" s="28"/>
      <c r="F74" s="22">
        <v>2022</v>
      </c>
      <c r="G74" s="19" t="s">
        <v>21</v>
      </c>
      <c r="H74" s="22">
        <f>22938</f>
        <v>22938</v>
      </c>
      <c r="I74" s="22">
        <f>37829</f>
        <v>37829</v>
      </c>
      <c r="J74" s="22">
        <f t="shared" si="58"/>
        <v>11.2</v>
      </c>
      <c r="K74" s="22">
        <f t="shared" si="35"/>
        <v>15.8</v>
      </c>
      <c r="L74" s="20"/>
      <c r="M74" s="20"/>
      <c r="N74" s="22">
        <f t="shared" si="51"/>
        <v>37.44</v>
      </c>
      <c r="O74" s="22">
        <f>14.3</f>
        <v>14.3</v>
      </c>
      <c r="P74" s="22">
        <v>1718.86</v>
      </c>
      <c r="Q74" s="22">
        <f>889</f>
        <v>889</v>
      </c>
    </row>
    <row r="75" spans="1:17" ht="30.75" customHeight="1">
      <c r="A75" s="19" t="s">
        <v>132</v>
      </c>
      <c r="B75" s="25" t="s">
        <v>129</v>
      </c>
      <c r="C75" s="27"/>
      <c r="D75" s="27"/>
      <c r="E75" s="28"/>
      <c r="F75" s="22">
        <v>2022</v>
      </c>
      <c r="G75" s="19" t="s">
        <v>25</v>
      </c>
      <c r="H75" s="22">
        <f>4449</f>
        <v>4449</v>
      </c>
      <c r="I75" s="22">
        <f>7340</f>
        <v>7340</v>
      </c>
      <c r="J75" s="22">
        <f>9.75</f>
        <v>9.75</v>
      </c>
      <c r="K75" s="22">
        <f t="shared" si="62"/>
        <v>13.4</v>
      </c>
      <c r="L75" s="20"/>
      <c r="M75" s="20"/>
      <c r="N75" s="22">
        <f>44.75</f>
        <v>44.75</v>
      </c>
      <c r="O75" s="22">
        <v>11.5</v>
      </c>
      <c r="P75" s="22">
        <f>357.25</f>
        <v>357.25</v>
      </c>
      <c r="Q75" s="22">
        <f>244</f>
        <v>244</v>
      </c>
    </row>
    <row r="76" spans="1:17" ht="30.75" customHeight="1">
      <c r="A76" s="19" t="s">
        <v>133</v>
      </c>
      <c r="B76" s="25" t="s">
        <v>129</v>
      </c>
      <c r="C76" s="27"/>
      <c r="D76" s="27"/>
      <c r="E76" s="28"/>
      <c r="F76" s="22">
        <v>2022</v>
      </c>
      <c r="G76" s="19" t="s">
        <v>27</v>
      </c>
      <c r="H76" s="22">
        <f>3379</f>
        <v>3379</v>
      </c>
      <c r="I76" s="22">
        <f>5510</f>
        <v>5510</v>
      </c>
      <c r="J76" s="22">
        <f>8.24</f>
        <v>8.24</v>
      </c>
      <c r="K76" s="22">
        <f>12.4</f>
        <v>12.4</v>
      </c>
      <c r="L76" s="20"/>
      <c r="M76" s="20"/>
      <c r="N76" s="22">
        <f>56.15</f>
        <v>56.15</v>
      </c>
      <c r="O76" s="22">
        <f t="shared" si="17"/>
        <v>9.1999999999999993</v>
      </c>
      <c r="P76" s="22">
        <f>274.94</f>
        <v>274.94</v>
      </c>
      <c r="Q76" s="22">
        <f>221</f>
        <v>221</v>
      </c>
    </row>
    <row r="77" spans="1:17" ht="13.5" customHeight="1">
      <c r="A77" s="19" t="s">
        <v>134</v>
      </c>
      <c r="B77" s="19" t="s">
        <v>135</v>
      </c>
      <c r="C77" s="19" t="s">
        <v>91</v>
      </c>
      <c r="D77" s="19" t="s">
        <v>20</v>
      </c>
      <c r="E77" s="29">
        <v>1608.31</v>
      </c>
      <c r="F77" s="22">
        <v>2021</v>
      </c>
      <c r="G77" s="19" t="s">
        <v>23</v>
      </c>
      <c r="H77" s="22">
        <f>51689</f>
        <v>51689</v>
      </c>
      <c r="I77" s="22">
        <f>85888</f>
        <v>85888</v>
      </c>
      <c r="J77" s="22">
        <f>9.41</f>
        <v>9.41</v>
      </c>
      <c r="K77" s="22">
        <f t="shared" si="38"/>
        <v>14.9</v>
      </c>
      <c r="L77" s="20"/>
      <c r="M77" s="20"/>
      <c r="N77" s="22">
        <f t="shared" si="43"/>
        <v>41.9</v>
      </c>
      <c r="O77" s="22">
        <f>12.6</f>
        <v>12.6</v>
      </c>
      <c r="P77" s="22">
        <f>4254.78</f>
        <v>4254.78</v>
      </c>
      <c r="Q77" s="22">
        <f>2445</f>
        <v>2445</v>
      </c>
    </row>
    <row r="78" spans="1:17" ht="13.5" customHeight="1">
      <c r="A78" s="19" t="s">
        <v>136</v>
      </c>
      <c r="B78" s="19" t="s">
        <v>135</v>
      </c>
      <c r="C78" s="20"/>
      <c r="D78" s="20"/>
      <c r="E78" s="21"/>
      <c r="F78" s="22">
        <v>2022</v>
      </c>
      <c r="G78" s="19" t="s">
        <v>21</v>
      </c>
      <c r="H78" s="22">
        <f>12471</f>
        <v>12471</v>
      </c>
      <c r="I78" s="22">
        <f>19394</f>
        <v>19394</v>
      </c>
      <c r="J78" s="22">
        <f>8.77</f>
        <v>8.77</v>
      </c>
      <c r="K78" s="22">
        <f t="shared" si="62"/>
        <v>13.4</v>
      </c>
      <c r="L78" s="20"/>
      <c r="M78" s="20"/>
      <c r="N78" s="22">
        <f>52.9</f>
        <v>52.9</v>
      </c>
      <c r="O78" s="22">
        <f t="shared" si="3"/>
        <v>10.4</v>
      </c>
      <c r="P78" s="22">
        <f>1058.94</f>
        <v>1058.94</v>
      </c>
      <c r="Q78" s="22">
        <f>647</f>
        <v>647</v>
      </c>
    </row>
    <row r="79" spans="1:17" ht="13.5" customHeight="1">
      <c r="A79" s="19" t="s">
        <v>137</v>
      </c>
      <c r="B79" s="19" t="s">
        <v>135</v>
      </c>
      <c r="C79" s="20"/>
      <c r="D79" s="20"/>
      <c r="E79" s="21"/>
      <c r="F79" s="22">
        <v>2022</v>
      </c>
      <c r="G79" s="19" t="s">
        <v>25</v>
      </c>
      <c r="H79" s="22">
        <f>5371</f>
        <v>5371</v>
      </c>
      <c r="I79" s="22">
        <f>8299</f>
        <v>8299</v>
      </c>
      <c r="J79" s="22">
        <f>8.12</f>
        <v>8.1199999999999992</v>
      </c>
      <c r="K79" s="22">
        <f>12.5</f>
        <v>12.5</v>
      </c>
      <c r="L79" s="20"/>
      <c r="M79" s="20"/>
      <c r="N79" s="22">
        <f>54.32</f>
        <v>54.32</v>
      </c>
      <c r="O79" s="22">
        <f t="shared" si="26"/>
        <v>9.9</v>
      </c>
      <c r="P79" s="22">
        <f>418.05</f>
        <v>418.05</v>
      </c>
      <c r="Q79" s="22">
        <f>307</f>
        <v>307</v>
      </c>
    </row>
    <row r="80" spans="1:17" ht="13.5" customHeight="1">
      <c r="A80" s="19" t="s">
        <v>138</v>
      </c>
      <c r="B80" s="19" t="s">
        <v>135</v>
      </c>
      <c r="C80" s="20"/>
      <c r="D80" s="20"/>
      <c r="E80" s="21"/>
      <c r="F80" s="22">
        <v>2022</v>
      </c>
      <c r="G80" s="19" t="s">
        <v>27</v>
      </c>
      <c r="H80" s="22">
        <f>6487</f>
        <v>6487</v>
      </c>
      <c r="I80" s="22">
        <f>9102</f>
        <v>9102</v>
      </c>
      <c r="J80" s="22">
        <f t="shared" si="39"/>
        <v>7.97</v>
      </c>
      <c r="K80" s="22">
        <f>11.9</f>
        <v>11.9</v>
      </c>
      <c r="L80" s="20"/>
      <c r="M80" s="20"/>
      <c r="N80" s="22">
        <f>63.19</f>
        <v>63.19</v>
      </c>
      <c r="O80" s="22">
        <f>8.5</f>
        <v>8.5</v>
      </c>
      <c r="P80" s="22">
        <f>472.18</f>
        <v>472.18</v>
      </c>
      <c r="Q80" s="22">
        <f>358</f>
        <v>358</v>
      </c>
    </row>
    <row r="81" spans="1:17" ht="30.75" customHeight="1">
      <c r="A81" s="19" t="s">
        <v>139</v>
      </c>
      <c r="B81" s="25" t="s">
        <v>140</v>
      </c>
      <c r="C81" s="25" t="s">
        <v>141</v>
      </c>
      <c r="D81" s="25" t="s">
        <v>20</v>
      </c>
      <c r="E81" s="26">
        <v>1959.03</v>
      </c>
      <c r="F81" s="22">
        <v>2021</v>
      </c>
      <c r="G81" s="19" t="s">
        <v>23</v>
      </c>
      <c r="H81" s="41">
        <f>118236</f>
        <v>118236</v>
      </c>
      <c r="I81" s="22">
        <f>208995</f>
        <v>208995</v>
      </c>
      <c r="J81" s="22">
        <f t="shared" si="52"/>
        <v>11.56</v>
      </c>
      <c r="K81" s="22">
        <f>17.3</f>
        <v>17.3</v>
      </c>
      <c r="L81" s="20"/>
      <c r="M81" s="20"/>
      <c r="N81" s="22">
        <f>27.25</f>
        <v>27.25</v>
      </c>
      <c r="O81" s="22">
        <f t="shared" si="7"/>
        <v>16.100000000000001</v>
      </c>
      <c r="P81" s="22">
        <f>9818.11</f>
        <v>9818.11</v>
      </c>
      <c r="Q81" s="22">
        <f>4330</f>
        <v>4330</v>
      </c>
    </row>
    <row r="82" spans="1:17" ht="30.75" customHeight="1">
      <c r="A82" s="19" t="s">
        <v>142</v>
      </c>
      <c r="B82" s="25" t="s">
        <v>140</v>
      </c>
      <c r="C82" s="27"/>
      <c r="D82" s="27"/>
      <c r="E82" s="28"/>
      <c r="F82" s="22">
        <v>2022</v>
      </c>
      <c r="G82" s="19" t="s">
        <v>21</v>
      </c>
      <c r="H82" s="22">
        <f>13743</f>
        <v>13743</v>
      </c>
      <c r="I82" s="22">
        <f>22674</f>
        <v>22674</v>
      </c>
      <c r="J82" s="22">
        <f>13.23</f>
        <v>13.23</v>
      </c>
      <c r="K82" s="22">
        <f t="shared" si="34"/>
        <v>16.899999999999999</v>
      </c>
      <c r="L82" s="20"/>
      <c r="M82" s="20"/>
      <c r="N82" s="22">
        <f t="shared" si="49"/>
        <v>33.17</v>
      </c>
      <c r="O82" s="22">
        <f t="shared" si="50"/>
        <v>15.9</v>
      </c>
      <c r="P82" s="22">
        <f>1093.71</f>
        <v>1093.71</v>
      </c>
      <c r="Q82" s="22">
        <f>456</f>
        <v>456</v>
      </c>
    </row>
    <row r="83" spans="1:17" ht="30.75" customHeight="1">
      <c r="A83" s="19" t="s">
        <v>143</v>
      </c>
      <c r="B83" s="25" t="s">
        <v>140</v>
      </c>
      <c r="C83" s="27"/>
      <c r="D83" s="27"/>
      <c r="E83" s="28"/>
      <c r="F83" s="22">
        <v>2022</v>
      </c>
      <c r="G83" s="19" t="s">
        <v>25</v>
      </c>
      <c r="H83" s="22">
        <f>6694</f>
        <v>6694</v>
      </c>
      <c r="I83" s="22">
        <f>10877</f>
        <v>10877</v>
      </c>
      <c r="J83" s="22">
        <f>8.92</f>
        <v>8.92</v>
      </c>
      <c r="K83" s="22">
        <f>13.5</f>
        <v>13.5</v>
      </c>
      <c r="L83" s="20"/>
      <c r="M83" s="20"/>
      <c r="N83" s="22">
        <f>44.14</f>
        <v>44.14</v>
      </c>
      <c r="O83" s="22">
        <f>11.7</f>
        <v>11.7</v>
      </c>
      <c r="P83" s="22">
        <f>533.94</f>
        <v>533.94000000000005</v>
      </c>
      <c r="Q83" s="22">
        <f>346</f>
        <v>346</v>
      </c>
    </row>
    <row r="84" spans="1:17" ht="30.75" customHeight="1">
      <c r="A84" s="19" t="s">
        <v>144</v>
      </c>
      <c r="B84" s="25" t="s">
        <v>140</v>
      </c>
      <c r="C84" s="27"/>
      <c r="D84" s="27"/>
      <c r="E84" s="28"/>
      <c r="F84" s="22">
        <v>2022</v>
      </c>
      <c r="G84" s="19" t="s">
        <v>27</v>
      </c>
      <c r="H84" s="22">
        <f>6408</f>
        <v>6408</v>
      </c>
      <c r="I84" s="22">
        <f>10257</f>
        <v>10257</v>
      </c>
      <c r="J84" s="22">
        <f>9.2</f>
        <v>9.1999999999999993</v>
      </c>
      <c r="K84" s="22">
        <f>13.2</f>
        <v>13.2</v>
      </c>
      <c r="L84" s="20"/>
      <c r="M84" s="20"/>
      <c r="N84" s="22">
        <f>51.99</f>
        <v>51.99</v>
      </c>
      <c r="O84" s="22">
        <f t="shared" si="61"/>
        <v>10.8</v>
      </c>
      <c r="P84" s="22">
        <f>505.73</f>
        <v>505.73</v>
      </c>
      <c r="Q84" s="22">
        <f>324</f>
        <v>324</v>
      </c>
    </row>
    <row r="85" spans="1:17" ht="13.5" customHeight="1">
      <c r="A85" s="19" t="s">
        <v>145</v>
      </c>
      <c r="B85" s="19" t="s">
        <v>146</v>
      </c>
      <c r="C85" s="19" t="s">
        <v>147</v>
      </c>
      <c r="D85" s="19" t="s">
        <v>148</v>
      </c>
      <c r="E85" s="24">
        <v>2794.47</v>
      </c>
      <c r="F85" s="22">
        <v>2021</v>
      </c>
      <c r="G85" s="19" t="s">
        <v>23</v>
      </c>
      <c r="H85" s="22">
        <f>55202</f>
        <v>55202</v>
      </c>
      <c r="I85" s="22">
        <f>93004</f>
        <v>93004</v>
      </c>
      <c r="J85" s="22">
        <f t="shared" si="54"/>
        <v>10.66</v>
      </c>
      <c r="K85" s="22">
        <f>16.2</f>
        <v>16.2</v>
      </c>
      <c r="L85" s="20"/>
      <c r="M85" s="20"/>
      <c r="N85" s="22">
        <f>38.55</f>
        <v>38.549999999999997</v>
      </c>
      <c r="O85" s="22">
        <f t="shared" si="45"/>
        <v>13.9</v>
      </c>
      <c r="P85" s="22">
        <f>4347.12</f>
        <v>4347.12</v>
      </c>
      <c r="Q85" s="22">
        <f>2222</f>
        <v>2222</v>
      </c>
    </row>
    <row r="86" spans="1:17" ht="13.5" customHeight="1">
      <c r="A86" s="19" t="s">
        <v>149</v>
      </c>
      <c r="B86" s="19" t="s">
        <v>146</v>
      </c>
      <c r="C86" s="20"/>
      <c r="D86" s="20"/>
      <c r="E86" s="21"/>
      <c r="F86" s="22">
        <v>2022</v>
      </c>
      <c r="G86" s="19" t="s">
        <v>25</v>
      </c>
      <c r="H86" s="22">
        <f>5467</f>
        <v>5467</v>
      </c>
      <c r="I86" s="22">
        <f>8627</f>
        <v>8627</v>
      </c>
      <c r="J86" s="22">
        <f>16.59</f>
        <v>16.59</v>
      </c>
      <c r="K86" s="22">
        <f>19</f>
        <v>19</v>
      </c>
      <c r="L86" s="20"/>
      <c r="M86" s="20"/>
      <c r="N86" s="22">
        <f>26.58</f>
        <v>26.58</v>
      </c>
      <c r="O86" s="22">
        <f>18.5</f>
        <v>18.5</v>
      </c>
      <c r="P86" s="22">
        <f>420.35</f>
        <v>420.35</v>
      </c>
      <c r="Q86" s="22">
        <f>139</f>
        <v>139</v>
      </c>
    </row>
    <row r="87" spans="1:17" ht="13.5" customHeight="1">
      <c r="A87" s="19" t="s">
        <v>150</v>
      </c>
      <c r="B87" s="19" t="s">
        <v>146</v>
      </c>
      <c r="C87" s="20"/>
      <c r="D87" s="20"/>
      <c r="E87" s="21"/>
      <c r="F87" s="22">
        <v>2022</v>
      </c>
      <c r="G87" s="19" t="s">
        <v>40</v>
      </c>
      <c r="H87" s="22">
        <f>6015</f>
        <v>6015</v>
      </c>
      <c r="I87" s="22">
        <f>8819</f>
        <v>8819</v>
      </c>
      <c r="J87" s="22">
        <f>17.55</f>
        <v>17.55</v>
      </c>
      <c r="K87" s="22">
        <f>18.9</f>
        <v>18.899999999999999</v>
      </c>
      <c r="L87" s="20"/>
      <c r="M87" s="20"/>
      <c r="N87" s="22">
        <f>23.53</f>
        <v>23.53</v>
      </c>
      <c r="O87" s="22">
        <f>19.6</f>
        <v>19.600000000000001</v>
      </c>
      <c r="P87" s="22">
        <f>439.28</f>
        <v>439.28</v>
      </c>
      <c r="Q87" s="22">
        <f>137</f>
        <v>137</v>
      </c>
    </row>
    <row r="88" spans="1:17" ht="13.5" customHeight="1">
      <c r="A88" s="19" t="s">
        <v>151</v>
      </c>
      <c r="B88" s="19" t="s">
        <v>146</v>
      </c>
      <c r="C88" s="20"/>
      <c r="D88" s="20"/>
      <c r="E88" s="21"/>
      <c r="F88" s="22">
        <v>2022</v>
      </c>
      <c r="G88" s="19" t="s">
        <v>27</v>
      </c>
      <c r="H88" s="22">
        <f>6038</f>
        <v>6038</v>
      </c>
      <c r="I88" s="22">
        <f>8774</f>
        <v>8774</v>
      </c>
      <c r="J88" s="22">
        <f>18.25</f>
        <v>18.25</v>
      </c>
      <c r="K88" s="22">
        <f>19.1</f>
        <v>19.100000000000001</v>
      </c>
      <c r="L88" s="20"/>
      <c r="M88" s="20"/>
      <c r="N88" s="22">
        <f>29.96</f>
        <v>29.96</v>
      </c>
      <c r="O88" s="22">
        <f>19.2</f>
        <v>19.2</v>
      </c>
      <c r="P88" s="22">
        <f>441.32</f>
        <v>441.32</v>
      </c>
      <c r="Q88" s="22">
        <f>131</f>
        <v>131</v>
      </c>
    </row>
    <row r="89" spans="1:17" ht="13.5" customHeight="1">
      <c r="A89" s="19" t="s">
        <v>152</v>
      </c>
      <c r="B89" s="19" t="s">
        <v>153</v>
      </c>
      <c r="C89" s="19" t="s">
        <v>154</v>
      </c>
      <c r="D89" s="19" t="s">
        <v>20</v>
      </c>
      <c r="E89" s="42">
        <v>2066.6</v>
      </c>
      <c r="F89" s="22">
        <v>2021</v>
      </c>
      <c r="G89" s="19" t="s">
        <v>23</v>
      </c>
      <c r="H89" s="22">
        <f>155999</f>
        <v>155999</v>
      </c>
      <c r="I89" s="22">
        <f>270598</f>
        <v>270598</v>
      </c>
      <c r="J89" s="22">
        <f>11.02</f>
        <v>11.02</v>
      </c>
      <c r="K89" s="22">
        <f>16.7</f>
        <v>16.7</v>
      </c>
      <c r="L89" s="20"/>
      <c r="M89" s="20"/>
      <c r="N89" s="22">
        <f>36.73</f>
        <v>36.729999999999997</v>
      </c>
      <c r="O89" s="22">
        <f t="shared" si="9"/>
        <v>14.6</v>
      </c>
      <c r="P89" s="22">
        <f>12829</f>
        <v>12829</v>
      </c>
      <c r="Q89" s="22">
        <f>6008</f>
        <v>6008</v>
      </c>
    </row>
    <row r="90" spans="1:17" ht="13.5" customHeight="1">
      <c r="A90" s="19" t="s">
        <v>155</v>
      </c>
      <c r="B90" s="19" t="s">
        <v>153</v>
      </c>
      <c r="C90" s="20"/>
      <c r="D90" s="20"/>
      <c r="E90" s="21"/>
      <c r="F90" s="22">
        <v>2022</v>
      </c>
      <c r="G90" s="19" t="s">
        <v>25</v>
      </c>
      <c r="H90" s="22">
        <f>16281</f>
        <v>16281</v>
      </c>
      <c r="I90" s="22">
        <f>27193</f>
        <v>27193</v>
      </c>
      <c r="J90" s="22">
        <f>11.77</f>
        <v>11.77</v>
      </c>
      <c r="K90" s="22">
        <f t="shared" si="11"/>
        <v>16.3</v>
      </c>
      <c r="L90" s="20"/>
      <c r="M90" s="20"/>
      <c r="N90" s="22">
        <f>36.52</f>
        <v>36.520000000000003</v>
      </c>
      <c r="O90" s="22">
        <f t="shared" si="9"/>
        <v>14.6</v>
      </c>
      <c r="P90" s="22">
        <f>1316.12</f>
        <v>1316.12</v>
      </c>
      <c r="Q90" s="22">
        <f>612</f>
        <v>612</v>
      </c>
    </row>
    <row r="91" spans="1:17" ht="13.5" customHeight="1">
      <c r="A91" s="19" t="s">
        <v>156</v>
      </c>
      <c r="B91" s="19" t="s">
        <v>153</v>
      </c>
      <c r="C91" s="20"/>
      <c r="D91" s="20"/>
      <c r="E91" s="21"/>
      <c r="F91" s="22">
        <v>2022</v>
      </c>
      <c r="G91" s="19" t="s">
        <v>40</v>
      </c>
      <c r="H91" s="22">
        <f>22301</f>
        <v>22301</v>
      </c>
      <c r="I91" s="22">
        <f>37263</f>
        <v>37263</v>
      </c>
      <c r="J91" s="22">
        <f>12.4</f>
        <v>12.4</v>
      </c>
      <c r="K91" s="22">
        <f t="shared" si="34"/>
        <v>16.899999999999999</v>
      </c>
      <c r="L91" s="20"/>
      <c r="M91" s="20"/>
      <c r="N91" s="22">
        <f>34.29</f>
        <v>34.29</v>
      </c>
      <c r="O91" s="22">
        <f>15.5</f>
        <v>15.5</v>
      </c>
      <c r="P91" s="22">
        <f>1810.28</f>
        <v>1810.28</v>
      </c>
      <c r="Q91" s="22">
        <f>774</f>
        <v>774</v>
      </c>
    </row>
    <row r="92" spans="1:17" ht="13.5" customHeight="1">
      <c r="A92" s="19" t="s">
        <v>157</v>
      </c>
      <c r="B92" s="19" t="s">
        <v>153</v>
      </c>
      <c r="C92" s="20"/>
      <c r="D92" s="20"/>
      <c r="E92" s="21"/>
      <c r="F92" s="22">
        <v>2022</v>
      </c>
      <c r="G92" s="19" t="s">
        <v>27</v>
      </c>
      <c r="H92" s="22">
        <f>20469</f>
        <v>20469</v>
      </c>
      <c r="I92" s="22">
        <f>34446</f>
        <v>34446</v>
      </c>
      <c r="J92" s="22">
        <f>12.14</f>
        <v>12.14</v>
      </c>
      <c r="K92" s="22">
        <f t="shared" si="34"/>
        <v>16.899999999999999</v>
      </c>
      <c r="L92" s="20"/>
      <c r="M92" s="20"/>
      <c r="N92" s="22">
        <f>35.1</f>
        <v>35.1</v>
      </c>
      <c r="O92" s="22">
        <f>15.2</f>
        <v>15.2</v>
      </c>
      <c r="P92" s="22">
        <f>1676.63</f>
        <v>1676.63</v>
      </c>
      <c r="Q92" s="22">
        <f>734</f>
        <v>734</v>
      </c>
    </row>
    <row r="93" spans="1:17" ht="13.5" customHeight="1">
      <c r="A93" s="19" t="s">
        <v>158</v>
      </c>
      <c r="B93" s="19" t="s">
        <v>159</v>
      </c>
      <c r="C93" s="19" t="s">
        <v>160</v>
      </c>
      <c r="D93" s="19" t="s">
        <v>20</v>
      </c>
      <c r="E93" s="29">
        <v>2036.14</v>
      </c>
      <c r="F93" s="22">
        <v>2021</v>
      </c>
      <c r="G93" s="19" t="s">
        <v>23</v>
      </c>
      <c r="H93" s="22">
        <f>152011</f>
        <v>152011</v>
      </c>
      <c r="I93" s="22">
        <f>263369</f>
        <v>263369</v>
      </c>
      <c r="J93" s="22">
        <f t="shared" ref="J93:J99" si="63">10.35</f>
        <v>10.35</v>
      </c>
      <c r="K93" s="22">
        <f t="shared" si="11"/>
        <v>16.3</v>
      </c>
      <c r="L93" s="20"/>
      <c r="M93" s="20"/>
      <c r="N93" s="22">
        <f>30.2</f>
        <v>30.2</v>
      </c>
      <c r="O93" s="22">
        <f t="shared" si="1"/>
        <v>15</v>
      </c>
      <c r="P93" s="22">
        <f>12424.01</f>
        <v>12424.01</v>
      </c>
      <c r="Q93" s="22">
        <f>6190</f>
        <v>6190</v>
      </c>
    </row>
    <row r="94" spans="1:17" ht="13.5" customHeight="1">
      <c r="A94" s="19" t="s">
        <v>161</v>
      </c>
      <c r="B94" s="19" t="s">
        <v>159</v>
      </c>
      <c r="C94" s="20"/>
      <c r="D94" s="20"/>
      <c r="E94" s="21"/>
      <c r="F94" s="22">
        <v>2022</v>
      </c>
      <c r="G94" s="19" t="s">
        <v>21</v>
      </c>
      <c r="H94" s="22">
        <f>26965</f>
        <v>26965</v>
      </c>
      <c r="I94" s="22">
        <f>43636</f>
        <v>43636</v>
      </c>
      <c r="J94" s="22">
        <f>9.94</f>
        <v>9.94</v>
      </c>
      <c r="K94" s="22">
        <f>14.6</f>
        <v>14.6</v>
      </c>
      <c r="L94" s="20"/>
      <c r="M94" s="20"/>
      <c r="N94" s="22">
        <f t="shared" ref="N94:N95" si="64">41.19</f>
        <v>41.19</v>
      </c>
      <c r="O94" s="22">
        <f t="shared" si="47"/>
        <v>12.9</v>
      </c>
      <c r="P94" s="22">
        <v>2105.9</v>
      </c>
      <c r="Q94" s="22">
        <f>1207</f>
        <v>1207</v>
      </c>
    </row>
    <row r="95" spans="1:17" ht="13.5" customHeight="1">
      <c r="A95" s="19" t="s">
        <v>162</v>
      </c>
      <c r="B95" s="19" t="s">
        <v>159</v>
      </c>
      <c r="C95" s="20"/>
      <c r="D95" s="20"/>
      <c r="E95" s="21"/>
      <c r="F95" s="22">
        <v>2022</v>
      </c>
      <c r="G95" s="19" t="s">
        <v>25</v>
      </c>
      <c r="H95" s="22">
        <f>16583</f>
        <v>16583</v>
      </c>
      <c r="I95" s="22">
        <f>26939</f>
        <v>26939</v>
      </c>
      <c r="J95" s="22">
        <f>10.42</f>
        <v>10.42</v>
      </c>
      <c r="K95" s="22">
        <f>14.6</f>
        <v>14.6</v>
      </c>
      <c r="L95" s="20"/>
      <c r="M95" s="20"/>
      <c r="N95" s="22">
        <f t="shared" si="64"/>
        <v>41.19</v>
      </c>
      <c r="O95" s="22">
        <f t="shared" si="47"/>
        <v>12.9</v>
      </c>
      <c r="P95" s="22">
        <f>1296.27</f>
        <v>1296.27</v>
      </c>
      <c r="Q95" s="22">
        <f>741</f>
        <v>741</v>
      </c>
    </row>
    <row r="96" spans="1:17" ht="13.5" customHeight="1">
      <c r="A96" s="19" t="s">
        <v>163</v>
      </c>
      <c r="B96" s="19" t="s">
        <v>159</v>
      </c>
      <c r="C96" s="20"/>
      <c r="D96" s="20"/>
      <c r="E96" s="21"/>
      <c r="F96" s="22">
        <v>2022</v>
      </c>
      <c r="G96" s="19" t="s">
        <v>27</v>
      </c>
      <c r="H96" s="22">
        <f>21348</f>
        <v>21348</v>
      </c>
      <c r="I96" s="22">
        <f>33793</f>
        <v>33793</v>
      </c>
      <c r="J96" s="22">
        <f>9.16</f>
        <v>9.16</v>
      </c>
      <c r="K96" s="22">
        <f>13.7</f>
        <v>13.7</v>
      </c>
      <c r="L96" s="20"/>
      <c r="M96" s="20"/>
      <c r="N96" s="22">
        <f>43.22</f>
        <v>43.22</v>
      </c>
      <c r="O96" s="22">
        <f t="shared" si="21"/>
        <v>12.1</v>
      </c>
      <c r="P96" s="22">
        <f>1655.53</f>
        <v>1655.53</v>
      </c>
      <c r="Q96" s="22">
        <f>1049</f>
        <v>1049</v>
      </c>
    </row>
    <row r="97" spans="1:17" ht="30.75" customHeight="1">
      <c r="A97" s="19" t="s">
        <v>164</v>
      </c>
      <c r="B97" s="25" t="s">
        <v>165</v>
      </c>
      <c r="C97" s="25" t="s">
        <v>166</v>
      </c>
      <c r="D97" s="25" t="s">
        <v>20</v>
      </c>
      <c r="E97" s="43">
        <v>2118.73</v>
      </c>
      <c r="F97" s="22">
        <v>2022</v>
      </c>
      <c r="G97" s="19" t="s">
        <v>21</v>
      </c>
      <c r="H97" s="22">
        <f>17259</f>
        <v>17259</v>
      </c>
      <c r="I97" s="22">
        <f>29601</f>
        <v>29601</v>
      </c>
      <c r="J97" s="22">
        <f>13.34</f>
        <v>13.34</v>
      </c>
      <c r="K97" s="22">
        <f>17.5</f>
        <v>17.5</v>
      </c>
      <c r="L97" s="20"/>
      <c r="M97" s="20"/>
      <c r="N97" s="22">
        <f>32.77</f>
        <v>32.770000000000003</v>
      </c>
      <c r="O97" s="22">
        <f>16.1</f>
        <v>16.100000000000001</v>
      </c>
      <c r="P97" s="22">
        <f>1385.68</f>
        <v>1385.68</v>
      </c>
      <c r="Q97" s="22">
        <f>574</f>
        <v>574</v>
      </c>
    </row>
    <row r="98" spans="1:17" ht="30.75" customHeight="1">
      <c r="A98" s="19" t="s">
        <v>167</v>
      </c>
      <c r="B98" s="25" t="s">
        <v>165</v>
      </c>
      <c r="C98" s="27"/>
      <c r="D98" s="27"/>
      <c r="E98" s="28"/>
      <c r="F98" s="22">
        <v>2022</v>
      </c>
      <c r="G98" s="19" t="s">
        <v>25</v>
      </c>
      <c r="H98" s="22">
        <f>1551</f>
        <v>1551</v>
      </c>
      <c r="I98" s="22">
        <f>2387</f>
        <v>2387</v>
      </c>
      <c r="J98" s="22">
        <f>10.99</f>
        <v>10.99</v>
      </c>
      <c r="K98" s="22">
        <f>13</f>
        <v>13</v>
      </c>
      <c r="L98" s="20"/>
      <c r="M98" s="20"/>
      <c r="N98" s="22">
        <f>50.97</f>
        <v>50.97</v>
      </c>
      <c r="O98" s="22">
        <f t="shared" si="58"/>
        <v>11.2</v>
      </c>
      <c r="P98" s="22">
        <f>117.4</f>
        <v>117.4</v>
      </c>
      <c r="Q98" s="22">
        <f>75</f>
        <v>75</v>
      </c>
    </row>
    <row r="99" spans="1:17" ht="30.75" customHeight="1">
      <c r="A99" s="19" t="s">
        <v>168</v>
      </c>
      <c r="B99" s="25" t="s">
        <v>165</v>
      </c>
      <c r="C99" s="27"/>
      <c r="D99" s="27"/>
      <c r="E99" s="28"/>
      <c r="F99" s="22">
        <v>2022</v>
      </c>
      <c r="G99" s="19" t="s">
        <v>27</v>
      </c>
      <c r="H99" s="22">
        <f>1849</f>
        <v>1849</v>
      </c>
      <c r="I99" s="22">
        <f>2807</f>
        <v>2807</v>
      </c>
      <c r="J99" s="22">
        <f t="shared" si="63"/>
        <v>10.35</v>
      </c>
      <c r="K99" s="22">
        <f>12.8</f>
        <v>12.8</v>
      </c>
      <c r="L99" s="20"/>
      <c r="M99" s="20"/>
      <c r="N99" s="22">
        <f>51.28</f>
        <v>51.28</v>
      </c>
      <c r="O99" s="22">
        <f t="shared" si="41"/>
        <v>11.1</v>
      </c>
      <c r="P99" s="22">
        <f>139.89</f>
        <v>139.88999999999999</v>
      </c>
      <c r="Q99" s="22">
        <f>91</f>
        <v>91</v>
      </c>
    </row>
    <row r="100" spans="1:17" ht="30.75" customHeight="1">
      <c r="A100" s="19" t="s">
        <v>169</v>
      </c>
      <c r="B100" s="25" t="s">
        <v>165</v>
      </c>
      <c r="C100" s="27"/>
      <c r="D100" s="27"/>
      <c r="E100" s="28"/>
      <c r="F100" s="22">
        <v>2021</v>
      </c>
      <c r="G100" s="19" t="s">
        <v>23</v>
      </c>
      <c r="H100" s="22">
        <f>118685</f>
        <v>118685</v>
      </c>
      <c r="I100" s="22">
        <f>207957</f>
        <v>207957</v>
      </c>
      <c r="J100" s="22">
        <f>11.27</f>
        <v>11.27</v>
      </c>
      <c r="K100" s="22">
        <f t="shared" si="60"/>
        <v>16.8</v>
      </c>
      <c r="L100" s="20"/>
      <c r="M100" s="20"/>
      <c r="N100" s="22">
        <f>27.86</f>
        <v>27.86</v>
      </c>
      <c r="O100" s="22">
        <f t="shared" si="50"/>
        <v>15.9</v>
      </c>
      <c r="P100" s="22">
        <f>9693.9</f>
        <v>9693.9</v>
      </c>
      <c r="Q100" s="22">
        <f>4487</f>
        <v>4487</v>
      </c>
    </row>
  </sheetData>
  <dataValidations count="2">
    <dataValidation type="list" allowBlank="1" showInputMessage="1" showErrorMessage="1" sqref="G1" xr:uid="{00000000-0002-0000-0000-000000000000}">
      <formula1>"Q1,Q2,Q3,H1,9M,FY,Qtrly Release"</formula1>
    </dataValidation>
    <dataValidation type="list" allowBlank="1" showInputMessage="1" showErrorMessage="1" sqref="G2:G100" xr:uid="{00000000-0002-0000-0000-000001000000}">
      <formula1>"Q1,Q2,Q3,H1,9M,FY"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A2F3-E5CC-4A0C-B817-5AD14D144026}">
  <dimension ref="A1:H100"/>
  <sheetViews>
    <sheetView tabSelected="1" topLeftCell="A18" workbookViewId="0">
      <selection activeCell="D29" sqref="D29:D34"/>
    </sheetView>
  </sheetViews>
  <sheetFormatPr defaultRowHeight="15"/>
  <cols>
    <col min="1" max="1" width="51" style="1" customWidth="1"/>
    <col min="3" max="3" width="11.140625" customWidth="1"/>
    <col min="4" max="4" width="20.28515625" style="56" customWidth="1"/>
    <col min="5" max="5" width="19.42578125" style="47" customWidth="1"/>
    <col min="6" max="6" width="28.5703125" style="47" customWidth="1"/>
    <col min="7" max="7" width="27.140625" style="47" customWidth="1"/>
    <col min="8" max="8" width="26" customWidth="1"/>
  </cols>
  <sheetData>
    <row r="1" spans="1:8" ht="38.25">
      <c r="A1" s="2" t="s">
        <v>0</v>
      </c>
      <c r="B1" s="45"/>
      <c r="C1" s="48" t="s">
        <v>170</v>
      </c>
      <c r="D1" s="55" t="s">
        <v>171</v>
      </c>
      <c r="E1" s="48" t="s">
        <v>172</v>
      </c>
      <c r="F1" s="46" t="s">
        <v>173</v>
      </c>
      <c r="G1" s="48" t="s">
        <v>174</v>
      </c>
      <c r="H1" s="50" t="s">
        <v>175</v>
      </c>
    </row>
    <row r="2" spans="1:8">
      <c r="A2" s="14" t="s">
        <v>17</v>
      </c>
      <c r="C2" s="51">
        <v>21324</v>
      </c>
      <c r="D2" s="56">
        <f>LN(C2)</f>
        <v>9.9675884779426518</v>
      </c>
      <c r="F2" s="52">
        <v>0.879</v>
      </c>
    </row>
    <row r="3" spans="1:8">
      <c r="A3" s="19" t="s">
        <v>22</v>
      </c>
      <c r="C3" s="51">
        <v>22137</v>
      </c>
      <c r="D3" s="56">
        <f t="shared" ref="D3:D5" si="0">LN(C3)</f>
        <v>10.005005695726476</v>
      </c>
      <c r="F3" s="52">
        <v>0.39400000000000002</v>
      </c>
    </row>
    <row r="4" spans="1:8">
      <c r="A4" s="19" t="s">
        <v>24</v>
      </c>
      <c r="C4" s="51">
        <v>21412</v>
      </c>
      <c r="D4" s="56">
        <f t="shared" si="0"/>
        <v>9.971706791513272</v>
      </c>
      <c r="F4" s="53">
        <v>0.55700000000000005</v>
      </c>
    </row>
    <row r="5" spans="1:8">
      <c r="A5" s="19" t="s">
        <v>26</v>
      </c>
      <c r="C5" s="51">
        <v>21750</v>
      </c>
      <c r="D5" s="56">
        <f t="shared" si="0"/>
        <v>9.9873690365168297</v>
      </c>
      <c r="F5" s="53">
        <v>1.048</v>
      </c>
    </row>
    <row r="6" spans="1:8">
      <c r="A6" s="19" t="s">
        <v>28</v>
      </c>
      <c r="C6" s="51">
        <v>113644</v>
      </c>
      <c r="D6" s="56">
        <f>LN(C6)</f>
        <v>11.640826034222295</v>
      </c>
    </row>
    <row r="7" spans="1:8">
      <c r="A7" s="19" t="s">
        <v>32</v>
      </c>
      <c r="C7" s="51">
        <v>110157</v>
      </c>
      <c r="D7" s="56">
        <f>LN(C7)</f>
        <v>11.60966189991624</v>
      </c>
      <c r="F7" s="49"/>
    </row>
    <row r="8" spans="1:8">
      <c r="A8" s="19" t="s">
        <v>33</v>
      </c>
      <c r="C8" s="51">
        <v>121338</v>
      </c>
      <c r="D8" s="56">
        <f>LN(C8)</f>
        <v>11.706335318749604</v>
      </c>
    </row>
    <row r="9" spans="1:8">
      <c r="A9" s="19" t="s">
        <v>34</v>
      </c>
      <c r="C9" s="51">
        <v>17549</v>
      </c>
      <c r="D9" s="56">
        <f>LN(C9)</f>
        <v>9.7727522472136066</v>
      </c>
    </row>
    <row r="10" spans="1:8">
      <c r="A10" s="19" t="s">
        <v>35</v>
      </c>
      <c r="C10" s="51">
        <v>1049969</v>
      </c>
      <c r="D10" s="56">
        <f>LN(C10)</f>
        <v>13.864271197888346</v>
      </c>
    </row>
    <row r="11" spans="1:8">
      <c r="A11" s="19" t="s">
        <v>38</v>
      </c>
    </row>
    <row r="12" spans="1:8">
      <c r="A12" s="19" t="s">
        <v>39</v>
      </c>
    </row>
    <row r="13" spans="1:8">
      <c r="A13" s="19" t="s">
        <v>41</v>
      </c>
    </row>
    <row r="14" spans="1:8">
      <c r="A14" s="19" t="s">
        <v>42</v>
      </c>
      <c r="C14" s="51">
        <v>129515</v>
      </c>
      <c r="D14" s="56">
        <f>LN(C14)</f>
        <v>11.77155198352977</v>
      </c>
    </row>
    <row r="15" spans="1:8">
      <c r="A15" s="19" t="s">
        <v>43</v>
      </c>
      <c r="C15" s="51">
        <v>96972</v>
      </c>
      <c r="D15" s="56">
        <f>LN(C15)</f>
        <v>11.482177556021448</v>
      </c>
    </row>
    <row r="16" spans="1:8">
      <c r="A16" s="19" t="s">
        <v>46</v>
      </c>
      <c r="C16" s="51">
        <v>93983</v>
      </c>
      <c r="D16" s="56">
        <f t="shared" ref="D16:D23" si="1">LN(C16)</f>
        <v>11.450869193832785</v>
      </c>
    </row>
    <row r="17" spans="1:4">
      <c r="A17" s="19" t="s">
        <v>47</v>
      </c>
      <c r="C17" s="51">
        <v>97030</v>
      </c>
      <c r="D17" s="56">
        <f t="shared" si="1"/>
        <v>11.482775488019346</v>
      </c>
    </row>
    <row r="18" spans="1:4">
      <c r="A18" s="19" t="s">
        <v>48</v>
      </c>
      <c r="C18" s="51">
        <v>87400</v>
      </c>
      <c r="D18" s="56">
        <f t="shared" si="1"/>
        <v>11.378250561643627</v>
      </c>
    </row>
    <row r="19" spans="1:4">
      <c r="A19" s="19" t="s">
        <v>49</v>
      </c>
      <c r="C19" s="51">
        <v>84095</v>
      </c>
      <c r="D19" s="56">
        <f t="shared" si="1"/>
        <v>11.339702391161532</v>
      </c>
    </row>
    <row r="20" spans="1:4">
      <c r="A20" s="19" t="s">
        <v>52</v>
      </c>
      <c r="C20" s="51">
        <v>128794</v>
      </c>
      <c r="D20" s="56">
        <f t="shared" si="1"/>
        <v>11.765969507716397</v>
      </c>
    </row>
    <row r="21" spans="1:4">
      <c r="A21" s="19" t="s">
        <v>53</v>
      </c>
      <c r="C21" s="51">
        <v>125782</v>
      </c>
      <c r="D21" s="56">
        <f t="shared" si="1"/>
        <v>11.742305528750217</v>
      </c>
    </row>
    <row r="22" spans="1:4">
      <c r="A22" s="19" t="s">
        <v>54</v>
      </c>
      <c r="C22" s="51">
        <v>131010</v>
      </c>
      <c r="D22" s="56">
        <f t="shared" si="1"/>
        <v>11.783028935147716</v>
      </c>
    </row>
    <row r="23" spans="1:4">
      <c r="A23" s="19" t="s">
        <v>55</v>
      </c>
      <c r="C23" s="51">
        <v>11299</v>
      </c>
      <c r="D23" s="56">
        <f t="shared" si="1"/>
        <v>9.3324695052092466</v>
      </c>
    </row>
    <row r="24" spans="1:4">
      <c r="A24" s="19" t="s">
        <v>58</v>
      </c>
    </row>
    <row r="25" spans="1:4">
      <c r="A25" s="19" t="s">
        <v>59</v>
      </c>
    </row>
    <row r="26" spans="1:4">
      <c r="A26" s="19" t="s">
        <v>60</v>
      </c>
    </row>
    <row r="27" spans="1:4">
      <c r="A27" s="19" t="s">
        <v>61</v>
      </c>
      <c r="C27" s="51">
        <v>255334</v>
      </c>
      <c r="D27" s="56">
        <f>LN(C27)</f>
        <v>12.450327771017268</v>
      </c>
    </row>
    <row r="28" spans="1:4">
      <c r="A28" s="19" t="s">
        <v>63</v>
      </c>
      <c r="C28" s="51">
        <v>260920</v>
      </c>
      <c r="D28" s="56">
        <f>LN(C28)</f>
        <v>12.471969125910032</v>
      </c>
    </row>
    <row r="29" spans="1:4">
      <c r="A29" s="19" t="s">
        <v>64</v>
      </c>
      <c r="C29" s="51">
        <v>252483</v>
      </c>
      <c r="D29" s="56">
        <f t="shared" ref="D29:D34" si="2">LN(C29)</f>
        <v>12.439099198698331</v>
      </c>
    </row>
    <row r="30" spans="1:4">
      <c r="A30" s="19" t="s">
        <v>65</v>
      </c>
      <c r="C30" s="51">
        <v>229527</v>
      </c>
      <c r="D30" s="56">
        <f t="shared" si="2"/>
        <v>12.343775948621689</v>
      </c>
    </row>
    <row r="31" spans="1:4">
      <c r="A31" s="19" t="s">
        <v>66</v>
      </c>
      <c r="C31" s="54">
        <v>11006.1</v>
      </c>
      <c r="D31" s="56">
        <f t="shared" si="2"/>
        <v>9.3062049435315437</v>
      </c>
    </row>
    <row r="32" spans="1:4">
      <c r="A32" s="19" t="s">
        <v>69</v>
      </c>
      <c r="C32" s="54">
        <v>11509.2</v>
      </c>
      <c r="D32" s="56">
        <f t="shared" si="2"/>
        <v>9.3509019945219052</v>
      </c>
    </row>
    <row r="33" spans="1:4">
      <c r="A33" s="19" t="s">
        <v>70</v>
      </c>
      <c r="C33" s="54">
        <v>10195.5</v>
      </c>
      <c r="D33" s="56">
        <f t="shared" si="2"/>
        <v>9.2297017254548024</v>
      </c>
    </row>
    <row r="34" spans="1:4">
      <c r="A34" s="19" t="s">
        <v>71</v>
      </c>
      <c r="C34" s="51">
        <v>12529</v>
      </c>
      <c r="D34" s="56">
        <f t="shared" si="2"/>
        <v>9.4358012362455526</v>
      </c>
    </row>
    <row r="35" spans="1:4">
      <c r="A35" s="19" t="s">
        <v>72</v>
      </c>
    </row>
    <row r="36" spans="1:4">
      <c r="A36" s="19" t="s">
        <v>75</v>
      </c>
    </row>
    <row r="37" spans="1:4">
      <c r="A37" s="19" t="s">
        <v>76</v>
      </c>
    </row>
    <row r="38" spans="1:4">
      <c r="A38" s="19" t="s">
        <v>77</v>
      </c>
    </row>
    <row r="39" spans="1:4">
      <c r="A39" s="19" t="s">
        <v>78</v>
      </c>
    </row>
    <row r="40" spans="1:4">
      <c r="A40" s="19" t="s">
        <v>81</v>
      </c>
    </row>
    <row r="41" spans="1:4">
      <c r="A41" s="19" t="s">
        <v>82</v>
      </c>
    </row>
    <row r="42" spans="1:4">
      <c r="A42" s="19" t="s">
        <v>83</v>
      </c>
    </row>
    <row r="43" spans="1:4">
      <c r="A43" s="19" t="s">
        <v>86</v>
      </c>
    </row>
    <row r="44" spans="1:4">
      <c r="A44" s="19" t="s">
        <v>87</v>
      </c>
    </row>
    <row r="45" spans="1:4">
      <c r="A45" s="19" t="s">
        <v>88</v>
      </c>
    </row>
    <row r="46" spans="1:4">
      <c r="A46" s="19" t="s">
        <v>89</v>
      </c>
    </row>
    <row r="47" spans="1:4">
      <c r="A47" s="19" t="s">
        <v>92</v>
      </c>
    </row>
    <row r="48" spans="1:4">
      <c r="A48" s="19" t="s">
        <v>93</v>
      </c>
    </row>
    <row r="49" spans="1:1">
      <c r="A49" s="19" t="s">
        <v>94</v>
      </c>
    </row>
    <row r="50" spans="1:1">
      <c r="A50" s="19" t="s">
        <v>95</v>
      </c>
    </row>
    <row r="51" spans="1:1">
      <c r="A51" s="19" t="s">
        <v>98</v>
      </c>
    </row>
    <row r="52" spans="1:1">
      <c r="A52" s="19" t="s">
        <v>99</v>
      </c>
    </row>
    <row r="53" spans="1:1">
      <c r="A53" s="19" t="s">
        <v>100</v>
      </c>
    </row>
    <row r="54" spans="1:1">
      <c r="A54" s="19" t="s">
        <v>101</v>
      </c>
    </row>
    <row r="55" spans="1:1">
      <c r="A55" s="19" t="s">
        <v>104</v>
      </c>
    </row>
    <row r="56" spans="1:1">
      <c r="A56" s="19" t="s">
        <v>105</v>
      </c>
    </row>
    <row r="57" spans="1:1">
      <c r="A57" s="19" t="s">
        <v>106</v>
      </c>
    </row>
    <row r="58" spans="1:1">
      <c r="A58" s="19" t="s">
        <v>107</v>
      </c>
    </row>
    <row r="59" spans="1:1">
      <c r="A59" s="19" t="s">
        <v>109</v>
      </c>
    </row>
    <row r="60" spans="1:1">
      <c r="A60" s="19" t="s">
        <v>110</v>
      </c>
    </row>
    <row r="61" spans="1:1">
      <c r="A61" s="19" t="s">
        <v>111</v>
      </c>
    </row>
    <row r="62" spans="1:1">
      <c r="A62" s="19" t="s">
        <v>114</v>
      </c>
    </row>
    <row r="63" spans="1:1">
      <c r="A63" s="19" t="s">
        <v>115</v>
      </c>
    </row>
    <row r="64" spans="1:1">
      <c r="A64" s="19" t="s">
        <v>116</v>
      </c>
    </row>
    <row r="65" spans="1:1">
      <c r="A65" s="19" t="s">
        <v>117</v>
      </c>
    </row>
    <row r="66" spans="1:1">
      <c r="A66" s="19" t="s">
        <v>119</v>
      </c>
    </row>
    <row r="67" spans="1:1">
      <c r="A67" s="19" t="s">
        <v>120</v>
      </c>
    </row>
    <row r="68" spans="1:1">
      <c r="A68" s="19" t="s">
        <v>121</v>
      </c>
    </row>
    <row r="69" spans="1:1">
      <c r="A69" s="19" t="s">
        <v>122</v>
      </c>
    </row>
    <row r="70" spans="1:1">
      <c r="A70" s="19" t="s">
        <v>125</v>
      </c>
    </row>
    <row r="71" spans="1:1">
      <c r="A71" s="19" t="s">
        <v>126</v>
      </c>
    </row>
    <row r="72" spans="1:1">
      <c r="A72" s="19" t="s">
        <v>127</v>
      </c>
    </row>
    <row r="73" spans="1:1">
      <c r="A73" s="19" t="s">
        <v>128</v>
      </c>
    </row>
    <row r="74" spans="1:1">
      <c r="A74" s="19" t="s">
        <v>131</v>
      </c>
    </row>
    <row r="75" spans="1:1">
      <c r="A75" s="19" t="s">
        <v>132</v>
      </c>
    </row>
    <row r="76" spans="1:1">
      <c r="A76" s="19" t="s">
        <v>133</v>
      </c>
    </row>
    <row r="77" spans="1:1">
      <c r="A77" s="19" t="s">
        <v>134</v>
      </c>
    </row>
    <row r="78" spans="1:1">
      <c r="A78" s="19" t="s">
        <v>136</v>
      </c>
    </row>
    <row r="79" spans="1:1">
      <c r="A79" s="19" t="s">
        <v>137</v>
      </c>
    </row>
    <row r="80" spans="1:1">
      <c r="A80" s="19" t="s">
        <v>138</v>
      </c>
    </row>
    <row r="81" spans="1:1">
      <c r="A81" s="19" t="s">
        <v>139</v>
      </c>
    </row>
    <row r="82" spans="1:1">
      <c r="A82" s="19" t="s">
        <v>142</v>
      </c>
    </row>
    <row r="83" spans="1:1">
      <c r="A83" s="19" t="s">
        <v>143</v>
      </c>
    </row>
    <row r="84" spans="1:1">
      <c r="A84" s="19" t="s">
        <v>144</v>
      </c>
    </row>
    <row r="85" spans="1:1">
      <c r="A85" s="19" t="s">
        <v>145</v>
      </c>
    </row>
    <row r="86" spans="1:1">
      <c r="A86" s="19" t="s">
        <v>149</v>
      </c>
    </row>
    <row r="87" spans="1:1">
      <c r="A87" s="19" t="s">
        <v>150</v>
      </c>
    </row>
    <row r="88" spans="1:1">
      <c r="A88" s="19" t="s">
        <v>151</v>
      </c>
    </row>
    <row r="89" spans="1:1">
      <c r="A89" s="19" t="s">
        <v>152</v>
      </c>
    </row>
    <row r="90" spans="1:1">
      <c r="A90" s="19" t="s">
        <v>155</v>
      </c>
    </row>
    <row r="91" spans="1:1">
      <c r="A91" s="19" t="s">
        <v>156</v>
      </c>
    </row>
    <row r="92" spans="1:1">
      <c r="A92" s="19" t="s">
        <v>157</v>
      </c>
    </row>
    <row r="93" spans="1:1">
      <c r="A93" s="19" t="s">
        <v>158</v>
      </c>
    </row>
    <row r="94" spans="1:1">
      <c r="A94" s="19" t="s">
        <v>161</v>
      </c>
    </row>
    <row r="95" spans="1:1">
      <c r="A95" s="19" t="s">
        <v>162</v>
      </c>
    </row>
    <row r="96" spans="1:1">
      <c r="A96" s="19" t="s">
        <v>163</v>
      </c>
    </row>
    <row r="97" spans="1:1">
      <c r="A97" s="19" t="s">
        <v>164</v>
      </c>
    </row>
    <row r="98" spans="1:1">
      <c r="A98" s="19" t="s">
        <v>167</v>
      </c>
    </row>
    <row r="99" spans="1:1">
      <c r="A99" s="19" t="s">
        <v>168</v>
      </c>
    </row>
    <row r="100" spans="1:1">
      <c r="A100" s="19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2022-12-14T20:53:08Z</dcterms:created>
  <dcterms:modified xsi:type="dcterms:W3CDTF">2024-02-27T03:02:25Z</dcterms:modified>
  <cp:category/>
  <cp:contentStatus/>
</cp:coreProperties>
</file>