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66925"/>
  <xr:revisionPtr revIDLastSave="0" documentId="8_{8290E487-637E-45E4-9FC9-6227A599430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X 50 (Text disclosure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1" l="1"/>
  <c r="M100" i="1"/>
  <c r="L100" i="1"/>
  <c r="K100" i="1"/>
  <c r="H100" i="1"/>
  <c r="G100" i="1"/>
  <c r="F100" i="1"/>
  <c r="E100" i="1"/>
  <c r="N99" i="1"/>
  <c r="M99" i="1"/>
  <c r="L99" i="1"/>
  <c r="K99" i="1"/>
  <c r="H99" i="1"/>
  <c r="G99" i="1"/>
  <c r="F99" i="1"/>
  <c r="E99" i="1"/>
  <c r="N98" i="1"/>
  <c r="M98" i="1"/>
  <c r="L98" i="1"/>
  <c r="K98" i="1"/>
  <c r="H98" i="1"/>
  <c r="G98" i="1"/>
  <c r="F98" i="1"/>
  <c r="E98" i="1"/>
  <c r="N97" i="1"/>
  <c r="M97" i="1"/>
  <c r="L97" i="1"/>
  <c r="K97" i="1"/>
  <c r="H97" i="1"/>
  <c r="G97" i="1"/>
  <c r="F97" i="1"/>
  <c r="E97" i="1"/>
  <c r="N96" i="1"/>
  <c r="M96" i="1"/>
  <c r="L96" i="1"/>
  <c r="K96" i="1"/>
  <c r="H96" i="1"/>
  <c r="G96" i="1"/>
  <c r="F96" i="1"/>
  <c r="E96" i="1"/>
  <c r="N95" i="1"/>
  <c r="M95" i="1"/>
  <c r="L95" i="1"/>
  <c r="K95" i="1"/>
  <c r="H95" i="1"/>
  <c r="G95" i="1"/>
  <c r="F95" i="1"/>
  <c r="E95" i="1"/>
  <c r="N94" i="1"/>
  <c r="L94" i="1"/>
  <c r="K94" i="1"/>
  <c r="H94" i="1"/>
  <c r="G94" i="1"/>
  <c r="F94" i="1"/>
  <c r="E94" i="1"/>
  <c r="N93" i="1"/>
  <c r="M93" i="1"/>
  <c r="L93" i="1"/>
  <c r="K93" i="1"/>
  <c r="H93" i="1"/>
  <c r="G93" i="1"/>
  <c r="F93" i="1"/>
  <c r="E93" i="1"/>
  <c r="N92" i="1"/>
  <c r="M92" i="1"/>
  <c r="L92" i="1"/>
  <c r="K92" i="1"/>
  <c r="H92" i="1"/>
  <c r="G92" i="1"/>
  <c r="F92" i="1"/>
  <c r="E92" i="1"/>
  <c r="E91" i="1"/>
  <c r="N91" i="1"/>
  <c r="M91" i="1"/>
  <c r="L91" i="1"/>
  <c r="K91" i="1"/>
  <c r="H91" i="1"/>
  <c r="G91" i="1"/>
  <c r="F91" i="1"/>
  <c r="N90" i="1"/>
  <c r="M90" i="1"/>
  <c r="L90" i="1"/>
  <c r="K90" i="1"/>
  <c r="H90" i="1"/>
  <c r="G90" i="1"/>
  <c r="F90" i="1"/>
  <c r="E90" i="1"/>
  <c r="N89" i="1"/>
  <c r="M89" i="1"/>
  <c r="L89" i="1"/>
  <c r="K89" i="1"/>
  <c r="H89" i="1"/>
  <c r="G89" i="1"/>
  <c r="F89" i="1"/>
  <c r="E89" i="1"/>
  <c r="N88" i="1"/>
  <c r="M88" i="1"/>
  <c r="L88" i="1"/>
  <c r="K88" i="1"/>
  <c r="H88" i="1"/>
  <c r="G88" i="1"/>
  <c r="F88" i="1"/>
  <c r="E88" i="1"/>
  <c r="N87" i="1"/>
  <c r="M87" i="1"/>
  <c r="L87" i="1"/>
  <c r="K87" i="1"/>
  <c r="H87" i="1"/>
  <c r="G87" i="1"/>
  <c r="F87" i="1"/>
  <c r="E87" i="1"/>
  <c r="N86" i="1"/>
  <c r="M86" i="1"/>
  <c r="L86" i="1"/>
  <c r="K86" i="1"/>
  <c r="H86" i="1"/>
  <c r="G86" i="1"/>
  <c r="F86" i="1"/>
  <c r="E86" i="1"/>
  <c r="N85" i="1"/>
  <c r="M85" i="1"/>
  <c r="L85" i="1"/>
  <c r="K85" i="1"/>
  <c r="H85" i="1"/>
  <c r="G85" i="1"/>
  <c r="F85" i="1"/>
  <c r="E85" i="1"/>
  <c r="N84" i="1"/>
  <c r="M84" i="1"/>
  <c r="L84" i="1"/>
  <c r="K84" i="1"/>
  <c r="H84" i="1"/>
  <c r="G84" i="1"/>
  <c r="F84" i="1"/>
  <c r="E84" i="1"/>
  <c r="N83" i="1"/>
  <c r="M83" i="1"/>
  <c r="L83" i="1"/>
  <c r="K83" i="1"/>
  <c r="H83" i="1"/>
  <c r="G83" i="1"/>
  <c r="F83" i="1"/>
  <c r="E83" i="1"/>
  <c r="N82" i="1"/>
  <c r="M82" i="1"/>
  <c r="L82" i="1"/>
  <c r="K82" i="1"/>
  <c r="H82" i="1"/>
  <c r="G82" i="1"/>
  <c r="F82" i="1"/>
  <c r="E82" i="1"/>
  <c r="N81" i="1"/>
  <c r="M81" i="1"/>
  <c r="L81" i="1"/>
  <c r="K81" i="1"/>
  <c r="H81" i="1"/>
  <c r="G81" i="1"/>
  <c r="F81" i="1"/>
  <c r="E81" i="1"/>
  <c r="N80" i="1"/>
  <c r="M80" i="1"/>
  <c r="L80" i="1"/>
  <c r="K80" i="1"/>
  <c r="H80" i="1"/>
  <c r="G80" i="1"/>
  <c r="F80" i="1"/>
  <c r="E80" i="1"/>
  <c r="N79" i="1"/>
  <c r="M79" i="1"/>
  <c r="L79" i="1"/>
  <c r="K79" i="1"/>
  <c r="H79" i="1"/>
  <c r="G79" i="1"/>
  <c r="F79" i="1"/>
  <c r="E79" i="1"/>
  <c r="N78" i="1"/>
  <c r="M78" i="1"/>
  <c r="L78" i="1"/>
  <c r="K78" i="1"/>
  <c r="H78" i="1"/>
  <c r="G78" i="1"/>
  <c r="F78" i="1"/>
  <c r="E78" i="1"/>
  <c r="N77" i="1"/>
  <c r="M77" i="1"/>
  <c r="L77" i="1"/>
  <c r="K77" i="1"/>
  <c r="H77" i="1"/>
  <c r="G77" i="1"/>
  <c r="F77" i="1"/>
  <c r="E77" i="1"/>
  <c r="N76" i="1"/>
  <c r="M76" i="1"/>
  <c r="L76" i="1"/>
  <c r="K76" i="1"/>
  <c r="H76" i="1"/>
  <c r="G76" i="1"/>
  <c r="F76" i="1"/>
  <c r="E76" i="1"/>
  <c r="N75" i="1"/>
  <c r="M75" i="1"/>
  <c r="K75" i="1"/>
  <c r="H75" i="1"/>
  <c r="G75" i="1"/>
  <c r="F75" i="1"/>
  <c r="E75" i="1"/>
  <c r="N74" i="1"/>
  <c r="L74" i="1"/>
  <c r="K74" i="1"/>
  <c r="H74" i="1"/>
  <c r="G74" i="1"/>
  <c r="F74" i="1"/>
  <c r="E74" i="1"/>
  <c r="N73" i="1"/>
  <c r="M73" i="1"/>
  <c r="L73" i="1"/>
  <c r="K73" i="1"/>
  <c r="H73" i="1"/>
  <c r="G73" i="1"/>
  <c r="F73" i="1"/>
  <c r="E73" i="1"/>
  <c r="N72" i="1"/>
  <c r="M72" i="1"/>
  <c r="L72" i="1"/>
  <c r="K72" i="1"/>
  <c r="H72" i="1"/>
  <c r="G72" i="1"/>
  <c r="F72" i="1"/>
  <c r="E72" i="1"/>
  <c r="N71" i="1"/>
  <c r="M71" i="1"/>
  <c r="L71" i="1"/>
  <c r="K71" i="1"/>
  <c r="H71" i="1"/>
  <c r="G71" i="1"/>
  <c r="F71" i="1"/>
  <c r="E71" i="1"/>
  <c r="N70" i="1"/>
  <c r="M70" i="1"/>
  <c r="L70" i="1"/>
  <c r="K70" i="1"/>
  <c r="H70" i="1"/>
  <c r="G70" i="1"/>
  <c r="F70" i="1"/>
  <c r="E70" i="1"/>
  <c r="N69" i="1"/>
  <c r="L69" i="1"/>
  <c r="K69" i="1"/>
  <c r="H69" i="1"/>
  <c r="G69" i="1"/>
  <c r="F69" i="1"/>
  <c r="E69" i="1"/>
  <c r="N68" i="1"/>
  <c r="M68" i="1"/>
  <c r="L68" i="1"/>
  <c r="K68" i="1"/>
  <c r="H68" i="1"/>
  <c r="G68" i="1"/>
  <c r="F68" i="1"/>
  <c r="E68" i="1"/>
  <c r="N67" i="1"/>
  <c r="M67" i="1"/>
  <c r="L67" i="1"/>
  <c r="K67" i="1"/>
  <c r="H67" i="1"/>
  <c r="G67" i="1"/>
  <c r="F67" i="1"/>
  <c r="E67" i="1"/>
  <c r="N66" i="1"/>
  <c r="M66" i="1"/>
  <c r="L66" i="1"/>
  <c r="K66" i="1"/>
  <c r="H66" i="1"/>
  <c r="G66" i="1"/>
  <c r="F66" i="1"/>
  <c r="E66" i="1"/>
  <c r="N65" i="1"/>
  <c r="M65" i="1"/>
  <c r="L65" i="1"/>
  <c r="K65" i="1"/>
  <c r="H65" i="1"/>
  <c r="G65" i="1"/>
  <c r="F65" i="1"/>
  <c r="E65" i="1"/>
  <c r="N64" i="1"/>
  <c r="M64" i="1"/>
  <c r="L64" i="1"/>
  <c r="K64" i="1"/>
  <c r="H64" i="1"/>
  <c r="G64" i="1"/>
  <c r="F64" i="1"/>
  <c r="E64" i="1"/>
  <c r="N63" i="1"/>
  <c r="M63" i="1"/>
  <c r="L63" i="1"/>
  <c r="K63" i="1"/>
  <c r="H63" i="1"/>
  <c r="G63" i="1"/>
  <c r="F63" i="1"/>
  <c r="E63" i="1"/>
  <c r="N62" i="1"/>
  <c r="M62" i="1"/>
  <c r="L62" i="1"/>
  <c r="K62" i="1"/>
  <c r="H62" i="1"/>
  <c r="G62" i="1"/>
  <c r="F62" i="1"/>
  <c r="N61" i="1"/>
  <c r="M61" i="1"/>
  <c r="L61" i="1"/>
  <c r="K61" i="1"/>
  <c r="H61" i="1"/>
  <c r="G61" i="1"/>
  <c r="F61" i="1"/>
  <c r="N60" i="1"/>
  <c r="M60" i="1"/>
  <c r="L60" i="1"/>
  <c r="K60" i="1"/>
  <c r="G60" i="1"/>
  <c r="F60" i="1"/>
  <c r="E60" i="1"/>
  <c r="N59" i="1"/>
  <c r="M59" i="1"/>
  <c r="L59" i="1"/>
  <c r="K59" i="1"/>
  <c r="H59" i="1"/>
  <c r="G59" i="1"/>
  <c r="F59" i="1"/>
  <c r="E59" i="1"/>
  <c r="M58" i="1"/>
  <c r="L58" i="1"/>
  <c r="K58" i="1"/>
  <c r="H58" i="1"/>
  <c r="G58" i="1"/>
  <c r="F58" i="1"/>
  <c r="E58" i="1"/>
  <c r="N57" i="1"/>
  <c r="M57" i="1"/>
  <c r="L57" i="1"/>
  <c r="H57" i="1"/>
  <c r="G57" i="1"/>
  <c r="F57" i="1"/>
  <c r="E57" i="1"/>
  <c r="N56" i="1"/>
  <c r="M56" i="1"/>
  <c r="L56" i="1"/>
  <c r="K56" i="1"/>
  <c r="H56" i="1"/>
  <c r="G56" i="1"/>
  <c r="F56" i="1"/>
  <c r="E56" i="1"/>
  <c r="N55" i="1"/>
  <c r="L55" i="1"/>
  <c r="K55" i="1"/>
  <c r="H55" i="1"/>
  <c r="G55" i="1"/>
  <c r="F55" i="1"/>
  <c r="E55" i="1"/>
  <c r="N54" i="1"/>
  <c r="M54" i="1"/>
  <c r="L54" i="1"/>
  <c r="K54" i="1"/>
  <c r="H54" i="1"/>
  <c r="G54" i="1"/>
  <c r="F54" i="1"/>
  <c r="E54" i="1"/>
  <c r="N53" i="1"/>
  <c r="M53" i="1"/>
  <c r="L53" i="1"/>
  <c r="K53" i="1"/>
  <c r="H53" i="1"/>
  <c r="G53" i="1"/>
  <c r="F53" i="1"/>
  <c r="E53" i="1"/>
  <c r="N52" i="1"/>
  <c r="M52" i="1"/>
  <c r="L52" i="1"/>
  <c r="K52" i="1"/>
  <c r="H52" i="1"/>
  <c r="G52" i="1"/>
  <c r="F52" i="1"/>
  <c r="E52" i="1"/>
  <c r="N51" i="1"/>
  <c r="M51" i="1"/>
  <c r="L51" i="1"/>
  <c r="K51" i="1"/>
  <c r="H51" i="1"/>
  <c r="G51" i="1"/>
  <c r="F51" i="1"/>
  <c r="E51" i="1"/>
  <c r="N50" i="1"/>
  <c r="M50" i="1"/>
  <c r="L50" i="1"/>
  <c r="K50" i="1"/>
  <c r="H50" i="1"/>
  <c r="G50" i="1"/>
  <c r="F50" i="1"/>
  <c r="E50" i="1"/>
  <c r="N49" i="1"/>
  <c r="M49" i="1"/>
  <c r="L49" i="1"/>
  <c r="K49" i="1"/>
  <c r="H49" i="1"/>
  <c r="G49" i="1"/>
  <c r="F49" i="1"/>
  <c r="E49" i="1"/>
  <c r="N48" i="1"/>
  <c r="M48" i="1"/>
  <c r="L48" i="1"/>
  <c r="K48" i="1"/>
  <c r="H48" i="1"/>
  <c r="G48" i="1"/>
  <c r="F48" i="1"/>
  <c r="E48" i="1"/>
  <c r="N47" i="1"/>
  <c r="M47" i="1"/>
  <c r="L47" i="1"/>
  <c r="K47" i="1"/>
  <c r="H47" i="1"/>
  <c r="G47" i="1"/>
  <c r="F47" i="1"/>
  <c r="E47" i="1"/>
  <c r="N46" i="1"/>
  <c r="M46" i="1"/>
  <c r="L46" i="1"/>
  <c r="K46" i="1"/>
  <c r="H46" i="1"/>
  <c r="G46" i="1"/>
  <c r="F46" i="1"/>
  <c r="E46" i="1"/>
  <c r="N45" i="1"/>
  <c r="M45" i="1"/>
  <c r="L45" i="1"/>
  <c r="K45" i="1"/>
  <c r="H45" i="1"/>
  <c r="G45" i="1"/>
  <c r="F45" i="1"/>
  <c r="E45" i="1"/>
  <c r="N44" i="1"/>
  <c r="M44" i="1"/>
  <c r="L44" i="1"/>
  <c r="K44" i="1"/>
  <c r="H44" i="1"/>
  <c r="G44" i="1"/>
  <c r="F44" i="1"/>
  <c r="E44" i="1"/>
  <c r="N43" i="1"/>
  <c r="M43" i="1"/>
  <c r="L43" i="1"/>
  <c r="K43" i="1"/>
  <c r="H43" i="1"/>
  <c r="G43" i="1"/>
  <c r="F43" i="1"/>
  <c r="E43" i="1"/>
  <c r="N42" i="1"/>
  <c r="M42" i="1"/>
  <c r="L42" i="1"/>
  <c r="K42" i="1"/>
  <c r="H42" i="1"/>
  <c r="G42" i="1"/>
  <c r="F42" i="1"/>
  <c r="E42" i="1"/>
  <c r="N41" i="1"/>
  <c r="M41" i="1"/>
  <c r="L41" i="1"/>
  <c r="K41" i="1"/>
  <c r="H41" i="1"/>
  <c r="G41" i="1"/>
  <c r="F41" i="1"/>
  <c r="E41" i="1"/>
  <c r="N40" i="1"/>
  <c r="M40" i="1"/>
  <c r="L40" i="1"/>
  <c r="K40" i="1"/>
  <c r="H40" i="1"/>
  <c r="G40" i="1"/>
  <c r="F40" i="1"/>
  <c r="E40" i="1"/>
  <c r="N39" i="1"/>
  <c r="M39" i="1"/>
  <c r="L39" i="1"/>
  <c r="K39" i="1"/>
  <c r="H39" i="1"/>
  <c r="G39" i="1"/>
  <c r="F39" i="1"/>
  <c r="E39" i="1"/>
  <c r="N38" i="1"/>
  <c r="M38" i="1"/>
  <c r="L38" i="1"/>
  <c r="K38" i="1"/>
  <c r="H38" i="1"/>
  <c r="G38" i="1"/>
  <c r="F38" i="1"/>
  <c r="E38" i="1"/>
  <c r="N37" i="1"/>
  <c r="M37" i="1"/>
  <c r="L37" i="1"/>
  <c r="K37" i="1"/>
  <c r="H37" i="1"/>
  <c r="G37" i="1"/>
  <c r="F37" i="1"/>
  <c r="E37" i="1"/>
  <c r="N36" i="1"/>
  <c r="M36" i="1"/>
  <c r="L36" i="1"/>
  <c r="K36" i="1"/>
  <c r="H36" i="1"/>
  <c r="G36" i="1"/>
  <c r="F36" i="1"/>
  <c r="N35" i="1"/>
  <c r="M35" i="1"/>
  <c r="L35" i="1"/>
  <c r="K35" i="1"/>
  <c r="H35" i="1"/>
  <c r="G35" i="1"/>
  <c r="F35" i="1"/>
  <c r="E35" i="1"/>
  <c r="N34" i="1"/>
  <c r="M34" i="1"/>
  <c r="L34" i="1"/>
  <c r="K34" i="1"/>
  <c r="H34" i="1"/>
  <c r="G34" i="1"/>
  <c r="F34" i="1"/>
  <c r="E34" i="1"/>
  <c r="N33" i="1"/>
  <c r="M33" i="1"/>
  <c r="L33" i="1"/>
  <c r="K33" i="1"/>
  <c r="H33" i="1"/>
  <c r="G33" i="1"/>
  <c r="F33" i="1"/>
  <c r="E33" i="1"/>
  <c r="N32" i="1"/>
  <c r="M32" i="1"/>
  <c r="L32" i="1"/>
  <c r="K32" i="1"/>
  <c r="H32" i="1"/>
  <c r="G32" i="1"/>
  <c r="F32" i="1"/>
  <c r="E32" i="1"/>
  <c r="N31" i="1"/>
  <c r="M31" i="1"/>
  <c r="L31" i="1"/>
  <c r="K31" i="1"/>
  <c r="H31" i="1"/>
  <c r="G31" i="1"/>
  <c r="F31" i="1"/>
  <c r="E31" i="1"/>
  <c r="M26" i="1"/>
  <c r="N26" i="1"/>
  <c r="N30" i="1"/>
  <c r="M30" i="1"/>
  <c r="L30" i="1"/>
  <c r="K30" i="1"/>
  <c r="H30" i="1"/>
  <c r="G30" i="1"/>
  <c r="F30" i="1"/>
  <c r="N29" i="1"/>
  <c r="M29" i="1"/>
  <c r="L29" i="1"/>
  <c r="K29" i="1"/>
  <c r="H29" i="1"/>
  <c r="G29" i="1"/>
  <c r="F29" i="1"/>
  <c r="E29" i="1"/>
  <c r="N28" i="1"/>
  <c r="M28" i="1"/>
  <c r="L28" i="1"/>
  <c r="K28" i="1"/>
  <c r="H28" i="1"/>
  <c r="G28" i="1"/>
  <c r="F28" i="1"/>
  <c r="E28" i="1"/>
  <c r="N27" i="1"/>
  <c r="M27" i="1"/>
  <c r="L27" i="1"/>
  <c r="K27" i="1"/>
  <c r="H27" i="1"/>
  <c r="G27" i="1"/>
  <c r="F27" i="1"/>
  <c r="E27" i="1"/>
  <c r="L26" i="1"/>
  <c r="K26" i="1"/>
  <c r="H26" i="1"/>
  <c r="G26" i="1"/>
  <c r="F26" i="1"/>
  <c r="E26" i="1"/>
  <c r="N25" i="1"/>
  <c r="M25" i="1"/>
  <c r="L25" i="1"/>
  <c r="K25" i="1"/>
  <c r="H25" i="1"/>
  <c r="G25" i="1"/>
  <c r="F25" i="1"/>
  <c r="E25" i="1"/>
  <c r="N24" i="1"/>
  <c r="M24" i="1"/>
  <c r="L24" i="1"/>
  <c r="K24" i="1"/>
  <c r="H24" i="1"/>
  <c r="G24" i="1"/>
  <c r="F24" i="1"/>
  <c r="E24" i="1"/>
  <c r="N23" i="1"/>
  <c r="M23" i="1"/>
  <c r="L23" i="1"/>
  <c r="K23" i="1"/>
  <c r="H23" i="1"/>
  <c r="G23" i="1"/>
  <c r="F23" i="1"/>
  <c r="E23" i="1"/>
  <c r="N20" i="1"/>
  <c r="M20" i="1"/>
  <c r="L20" i="1"/>
  <c r="K20" i="1"/>
  <c r="H20" i="1"/>
  <c r="G20" i="1"/>
  <c r="F20" i="1"/>
  <c r="E20" i="1"/>
  <c r="L19" i="1"/>
  <c r="K19" i="1"/>
  <c r="H19" i="1"/>
  <c r="G19" i="1"/>
  <c r="N22" i="1"/>
  <c r="M22" i="1"/>
  <c r="L22" i="1"/>
  <c r="K22" i="1"/>
  <c r="H22" i="1"/>
  <c r="G22" i="1"/>
  <c r="F22" i="1"/>
  <c r="E22" i="1"/>
  <c r="N21" i="1"/>
  <c r="M21" i="1"/>
  <c r="L21" i="1"/>
  <c r="K21" i="1"/>
  <c r="H21" i="1"/>
  <c r="G21" i="1"/>
  <c r="F21" i="1"/>
  <c r="E21" i="1"/>
  <c r="N19" i="1"/>
  <c r="M19" i="1"/>
  <c r="E19" i="1"/>
  <c r="N18" i="1"/>
  <c r="M18" i="1"/>
  <c r="L18" i="1"/>
  <c r="K18" i="1"/>
  <c r="H18" i="1"/>
  <c r="G18" i="1"/>
  <c r="F18" i="1"/>
  <c r="E18" i="1"/>
  <c r="N17" i="1"/>
  <c r="M17" i="1"/>
  <c r="L17" i="1"/>
  <c r="K17" i="1"/>
  <c r="H17" i="1"/>
  <c r="G17" i="1"/>
  <c r="F17" i="1"/>
  <c r="E17" i="1"/>
  <c r="N16" i="1"/>
  <c r="M16" i="1"/>
  <c r="L16" i="1"/>
  <c r="K16" i="1"/>
  <c r="H16" i="1"/>
  <c r="G16" i="1"/>
  <c r="F16" i="1"/>
  <c r="E16" i="1"/>
  <c r="N15" i="1"/>
  <c r="M15" i="1"/>
  <c r="L15" i="1"/>
  <c r="K15" i="1"/>
  <c r="H15" i="1"/>
  <c r="G15" i="1"/>
  <c r="F15" i="1"/>
  <c r="E15" i="1"/>
  <c r="N14" i="1"/>
  <c r="M14" i="1"/>
  <c r="L14" i="1"/>
  <c r="K14" i="1"/>
  <c r="H14" i="1"/>
  <c r="G14" i="1"/>
  <c r="F14" i="1"/>
  <c r="E14" i="1"/>
  <c r="N13" i="1"/>
  <c r="M13" i="1"/>
  <c r="L13" i="1"/>
  <c r="K13" i="1"/>
  <c r="H13" i="1"/>
  <c r="G13" i="1"/>
  <c r="F13" i="1"/>
  <c r="E13" i="1"/>
  <c r="N12" i="1"/>
  <c r="M12" i="1"/>
  <c r="L12" i="1"/>
  <c r="K12" i="1"/>
  <c r="H12" i="1"/>
  <c r="G12" i="1"/>
  <c r="F12" i="1"/>
  <c r="E12" i="1"/>
  <c r="N11" i="1"/>
  <c r="M11" i="1"/>
  <c r="L11" i="1"/>
  <c r="K11" i="1"/>
  <c r="H11" i="1"/>
  <c r="G11" i="1"/>
  <c r="F11" i="1"/>
  <c r="E11" i="1"/>
  <c r="N10" i="1"/>
  <c r="M10" i="1"/>
  <c r="L10" i="1"/>
  <c r="K10" i="1"/>
  <c r="H10" i="1"/>
  <c r="G10" i="1"/>
  <c r="F10" i="1"/>
  <c r="E10" i="1"/>
  <c r="N9" i="1"/>
  <c r="M9" i="1"/>
  <c r="L9" i="1"/>
  <c r="K9" i="1"/>
  <c r="H9" i="1"/>
  <c r="G9" i="1"/>
  <c r="F9" i="1"/>
  <c r="E9" i="1"/>
  <c r="N8" i="1"/>
  <c r="M8" i="1"/>
  <c r="L8" i="1"/>
  <c r="K8" i="1"/>
  <c r="H8" i="1"/>
  <c r="G8" i="1"/>
  <c r="F8" i="1"/>
  <c r="E8" i="1"/>
  <c r="N7" i="1"/>
  <c r="M7" i="1"/>
  <c r="L7" i="1"/>
  <c r="K7" i="1"/>
  <c r="H7" i="1"/>
  <c r="G7" i="1"/>
  <c r="F7" i="1"/>
  <c r="E7" i="1"/>
  <c r="N6" i="1"/>
  <c r="M6" i="1"/>
  <c r="L6" i="1"/>
  <c r="K6" i="1"/>
  <c r="E6" i="1"/>
  <c r="H6" i="1"/>
  <c r="G6" i="1"/>
  <c r="F6" i="1"/>
  <c r="N5" i="1"/>
  <c r="M5" i="1"/>
  <c r="L5" i="1"/>
  <c r="K5" i="1"/>
  <c r="H5" i="1"/>
  <c r="G5" i="1"/>
  <c r="F5" i="1"/>
  <c r="E5" i="1"/>
  <c r="N4" i="1"/>
  <c r="M4" i="1"/>
  <c r="L4" i="1"/>
  <c r="K4" i="1"/>
  <c r="H4" i="1"/>
  <c r="G4" i="1"/>
  <c r="F4" i="1"/>
  <c r="E4" i="1"/>
  <c r="N3" i="1"/>
  <c r="L3" i="1"/>
  <c r="K3" i="1"/>
  <c r="H3" i="1"/>
  <c r="G3" i="1"/>
  <c r="F3" i="1"/>
  <c r="E3" i="1"/>
  <c r="E2" i="1"/>
  <c r="M2" i="1"/>
  <c r="L2" i="1"/>
  <c r="G2" i="1"/>
  <c r="H2" i="1"/>
  <c r="F2" i="1"/>
  <c r="N2" i="1"/>
</calcChain>
</file>

<file path=xl/sharedStrings.xml><?xml version="1.0" encoding="utf-8"?>
<sst xmlns="http://schemas.openxmlformats.org/spreadsheetml/2006/main" count="311" uniqueCount="143">
  <si>
    <t>Filename</t>
  </si>
  <si>
    <t>Company Name /Symbol</t>
  </si>
  <si>
    <t xml:space="preserve">Year </t>
  </si>
  <si>
    <t>Qtrly Release</t>
  </si>
  <si>
    <t>Total # of words</t>
  </si>
  <si>
    <t>Total # of syllables</t>
  </si>
  <si>
    <t>Ln(Gunning Fog readability index)</t>
  </si>
  <si>
    <t>Ln(Smog readability index)</t>
  </si>
  <si>
    <t>Ln(Loughran-McDonald Financial-Uncertainty words)</t>
  </si>
  <si>
    <t>Ln(Loughran-McDonald Financial-Negative words)</t>
  </si>
  <si>
    <t>Flesch Reading Ease Score</t>
  </si>
  <si>
    <t>Flesch-Kincaid Grade Level</t>
  </si>
  <si>
    <t>Reading time (secs)</t>
  </si>
  <si>
    <t xml:space="preserve">Sentence Count </t>
  </si>
  <si>
    <t>adidas_half_year_report_2022_en.pdf</t>
  </si>
  <si>
    <t>Adidas AG (ADS:GR)</t>
  </si>
  <si>
    <t>H1</t>
  </si>
  <si>
    <t>adidas21_en.pdf</t>
  </si>
  <si>
    <t>FY</t>
  </si>
  <si>
    <t>adidasag_q1_2022results_en.pdf</t>
  </si>
  <si>
    <t>Q1</t>
  </si>
  <si>
    <t>adidasag_q3_2022results_en_final.pdf</t>
  </si>
  <si>
    <t>Q3</t>
  </si>
  <si>
    <t>Airbus SN H1 2022.pdf</t>
  </si>
  <si>
    <t>Airbus SE (AIR:GR)</t>
  </si>
  <si>
    <t>Airbus_SN Q1 2022.pdf</t>
  </si>
  <si>
    <t>Airbus_SN_Q3-2022.pdf</t>
  </si>
  <si>
    <t>Airbus-SE-Full-Annual-Report-2021_0.pdf</t>
  </si>
  <si>
    <t>allianz half year report-2022.pdf</t>
  </si>
  <si>
    <t>Allianz SE (ALV:GR)</t>
  </si>
  <si>
    <t>allianz-1q-2022.pdf</t>
  </si>
  <si>
    <t>allianz-2q-2022.pdf</t>
  </si>
  <si>
    <t>Q2</t>
  </si>
  <si>
    <t>allianz-3q-2022.pdf</t>
  </si>
  <si>
    <t>Allianz-SE-Annual-Report-2021.pdf</t>
  </si>
  <si>
    <t>BASF_Half-Year-Financial-Report_2022.pdf</t>
  </si>
  <si>
    <t>BASF SE (BAS:GR)</t>
  </si>
  <si>
    <t>BASF_Quarterly-Statement_01_2022.pdf</t>
  </si>
  <si>
    <t>BASF_Quarterly-Statement_03-2022.pdf</t>
  </si>
  <si>
    <t>BASF_Report_2021.pdf</t>
  </si>
  <si>
    <t>Bayer-Annual-Report-2021.pdf</t>
  </si>
  <si>
    <t>Bayer AG (BAYN:GR)</t>
  </si>
  <si>
    <t>bayer-half-year-financial-report-q2-2022.pdf</t>
  </si>
  <si>
    <t>bayer-quarterly-statement-q1-2022.pdf</t>
  </si>
  <si>
    <t>bayer-quarterly-statement-q3-2022.pdf</t>
  </si>
  <si>
    <t>Beiersdorf-Annual-Report-2021-EN.pdf</t>
  </si>
  <si>
    <t>Beiersdorf AG (BEI:GR)</t>
  </si>
  <si>
    <t>Beiersdorf-first-half-of-2022.pdf</t>
  </si>
  <si>
    <t>Beiersdorf-Q1 2022.pdf</t>
  </si>
  <si>
    <t>Beiersdorf-Q3 2022.pdf</t>
  </si>
  <si>
    <t>BMW_Q2-2022_EN.pdf</t>
  </si>
  <si>
    <t>Bayerische Motoren Werke AG (BMW:GR)</t>
  </si>
  <si>
    <t>BMW_Q3-2022_EN.pdf</t>
  </si>
  <si>
    <t>BMW-Group-Q1-2022-en.pdf</t>
  </si>
  <si>
    <t>BMW-Group-Report-2021-en.pdf</t>
  </si>
  <si>
    <t>brenntag-se-interim-report-q12022.pdf</t>
  </si>
  <si>
    <t>Brenntag SE (BNR:GR)</t>
  </si>
  <si>
    <t>brenntag-se-interim-report-q22022.pdf</t>
  </si>
  <si>
    <t>brenntag-sear2021en.pdf</t>
  </si>
  <si>
    <t>brenntagsequarterly-statementq32022.pdf</t>
  </si>
  <si>
    <t>continental_annual_report_2021_1_01.pdf</t>
  </si>
  <si>
    <t>Continental AG (CON:GR)</t>
  </si>
  <si>
    <t>continental_financial_report_h1_2022_01.pdf</t>
  </si>
  <si>
    <t>continental_q1-2022.pdf</t>
  </si>
  <si>
    <t>continental_quarterlystatement_q3-2022.pdf</t>
  </si>
  <si>
    <t>covestro-ar21(compressed).pdf</t>
  </si>
  <si>
    <t>(1COV:GR)</t>
  </si>
  <si>
    <t>covestro-hyr-22.pdf</t>
  </si>
  <si>
    <t>covestro-q1-22.pdf</t>
  </si>
  <si>
    <t>DBG-annual-report-2021.pdf</t>
  </si>
  <si>
    <t>Deutsche Boerse AG (DB1:GR)</t>
  </si>
  <si>
    <t>DBG-half year-2022_en.pdf</t>
  </si>
  <si>
    <t>DBG-q1-2022_en.pdf</t>
  </si>
  <si>
    <t>DBG-q3-2022_en.pdf</t>
  </si>
  <si>
    <t>Delivery Hero AR 2021.pdf</t>
  </si>
  <si>
    <t>Delivery Hero SE (DHER:GE)</t>
  </si>
  <si>
    <t>Delivery Hero half year.pdf</t>
  </si>
  <si>
    <t>Delivery Hero-Q1.pdf</t>
  </si>
  <si>
    <t>Delivery Hero-Q3.pdf</t>
  </si>
  <si>
    <t>Deutsche Bank Annual Report 2021.pdf</t>
  </si>
  <si>
    <t>Deutsche Bank AG (DBK:GR)</t>
  </si>
  <si>
    <t>Deutsche Bank half year.pdf</t>
  </si>
  <si>
    <t>Deutsche Bank Q1.pdf</t>
  </si>
  <si>
    <t>Deutsche Bank Q3.pdf</t>
  </si>
  <si>
    <t>DPDHL-2021-Annual-Report.pdf</t>
  </si>
  <si>
    <t>Deutsche Post AG (DPW:GR)</t>
  </si>
  <si>
    <t>DPDHL-Half-year-Report-2022.pdf</t>
  </si>
  <si>
    <t>DPDHL-Quarterly-Statement-Q1-2022.pdf</t>
  </si>
  <si>
    <t>DPDHL-Quarterly-Statement-Q3-2022.pdf</t>
  </si>
  <si>
    <t>EON annual report 2021.pdf</t>
  </si>
  <si>
    <t xml:space="preserve">E.ON SE (EOAN:GR) </t>
  </si>
  <si>
    <t>EON_Half year.pdf</t>
  </si>
  <si>
    <t>EON_Q1.pdf</t>
  </si>
  <si>
    <t>FME_Annual_Report_2021_EN.pdf</t>
  </si>
  <si>
    <t>Fresenius Medical Care AG &amp; Co. KGaA (FME.GR)</t>
  </si>
  <si>
    <t>FME_Q1_2022.pdf</t>
  </si>
  <si>
    <t>FME_Q2_2022.pdf</t>
  </si>
  <si>
    <t>FME_Q3_2022.pdf</t>
  </si>
  <si>
    <t>Fresenius SE Annual report 2021.pdf</t>
  </si>
  <si>
    <t>Fresenius SE &amp; Co. KGaA (FRE:GR)</t>
  </si>
  <si>
    <t>Fresenius SE half year.pdf</t>
  </si>
  <si>
    <t>Fresenius SE Q1.pdf</t>
  </si>
  <si>
    <t>Fresenius SE Q3.pdf</t>
  </si>
  <si>
    <t>HC_annual report_2021.pdf</t>
  </si>
  <si>
    <t>HeidelbergCement AG (HEI:GR)</t>
  </si>
  <si>
    <t>HC_EN_half year.pdf</t>
  </si>
  <si>
    <t>HC_EN_Q1_2022.pdf</t>
  </si>
  <si>
    <t>HC_Q3.pdf</t>
  </si>
  <si>
    <t>Henkel 2021-annual-report.pdf</t>
  </si>
  <si>
    <t>Henkel AG &amp; Co. KGaA (HEN3:GR)</t>
  </si>
  <si>
    <t>Henkel 2022-half-year.pdf</t>
  </si>
  <si>
    <t>Henkel-q1-2022.pdf</t>
  </si>
  <si>
    <t>Henkel-q3-2022.pdf</t>
  </si>
  <si>
    <t>HF annual report 2021.pdf</t>
  </si>
  <si>
    <t>HelloFresh SE (HFG:GR)</t>
  </si>
  <si>
    <t>HF half year.pdf</t>
  </si>
  <si>
    <t>HF Q1.pdf</t>
  </si>
  <si>
    <t>HF Q3.pdf</t>
  </si>
  <si>
    <t>Infineon Annual Report 2021.pdf</t>
  </si>
  <si>
    <t>Infineon Technologies AG (IFX:GR)</t>
  </si>
  <si>
    <t>Infineon Half-year report 2022.pdf</t>
  </si>
  <si>
    <t>Infineon Q1.pdf</t>
  </si>
  <si>
    <t>Infineon Q3.pdf</t>
  </si>
  <si>
    <t>Linde 2021-annual-report.pdf</t>
  </si>
  <si>
    <t>Linde PLC (LIN:GR)</t>
  </si>
  <si>
    <t>linde-1q22.pdf</t>
  </si>
  <si>
    <t>linde-2q22.pdf</t>
  </si>
  <si>
    <t>linde-3q22.pdf</t>
  </si>
  <si>
    <t>mercedes-benz-annual-report-2021.pdf</t>
  </si>
  <si>
    <t>Daimler AG (DAI:GR)</t>
  </si>
  <si>
    <t>mercedes-benz-q1-2022.pdf</t>
  </si>
  <si>
    <t>mercedes-benz-q2-2022.pdf</t>
  </si>
  <si>
    <t>mercedes-benz-q3-2022.pdf</t>
  </si>
  <si>
    <t>Merck annual report 2021.pdf</t>
  </si>
  <si>
    <t>Merck KGaA (MRK:GR)</t>
  </si>
  <si>
    <t>Merck half year.pdf</t>
  </si>
  <si>
    <t>Merck Q1.pdf</t>
  </si>
  <si>
    <t>Merck Q3.pdf</t>
  </si>
  <si>
    <t>MTU half year.pdf</t>
  </si>
  <si>
    <t>MTU Aero Engines AG (MTX:GR)</t>
  </si>
  <si>
    <t>MTU Q1.pdf</t>
  </si>
  <si>
    <t>MTU Q3.pdf</t>
  </si>
  <si>
    <t>MTU_annual report_2021_en.pdf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</si>
</sst>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sz val="11"/>
      <color rgb="FF292929"/>
      <name val="Times New Roman"/>
    </font>
    <font>
      <sz val="10"/>
      <color rgb="FF000000"/>
      <name val="Helvetica"/>
      <charset val="1"/>
    </font>
    <font>
      <sz val="11"/>
      <color rgb="FF000000"/>
      <name val="Calibri"/>
    </font>
    <font>
      <sz val="11"/>
      <color rgb="FF21212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workbookViewId="0">
      <pane ySplit="1" topLeftCell="A13" activePane="bottomLeft" state="frozen"/>
      <selection pane="bottomLeft" activeCell="D1" sqref="D1"/>
    </sheetView>
  </sheetViews>
  <sheetFormatPr defaultRowHeight="15"/>
  <cols>
    <col min="1" max="1" width="51" customWidth="1"/>
    <col min="2" max="2" width="27.140625" customWidth="1"/>
    <col min="4" max="4" width="13.140625" customWidth="1"/>
    <col min="5" max="5" width="17.7109375" customWidth="1"/>
    <col min="6" max="6" width="19.140625" customWidth="1"/>
    <col min="7" max="7" width="19.7109375" customWidth="1"/>
    <col min="8" max="8" width="16.42578125" customWidth="1"/>
    <col min="9" max="9" width="27.28515625" customWidth="1"/>
    <col min="10" max="10" width="28.7109375" customWidth="1"/>
    <col min="11" max="11" width="17.140625" customWidth="1"/>
    <col min="12" max="12" width="17.85546875" customWidth="1"/>
    <col min="13" max="13" width="17.28515625" customWidth="1"/>
    <col min="14" max="14" width="17.42578125" customWidth="1"/>
  </cols>
  <sheetData>
    <row r="1" spans="1:14" ht="30">
      <c r="A1" s="2" t="s">
        <v>0</v>
      </c>
      <c r="B1" s="3" t="s">
        <v>1</v>
      </c>
      <c r="C1" s="2" t="s">
        <v>2</v>
      </c>
      <c r="D1" s="1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8" t="s">
        <v>11</v>
      </c>
      <c r="M1" s="9" t="s">
        <v>12</v>
      </c>
      <c r="N1" s="9" t="s">
        <v>13</v>
      </c>
    </row>
    <row r="2" spans="1:14">
      <c r="A2" t="s">
        <v>14</v>
      </c>
      <c r="B2" t="s">
        <v>15</v>
      </c>
      <c r="C2">
        <v>2022</v>
      </c>
      <c r="D2" t="s">
        <v>16</v>
      </c>
      <c r="E2">
        <f>12279</f>
        <v>12279</v>
      </c>
      <c r="F2">
        <f>19641</f>
        <v>19641</v>
      </c>
      <c r="G2">
        <f>10.94</f>
        <v>10.94</v>
      </c>
      <c r="H2">
        <f>15.4</f>
        <v>15.4</v>
      </c>
      <c r="K2">
        <v>39.06</v>
      </c>
      <c r="L2">
        <f>13.7</f>
        <v>13.7</v>
      </c>
      <c r="M2">
        <f>975.36</f>
        <v>975.36</v>
      </c>
      <c r="N2">
        <f>495</f>
        <v>495</v>
      </c>
    </row>
    <row r="3" spans="1:14">
      <c r="A3" t="s">
        <v>17</v>
      </c>
      <c r="B3" t="s">
        <v>15</v>
      </c>
      <c r="C3">
        <v>2021</v>
      </c>
      <c r="D3" t="s">
        <v>18</v>
      </c>
      <c r="E3">
        <f>149970</f>
        <v>149970</v>
      </c>
      <c r="F3">
        <f>256238</f>
        <v>256238</v>
      </c>
      <c r="G3">
        <f>11.54</f>
        <v>11.54</v>
      </c>
      <c r="H3">
        <f>17.1</f>
        <v>17.100000000000001</v>
      </c>
      <c r="K3">
        <f>35.51</f>
        <v>35.51</v>
      </c>
      <c r="L3">
        <f>15</f>
        <v>15</v>
      </c>
      <c r="M3">
        <v>11898.3</v>
      </c>
      <c r="N3">
        <f>5402</f>
        <v>5402</v>
      </c>
    </row>
    <row r="4" spans="1:14">
      <c r="A4" t="s">
        <v>19</v>
      </c>
      <c r="B4" t="s">
        <v>15</v>
      </c>
      <c r="C4">
        <v>2022</v>
      </c>
      <c r="D4" t="s">
        <v>20</v>
      </c>
      <c r="E4">
        <f>2268</f>
        <v>2268</v>
      </c>
      <c r="F4">
        <f>3451</f>
        <v>3451</v>
      </c>
      <c r="G4">
        <f>9.26</f>
        <v>9.26</v>
      </c>
      <c r="H4">
        <f>12.4</f>
        <v>12.4</v>
      </c>
      <c r="K4">
        <f>53</f>
        <v>53</v>
      </c>
      <c r="L4">
        <f>10.4</f>
        <v>10.4</v>
      </c>
      <c r="M4">
        <f>181.38</f>
        <v>181.38</v>
      </c>
      <c r="N4">
        <f>121</f>
        <v>121</v>
      </c>
    </row>
    <row r="5" spans="1:14">
      <c r="A5" t="s">
        <v>21</v>
      </c>
      <c r="B5" t="s">
        <v>15</v>
      </c>
      <c r="C5">
        <v>2022</v>
      </c>
      <c r="D5" t="s">
        <v>22</v>
      </c>
      <c r="E5">
        <f>2907</f>
        <v>2907</v>
      </c>
      <c r="F5">
        <f>4504</f>
        <v>4504</v>
      </c>
      <c r="G5">
        <f>8.27</f>
        <v>8.27</v>
      </c>
      <c r="H5">
        <f>12</f>
        <v>12</v>
      </c>
      <c r="K5">
        <f>55.03</f>
        <v>55.03</v>
      </c>
      <c r="L5">
        <f>9.6</f>
        <v>9.6</v>
      </c>
      <c r="M5">
        <f>237.08</f>
        <v>237.08</v>
      </c>
      <c r="N5">
        <f>176</f>
        <v>176</v>
      </c>
    </row>
    <row r="6" spans="1:14">
      <c r="A6" t="s">
        <v>23</v>
      </c>
      <c r="B6" s="11" t="s">
        <v>24</v>
      </c>
      <c r="C6">
        <v>2022</v>
      </c>
      <c r="D6" t="s">
        <v>16</v>
      </c>
      <c r="E6">
        <f>2957</f>
        <v>2957</v>
      </c>
      <c r="F6">
        <f>17801</f>
        <v>17801</v>
      </c>
      <c r="G6">
        <f>14.01</f>
        <v>14.01</v>
      </c>
      <c r="H6">
        <f>16.03</f>
        <v>16.03</v>
      </c>
      <c r="K6">
        <f>32.46</f>
        <v>32.46</v>
      </c>
      <c r="L6">
        <f>16.2</f>
        <v>16.2</v>
      </c>
      <c r="M6">
        <f>955.76</f>
        <v>955.76</v>
      </c>
      <c r="N6">
        <f>357</f>
        <v>357</v>
      </c>
    </row>
    <row r="7" spans="1:14">
      <c r="A7" t="s">
        <v>25</v>
      </c>
      <c r="B7" s="11" t="s">
        <v>24</v>
      </c>
      <c r="C7">
        <v>2022</v>
      </c>
      <c r="D7" t="s">
        <v>20</v>
      </c>
      <c r="E7">
        <f>8917</f>
        <v>8917</v>
      </c>
      <c r="F7">
        <f>14430</f>
        <v>14430</v>
      </c>
      <c r="G7">
        <f>14.25</f>
        <v>14.25</v>
      </c>
      <c r="H7">
        <f>16.1</f>
        <v>16.100000000000001</v>
      </c>
      <c r="K7">
        <f>40.31</f>
        <v>40.31</v>
      </c>
      <c r="L7">
        <f>15.3</f>
        <v>15.3</v>
      </c>
      <c r="M7">
        <f>786.15</f>
        <v>786.15</v>
      </c>
      <c r="N7">
        <f>286</f>
        <v>286</v>
      </c>
    </row>
    <row r="8" spans="1:14">
      <c r="A8" t="s">
        <v>26</v>
      </c>
      <c r="B8" s="11" t="s">
        <v>24</v>
      </c>
      <c r="C8">
        <v>2022</v>
      </c>
      <c r="D8" t="s">
        <v>22</v>
      </c>
      <c r="E8">
        <f>9703</f>
        <v>9703</v>
      </c>
      <c r="F8">
        <f>15611</f>
        <v>15611</v>
      </c>
      <c r="G8">
        <f>13.54</f>
        <v>13.54</v>
      </c>
      <c r="H8">
        <f>15.6</f>
        <v>15.6</v>
      </c>
      <c r="K8">
        <f>42.04</f>
        <v>42.04</v>
      </c>
      <c r="L8">
        <f>14.6</f>
        <v>14.6</v>
      </c>
      <c r="M8">
        <f>851.27</f>
        <v>851.27</v>
      </c>
      <c r="N8">
        <f>329</f>
        <v>329</v>
      </c>
    </row>
    <row r="9" spans="1:14">
      <c r="A9" t="s">
        <v>27</v>
      </c>
      <c r="B9" s="11" t="s">
        <v>24</v>
      </c>
      <c r="C9">
        <v>2021</v>
      </c>
      <c r="D9" t="s">
        <v>18</v>
      </c>
      <c r="E9">
        <f>200500</f>
        <v>200500</v>
      </c>
      <c r="F9">
        <f>330220</f>
        <v>330220</v>
      </c>
      <c r="G9">
        <f>10.53</f>
        <v>10.53</v>
      </c>
      <c r="H9">
        <f>15.2</f>
        <v>15.2</v>
      </c>
      <c r="K9">
        <f>46.2</f>
        <v>46.2</v>
      </c>
      <c r="L9">
        <f>13</f>
        <v>13</v>
      </c>
      <c r="M9">
        <f>16429.96</f>
        <v>16429.96</v>
      </c>
      <c r="N9">
        <f>8093</f>
        <v>8093</v>
      </c>
    </row>
    <row r="10" spans="1:14">
      <c r="A10" t="s">
        <v>28</v>
      </c>
      <c r="B10" s="11" t="s">
        <v>29</v>
      </c>
      <c r="C10">
        <v>2022</v>
      </c>
      <c r="D10" t="s">
        <v>16</v>
      </c>
      <c r="E10">
        <f>23668</f>
        <v>23668</v>
      </c>
      <c r="F10">
        <f>37479</f>
        <v>37479</v>
      </c>
      <c r="G10">
        <f>12.75</f>
        <v>12.75</v>
      </c>
      <c r="H10">
        <f>16.3</f>
        <v>16.3</v>
      </c>
      <c r="K10">
        <f>42.24</f>
        <v>42.24</v>
      </c>
      <c r="L10">
        <f>14.5</f>
        <v>14.5</v>
      </c>
      <c r="M10">
        <f>1906.95</f>
        <v>1906.95</v>
      </c>
      <c r="N10">
        <f>795</f>
        <v>795</v>
      </c>
    </row>
    <row r="11" spans="1:14">
      <c r="A11" t="s">
        <v>30</v>
      </c>
      <c r="B11" s="11" t="s">
        <v>29</v>
      </c>
      <c r="C11">
        <v>2022</v>
      </c>
      <c r="D11" t="s">
        <v>20</v>
      </c>
      <c r="E11">
        <f>1991</f>
        <v>1991</v>
      </c>
      <c r="F11">
        <f>3302</f>
        <v>3302</v>
      </c>
      <c r="G11">
        <f>8</f>
        <v>8</v>
      </c>
      <c r="H11">
        <f>11.5</f>
        <v>11.5</v>
      </c>
      <c r="K11">
        <f>50.53</f>
        <v>50.53</v>
      </c>
      <c r="L11">
        <f>9.3</f>
        <v>9.3000000000000007</v>
      </c>
      <c r="M11">
        <f>172.43</f>
        <v>172.43</v>
      </c>
      <c r="N11">
        <f>159</f>
        <v>159</v>
      </c>
    </row>
    <row r="12" spans="1:14">
      <c r="A12" t="s">
        <v>31</v>
      </c>
      <c r="B12" s="11" t="s">
        <v>29</v>
      </c>
      <c r="C12">
        <v>2022</v>
      </c>
      <c r="D12" t="s">
        <v>32</v>
      </c>
      <c r="E12">
        <f>2478</f>
        <v>2478</v>
      </c>
      <c r="F12">
        <f>4131</f>
        <v>4131</v>
      </c>
      <c r="G12">
        <f>7.42</f>
        <v>7.42</v>
      </c>
      <c r="H12">
        <f>11.5</f>
        <v>11.5</v>
      </c>
      <c r="K12">
        <f>50.84</f>
        <v>50.84</v>
      </c>
      <c r="L12">
        <f>9.2</f>
        <v>9.1999999999999993</v>
      </c>
      <c r="M12">
        <f>217.51</f>
        <v>217.51</v>
      </c>
      <c r="N12">
        <f>203</f>
        <v>203</v>
      </c>
    </row>
    <row r="13" spans="1:14">
      <c r="A13" t="s">
        <v>33</v>
      </c>
      <c r="B13" s="11" t="s">
        <v>29</v>
      </c>
      <c r="C13">
        <v>2022</v>
      </c>
      <c r="D13" t="s">
        <v>22</v>
      </c>
      <c r="E13">
        <f>2520</f>
        <v>2520</v>
      </c>
      <c r="F13">
        <f>4197</f>
        <v>4197</v>
      </c>
      <c r="G13">
        <f>7.56</f>
        <v>7.56</v>
      </c>
      <c r="H13">
        <f>11.4</f>
        <v>11.4</v>
      </c>
      <c r="K13">
        <f>50.84</f>
        <v>50.84</v>
      </c>
      <c r="L13">
        <f>9.2</f>
        <v>9.1999999999999993</v>
      </c>
      <c r="M13">
        <f>220.95</f>
        <v>220.95</v>
      </c>
      <c r="N13">
        <f>207</f>
        <v>207</v>
      </c>
    </row>
    <row r="14" spans="1:14">
      <c r="A14" t="s">
        <v>34</v>
      </c>
      <c r="B14" s="11" t="s">
        <v>29</v>
      </c>
      <c r="C14">
        <v>2021</v>
      </c>
      <c r="D14" t="s">
        <v>18</v>
      </c>
      <c r="E14">
        <f>85839</f>
        <v>85839</v>
      </c>
      <c r="F14">
        <f>136561</f>
        <v>136561</v>
      </c>
      <c r="G14">
        <f>8.73</f>
        <v>8.73</v>
      </c>
      <c r="H14">
        <f>14.3</f>
        <v>14.3</v>
      </c>
      <c r="K14">
        <f>43.12</f>
        <v>43.12</v>
      </c>
      <c r="L14">
        <f>12.1</f>
        <v>12.1</v>
      </c>
      <c r="M14">
        <f>6800.07</f>
        <v>6800.07</v>
      </c>
      <c r="N14">
        <f>4220</f>
        <v>4220</v>
      </c>
    </row>
    <row r="15" spans="1:14">
      <c r="A15" t="s">
        <v>35</v>
      </c>
      <c r="B15" s="10" t="s">
        <v>36</v>
      </c>
      <c r="C15">
        <v>2022</v>
      </c>
      <c r="D15" t="s">
        <v>16</v>
      </c>
      <c r="E15">
        <f>21066</f>
        <v>21066</v>
      </c>
      <c r="F15">
        <f>32807</f>
        <v>32807</v>
      </c>
      <c r="G15">
        <f>9.86</f>
        <v>9.86</v>
      </c>
      <c r="H15">
        <f>13.4</f>
        <v>13.4</v>
      </c>
      <c r="K15">
        <f>49.15</f>
        <v>49.15</v>
      </c>
      <c r="L15">
        <f>11.9</f>
        <v>11.9</v>
      </c>
      <c r="M15">
        <f>1707.61</f>
        <v>1707.61</v>
      </c>
      <c r="N15">
        <f>954</f>
        <v>954</v>
      </c>
    </row>
    <row r="16" spans="1:14">
      <c r="A16" t="s">
        <v>37</v>
      </c>
      <c r="B16" s="10" t="s">
        <v>36</v>
      </c>
      <c r="C16">
        <v>2022</v>
      </c>
      <c r="D16" t="s">
        <v>20</v>
      </c>
      <c r="E16">
        <f>8345</f>
        <v>8345</v>
      </c>
      <c r="F16">
        <f>13163</f>
        <v>13163</v>
      </c>
      <c r="G16">
        <f>9.88</f>
        <v>9.8800000000000008</v>
      </c>
      <c r="H16">
        <f>13.2</f>
        <v>13.2</v>
      </c>
      <c r="K16">
        <f>50.16</f>
        <v>50.16</v>
      </c>
      <c r="L16">
        <f>11.5</f>
        <v>11.5</v>
      </c>
      <c r="M16">
        <f>685.98</f>
        <v>685.98</v>
      </c>
      <c r="N16">
        <f>398</f>
        <v>398</v>
      </c>
    </row>
    <row r="17" spans="1:14">
      <c r="A17" t="s">
        <v>38</v>
      </c>
      <c r="B17" s="10" t="s">
        <v>36</v>
      </c>
      <c r="C17">
        <v>2022</v>
      </c>
      <c r="D17" t="s">
        <v>22</v>
      </c>
      <c r="E17">
        <f>8876</f>
        <v>8876</v>
      </c>
      <c r="F17">
        <f>13762</f>
        <v>13762</v>
      </c>
      <c r="G17">
        <f>9.29</f>
        <v>9.2899999999999991</v>
      </c>
      <c r="H17">
        <f>12.6</f>
        <v>12.6</v>
      </c>
      <c r="K17">
        <f>59.74</f>
        <v>59.74</v>
      </c>
      <c r="L17">
        <f>9.9</f>
        <v>9.9</v>
      </c>
      <c r="M17">
        <f>730.8</f>
        <v>730.8</v>
      </c>
      <c r="N17">
        <f>446</f>
        <v>446</v>
      </c>
    </row>
    <row r="18" spans="1:14">
      <c r="A18" t="s">
        <v>39</v>
      </c>
      <c r="B18" s="10" t="s">
        <v>36</v>
      </c>
      <c r="C18">
        <v>2021</v>
      </c>
      <c r="D18" t="s">
        <v>18</v>
      </c>
      <c r="E18">
        <f>158552</f>
        <v>158552</v>
      </c>
      <c r="F18">
        <f>261011</f>
        <v>261011</v>
      </c>
      <c r="G18">
        <f>10.02</f>
        <v>10.02</v>
      </c>
      <c r="H18">
        <f>15.1</f>
        <v>15.1</v>
      </c>
      <c r="K18">
        <f>39.16</f>
        <v>39.159999999999997</v>
      </c>
      <c r="L18">
        <f>13.6</f>
        <v>13.6</v>
      </c>
      <c r="M18">
        <f>13035.74</f>
        <v>13035.74</v>
      </c>
      <c r="N18">
        <f>6724</f>
        <v>6724</v>
      </c>
    </row>
    <row r="19" spans="1:14">
      <c r="A19" t="s">
        <v>40</v>
      </c>
      <c r="B19" s="11" t="s">
        <v>41</v>
      </c>
      <c r="C19">
        <v>2021</v>
      </c>
      <c r="D19" t="s">
        <v>18</v>
      </c>
      <c r="E19">
        <f>130447</f>
        <v>130447</v>
      </c>
      <c r="F19">
        <v>222228</v>
      </c>
      <c r="G19">
        <f>10.13</f>
        <v>10.130000000000001</v>
      </c>
      <c r="H19">
        <f>16</f>
        <v>16</v>
      </c>
      <c r="K19">
        <f>30.91</f>
        <v>30.91</v>
      </c>
      <c r="L19">
        <f>14.7</f>
        <v>14.7</v>
      </c>
      <c r="M19">
        <f>10555.84</f>
        <v>10555.84</v>
      </c>
      <c r="N19">
        <f>5443</f>
        <v>5443</v>
      </c>
    </row>
    <row r="20" spans="1:14">
      <c r="A20" t="s">
        <v>42</v>
      </c>
      <c r="B20" s="11" t="s">
        <v>41</v>
      </c>
      <c r="C20">
        <v>2022</v>
      </c>
      <c r="D20" t="s">
        <v>16</v>
      </c>
      <c r="E20">
        <f>20887</f>
        <v>20887</v>
      </c>
      <c r="F20">
        <f>33202</f>
        <v>33202</v>
      </c>
      <c r="G20">
        <f>11.36</f>
        <v>11.36</v>
      </c>
      <c r="H20">
        <f>15.1</f>
        <v>15.1</v>
      </c>
      <c r="K20">
        <f>37.84</f>
        <v>37.840000000000003</v>
      </c>
      <c r="L20">
        <f>14.1</f>
        <v>14.1</v>
      </c>
      <c r="M20">
        <f>1628.43</f>
        <v>1628.43</v>
      </c>
      <c r="N20">
        <f>807</f>
        <v>807</v>
      </c>
    </row>
    <row r="21" spans="1:14">
      <c r="A21" t="s">
        <v>43</v>
      </c>
      <c r="B21" s="11" t="s">
        <v>41</v>
      </c>
      <c r="C21">
        <v>2022</v>
      </c>
      <c r="D21" t="s">
        <v>20</v>
      </c>
      <c r="E21">
        <f>5968</f>
        <v>5968</v>
      </c>
      <c r="F21">
        <f>8456</f>
        <v>8456</v>
      </c>
      <c r="G21">
        <f>10.07</f>
        <v>10.07</v>
      </c>
      <c r="H21">
        <f>12.4</f>
        <v>12.4</v>
      </c>
      <c r="K21">
        <f>58.72</f>
        <v>58.72</v>
      </c>
      <c r="L21">
        <f>10.3</f>
        <v>10.3</v>
      </c>
      <c r="M21">
        <f>450.2</f>
        <v>450.2</v>
      </c>
      <c r="N21">
        <f>266</f>
        <v>266</v>
      </c>
    </row>
    <row r="22" spans="1:14">
      <c r="A22" t="s">
        <v>44</v>
      </c>
      <c r="B22" s="11" t="s">
        <v>41</v>
      </c>
      <c r="C22">
        <v>2022</v>
      </c>
      <c r="D22" t="s">
        <v>22</v>
      </c>
      <c r="E22">
        <f>7787</f>
        <v>7787</v>
      </c>
      <c r="F22">
        <f>10810</f>
        <v>10810</v>
      </c>
      <c r="G22">
        <f>10.06</f>
        <v>10.06</v>
      </c>
      <c r="H22">
        <f>12.1</f>
        <v>12.1</v>
      </c>
      <c r="K22">
        <f>58.72</f>
        <v>58.72</v>
      </c>
      <c r="L22">
        <f>10.3</f>
        <v>10.3</v>
      </c>
      <c r="M22">
        <f>579.51</f>
        <v>579.51</v>
      </c>
      <c r="N22">
        <f>348</f>
        <v>348</v>
      </c>
    </row>
    <row r="23" spans="1:14">
      <c r="A23" t="s">
        <v>45</v>
      </c>
      <c r="B23" s="1" t="s">
        <v>46</v>
      </c>
      <c r="C23">
        <v>2021</v>
      </c>
      <c r="D23" t="s">
        <v>18</v>
      </c>
      <c r="E23">
        <f>35716</f>
        <v>35716</v>
      </c>
      <c r="F23">
        <f>201808</f>
        <v>201808</v>
      </c>
      <c r="G23">
        <f>9.85</f>
        <v>9.85</v>
      </c>
      <c r="H23">
        <f>15.3</f>
        <v>15.3</v>
      </c>
      <c r="K23">
        <f>40.28</f>
        <v>40.28</v>
      </c>
      <c r="L23">
        <f>13.2</f>
        <v>13.2</v>
      </c>
      <c r="M23">
        <f>9558.36</f>
        <v>9558.36</v>
      </c>
      <c r="N23">
        <f>5253</f>
        <v>5253</v>
      </c>
    </row>
    <row r="24" spans="1:14">
      <c r="A24" t="s">
        <v>47</v>
      </c>
      <c r="B24" s="1" t="s">
        <v>46</v>
      </c>
      <c r="C24">
        <v>2022</v>
      </c>
      <c r="D24" t="s">
        <v>16</v>
      </c>
      <c r="E24">
        <f>1374</f>
        <v>1374</v>
      </c>
      <c r="F24">
        <f>2164</f>
        <v>2164</v>
      </c>
      <c r="G24">
        <f>9.23</f>
        <v>9.23</v>
      </c>
      <c r="H24">
        <f>12</f>
        <v>12</v>
      </c>
      <c r="K24">
        <f>56.66</f>
        <v>56.66</v>
      </c>
      <c r="L24">
        <f>9</f>
        <v>9</v>
      </c>
      <c r="M24">
        <f>109.93</f>
        <v>109.93</v>
      </c>
      <c r="N24">
        <f>92</f>
        <v>92</v>
      </c>
    </row>
    <row r="25" spans="1:14">
      <c r="A25" t="s">
        <v>48</v>
      </c>
      <c r="B25" s="1" t="s">
        <v>46</v>
      </c>
      <c r="C25">
        <v>2022</v>
      </c>
      <c r="D25" t="s">
        <v>20</v>
      </c>
      <c r="E25">
        <f>1265</f>
        <v>1265</v>
      </c>
      <c r="F25">
        <f>2037</f>
        <v>2037</v>
      </c>
      <c r="G25">
        <f>9.84</f>
        <v>9.84</v>
      </c>
      <c r="H25">
        <f>12.4</f>
        <v>12.4</v>
      </c>
      <c r="K25">
        <f>55.74</f>
        <v>55.74</v>
      </c>
      <c r="L25">
        <f>9.3</f>
        <v>9.3000000000000007</v>
      </c>
      <c r="M25">
        <f>102.79</f>
        <v>102.79</v>
      </c>
      <c r="N25">
        <f>80</f>
        <v>80</v>
      </c>
    </row>
    <row r="26" spans="1:14">
      <c r="A26" t="s">
        <v>49</v>
      </c>
      <c r="B26" s="1" t="s">
        <v>46</v>
      </c>
      <c r="C26">
        <v>2022</v>
      </c>
      <c r="D26" t="s">
        <v>22</v>
      </c>
      <c r="E26">
        <f>1326</f>
        <v>1326</v>
      </c>
      <c r="F26">
        <f>2052</f>
        <v>2052</v>
      </c>
      <c r="G26">
        <f>9.47</f>
        <v>9.4700000000000006</v>
      </c>
      <c r="H26">
        <f>11.8</f>
        <v>11.8</v>
      </c>
      <c r="K26">
        <f>56.05</f>
        <v>56.05</v>
      </c>
      <c r="L26">
        <f>9.2</f>
        <v>9.1999999999999993</v>
      </c>
      <c r="M26">
        <f>105.2</f>
        <v>105.2</v>
      </c>
      <c r="N26">
        <f>86</f>
        <v>86</v>
      </c>
    </row>
    <row r="27" spans="1:14" ht="27.75">
      <c r="A27" t="s">
        <v>50</v>
      </c>
      <c r="B27" s="12" t="s">
        <v>51</v>
      </c>
      <c r="C27">
        <v>2022</v>
      </c>
      <c r="D27" t="s">
        <v>32</v>
      </c>
      <c r="E27">
        <f>26152</f>
        <v>26152</v>
      </c>
      <c r="F27">
        <f>41481</f>
        <v>41481</v>
      </c>
      <c r="G27">
        <f>14.25</f>
        <v>14.25</v>
      </c>
      <c r="H27">
        <f>16.9</f>
        <v>16.899999999999999</v>
      </c>
      <c r="K27">
        <f>37.88</f>
        <v>37.880000000000003</v>
      </c>
      <c r="L27">
        <f>16.2</f>
        <v>16.2</v>
      </c>
      <c r="M27">
        <f>1965.21</f>
        <v>1965.21</v>
      </c>
      <c r="N27">
        <f>770</f>
        <v>770</v>
      </c>
    </row>
    <row r="28" spans="1:14" ht="27.75">
      <c r="A28" t="s">
        <v>52</v>
      </c>
      <c r="B28" s="12" t="s">
        <v>51</v>
      </c>
      <c r="C28">
        <v>2022</v>
      </c>
      <c r="D28" t="s">
        <v>22</v>
      </c>
      <c r="E28">
        <f>14782</f>
        <v>14782</v>
      </c>
      <c r="F28">
        <f>22604</f>
        <v>22604</v>
      </c>
      <c r="G28">
        <f>13.74</f>
        <v>13.74</v>
      </c>
      <c r="H28">
        <f>16.3</f>
        <v>16.3</v>
      </c>
      <c r="K28">
        <f>39.4</f>
        <v>39.4</v>
      </c>
      <c r="L28">
        <f>15.6</f>
        <v>15.6</v>
      </c>
      <c r="M28">
        <f>1073.3</f>
        <v>1073.3</v>
      </c>
      <c r="N28">
        <f>448</f>
        <v>448</v>
      </c>
    </row>
    <row r="29" spans="1:14" ht="27.75">
      <c r="A29" t="s">
        <v>53</v>
      </c>
      <c r="B29" s="12" t="s">
        <v>51</v>
      </c>
      <c r="C29">
        <v>2022</v>
      </c>
      <c r="D29" t="s">
        <v>20</v>
      </c>
      <c r="E29">
        <f>12389</f>
        <v>12389</v>
      </c>
      <c r="F29">
        <f>18996</f>
        <v>18996</v>
      </c>
      <c r="G29">
        <f>12.86</f>
        <v>12.86</v>
      </c>
      <c r="H29">
        <f>15.8</f>
        <v>15.8</v>
      </c>
      <c r="K29">
        <f>42.14</f>
        <v>42.14</v>
      </c>
      <c r="L29">
        <f>14.6</f>
        <v>14.6</v>
      </c>
      <c r="M29">
        <f>895.05</f>
        <v>895.05</v>
      </c>
      <c r="N29">
        <f>409</f>
        <v>409</v>
      </c>
    </row>
    <row r="30" spans="1:14" ht="27.75">
      <c r="A30" t="s">
        <v>54</v>
      </c>
      <c r="B30" s="12" t="s">
        <v>51</v>
      </c>
      <c r="C30">
        <v>2021</v>
      </c>
      <c r="D30" t="s">
        <v>18</v>
      </c>
      <c r="E30">
        <v>184881</v>
      </c>
      <c r="F30">
        <f>296323</f>
        <v>296323</v>
      </c>
      <c r="G30">
        <f>11.85</f>
        <v>11.85</v>
      </c>
      <c r="H30">
        <f>16.3</f>
        <v>16.3</v>
      </c>
      <c r="K30">
        <f>34.49</f>
        <v>34.49</v>
      </c>
      <c r="L30">
        <f>15.4</f>
        <v>15.4</v>
      </c>
      <c r="M30">
        <f>13774.05</f>
        <v>13774.05</v>
      </c>
      <c r="N30">
        <f>6329</f>
        <v>6329</v>
      </c>
    </row>
    <row r="31" spans="1:14">
      <c r="A31" t="s">
        <v>55</v>
      </c>
      <c r="B31" s="1" t="s">
        <v>56</v>
      </c>
      <c r="C31">
        <v>2022</v>
      </c>
      <c r="D31" t="s">
        <v>20</v>
      </c>
      <c r="E31">
        <f>21141</f>
        <v>21141</v>
      </c>
      <c r="F31">
        <f>32918</f>
        <v>32918</v>
      </c>
      <c r="G31">
        <f>10.08</f>
        <v>10.08</v>
      </c>
      <c r="H31">
        <f>14</f>
        <v>14</v>
      </c>
      <c r="K31">
        <f>49.25</f>
        <v>49.25</v>
      </c>
      <c r="L31">
        <f>11.8</f>
        <v>11.8</v>
      </c>
      <c r="M31">
        <f>1487.88</f>
        <v>1487.88</v>
      </c>
      <c r="N31">
        <f>949</f>
        <v>949</v>
      </c>
    </row>
    <row r="32" spans="1:14">
      <c r="A32" t="s">
        <v>57</v>
      </c>
      <c r="B32" t="s">
        <v>56</v>
      </c>
      <c r="C32">
        <v>2022</v>
      </c>
      <c r="D32" t="s">
        <v>32</v>
      </c>
      <c r="E32">
        <f>17575</f>
        <v>17575</v>
      </c>
      <c r="F32">
        <f>26473</f>
        <v>26473</v>
      </c>
      <c r="G32">
        <f>9.86</f>
        <v>9.86</v>
      </c>
      <c r="H32">
        <f>13.6</f>
        <v>13.6</v>
      </c>
      <c r="K32">
        <f>49.75</f>
        <v>49.75</v>
      </c>
      <c r="L32">
        <f>11.6</f>
        <v>11.6</v>
      </c>
      <c r="M32">
        <f>1203.36</f>
        <v>1203.3599999999999</v>
      </c>
      <c r="N32">
        <f>795</f>
        <v>795</v>
      </c>
    </row>
    <row r="33" spans="1:14">
      <c r="A33" t="s">
        <v>58</v>
      </c>
      <c r="B33" t="s">
        <v>56</v>
      </c>
      <c r="C33">
        <v>2021</v>
      </c>
      <c r="D33" t="s">
        <v>18</v>
      </c>
      <c r="E33">
        <f>115316</f>
        <v>115316</v>
      </c>
      <c r="F33">
        <f>180661</f>
        <v>180661</v>
      </c>
      <c r="G33">
        <f>10.04</f>
        <v>10.039999999999999</v>
      </c>
      <c r="H33">
        <f>14.6</f>
        <v>14.6</v>
      </c>
      <c r="K33">
        <f>47.72</f>
        <v>47.72</v>
      </c>
      <c r="L33">
        <f>12.4</f>
        <v>12.4</v>
      </c>
      <c r="M33">
        <f>8360.89</f>
        <v>8360.89</v>
      </c>
      <c r="N33">
        <f>4822</f>
        <v>4822</v>
      </c>
    </row>
    <row r="34" spans="1:14">
      <c r="A34" t="s">
        <v>59</v>
      </c>
      <c r="B34" t="s">
        <v>56</v>
      </c>
      <c r="C34">
        <v>2022</v>
      </c>
      <c r="D34" t="s">
        <v>22</v>
      </c>
      <c r="E34">
        <f>6661</f>
        <v>6661</v>
      </c>
      <c r="F34">
        <f>9882</f>
        <v>9882</v>
      </c>
      <c r="G34">
        <f>10.5</f>
        <v>10.5</v>
      </c>
      <c r="H34">
        <f>13.7</f>
        <v>13.7</v>
      </c>
      <c r="K34">
        <f>49.35</f>
        <v>49.35</v>
      </c>
      <c r="L34">
        <f>11.8</f>
        <v>11.8</v>
      </c>
      <c r="M34">
        <f>473.87</f>
        <v>473.87</v>
      </c>
      <c r="N34">
        <f>291</f>
        <v>291</v>
      </c>
    </row>
    <row r="35" spans="1:14">
      <c r="A35" t="s">
        <v>60</v>
      </c>
      <c r="B35" t="s">
        <v>61</v>
      </c>
      <c r="C35">
        <v>2021</v>
      </c>
      <c r="D35" t="s">
        <v>18</v>
      </c>
      <c r="E35">
        <f>122786</f>
        <v>122786</v>
      </c>
      <c r="F35">
        <f>210132</f>
        <v>210132</v>
      </c>
      <c r="G35">
        <f>8.54</f>
        <v>8.5399999999999991</v>
      </c>
      <c r="H35">
        <f>14.9</f>
        <v>14.9</v>
      </c>
      <c r="K35">
        <f>43.12</f>
        <v>43.12</v>
      </c>
      <c r="L35">
        <f>12.1</f>
        <v>12.1</v>
      </c>
      <c r="M35">
        <f>10021.61</f>
        <v>10021.61</v>
      </c>
      <c r="N35">
        <f>675</f>
        <v>675</v>
      </c>
    </row>
    <row r="36" spans="1:14">
      <c r="A36" t="s">
        <v>62</v>
      </c>
      <c r="B36" t="s">
        <v>61</v>
      </c>
      <c r="C36">
        <v>2022</v>
      </c>
      <c r="D36" t="s">
        <v>16</v>
      </c>
      <c r="E36">
        <v>19839</v>
      </c>
      <c r="F36">
        <f>32368</f>
        <v>32368</v>
      </c>
      <c r="G36">
        <f>7.97</f>
        <v>7.97</v>
      </c>
      <c r="H36">
        <f>13.6</f>
        <v>13.6</v>
      </c>
      <c r="K36">
        <f>45.76</f>
        <v>45.76</v>
      </c>
      <c r="L36">
        <f>11.1</f>
        <v>11.1</v>
      </c>
      <c r="M36">
        <f>1586.4</f>
        <v>1586.4</v>
      </c>
      <c r="N36">
        <f>1139</f>
        <v>1139</v>
      </c>
    </row>
    <row r="37" spans="1:14">
      <c r="A37" t="s">
        <v>63</v>
      </c>
      <c r="B37" t="s">
        <v>61</v>
      </c>
      <c r="C37">
        <v>2022</v>
      </c>
      <c r="D37" t="s">
        <v>20</v>
      </c>
      <c r="E37">
        <f>5329</f>
        <v>5329</v>
      </c>
      <c r="F37">
        <f>8843</f>
        <v>8843</v>
      </c>
      <c r="G37">
        <f>9.5</f>
        <v>9.5</v>
      </c>
      <c r="H37">
        <f>15.1</f>
        <v>15.1</v>
      </c>
      <c r="K37">
        <f>42.72</f>
        <v>42.72</v>
      </c>
      <c r="L37">
        <f>12.3</f>
        <v>12.3</v>
      </c>
      <c r="M37">
        <f>435.62</f>
        <v>435.62</v>
      </c>
      <c r="N37">
        <f>257</f>
        <v>257</v>
      </c>
    </row>
    <row r="38" spans="1:14">
      <c r="A38" t="s">
        <v>64</v>
      </c>
      <c r="B38" t="s">
        <v>61</v>
      </c>
      <c r="C38">
        <v>2022</v>
      </c>
      <c r="D38" t="s">
        <v>22</v>
      </c>
      <c r="E38">
        <f>6021</f>
        <v>6021</v>
      </c>
      <c r="F38">
        <f>9804</f>
        <v>9804</v>
      </c>
      <c r="G38">
        <f>9.79</f>
        <v>9.7899999999999991</v>
      </c>
      <c r="H38">
        <f>15</f>
        <v>15</v>
      </c>
      <c r="K38">
        <f>41.9</f>
        <v>41.9</v>
      </c>
      <c r="L38">
        <f>12.6</f>
        <v>12.6</v>
      </c>
      <c r="M38">
        <f>493.33</f>
        <v>493.33</v>
      </c>
      <c r="N38">
        <f>280</f>
        <v>280</v>
      </c>
    </row>
    <row r="39" spans="1:14">
      <c r="A39" t="s">
        <v>65</v>
      </c>
      <c r="B39" t="s">
        <v>66</v>
      </c>
      <c r="C39">
        <v>2021</v>
      </c>
      <c r="D39" t="s">
        <v>18</v>
      </c>
      <c r="E39">
        <f>136343</f>
        <v>136343</v>
      </c>
      <c r="F39">
        <f>242155</f>
        <v>242155</v>
      </c>
      <c r="G39">
        <f>10.15</f>
        <v>10.15</v>
      </c>
      <c r="H39">
        <f>16.6</f>
        <v>16.600000000000001</v>
      </c>
      <c r="K39">
        <f>30.7</f>
        <v>30.7</v>
      </c>
      <c r="L39">
        <f>14.8</f>
        <v>14.8</v>
      </c>
      <c r="M39">
        <f>11379.18</f>
        <v>11379.18</v>
      </c>
      <c r="N39">
        <f>5702</f>
        <v>5702</v>
      </c>
    </row>
    <row r="40" spans="1:14">
      <c r="A40" t="s">
        <v>67</v>
      </c>
      <c r="B40" t="s">
        <v>66</v>
      </c>
      <c r="C40">
        <v>2022</v>
      </c>
      <c r="D40" t="s">
        <v>16</v>
      </c>
      <c r="E40">
        <f>17110</f>
        <v>17110</v>
      </c>
      <c r="F40">
        <f>28455</f>
        <v>28455</v>
      </c>
      <c r="G40">
        <f>11.49</f>
        <v>11.49</v>
      </c>
      <c r="H40">
        <f>15.8</f>
        <v>15.8</v>
      </c>
      <c r="K40">
        <f>37.23</f>
        <v>37.229999999999997</v>
      </c>
      <c r="L40">
        <f>14.4</f>
        <v>14.4</v>
      </c>
      <c r="M40">
        <f>1368.55</f>
        <v>1368.55</v>
      </c>
      <c r="N40">
        <f>660</f>
        <v>660</v>
      </c>
    </row>
    <row r="41" spans="1:14">
      <c r="A41" t="s">
        <v>68</v>
      </c>
      <c r="B41" t="s">
        <v>66</v>
      </c>
      <c r="C41">
        <v>2022</v>
      </c>
      <c r="D41" t="s">
        <v>20</v>
      </c>
      <c r="E41">
        <f>6153</f>
        <v>6153</v>
      </c>
      <c r="F41">
        <f>9940</f>
        <v>9940</v>
      </c>
      <c r="G41">
        <f>10.28</f>
        <v>10.28</v>
      </c>
      <c r="H41">
        <f>13.9</f>
        <v>13.9</v>
      </c>
      <c r="K41">
        <f>50.46</f>
        <v>50.46</v>
      </c>
      <c r="L41">
        <f>11.4</f>
        <v>11.4</v>
      </c>
      <c r="M41">
        <f>518.95</f>
        <v>518.95000000000005</v>
      </c>
      <c r="N41">
        <f>292</f>
        <v>292</v>
      </c>
    </row>
    <row r="42" spans="1:14">
      <c r="A42" t="s">
        <v>69</v>
      </c>
      <c r="B42" s="10" t="s">
        <v>70</v>
      </c>
      <c r="C42">
        <v>2021</v>
      </c>
      <c r="D42" t="s">
        <v>18</v>
      </c>
      <c r="E42">
        <f>126797</f>
        <v>126797</v>
      </c>
      <c r="F42">
        <f>216490</f>
        <v>216490</v>
      </c>
      <c r="G42">
        <f>9.66</f>
        <v>9.66</v>
      </c>
      <c r="H42">
        <f>15.7</f>
        <v>15.7</v>
      </c>
      <c r="K42">
        <f>40.18</f>
        <v>40.18</v>
      </c>
      <c r="L42">
        <f>13.2</f>
        <v>13.2</v>
      </c>
      <c r="M42">
        <f>10287.54</f>
        <v>10287.540000000001</v>
      </c>
      <c r="N42">
        <f>5526</f>
        <v>5526</v>
      </c>
    </row>
    <row r="43" spans="1:14">
      <c r="A43" t="s">
        <v>71</v>
      </c>
      <c r="B43" s="10" t="s">
        <v>70</v>
      </c>
      <c r="C43" s="10">
        <v>2022</v>
      </c>
      <c r="D43" s="10" t="s">
        <v>16</v>
      </c>
      <c r="E43" s="13">
        <f>16964</f>
        <v>16964</v>
      </c>
      <c r="F43">
        <f>28406</f>
        <v>28406</v>
      </c>
      <c r="G43">
        <f>10.49</f>
        <v>10.49</v>
      </c>
      <c r="H43">
        <f>15.3</f>
        <v>15.3</v>
      </c>
      <c r="K43">
        <f>40.28</f>
        <v>40.28</v>
      </c>
      <c r="L43">
        <f>13.2</f>
        <v>13.2</v>
      </c>
      <c r="M43">
        <f>1381.55</f>
        <v>1381.55</v>
      </c>
      <c r="N43">
        <f>742</f>
        <v>742</v>
      </c>
    </row>
    <row r="44" spans="1:14">
      <c r="A44" t="s">
        <v>72</v>
      </c>
      <c r="B44" s="10" t="s">
        <v>70</v>
      </c>
      <c r="C44" s="10">
        <v>2022</v>
      </c>
      <c r="D44" s="10" t="s">
        <v>20</v>
      </c>
      <c r="E44" s="10">
        <f>2029</f>
        <v>2029</v>
      </c>
      <c r="F44">
        <f>3316</f>
        <v>3316</v>
      </c>
      <c r="G44">
        <f>10.58</f>
        <v>10.58</v>
      </c>
      <c r="H44">
        <f>13.2</f>
        <v>13.2</v>
      </c>
      <c r="K44">
        <f>44.44</f>
        <v>44.44</v>
      </c>
      <c r="L44">
        <f>11.6</f>
        <v>11.6</v>
      </c>
      <c r="M44">
        <f>166.95</f>
        <v>166.95</v>
      </c>
      <c r="N44">
        <f>109</f>
        <v>109</v>
      </c>
    </row>
    <row r="45" spans="1:14">
      <c r="A45" t="s">
        <v>73</v>
      </c>
      <c r="B45" s="10" t="s">
        <v>70</v>
      </c>
      <c r="C45" s="10">
        <v>2022</v>
      </c>
      <c r="D45" s="10" t="s">
        <v>22</v>
      </c>
      <c r="E45" s="10">
        <f>2662</f>
        <v>2662</v>
      </c>
      <c r="F45">
        <f>4149</f>
        <v>4149</v>
      </c>
      <c r="G45">
        <f>9.53</f>
        <v>9.5299999999999994</v>
      </c>
      <c r="H45">
        <f>12.3</f>
        <v>12.3</v>
      </c>
      <c r="K45">
        <f>54.12</f>
        <v>54.12</v>
      </c>
      <c r="L45">
        <f>10</f>
        <v>10</v>
      </c>
      <c r="M45">
        <f>208.08</f>
        <v>208.08</v>
      </c>
      <c r="N45">
        <f>153</f>
        <v>153</v>
      </c>
    </row>
    <row r="46" spans="1:14">
      <c r="A46" t="s">
        <v>74</v>
      </c>
      <c r="B46" t="s">
        <v>75</v>
      </c>
      <c r="C46">
        <v>2021</v>
      </c>
      <c r="D46" t="s">
        <v>18</v>
      </c>
      <c r="E46">
        <f>117044</f>
        <v>117044</v>
      </c>
      <c r="F46">
        <f>196404</f>
        <v>196404</v>
      </c>
      <c r="G46">
        <f>9.5</f>
        <v>9.5</v>
      </c>
      <c r="H46">
        <f>15.4</f>
        <v>15.4</v>
      </c>
      <c r="K46">
        <f>40.99</f>
        <v>40.99</v>
      </c>
      <c r="L46">
        <f>12.9</f>
        <v>12.9</v>
      </c>
      <c r="M46">
        <f>9322.58</f>
        <v>9322.58</v>
      </c>
      <c r="N46">
        <f>5285</f>
        <v>5285</v>
      </c>
    </row>
    <row r="47" spans="1:14">
      <c r="A47" t="s">
        <v>76</v>
      </c>
      <c r="B47" t="s">
        <v>75</v>
      </c>
      <c r="C47">
        <v>2022</v>
      </c>
      <c r="D47" t="s">
        <v>16</v>
      </c>
      <c r="E47">
        <f>19374</f>
        <v>19374</v>
      </c>
      <c r="F47">
        <f>31215</f>
        <v>31215</v>
      </c>
      <c r="G47">
        <f>8.46</f>
        <v>8.4600000000000009</v>
      </c>
      <c r="H47">
        <f>13.4</f>
        <v>13.4</v>
      </c>
      <c r="K47">
        <f>45.76</f>
        <v>45.76</v>
      </c>
      <c r="L47">
        <f>11.1</f>
        <v>11.1</v>
      </c>
      <c r="M47">
        <f>1513.54</f>
        <v>1513.54</v>
      </c>
      <c r="N47">
        <f>1104</f>
        <v>1104</v>
      </c>
    </row>
    <row r="48" spans="1:14">
      <c r="A48" t="s">
        <v>77</v>
      </c>
      <c r="B48" t="s">
        <v>75</v>
      </c>
      <c r="C48">
        <v>2022</v>
      </c>
      <c r="D48" t="s">
        <v>20</v>
      </c>
      <c r="E48">
        <f>1602</f>
        <v>1602</v>
      </c>
      <c r="F48">
        <f>2642</f>
        <v>2642</v>
      </c>
      <c r="G48">
        <f>13.05</f>
        <v>13.05</v>
      </c>
      <c r="H48">
        <f>14.9</f>
        <v>14.9</v>
      </c>
      <c r="K48">
        <f>39.67</f>
        <v>39.67</v>
      </c>
      <c r="L48">
        <f>13.4</f>
        <v>13.4</v>
      </c>
      <c r="M48">
        <f>127.4</f>
        <v>127.4</v>
      </c>
      <c r="N48">
        <f>69</f>
        <v>69</v>
      </c>
    </row>
    <row r="49" spans="1:14">
      <c r="A49" t="s">
        <v>78</v>
      </c>
      <c r="B49" t="s">
        <v>75</v>
      </c>
      <c r="C49">
        <v>2022</v>
      </c>
      <c r="D49" t="s">
        <v>22</v>
      </c>
      <c r="E49">
        <f>1735</f>
        <v>1735</v>
      </c>
      <c r="F49">
        <f>2822</f>
        <v>2822</v>
      </c>
      <c r="G49">
        <f>12.55</f>
        <v>12.55</v>
      </c>
      <c r="H49">
        <f>14.6</f>
        <v>14.6</v>
      </c>
      <c r="K49">
        <f>48.54</f>
        <v>48.54</v>
      </c>
      <c r="L49">
        <f>12.1</f>
        <v>12.1</v>
      </c>
      <c r="M49">
        <f>136.35</f>
        <v>136.35</v>
      </c>
      <c r="N49">
        <f>76</f>
        <v>76</v>
      </c>
    </row>
    <row r="50" spans="1:14">
      <c r="A50" t="s">
        <v>79</v>
      </c>
      <c r="B50" t="s">
        <v>80</v>
      </c>
      <c r="C50">
        <v>2021</v>
      </c>
      <c r="D50" t="s">
        <v>18</v>
      </c>
      <c r="E50">
        <f>292639</f>
        <v>292639</v>
      </c>
      <c r="F50">
        <f>493707</f>
        <v>493707</v>
      </c>
      <c r="G50">
        <f>11.48</f>
        <v>11.48</v>
      </c>
      <c r="H50">
        <f>17</f>
        <v>17</v>
      </c>
      <c r="K50">
        <f>35</f>
        <v>35</v>
      </c>
      <c r="L50">
        <f>15.2</f>
        <v>15.2</v>
      </c>
      <c r="M50">
        <f>23322.59</f>
        <v>23322.59</v>
      </c>
      <c r="N50">
        <f>10369</f>
        <v>10369</v>
      </c>
    </row>
    <row r="51" spans="1:14">
      <c r="A51" t="s">
        <v>81</v>
      </c>
      <c r="B51" t="s">
        <v>80</v>
      </c>
      <c r="C51">
        <v>2022</v>
      </c>
      <c r="D51" t="s">
        <v>16</v>
      </c>
      <c r="E51">
        <f>61796</f>
        <v>61796</v>
      </c>
      <c r="F51">
        <f>100807</f>
        <v>100807</v>
      </c>
      <c r="G51">
        <f>12.6</f>
        <v>12.6</v>
      </c>
      <c r="H51">
        <f>16.5</f>
        <v>16.5</v>
      </c>
      <c r="K51">
        <f>33.17</f>
        <v>33.17</v>
      </c>
      <c r="L51">
        <f>15.9</f>
        <v>15.9</v>
      </c>
      <c r="M51">
        <f>4735.54</f>
        <v>4735.54</v>
      </c>
      <c r="N51">
        <f>2066</f>
        <v>2066</v>
      </c>
    </row>
    <row r="52" spans="1:14">
      <c r="A52" t="s">
        <v>82</v>
      </c>
      <c r="B52" t="s">
        <v>80</v>
      </c>
      <c r="C52">
        <v>2022</v>
      </c>
      <c r="D52" t="s">
        <v>20</v>
      </c>
      <c r="E52">
        <f>30891</f>
        <v>30891</v>
      </c>
      <c r="F52">
        <f>49965</f>
        <v>49965</v>
      </c>
      <c r="G52">
        <f>11.35</f>
        <v>11.35</v>
      </c>
      <c r="H52">
        <f>15.6</f>
        <v>15.6</v>
      </c>
      <c r="K52">
        <f>37.44</f>
        <v>37.44</v>
      </c>
      <c r="L52">
        <f>14.3</f>
        <v>14.3</v>
      </c>
      <c r="M52">
        <f>2373.57</f>
        <v>2373.5700000000002</v>
      </c>
      <c r="N52">
        <f>1187</f>
        <v>1187</v>
      </c>
    </row>
    <row r="53" spans="1:14">
      <c r="A53" t="s">
        <v>83</v>
      </c>
      <c r="B53" t="s">
        <v>80</v>
      </c>
      <c r="C53">
        <v>2022</v>
      </c>
      <c r="D53" t="s">
        <v>22</v>
      </c>
      <c r="E53">
        <f>36987</f>
        <v>36987</v>
      </c>
      <c r="F53">
        <f>60448</f>
        <v>60448</v>
      </c>
      <c r="G53">
        <f>11.56</f>
        <v>11.56</v>
      </c>
      <c r="H53">
        <f>15.8</f>
        <v>15.8</v>
      </c>
      <c r="K53">
        <f>36.63</f>
        <v>36.630000000000003</v>
      </c>
      <c r="L53">
        <f>14.6</f>
        <v>14.6</v>
      </c>
      <c r="M53">
        <f>2871.65</f>
        <v>2871.65</v>
      </c>
      <c r="N53">
        <f>1394</f>
        <v>1394</v>
      </c>
    </row>
    <row r="54" spans="1:14">
      <c r="A54" t="s">
        <v>84</v>
      </c>
      <c r="B54" t="s">
        <v>85</v>
      </c>
      <c r="C54">
        <v>2021</v>
      </c>
      <c r="D54" t="s">
        <v>18</v>
      </c>
      <c r="E54">
        <f>88173</f>
        <v>88173</v>
      </c>
      <c r="F54">
        <f>148982</f>
        <v>148982</v>
      </c>
      <c r="G54">
        <f>11.13</f>
        <v>11.13</v>
      </c>
      <c r="H54">
        <f>16.1</f>
        <v>16.100000000000001</v>
      </c>
      <c r="K54">
        <f>37.03</f>
        <v>37.03</v>
      </c>
      <c r="L54">
        <f>14.5</f>
        <v>14.5</v>
      </c>
      <c r="M54">
        <f>7042.17</f>
        <v>7042.17</v>
      </c>
      <c r="N54">
        <f>3443</f>
        <v>3443</v>
      </c>
    </row>
    <row r="55" spans="1:14">
      <c r="A55" t="s">
        <v>86</v>
      </c>
      <c r="B55" t="s">
        <v>85</v>
      </c>
      <c r="C55">
        <v>2022</v>
      </c>
      <c r="D55" t="s">
        <v>16</v>
      </c>
      <c r="E55">
        <f>13990</f>
        <v>13990</v>
      </c>
      <c r="F55">
        <f>22416</f>
        <v>22416</v>
      </c>
      <c r="G55">
        <f>11.22</f>
        <v>11.22</v>
      </c>
      <c r="H55">
        <f>14.7</f>
        <v>14.7</v>
      </c>
      <c r="K55">
        <f>46.71</f>
        <v>46.71</v>
      </c>
      <c r="L55">
        <f>12.8</f>
        <v>12.8</v>
      </c>
      <c r="M55">
        <v>1077.23</v>
      </c>
      <c r="N55">
        <f>569</f>
        <v>569</v>
      </c>
    </row>
    <row r="56" spans="1:14">
      <c r="A56" t="s">
        <v>87</v>
      </c>
      <c r="B56" t="s">
        <v>85</v>
      </c>
      <c r="C56">
        <v>2022</v>
      </c>
      <c r="D56" t="s">
        <v>20</v>
      </c>
      <c r="E56">
        <f>2715</f>
        <v>2715</v>
      </c>
      <c r="F56">
        <f>9476</f>
        <v>9476</v>
      </c>
      <c r="G56">
        <f>10.21</f>
        <v>10.210000000000001</v>
      </c>
      <c r="H56">
        <f>13.4</f>
        <v>13.4</v>
      </c>
      <c r="K56">
        <f>49.86</f>
        <v>49.86</v>
      </c>
      <c r="L56">
        <f>11.6</f>
        <v>11.6</v>
      </c>
      <c r="M56">
        <f>460.24</f>
        <v>460.24</v>
      </c>
      <c r="N56">
        <f>281</f>
        <v>281</v>
      </c>
    </row>
    <row r="57" spans="1:14">
      <c r="A57" t="s">
        <v>88</v>
      </c>
      <c r="B57" t="s">
        <v>85</v>
      </c>
      <c r="C57">
        <v>2022</v>
      </c>
      <c r="D57" t="s">
        <v>22</v>
      </c>
      <c r="E57">
        <f>7076</f>
        <v>7076</v>
      </c>
      <c r="F57">
        <f>10927</f>
        <v>10927</v>
      </c>
      <c r="G57">
        <f>10.66</f>
        <v>10.66</v>
      </c>
      <c r="H57">
        <f>13.7</f>
        <v>13.7</v>
      </c>
      <c r="K57">
        <v>48.33</v>
      </c>
      <c r="L57">
        <f>12.2</f>
        <v>12.2</v>
      </c>
      <c r="M57">
        <f>534.6</f>
        <v>534.6</v>
      </c>
      <c r="N57">
        <f>306</f>
        <v>306</v>
      </c>
    </row>
    <row r="58" spans="1:14">
      <c r="A58" t="s">
        <v>89</v>
      </c>
      <c r="B58" t="s">
        <v>90</v>
      </c>
      <c r="C58">
        <v>2021</v>
      </c>
      <c r="D58" t="s">
        <v>18</v>
      </c>
      <c r="E58">
        <f>159121</f>
        <v>159121</v>
      </c>
      <c r="F58">
        <f>274217</f>
        <v>274217</v>
      </c>
      <c r="G58">
        <f>8.42</f>
        <v>8.42</v>
      </c>
      <c r="H58">
        <f>14.8</f>
        <v>14.8</v>
      </c>
      <c r="K58">
        <f>43.53</f>
        <v>43.53</v>
      </c>
      <c r="L58">
        <f>12</f>
        <v>12</v>
      </c>
      <c r="M58">
        <f>13130.13</f>
        <v>13130.13</v>
      </c>
      <c r="N58">
        <v>8216</v>
      </c>
    </row>
    <row r="59" spans="1:14">
      <c r="A59" t="s">
        <v>91</v>
      </c>
      <c r="B59" t="s">
        <v>90</v>
      </c>
      <c r="C59">
        <v>2022</v>
      </c>
      <c r="D59" t="s">
        <v>16</v>
      </c>
      <c r="E59">
        <f>19042</f>
        <v>19042</v>
      </c>
      <c r="F59">
        <f>32317</f>
        <v>32317</v>
      </c>
      <c r="G59">
        <f>10.24</f>
        <v>10.24</v>
      </c>
      <c r="H59">
        <f>15.2</f>
        <v>15.2</v>
      </c>
      <c r="K59">
        <f>40.58</f>
        <v>40.58</v>
      </c>
      <c r="L59">
        <f>13.1</f>
        <v>13.1</v>
      </c>
      <c r="M59">
        <f>1551.18</f>
        <v>1551.18</v>
      </c>
      <c r="N59">
        <f>848</f>
        <v>848</v>
      </c>
    </row>
    <row r="60" spans="1:14">
      <c r="A60" t="s">
        <v>92</v>
      </c>
      <c r="B60" t="s">
        <v>90</v>
      </c>
      <c r="C60">
        <v>2022</v>
      </c>
      <c r="D60" t="s">
        <v>20</v>
      </c>
      <c r="E60">
        <f>6085</f>
        <v>6085</v>
      </c>
      <c r="F60">
        <f>10526</f>
        <v>10526</v>
      </c>
      <c r="G60">
        <f>10.75</f>
        <v>10.75</v>
      </c>
      <c r="H60">
        <v>15.7</v>
      </c>
      <c r="K60">
        <f>32.43</f>
        <v>32.43</v>
      </c>
      <c r="L60">
        <f>14.2</f>
        <v>14.2</v>
      </c>
      <c r="M60">
        <f>509.49</f>
        <v>509.49</v>
      </c>
      <c r="N60">
        <f>274</f>
        <v>274</v>
      </c>
    </row>
    <row r="61" spans="1:14" ht="30.75">
      <c r="A61" t="s">
        <v>93</v>
      </c>
      <c r="B61" s="10" t="s">
        <v>94</v>
      </c>
      <c r="C61">
        <v>2021</v>
      </c>
      <c r="D61" t="s">
        <v>18</v>
      </c>
      <c r="E61" s="13">
        <v>186264</v>
      </c>
      <c r="F61">
        <f>303390</f>
        <v>303390</v>
      </c>
      <c r="G61">
        <f>11.2</f>
        <v>11.2</v>
      </c>
      <c r="H61">
        <f>16.1</f>
        <v>16.100000000000001</v>
      </c>
      <c r="K61">
        <f>36.12</f>
        <v>36.119999999999997</v>
      </c>
      <c r="L61">
        <f>14.8</f>
        <v>14.8</v>
      </c>
      <c r="M61">
        <f>13897.09</f>
        <v>13897.09</v>
      </c>
      <c r="N61">
        <f>6905</f>
        <v>6905</v>
      </c>
    </row>
    <row r="62" spans="1:14" ht="30.75">
      <c r="A62" t="s">
        <v>95</v>
      </c>
      <c r="B62" s="10" t="s">
        <v>94</v>
      </c>
      <c r="C62">
        <v>2022</v>
      </c>
      <c r="D62" t="s">
        <v>20</v>
      </c>
      <c r="E62" s="13">
        <v>28964</v>
      </c>
      <c r="F62">
        <f>48926</f>
        <v>48926</v>
      </c>
      <c r="G62">
        <f>12.39</f>
        <v>12.39</v>
      </c>
      <c r="H62">
        <f>16.9</f>
        <v>16.899999999999999</v>
      </c>
      <c r="K62">
        <f>35.41</f>
        <v>35.409999999999997</v>
      </c>
      <c r="L62">
        <f>15.1</f>
        <v>15.1</v>
      </c>
      <c r="M62">
        <f>2397.51</f>
        <v>2397.5100000000002</v>
      </c>
      <c r="N62">
        <f>1039</f>
        <v>1039</v>
      </c>
    </row>
    <row r="63" spans="1:14" ht="30.75">
      <c r="A63" t="s">
        <v>96</v>
      </c>
      <c r="B63" s="10" t="s">
        <v>94</v>
      </c>
      <c r="C63">
        <v>2022</v>
      </c>
      <c r="D63" t="s">
        <v>32</v>
      </c>
      <c r="E63">
        <f>34220</f>
        <v>34220</v>
      </c>
      <c r="F63">
        <f>57562</f>
        <v>57562</v>
      </c>
      <c r="G63">
        <f>12.25</f>
        <v>12.25</v>
      </c>
      <c r="H63">
        <f>16.8</f>
        <v>16.8</v>
      </c>
      <c r="K63">
        <f>35.31</f>
        <v>35.31</v>
      </c>
      <c r="L63">
        <f>15.1</f>
        <v>15.1</v>
      </c>
      <c r="M63">
        <f>2822.48</f>
        <v>2822.48</v>
      </c>
      <c r="N63">
        <f>1223</f>
        <v>1223</v>
      </c>
    </row>
    <row r="64" spans="1:14" ht="30.75">
      <c r="A64" t="s">
        <v>97</v>
      </c>
      <c r="B64" s="10" t="s">
        <v>94</v>
      </c>
      <c r="C64">
        <v>2022</v>
      </c>
      <c r="D64" t="s">
        <v>22</v>
      </c>
      <c r="E64">
        <f>38315</f>
        <v>38315</v>
      </c>
      <c r="F64">
        <f>64719</f>
        <v>64719</v>
      </c>
      <c r="G64">
        <f>11.84</f>
        <v>11.84</v>
      </c>
      <c r="H64">
        <f>16.8</f>
        <v>16.8</v>
      </c>
      <c r="K64">
        <f>36.12</f>
        <v>36.119999999999997</v>
      </c>
      <c r="L64">
        <f>14.8</f>
        <v>14.8</v>
      </c>
      <c r="M64">
        <f>3166.43</f>
        <v>3166.43</v>
      </c>
      <c r="N64">
        <f>1413</f>
        <v>1413</v>
      </c>
    </row>
    <row r="65" spans="1:14" ht="30.75">
      <c r="A65" t="s">
        <v>98</v>
      </c>
      <c r="B65" s="10" t="s">
        <v>99</v>
      </c>
      <c r="C65">
        <v>2021</v>
      </c>
      <c r="D65" t="s">
        <v>18</v>
      </c>
      <c r="E65">
        <f>231588</f>
        <v>231588</v>
      </c>
      <c r="F65">
        <f>399456</f>
        <v>399456</v>
      </c>
      <c r="G65">
        <f>10.25</f>
        <v>10.25</v>
      </c>
      <c r="H65">
        <f>16.5</f>
        <v>16.5</v>
      </c>
      <c r="K65">
        <f>29.99</f>
        <v>29.99</v>
      </c>
      <c r="L65">
        <f>15.1</f>
        <v>15.1</v>
      </c>
      <c r="M65">
        <f>18612.8</f>
        <v>18612.8</v>
      </c>
      <c r="N65">
        <f>9360</f>
        <v>9360</v>
      </c>
    </row>
    <row r="66" spans="1:14" ht="30.75">
      <c r="A66" t="s">
        <v>100</v>
      </c>
      <c r="B66" s="10" t="s">
        <v>99</v>
      </c>
      <c r="C66">
        <v>2022</v>
      </c>
      <c r="D66" t="s">
        <v>16</v>
      </c>
      <c r="E66">
        <f>31258</f>
        <v>31258</v>
      </c>
      <c r="F66">
        <f>47863</f>
        <v>47863</v>
      </c>
      <c r="G66">
        <f>12.27</f>
        <v>12.27</v>
      </c>
      <c r="H66">
        <f>15.6</f>
        <v>15.6</v>
      </c>
      <c r="K66">
        <f>43.06</f>
        <v>43.06</v>
      </c>
      <c r="L66">
        <f>14.2</f>
        <v>14.2</v>
      </c>
      <c r="M66">
        <f>2168.77</f>
        <v>2168.77</v>
      </c>
      <c r="N66">
        <f>1083</f>
        <v>1083</v>
      </c>
    </row>
    <row r="67" spans="1:14" ht="30.75">
      <c r="A67" t="s">
        <v>101</v>
      </c>
      <c r="B67" s="10" t="s">
        <v>99</v>
      </c>
      <c r="C67">
        <v>2022</v>
      </c>
      <c r="D67" t="s">
        <v>20</v>
      </c>
      <c r="E67">
        <f>23110</f>
        <v>23110</v>
      </c>
      <c r="F67">
        <f>35952</f>
        <v>35952</v>
      </c>
      <c r="G67">
        <f>12.15</f>
        <v>12.15</v>
      </c>
      <c r="H67">
        <f>15.7</f>
        <v>15.7</v>
      </c>
      <c r="K67">
        <f>43.56</f>
        <v>43.56</v>
      </c>
      <c r="L67">
        <f>14</f>
        <v>14</v>
      </c>
      <c r="M67">
        <f>1638.21</f>
        <v>1638.21</v>
      </c>
      <c r="N67">
        <f>818</f>
        <v>818</v>
      </c>
    </row>
    <row r="68" spans="1:14" ht="30.75">
      <c r="A68" t="s">
        <v>102</v>
      </c>
      <c r="B68" s="10" t="s">
        <v>99</v>
      </c>
      <c r="C68">
        <v>2022</v>
      </c>
      <c r="D68" t="s">
        <v>22</v>
      </c>
      <c r="E68">
        <f>33115</f>
        <v>33115</v>
      </c>
      <c r="F68">
        <f>50370</f>
        <v>50370</v>
      </c>
      <c r="G68">
        <f>12.49</f>
        <v>12.49</v>
      </c>
      <c r="H68">
        <f>15.7</f>
        <v>15.7</v>
      </c>
      <c r="K68">
        <f>42.34</f>
        <v>42.34</v>
      </c>
      <c r="L68">
        <f>14.5</f>
        <v>14.5</v>
      </c>
      <c r="M68">
        <f>2287.38</f>
        <v>2287.38</v>
      </c>
      <c r="N68">
        <f>1117</f>
        <v>1117</v>
      </c>
    </row>
    <row r="69" spans="1:14" ht="30.75">
      <c r="A69" t="s">
        <v>103</v>
      </c>
      <c r="B69" s="10" t="s">
        <v>104</v>
      </c>
      <c r="C69">
        <v>2021</v>
      </c>
      <c r="D69" t="s">
        <v>18</v>
      </c>
      <c r="E69">
        <f>136709</f>
        <v>136709</v>
      </c>
      <c r="F69">
        <f>229866</f>
        <v>229866</v>
      </c>
      <c r="G69">
        <f>8.4</f>
        <v>8.4</v>
      </c>
      <c r="H69">
        <f>14.6</f>
        <v>14.6</v>
      </c>
      <c r="K69">
        <f>43.53</f>
        <v>43.53</v>
      </c>
      <c r="L69">
        <f>12</f>
        <v>12</v>
      </c>
      <c r="M69">
        <v>11031</v>
      </c>
      <c r="N69">
        <f>6990</f>
        <v>6990</v>
      </c>
    </row>
    <row r="70" spans="1:14" ht="30.75">
      <c r="A70" t="s">
        <v>105</v>
      </c>
      <c r="B70" s="10" t="s">
        <v>104</v>
      </c>
      <c r="C70">
        <v>2022</v>
      </c>
      <c r="D70" t="s">
        <v>16</v>
      </c>
      <c r="E70">
        <f>1156</f>
        <v>1156</v>
      </c>
      <c r="F70">
        <f>1940</f>
        <v>1940</v>
      </c>
      <c r="G70">
        <f>9.96</f>
        <v>9.9600000000000009</v>
      </c>
      <c r="H70">
        <f>13</f>
        <v>13</v>
      </c>
      <c r="K70">
        <f>46.57</f>
        <v>46.57</v>
      </c>
      <c r="L70">
        <f>10.8</f>
        <v>10.8</v>
      </c>
      <c r="M70">
        <f>93.91</f>
        <v>93.91</v>
      </c>
      <c r="N70">
        <f>71</f>
        <v>71</v>
      </c>
    </row>
    <row r="71" spans="1:14" ht="30.75">
      <c r="A71" t="s">
        <v>106</v>
      </c>
      <c r="B71" s="10" t="s">
        <v>104</v>
      </c>
      <c r="C71">
        <v>2022</v>
      </c>
      <c r="D71" t="s">
        <v>20</v>
      </c>
      <c r="E71">
        <f>1712</f>
        <v>1712</v>
      </c>
      <c r="F71">
        <f>2913</f>
        <v>2913</v>
      </c>
      <c r="G71">
        <f>11.42</f>
        <v>11.42</v>
      </c>
      <c r="H71">
        <f>14.2</f>
        <v>14.2</v>
      </c>
      <c r="K71">
        <f>42.92</f>
        <v>42.92</v>
      </c>
      <c r="L71">
        <f>12.2</f>
        <v>12.2</v>
      </c>
      <c r="M71">
        <f>143.21</f>
        <v>143.21</v>
      </c>
      <c r="N71">
        <f>86</f>
        <v>86</v>
      </c>
    </row>
    <row r="72" spans="1:14" ht="30.75">
      <c r="A72" t="s">
        <v>107</v>
      </c>
      <c r="B72" s="10" t="s">
        <v>104</v>
      </c>
      <c r="C72">
        <v>2022</v>
      </c>
      <c r="D72" t="s">
        <v>22</v>
      </c>
      <c r="E72">
        <f>1489</f>
        <v>1489</v>
      </c>
      <c r="F72">
        <f>2571</f>
        <v>2571</v>
      </c>
      <c r="G72">
        <f>9.52</f>
        <v>9.52</v>
      </c>
      <c r="H72">
        <f>13.4</f>
        <v>13.4</v>
      </c>
      <c r="K72">
        <f>47.59</f>
        <v>47.59</v>
      </c>
      <c r="L72">
        <f>10.4</f>
        <v>10.4</v>
      </c>
      <c r="M72">
        <f>121.18</f>
        <v>121.18</v>
      </c>
      <c r="N72">
        <f>97</f>
        <v>97</v>
      </c>
    </row>
    <row r="73" spans="1:14" ht="30.75">
      <c r="A73" t="s">
        <v>108</v>
      </c>
      <c r="B73" s="10" t="s">
        <v>109</v>
      </c>
      <c r="C73">
        <v>2021</v>
      </c>
      <c r="D73" t="s">
        <v>18</v>
      </c>
      <c r="E73">
        <f>120486</f>
        <v>120486</v>
      </c>
      <c r="F73">
        <f>206071</f>
        <v>206071</v>
      </c>
      <c r="G73">
        <f>11.22</f>
        <v>11.22</v>
      </c>
      <c r="H73">
        <f>16.8</f>
        <v>16.8</v>
      </c>
      <c r="K73">
        <f>36.42</f>
        <v>36.42</v>
      </c>
      <c r="L73">
        <f>14.7</f>
        <v>14.7</v>
      </c>
      <c r="M73">
        <f>9748.83</f>
        <v>9748.83</v>
      </c>
      <c r="N73">
        <f>4546</f>
        <v>4546</v>
      </c>
    </row>
    <row r="74" spans="1:14" ht="30.75">
      <c r="A74" t="s">
        <v>110</v>
      </c>
      <c r="B74" s="10" t="s">
        <v>109</v>
      </c>
      <c r="C74">
        <v>2022</v>
      </c>
      <c r="D74" t="s">
        <v>16</v>
      </c>
      <c r="E74">
        <f>22938</f>
        <v>22938</v>
      </c>
      <c r="F74">
        <f>37829</f>
        <v>37829</v>
      </c>
      <c r="G74">
        <f>11.2</f>
        <v>11.2</v>
      </c>
      <c r="H74">
        <f>15.8</f>
        <v>15.8</v>
      </c>
      <c r="K74">
        <f>37.44</f>
        <v>37.44</v>
      </c>
      <c r="L74">
        <f>14.3</f>
        <v>14.3</v>
      </c>
      <c r="M74">
        <v>1718.86</v>
      </c>
      <c r="N74">
        <f>889</f>
        <v>889</v>
      </c>
    </row>
    <row r="75" spans="1:14" ht="30.75">
      <c r="A75" t="s">
        <v>111</v>
      </c>
      <c r="B75" s="10" t="s">
        <v>109</v>
      </c>
      <c r="C75">
        <v>2022</v>
      </c>
      <c r="D75" t="s">
        <v>20</v>
      </c>
      <c r="E75">
        <f>4449</f>
        <v>4449</v>
      </c>
      <c r="F75">
        <f>7340</f>
        <v>7340</v>
      </c>
      <c r="G75">
        <f>9.75</f>
        <v>9.75</v>
      </c>
      <c r="H75">
        <f>13.4</f>
        <v>13.4</v>
      </c>
      <c r="K75">
        <f>44.75</f>
        <v>44.75</v>
      </c>
      <c r="L75">
        <v>11.5</v>
      </c>
      <c r="M75">
        <f>357.25</f>
        <v>357.25</v>
      </c>
      <c r="N75">
        <f>244</f>
        <v>244</v>
      </c>
    </row>
    <row r="76" spans="1:14" ht="30.75">
      <c r="A76" t="s">
        <v>112</v>
      </c>
      <c r="B76" s="10" t="s">
        <v>109</v>
      </c>
      <c r="C76">
        <v>2022</v>
      </c>
      <c r="D76" t="s">
        <v>22</v>
      </c>
      <c r="E76">
        <f>3379</f>
        <v>3379</v>
      </c>
      <c r="F76">
        <f>5510</f>
        <v>5510</v>
      </c>
      <c r="G76">
        <f>8.24</f>
        <v>8.24</v>
      </c>
      <c r="H76">
        <f>12.4</f>
        <v>12.4</v>
      </c>
      <c r="K76">
        <f>56.15</f>
        <v>56.15</v>
      </c>
      <c r="L76">
        <f>9.2</f>
        <v>9.1999999999999993</v>
      </c>
      <c r="M76">
        <f>274.94</f>
        <v>274.94</v>
      </c>
      <c r="N76">
        <f>221</f>
        <v>221</v>
      </c>
    </row>
    <row r="77" spans="1:14">
      <c r="A77" t="s">
        <v>113</v>
      </c>
      <c r="B77" t="s">
        <v>114</v>
      </c>
      <c r="C77">
        <v>2021</v>
      </c>
      <c r="D77" t="s">
        <v>18</v>
      </c>
      <c r="E77">
        <f>51689</f>
        <v>51689</v>
      </c>
      <c r="F77">
        <f>85888</f>
        <v>85888</v>
      </c>
      <c r="G77">
        <f>9.41</f>
        <v>9.41</v>
      </c>
      <c r="H77">
        <f>14.9</f>
        <v>14.9</v>
      </c>
      <c r="K77">
        <f>41.9</f>
        <v>41.9</v>
      </c>
      <c r="L77">
        <f>12.6</f>
        <v>12.6</v>
      </c>
      <c r="M77">
        <f>4254.78</f>
        <v>4254.78</v>
      </c>
      <c r="N77">
        <f>2445</f>
        <v>2445</v>
      </c>
    </row>
    <row r="78" spans="1:14">
      <c r="A78" t="s">
        <v>115</v>
      </c>
      <c r="B78" t="s">
        <v>114</v>
      </c>
      <c r="C78">
        <v>2022</v>
      </c>
      <c r="D78" t="s">
        <v>16</v>
      </c>
      <c r="E78">
        <f>12471</f>
        <v>12471</v>
      </c>
      <c r="F78">
        <f>19394</f>
        <v>19394</v>
      </c>
      <c r="G78">
        <f>8.77</f>
        <v>8.77</v>
      </c>
      <c r="H78">
        <f>13.4</f>
        <v>13.4</v>
      </c>
      <c r="K78">
        <f>52.9</f>
        <v>52.9</v>
      </c>
      <c r="L78">
        <f>10.4</f>
        <v>10.4</v>
      </c>
      <c r="M78">
        <f>1058.94</f>
        <v>1058.94</v>
      </c>
      <c r="N78">
        <f>647</f>
        <v>647</v>
      </c>
    </row>
    <row r="79" spans="1:14">
      <c r="A79" t="s">
        <v>116</v>
      </c>
      <c r="B79" t="s">
        <v>114</v>
      </c>
      <c r="C79">
        <v>2022</v>
      </c>
      <c r="D79" t="s">
        <v>20</v>
      </c>
      <c r="E79">
        <f>5371</f>
        <v>5371</v>
      </c>
      <c r="F79">
        <f>8299</f>
        <v>8299</v>
      </c>
      <c r="G79">
        <f>8.12</f>
        <v>8.1199999999999992</v>
      </c>
      <c r="H79">
        <f>12.5</f>
        <v>12.5</v>
      </c>
      <c r="K79">
        <f>54.32</f>
        <v>54.32</v>
      </c>
      <c r="L79">
        <f>9.9</f>
        <v>9.9</v>
      </c>
      <c r="M79">
        <f>418.05</f>
        <v>418.05</v>
      </c>
      <c r="N79">
        <f>307</f>
        <v>307</v>
      </c>
    </row>
    <row r="80" spans="1:14">
      <c r="A80" t="s">
        <v>117</v>
      </c>
      <c r="B80" t="s">
        <v>114</v>
      </c>
      <c r="C80">
        <v>2022</v>
      </c>
      <c r="D80" t="s">
        <v>22</v>
      </c>
      <c r="E80">
        <f>6487</f>
        <v>6487</v>
      </c>
      <c r="F80">
        <f>9102</f>
        <v>9102</v>
      </c>
      <c r="G80">
        <f>7.97</f>
        <v>7.97</v>
      </c>
      <c r="H80">
        <f>11.9</f>
        <v>11.9</v>
      </c>
      <c r="K80">
        <f>63.19</f>
        <v>63.19</v>
      </c>
      <c r="L80">
        <f>8.5</f>
        <v>8.5</v>
      </c>
      <c r="M80">
        <f>472.18</f>
        <v>472.18</v>
      </c>
      <c r="N80">
        <f>358</f>
        <v>358</v>
      </c>
    </row>
    <row r="81" spans="1:14" ht="30.75">
      <c r="A81" t="s">
        <v>118</v>
      </c>
      <c r="B81" s="10" t="s">
        <v>119</v>
      </c>
      <c r="C81">
        <v>2021</v>
      </c>
      <c r="D81" t="s">
        <v>18</v>
      </c>
      <c r="E81" s="13">
        <f>118236</f>
        <v>118236</v>
      </c>
      <c r="F81">
        <f>208995</f>
        <v>208995</v>
      </c>
      <c r="G81">
        <f>11.56</f>
        <v>11.56</v>
      </c>
      <c r="H81">
        <f>17.3</f>
        <v>17.3</v>
      </c>
      <c r="K81">
        <f>27.25</f>
        <v>27.25</v>
      </c>
      <c r="L81">
        <f>16.1</f>
        <v>16.100000000000001</v>
      </c>
      <c r="M81">
        <f>9818.11</f>
        <v>9818.11</v>
      </c>
      <c r="N81">
        <f>4330</f>
        <v>4330</v>
      </c>
    </row>
    <row r="82" spans="1:14" ht="30.75">
      <c r="A82" t="s">
        <v>120</v>
      </c>
      <c r="B82" s="10" t="s">
        <v>119</v>
      </c>
      <c r="C82">
        <v>2022</v>
      </c>
      <c r="D82" t="s">
        <v>16</v>
      </c>
      <c r="E82">
        <f>13743</f>
        <v>13743</v>
      </c>
      <c r="F82">
        <f>22674</f>
        <v>22674</v>
      </c>
      <c r="G82">
        <f>13.23</f>
        <v>13.23</v>
      </c>
      <c r="H82">
        <f>16.9</f>
        <v>16.899999999999999</v>
      </c>
      <c r="K82">
        <f>33.17</f>
        <v>33.17</v>
      </c>
      <c r="L82">
        <f>15.9</f>
        <v>15.9</v>
      </c>
      <c r="M82">
        <f>1093.71</f>
        <v>1093.71</v>
      </c>
      <c r="N82">
        <f>456</f>
        <v>456</v>
      </c>
    </row>
    <row r="83" spans="1:14" ht="30.75">
      <c r="A83" t="s">
        <v>121</v>
      </c>
      <c r="B83" s="10" t="s">
        <v>119</v>
      </c>
      <c r="C83">
        <v>2022</v>
      </c>
      <c r="D83" t="s">
        <v>20</v>
      </c>
      <c r="E83">
        <f>6694</f>
        <v>6694</v>
      </c>
      <c r="F83">
        <f>10877</f>
        <v>10877</v>
      </c>
      <c r="G83">
        <f>8.92</f>
        <v>8.92</v>
      </c>
      <c r="H83">
        <f>13.5</f>
        <v>13.5</v>
      </c>
      <c r="K83">
        <f>44.14</f>
        <v>44.14</v>
      </c>
      <c r="L83">
        <f>11.7</f>
        <v>11.7</v>
      </c>
      <c r="M83">
        <f>533.94</f>
        <v>533.94000000000005</v>
      </c>
      <c r="N83">
        <f>346</f>
        <v>346</v>
      </c>
    </row>
    <row r="84" spans="1:14" ht="30.75">
      <c r="A84" t="s">
        <v>122</v>
      </c>
      <c r="B84" s="10" t="s">
        <v>119</v>
      </c>
      <c r="C84">
        <v>2022</v>
      </c>
      <c r="D84" t="s">
        <v>22</v>
      </c>
      <c r="E84">
        <f>6408</f>
        <v>6408</v>
      </c>
      <c r="F84">
        <f>10257</f>
        <v>10257</v>
      </c>
      <c r="G84">
        <f>9.2</f>
        <v>9.1999999999999993</v>
      </c>
      <c r="H84">
        <f>13.2</f>
        <v>13.2</v>
      </c>
      <c r="K84">
        <f>51.99</f>
        <v>51.99</v>
      </c>
      <c r="L84">
        <f>10.8</f>
        <v>10.8</v>
      </c>
      <c r="M84">
        <f>505.73</f>
        <v>505.73</v>
      </c>
      <c r="N84">
        <f>324</f>
        <v>324</v>
      </c>
    </row>
    <row r="85" spans="1:14">
      <c r="A85" t="s">
        <v>123</v>
      </c>
      <c r="B85" t="s">
        <v>124</v>
      </c>
      <c r="C85">
        <v>2021</v>
      </c>
      <c r="D85" t="s">
        <v>18</v>
      </c>
      <c r="E85">
        <f>55202</f>
        <v>55202</v>
      </c>
      <c r="F85">
        <f>93004</f>
        <v>93004</v>
      </c>
      <c r="G85">
        <f>10.66</f>
        <v>10.66</v>
      </c>
      <c r="H85">
        <f>16.2</f>
        <v>16.2</v>
      </c>
      <c r="K85">
        <f>38.55</f>
        <v>38.549999999999997</v>
      </c>
      <c r="L85">
        <f>13.9</f>
        <v>13.9</v>
      </c>
      <c r="M85">
        <f>4347.12</f>
        <v>4347.12</v>
      </c>
      <c r="N85">
        <f>2222</f>
        <v>2222</v>
      </c>
    </row>
    <row r="86" spans="1:14">
      <c r="A86" t="s">
        <v>125</v>
      </c>
      <c r="B86" t="s">
        <v>124</v>
      </c>
      <c r="C86">
        <v>2022</v>
      </c>
      <c r="D86" t="s">
        <v>20</v>
      </c>
      <c r="E86">
        <f>5467</f>
        <v>5467</v>
      </c>
      <c r="F86">
        <f>8627</f>
        <v>8627</v>
      </c>
      <c r="G86">
        <f>16.59</f>
        <v>16.59</v>
      </c>
      <c r="H86">
        <f>19</f>
        <v>19</v>
      </c>
      <c r="K86">
        <f>26.58</f>
        <v>26.58</v>
      </c>
      <c r="L86">
        <f>18.5</f>
        <v>18.5</v>
      </c>
      <c r="M86">
        <f>420.35</f>
        <v>420.35</v>
      </c>
      <c r="N86">
        <f>139</f>
        <v>139</v>
      </c>
    </row>
    <row r="87" spans="1:14">
      <c r="A87" t="s">
        <v>126</v>
      </c>
      <c r="B87" t="s">
        <v>124</v>
      </c>
      <c r="C87">
        <v>2022</v>
      </c>
      <c r="D87" t="s">
        <v>32</v>
      </c>
      <c r="E87">
        <f>6015</f>
        <v>6015</v>
      </c>
      <c r="F87">
        <f>8819</f>
        <v>8819</v>
      </c>
      <c r="G87">
        <f>17.55</f>
        <v>17.55</v>
      </c>
      <c r="H87">
        <f>18.9</f>
        <v>18.899999999999999</v>
      </c>
      <c r="K87">
        <f>23.53</f>
        <v>23.53</v>
      </c>
      <c r="L87">
        <f>19.6</f>
        <v>19.600000000000001</v>
      </c>
      <c r="M87">
        <f>439.28</f>
        <v>439.28</v>
      </c>
      <c r="N87">
        <f>137</f>
        <v>137</v>
      </c>
    </row>
    <row r="88" spans="1:14">
      <c r="A88" t="s">
        <v>127</v>
      </c>
      <c r="B88" t="s">
        <v>124</v>
      </c>
      <c r="C88">
        <v>2022</v>
      </c>
      <c r="D88" t="s">
        <v>22</v>
      </c>
      <c r="E88">
        <f>6038</f>
        <v>6038</v>
      </c>
      <c r="F88">
        <f>8774</f>
        <v>8774</v>
      </c>
      <c r="G88">
        <f>18.25</f>
        <v>18.25</v>
      </c>
      <c r="H88">
        <f>19.1</f>
        <v>19.100000000000001</v>
      </c>
      <c r="K88">
        <f>29.96</f>
        <v>29.96</v>
      </c>
      <c r="L88">
        <f>19.2</f>
        <v>19.2</v>
      </c>
      <c r="M88">
        <f>441.32</f>
        <v>441.32</v>
      </c>
      <c r="N88">
        <f>131</f>
        <v>131</v>
      </c>
    </row>
    <row r="89" spans="1:14">
      <c r="A89" t="s">
        <v>128</v>
      </c>
      <c r="B89" t="s">
        <v>129</v>
      </c>
      <c r="C89">
        <v>2021</v>
      </c>
      <c r="D89" t="s">
        <v>18</v>
      </c>
      <c r="E89">
        <f>155999</f>
        <v>155999</v>
      </c>
      <c r="F89">
        <f>270598</f>
        <v>270598</v>
      </c>
      <c r="G89">
        <f>11.02</f>
        <v>11.02</v>
      </c>
      <c r="H89">
        <f>16.7</f>
        <v>16.7</v>
      </c>
      <c r="K89">
        <f>36.73</f>
        <v>36.729999999999997</v>
      </c>
      <c r="L89">
        <f>14.6</f>
        <v>14.6</v>
      </c>
      <c r="M89">
        <f>12829</f>
        <v>12829</v>
      </c>
      <c r="N89">
        <f>6008</f>
        <v>6008</v>
      </c>
    </row>
    <row r="90" spans="1:14">
      <c r="A90" t="s">
        <v>130</v>
      </c>
      <c r="B90" t="s">
        <v>129</v>
      </c>
      <c r="C90">
        <v>2022</v>
      </c>
      <c r="D90" t="s">
        <v>20</v>
      </c>
      <c r="E90">
        <f>16281</f>
        <v>16281</v>
      </c>
      <c r="F90">
        <f>27193</f>
        <v>27193</v>
      </c>
      <c r="G90">
        <f>11.77</f>
        <v>11.77</v>
      </c>
      <c r="H90">
        <f>16.3</f>
        <v>16.3</v>
      </c>
      <c r="K90">
        <f>36.52</f>
        <v>36.520000000000003</v>
      </c>
      <c r="L90">
        <f>14.6</f>
        <v>14.6</v>
      </c>
      <c r="M90">
        <f>1316.12</f>
        <v>1316.12</v>
      </c>
      <c r="N90">
        <f>612</f>
        <v>612</v>
      </c>
    </row>
    <row r="91" spans="1:14">
      <c r="A91" t="s">
        <v>131</v>
      </c>
      <c r="B91" t="s">
        <v>129</v>
      </c>
      <c r="C91">
        <v>2022</v>
      </c>
      <c r="D91" t="s">
        <v>32</v>
      </c>
      <c r="E91">
        <f>22301</f>
        <v>22301</v>
      </c>
      <c r="F91">
        <f>37263</f>
        <v>37263</v>
      </c>
      <c r="G91">
        <f>12.4</f>
        <v>12.4</v>
      </c>
      <c r="H91">
        <f>16.9</f>
        <v>16.899999999999999</v>
      </c>
      <c r="K91">
        <f>34.29</f>
        <v>34.29</v>
      </c>
      <c r="L91">
        <f>15.5</f>
        <v>15.5</v>
      </c>
      <c r="M91">
        <f>1810.28</f>
        <v>1810.28</v>
      </c>
      <c r="N91">
        <f>774</f>
        <v>774</v>
      </c>
    </row>
    <row r="92" spans="1:14">
      <c r="A92" t="s">
        <v>132</v>
      </c>
      <c r="B92" t="s">
        <v>129</v>
      </c>
      <c r="C92">
        <v>2022</v>
      </c>
      <c r="D92" t="s">
        <v>22</v>
      </c>
      <c r="E92">
        <f>20469</f>
        <v>20469</v>
      </c>
      <c r="F92">
        <f>34446</f>
        <v>34446</v>
      </c>
      <c r="G92">
        <f>12.14</f>
        <v>12.14</v>
      </c>
      <c r="H92">
        <f>16.9</f>
        <v>16.899999999999999</v>
      </c>
      <c r="K92">
        <f>35.1</f>
        <v>35.1</v>
      </c>
      <c r="L92">
        <f>15.2</f>
        <v>15.2</v>
      </c>
      <c r="M92">
        <f>1676.63</f>
        <v>1676.63</v>
      </c>
      <c r="N92">
        <f>734</f>
        <v>734</v>
      </c>
    </row>
    <row r="93" spans="1:14">
      <c r="A93" t="s">
        <v>133</v>
      </c>
      <c r="B93" t="s">
        <v>134</v>
      </c>
      <c r="C93">
        <v>2021</v>
      </c>
      <c r="D93" t="s">
        <v>18</v>
      </c>
      <c r="E93">
        <f>152011</f>
        <v>152011</v>
      </c>
      <c r="F93">
        <f>263369</f>
        <v>263369</v>
      </c>
      <c r="G93">
        <f>10.35</f>
        <v>10.35</v>
      </c>
      <c r="H93">
        <f>16.3</f>
        <v>16.3</v>
      </c>
      <c r="K93">
        <f>30.2</f>
        <v>30.2</v>
      </c>
      <c r="L93">
        <f>15</f>
        <v>15</v>
      </c>
      <c r="M93">
        <f>12424.01</f>
        <v>12424.01</v>
      </c>
      <c r="N93">
        <f>6190</f>
        <v>6190</v>
      </c>
    </row>
    <row r="94" spans="1:14">
      <c r="A94" t="s">
        <v>135</v>
      </c>
      <c r="B94" t="s">
        <v>134</v>
      </c>
      <c r="C94">
        <v>2022</v>
      </c>
      <c r="D94" t="s">
        <v>16</v>
      </c>
      <c r="E94">
        <f>26965</f>
        <v>26965</v>
      </c>
      <c r="F94">
        <f>43636</f>
        <v>43636</v>
      </c>
      <c r="G94">
        <f>9.94</f>
        <v>9.94</v>
      </c>
      <c r="H94">
        <f>14.6</f>
        <v>14.6</v>
      </c>
      <c r="K94">
        <f>41.19</f>
        <v>41.19</v>
      </c>
      <c r="L94">
        <f>12.9</f>
        <v>12.9</v>
      </c>
      <c r="M94">
        <v>2105.9</v>
      </c>
      <c r="N94">
        <f>1207</f>
        <v>1207</v>
      </c>
    </row>
    <row r="95" spans="1:14">
      <c r="A95" t="s">
        <v>136</v>
      </c>
      <c r="B95" t="s">
        <v>134</v>
      </c>
      <c r="C95">
        <v>2022</v>
      </c>
      <c r="D95" t="s">
        <v>20</v>
      </c>
      <c r="E95">
        <f>16583</f>
        <v>16583</v>
      </c>
      <c r="F95">
        <f>26939</f>
        <v>26939</v>
      </c>
      <c r="G95">
        <f>10.42</f>
        <v>10.42</v>
      </c>
      <c r="H95">
        <f>14.6</f>
        <v>14.6</v>
      </c>
      <c r="K95">
        <f>41.19</f>
        <v>41.19</v>
      </c>
      <c r="L95">
        <f>12.9</f>
        <v>12.9</v>
      </c>
      <c r="M95">
        <f>1296.27</f>
        <v>1296.27</v>
      </c>
      <c r="N95">
        <f>741</f>
        <v>741</v>
      </c>
    </row>
    <row r="96" spans="1:14">
      <c r="A96" t="s">
        <v>137</v>
      </c>
      <c r="B96" t="s">
        <v>134</v>
      </c>
      <c r="C96">
        <v>2022</v>
      </c>
      <c r="D96" t="s">
        <v>22</v>
      </c>
      <c r="E96">
        <f>21348</f>
        <v>21348</v>
      </c>
      <c r="F96">
        <f>33793</f>
        <v>33793</v>
      </c>
      <c r="G96">
        <f>9.16</f>
        <v>9.16</v>
      </c>
      <c r="H96">
        <f>13.7</f>
        <v>13.7</v>
      </c>
      <c r="K96">
        <f>43.22</f>
        <v>43.22</v>
      </c>
      <c r="L96">
        <f>12.1</f>
        <v>12.1</v>
      </c>
      <c r="M96">
        <f>1655.53</f>
        <v>1655.53</v>
      </c>
      <c r="N96">
        <f>1049</f>
        <v>1049</v>
      </c>
    </row>
    <row r="97" spans="1:14" ht="30.75">
      <c r="A97" t="s">
        <v>138</v>
      </c>
      <c r="B97" s="10" t="s">
        <v>139</v>
      </c>
      <c r="C97">
        <v>2022</v>
      </c>
      <c r="D97" t="s">
        <v>16</v>
      </c>
      <c r="E97">
        <f>17259</f>
        <v>17259</v>
      </c>
      <c r="F97">
        <f>29601</f>
        <v>29601</v>
      </c>
      <c r="G97">
        <f>13.34</f>
        <v>13.34</v>
      </c>
      <c r="H97">
        <f>17.5</f>
        <v>17.5</v>
      </c>
      <c r="K97">
        <f>32.77</f>
        <v>32.770000000000003</v>
      </c>
      <c r="L97">
        <f>16.1</f>
        <v>16.100000000000001</v>
      </c>
      <c r="M97">
        <f>1385.68</f>
        <v>1385.68</v>
      </c>
      <c r="N97">
        <f>574</f>
        <v>574</v>
      </c>
    </row>
    <row r="98" spans="1:14" ht="30.75">
      <c r="A98" t="s">
        <v>140</v>
      </c>
      <c r="B98" s="10" t="s">
        <v>139</v>
      </c>
      <c r="C98">
        <v>2022</v>
      </c>
      <c r="D98" t="s">
        <v>20</v>
      </c>
      <c r="E98">
        <f>1551</f>
        <v>1551</v>
      </c>
      <c r="F98">
        <f>2387</f>
        <v>2387</v>
      </c>
      <c r="G98">
        <f>10.99</f>
        <v>10.99</v>
      </c>
      <c r="H98">
        <f>13</f>
        <v>13</v>
      </c>
      <c r="K98">
        <f>50.97</f>
        <v>50.97</v>
      </c>
      <c r="L98">
        <f>11.2</f>
        <v>11.2</v>
      </c>
      <c r="M98">
        <f>117.4</f>
        <v>117.4</v>
      </c>
      <c r="N98">
        <f>75</f>
        <v>75</v>
      </c>
    </row>
    <row r="99" spans="1:14" ht="30.75">
      <c r="A99" t="s">
        <v>141</v>
      </c>
      <c r="B99" s="10" t="s">
        <v>139</v>
      </c>
      <c r="C99">
        <v>2022</v>
      </c>
      <c r="D99" t="s">
        <v>22</v>
      </c>
      <c r="E99">
        <f>1849</f>
        <v>1849</v>
      </c>
      <c r="F99">
        <f>2807</f>
        <v>2807</v>
      </c>
      <c r="G99">
        <f>10.35</f>
        <v>10.35</v>
      </c>
      <c r="H99">
        <f>12.8</f>
        <v>12.8</v>
      </c>
      <c r="K99">
        <f>51.28</f>
        <v>51.28</v>
      </c>
      <c r="L99">
        <f>11.1</f>
        <v>11.1</v>
      </c>
      <c r="M99">
        <f>139.89</f>
        <v>139.88999999999999</v>
      </c>
      <c r="N99">
        <f>91</f>
        <v>91</v>
      </c>
    </row>
    <row r="100" spans="1:14" ht="30.75">
      <c r="A100" t="s">
        <v>142</v>
      </c>
      <c r="B100" s="10" t="s">
        <v>139</v>
      </c>
      <c r="C100">
        <v>2021</v>
      </c>
      <c r="D100" t="s">
        <v>18</v>
      </c>
      <c r="E100">
        <f>118685</f>
        <v>118685</v>
      </c>
      <c r="F100">
        <f>207957</f>
        <v>207957</v>
      </c>
      <c r="G100">
        <f>11.27</f>
        <v>11.27</v>
      </c>
      <c r="H100">
        <f>16.8</f>
        <v>16.8</v>
      </c>
      <c r="K100">
        <f>27.86</f>
        <v>27.86</v>
      </c>
      <c r="L100">
        <f>15.9</f>
        <v>15.9</v>
      </c>
      <c r="M100">
        <f>9693.9</f>
        <v>9693.9</v>
      </c>
      <c r="N100">
        <f>4487</f>
        <v>4487</v>
      </c>
    </row>
  </sheetData>
  <dataValidations count="1">
    <dataValidation type="list" allowBlank="1" showInputMessage="1" showErrorMessage="1" sqref="D1:D1048576" xr:uid="{B7E8C894-A35A-46AD-95D2-A280A59BC6EF}">
      <formula1>"Q1,Q2,Q3,H1, 9M,FY"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2022-12-08T00:53:33Z</dcterms:created>
  <dcterms:modified xsi:type="dcterms:W3CDTF">2022-12-11T05:39:44Z</dcterms:modified>
  <cp:category/>
  <cp:contentStatus/>
</cp:coreProperties>
</file>