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random files\Projects\LPQA-Root Cause Analysis Project\"/>
    </mc:Choice>
  </mc:AlternateContent>
  <xr:revisionPtr revIDLastSave="0" documentId="13_ncr:1_{EEE08235-CD08-40D0-A2F4-5DF61FA30331}" xr6:coauthVersionLast="47" xr6:coauthVersionMax="47" xr10:uidLastSave="{00000000-0000-0000-0000-000000000000}"/>
  <bookViews>
    <workbookView xWindow="-28920" yWindow="-120" windowWidth="29040" windowHeight="15720" firstSheet="2" activeTab="2" xr2:uid="{F15397FA-DF51-4214-B27E-DFB0A133EBA7}"/>
  </bookViews>
  <sheets>
    <sheet name="ReadMeFirst" sheetId="1" r:id="rId1"/>
    <sheet name="Other Lists" sheetId="2" r:id="rId2"/>
    <sheet name="A Batches" sheetId="4" r:id="rId3"/>
    <sheet name="B Batches" sheetId="5" r:id="rId4"/>
    <sheet name="Inspect DM" sheetId="3" r:id="rId5"/>
    <sheet name="Why's" sheetId="7" r:id="rId6"/>
    <sheet name="Why#1 Visualization" sheetId="6" r:id="rId7"/>
    <sheet name="Why#2 Visualization" sheetId="8" r:id="rId8"/>
    <sheet name="Why#3 Visualization" sheetId="9" r:id="rId9"/>
    <sheet name="Why#4 Visualization" sheetId="10" r:id="rId10"/>
    <sheet name="Why#5 Visualization" sheetId="11" r:id="rId11"/>
  </sheet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5" l="1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12" i="5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P13" i="3" l="1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12" i="3"/>
  <c r="AI12" i="3"/>
  <c r="AN12" i="3" s="1"/>
  <c r="AI13" i="3"/>
  <c r="AN13" i="3" s="1"/>
  <c r="AI14" i="3"/>
  <c r="AO14" i="3" s="1"/>
  <c r="AI15" i="3"/>
  <c r="AN15" i="3" s="1"/>
  <c r="AI16" i="3"/>
  <c r="AN16" i="3" s="1"/>
  <c r="AI17" i="3"/>
  <c r="AN17" i="3" s="1"/>
  <c r="AI18" i="3"/>
  <c r="AN18" i="3" s="1"/>
  <c r="AI19" i="3"/>
  <c r="AN19" i="3" s="1"/>
  <c r="AI20" i="3"/>
  <c r="AN20" i="3" s="1"/>
  <c r="AI21" i="3"/>
  <c r="AN21" i="3" s="1"/>
  <c r="AI22" i="3"/>
  <c r="AO22" i="3" s="1"/>
  <c r="AI23" i="3"/>
  <c r="AN23" i="3" s="1"/>
  <c r="AI24" i="3"/>
  <c r="AN24" i="3" s="1"/>
  <c r="AI25" i="3"/>
  <c r="AN25" i="3" s="1"/>
  <c r="AI26" i="3"/>
  <c r="AO26" i="3" s="1"/>
  <c r="AI27" i="3"/>
  <c r="AN27" i="3" s="1"/>
  <c r="AI28" i="3"/>
  <c r="AN28" i="3" s="1"/>
  <c r="AI29" i="3"/>
  <c r="AN29" i="3" s="1"/>
  <c r="AI30" i="3"/>
  <c r="AO30" i="3" s="1"/>
  <c r="AI31" i="3"/>
  <c r="AN31" i="3" s="1"/>
  <c r="AI32" i="3"/>
  <c r="AN32" i="3" s="1"/>
  <c r="AI33" i="3"/>
  <c r="AN33" i="3" s="1"/>
  <c r="AI34" i="3"/>
  <c r="AN34" i="3" s="1"/>
  <c r="AI35" i="3"/>
  <c r="AN35" i="3" s="1"/>
  <c r="AI36" i="3"/>
  <c r="AN36" i="3" s="1"/>
  <c r="AI37" i="3"/>
  <c r="AN37" i="3" s="1"/>
  <c r="AI38" i="3"/>
  <c r="AO38" i="3" s="1"/>
  <c r="AI39" i="3"/>
  <c r="AN39" i="3" s="1"/>
  <c r="AI40" i="3"/>
  <c r="AN40" i="3" s="1"/>
  <c r="AI41" i="3"/>
  <c r="AN41" i="3" s="1"/>
  <c r="AI42" i="3"/>
  <c r="AO42" i="3" s="1"/>
  <c r="AI43" i="3"/>
  <c r="AN43" i="3" s="1"/>
  <c r="AI44" i="3"/>
  <c r="AN44" i="3" s="1"/>
  <c r="AI45" i="3"/>
  <c r="AN45" i="3" s="1"/>
  <c r="AI46" i="3"/>
  <c r="AO46" i="3" s="1"/>
  <c r="AI47" i="3"/>
  <c r="AN47" i="3" s="1"/>
  <c r="AI48" i="3"/>
  <c r="AN48" i="3" s="1"/>
  <c r="AI49" i="3"/>
  <c r="AN49" i="3" s="1"/>
  <c r="AI50" i="3"/>
  <c r="AN50" i="3" s="1"/>
  <c r="AI51" i="3"/>
  <c r="AN51" i="3" s="1"/>
  <c r="AI52" i="3"/>
  <c r="AN52" i="3" s="1"/>
  <c r="AI53" i="3"/>
  <c r="AN53" i="3" s="1"/>
  <c r="AI54" i="3"/>
  <c r="AO54" i="3" s="1"/>
  <c r="AI55" i="3"/>
  <c r="AN55" i="3" s="1"/>
  <c r="AI56" i="3"/>
  <c r="AN56" i="3" s="1"/>
  <c r="AI57" i="3"/>
  <c r="AN57" i="3" s="1"/>
  <c r="AI58" i="3"/>
  <c r="AO58" i="3" s="1"/>
  <c r="AI59" i="3"/>
  <c r="AN59" i="3" s="1"/>
  <c r="AI60" i="3"/>
  <c r="AN60" i="3" s="1"/>
  <c r="AI61" i="3"/>
  <c r="AN61" i="3" s="1"/>
  <c r="AI62" i="3"/>
  <c r="AO62" i="3" s="1"/>
  <c r="AI63" i="3"/>
  <c r="AN63" i="3" s="1"/>
  <c r="AI64" i="3"/>
  <c r="AN64" i="3" s="1"/>
  <c r="AI65" i="3"/>
  <c r="AN65" i="3" s="1"/>
  <c r="AI66" i="3"/>
  <c r="AN66" i="3" s="1"/>
  <c r="AI67" i="3"/>
  <c r="AN67" i="3" s="1"/>
  <c r="AI68" i="3"/>
  <c r="AN68" i="3" s="1"/>
  <c r="AI69" i="3"/>
  <c r="AN69" i="3" s="1"/>
  <c r="AI70" i="3"/>
  <c r="AO70" i="3" s="1"/>
  <c r="AI71" i="3"/>
  <c r="AN71" i="3" s="1"/>
  <c r="AI72" i="3"/>
  <c r="AN72" i="3" s="1"/>
  <c r="AI73" i="3"/>
  <c r="AN73" i="3" s="1"/>
  <c r="AI74" i="3"/>
  <c r="AO74" i="3" s="1"/>
  <c r="AI75" i="3"/>
  <c r="AN75" i="3" s="1"/>
  <c r="AI76" i="3"/>
  <c r="AN76" i="3" s="1"/>
  <c r="AI77" i="3"/>
  <c r="AN77" i="3" s="1"/>
  <c r="AI78" i="3"/>
  <c r="AO78" i="3" s="1"/>
  <c r="AI79" i="3"/>
  <c r="AN79" i="3" s="1"/>
  <c r="AI80" i="3"/>
  <c r="AN80" i="3" s="1"/>
  <c r="AI81" i="3"/>
  <c r="AN81" i="3" s="1"/>
  <c r="AI82" i="3"/>
  <c r="AN82" i="3" s="1"/>
  <c r="AI83" i="3"/>
  <c r="AN83" i="3" s="1"/>
  <c r="AI84" i="3"/>
  <c r="AN84" i="3" s="1"/>
  <c r="AI85" i="3"/>
  <c r="AN85" i="3" s="1"/>
  <c r="AI86" i="3"/>
  <c r="AO86" i="3" s="1"/>
  <c r="AI87" i="3"/>
  <c r="AN87" i="3" s="1"/>
  <c r="AI88" i="3"/>
  <c r="AN88" i="3" s="1"/>
  <c r="AI89" i="3"/>
  <c r="AN89" i="3" s="1"/>
  <c r="AI90" i="3"/>
  <c r="AO90" i="3" s="1"/>
  <c r="AI91" i="3"/>
  <c r="AN91" i="3" s="1"/>
  <c r="AI92" i="3"/>
  <c r="AN92" i="3" s="1"/>
  <c r="AI93" i="3"/>
  <c r="AN93" i="3" s="1"/>
  <c r="AI94" i="3"/>
  <c r="AO94" i="3" s="1"/>
  <c r="AI95" i="3"/>
  <c r="AN95" i="3" s="1"/>
  <c r="AI96" i="3"/>
  <c r="AN96" i="3" s="1"/>
  <c r="AI97" i="3"/>
  <c r="AN97" i="3" s="1"/>
  <c r="AI98" i="3"/>
  <c r="AN98" i="3" s="1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12" i="3"/>
  <c r="AO45" i="3" l="1"/>
  <c r="AO69" i="3"/>
  <c r="AO93" i="3"/>
  <c r="AO61" i="3"/>
  <c r="AO29" i="3"/>
  <c r="AO77" i="3"/>
  <c r="AO13" i="3"/>
  <c r="AO37" i="3"/>
  <c r="AO85" i="3"/>
  <c r="AO53" i="3"/>
  <c r="AO21" i="3"/>
  <c r="AN94" i="3"/>
  <c r="AN78" i="3"/>
  <c r="AN62" i="3"/>
  <c r="AN46" i="3"/>
  <c r="AN30" i="3"/>
  <c r="AN14" i="3"/>
  <c r="AN90" i="3"/>
  <c r="AN74" i="3"/>
  <c r="AN58" i="3"/>
  <c r="AN42" i="3"/>
  <c r="AN26" i="3"/>
  <c r="AO98" i="3"/>
  <c r="AO82" i="3"/>
  <c r="AO66" i="3"/>
  <c r="AO50" i="3"/>
  <c r="AO34" i="3"/>
  <c r="AO18" i="3"/>
  <c r="AN86" i="3"/>
  <c r="AN70" i="3"/>
  <c r="AN54" i="3"/>
  <c r="AN38" i="3"/>
  <c r="AN22" i="3"/>
  <c r="AO97" i="3"/>
  <c r="AO89" i="3"/>
  <c r="AO81" i="3"/>
  <c r="AO73" i="3"/>
  <c r="AO65" i="3"/>
  <c r="AO57" i="3"/>
  <c r="AO49" i="3"/>
  <c r="AO41" i="3"/>
  <c r="AO33" i="3"/>
  <c r="AO25" i="3"/>
  <c r="AO17" i="3"/>
  <c r="AO96" i="3"/>
  <c r="AO92" i="3"/>
  <c r="AO88" i="3"/>
  <c r="AO84" i="3"/>
  <c r="AO80" i="3"/>
  <c r="AO76" i="3"/>
  <c r="AO72" i="3"/>
  <c r="AO68" i="3"/>
  <c r="AO64" i="3"/>
  <c r="AO60" i="3"/>
  <c r="AO56" i="3"/>
  <c r="AO52" i="3"/>
  <c r="AO48" i="3"/>
  <c r="AO44" i="3"/>
  <c r="AO40" i="3"/>
  <c r="AO36" i="3"/>
  <c r="AO32" i="3"/>
  <c r="AO28" i="3"/>
  <c r="AO24" i="3"/>
  <c r="AO20" i="3"/>
  <c r="AO16" i="3"/>
  <c r="AO12" i="3"/>
  <c r="AO95" i="3"/>
  <c r="AO91" i="3"/>
  <c r="AO87" i="3"/>
  <c r="AO83" i="3"/>
  <c r="AO79" i="3"/>
  <c r="AO75" i="3"/>
  <c r="AO71" i="3"/>
  <c r="AO67" i="3"/>
  <c r="AO63" i="3"/>
  <c r="AO59" i="3"/>
  <c r="AO55" i="3"/>
  <c r="AO51" i="3"/>
  <c r="AO47" i="3"/>
  <c r="AO43" i="3"/>
  <c r="AO39" i="3"/>
  <c r="AO35" i="3"/>
  <c r="AO31" i="3"/>
  <c r="AO27" i="3"/>
  <c r="AO23" i="3"/>
  <c r="AO19" i="3"/>
  <c r="AO15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12" i="3"/>
  <c r="J13" i="3"/>
  <c r="J14" i="3"/>
  <c r="J15" i="3"/>
  <c r="J16" i="3"/>
  <c r="J17" i="3"/>
  <c r="J18" i="3"/>
  <c r="J19" i="3"/>
  <c r="J20" i="3"/>
  <c r="J21" i="3"/>
  <c r="J22" i="3"/>
  <c r="J23" i="3"/>
  <c r="J24" i="3"/>
  <c r="Q24" i="3" s="1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Q56" i="3" s="1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Q88" i="3" s="1"/>
  <c r="J89" i="3"/>
  <c r="J90" i="3"/>
  <c r="J91" i="3"/>
  <c r="J92" i="3"/>
  <c r="J93" i="3"/>
  <c r="J94" i="3"/>
  <c r="J95" i="3"/>
  <c r="J96" i="3"/>
  <c r="J97" i="3"/>
  <c r="J98" i="3"/>
  <c r="J12" i="3"/>
  <c r="T46" i="3" l="1"/>
  <c r="P76" i="3"/>
  <c r="Q76" i="3"/>
  <c r="P68" i="3"/>
  <c r="Q68" i="3"/>
  <c r="P60" i="3"/>
  <c r="Q60" i="3"/>
  <c r="P48" i="3"/>
  <c r="Q48" i="3"/>
  <c r="P16" i="3"/>
  <c r="Q16" i="3"/>
  <c r="P95" i="3"/>
  <c r="Q95" i="3"/>
  <c r="P83" i="3"/>
  <c r="Q83" i="3"/>
  <c r="P75" i="3"/>
  <c r="Q75" i="3"/>
  <c r="P63" i="3"/>
  <c r="Q63" i="3"/>
  <c r="P51" i="3"/>
  <c r="Q51" i="3"/>
  <c r="P15" i="3"/>
  <c r="Q15" i="3"/>
  <c r="P96" i="3"/>
  <c r="Q96" i="3"/>
  <c r="P84" i="3"/>
  <c r="Q84" i="3"/>
  <c r="P44" i="3"/>
  <c r="Q44" i="3"/>
  <c r="P32" i="3"/>
  <c r="Q32" i="3"/>
  <c r="P12" i="3"/>
  <c r="Q12" i="3"/>
  <c r="P91" i="3"/>
  <c r="Q91" i="3"/>
  <c r="P87" i="3"/>
  <c r="Q87" i="3"/>
  <c r="P79" i="3"/>
  <c r="Q79" i="3"/>
  <c r="P71" i="3"/>
  <c r="Q71" i="3"/>
  <c r="P67" i="3"/>
  <c r="Q67" i="3"/>
  <c r="P59" i="3"/>
  <c r="Q59" i="3"/>
  <c r="P55" i="3"/>
  <c r="Q55" i="3"/>
  <c r="P47" i="3"/>
  <c r="Q47" i="3"/>
  <c r="P43" i="3"/>
  <c r="Q43" i="3"/>
  <c r="P39" i="3"/>
  <c r="Q39" i="3"/>
  <c r="P35" i="3"/>
  <c r="Q35" i="3"/>
  <c r="P31" i="3"/>
  <c r="Q31" i="3"/>
  <c r="P27" i="3"/>
  <c r="Q27" i="3"/>
  <c r="P23" i="3"/>
  <c r="Q23" i="3"/>
  <c r="P19" i="3"/>
  <c r="Q19" i="3"/>
  <c r="P98" i="3"/>
  <c r="Q98" i="3"/>
  <c r="P94" i="3"/>
  <c r="Q94" i="3"/>
  <c r="P90" i="3"/>
  <c r="Q90" i="3"/>
  <c r="P86" i="3"/>
  <c r="Q86" i="3"/>
  <c r="P82" i="3"/>
  <c r="Q82" i="3"/>
  <c r="P78" i="3"/>
  <c r="Q78" i="3"/>
  <c r="P74" i="3"/>
  <c r="Q74" i="3"/>
  <c r="P70" i="3"/>
  <c r="Q70" i="3"/>
  <c r="P66" i="3"/>
  <c r="Q66" i="3"/>
  <c r="P62" i="3"/>
  <c r="Q62" i="3"/>
  <c r="P58" i="3"/>
  <c r="Q58" i="3"/>
  <c r="P54" i="3"/>
  <c r="Q54" i="3"/>
  <c r="P50" i="3"/>
  <c r="Q50" i="3"/>
  <c r="P46" i="3"/>
  <c r="Q46" i="3"/>
  <c r="P42" i="3"/>
  <c r="Q42" i="3"/>
  <c r="P38" i="3"/>
  <c r="Q38" i="3"/>
  <c r="P34" i="3"/>
  <c r="Q34" i="3"/>
  <c r="P30" i="3"/>
  <c r="Q30" i="3"/>
  <c r="P26" i="3"/>
  <c r="Q26" i="3"/>
  <c r="P22" i="3"/>
  <c r="Q22" i="3"/>
  <c r="P18" i="3"/>
  <c r="Q18" i="3"/>
  <c r="P14" i="3"/>
  <c r="Q14" i="3"/>
  <c r="P92" i="3"/>
  <c r="Q92" i="3"/>
  <c r="P80" i="3"/>
  <c r="Q80" i="3"/>
  <c r="P72" i="3"/>
  <c r="Q72" i="3"/>
  <c r="P64" i="3"/>
  <c r="Q64" i="3"/>
  <c r="P52" i="3"/>
  <c r="Q52" i="3"/>
  <c r="P40" i="3"/>
  <c r="Q40" i="3"/>
  <c r="P36" i="3"/>
  <c r="Q36" i="3"/>
  <c r="P28" i="3"/>
  <c r="Q28" i="3"/>
  <c r="P20" i="3"/>
  <c r="Q20" i="3"/>
  <c r="P97" i="3"/>
  <c r="Q97" i="3"/>
  <c r="P93" i="3"/>
  <c r="Q93" i="3"/>
  <c r="P89" i="3"/>
  <c r="Q89" i="3"/>
  <c r="P85" i="3"/>
  <c r="Q85" i="3"/>
  <c r="P81" i="3"/>
  <c r="Q81" i="3"/>
  <c r="P77" i="3"/>
  <c r="Q77" i="3"/>
  <c r="P73" i="3"/>
  <c r="Q73" i="3"/>
  <c r="P69" i="3"/>
  <c r="Q69" i="3"/>
  <c r="P65" i="3"/>
  <c r="Q65" i="3"/>
  <c r="P61" i="3"/>
  <c r="Q61" i="3"/>
  <c r="P57" i="3"/>
  <c r="Q57" i="3"/>
  <c r="P53" i="3"/>
  <c r="Q53" i="3"/>
  <c r="P49" i="3"/>
  <c r="Q49" i="3"/>
  <c r="P45" i="3"/>
  <c r="Q45" i="3"/>
  <c r="P41" i="3"/>
  <c r="Q41" i="3"/>
  <c r="P37" i="3"/>
  <c r="Q37" i="3"/>
  <c r="P33" i="3"/>
  <c r="Q33" i="3"/>
  <c r="P29" i="3"/>
  <c r="Q29" i="3"/>
  <c r="P25" i="3"/>
  <c r="Q25" i="3"/>
  <c r="P21" i="3"/>
  <c r="Q21" i="3"/>
  <c r="P17" i="3"/>
  <c r="Q17" i="3"/>
  <c r="P13" i="3"/>
  <c r="Q13" i="3"/>
  <c r="T96" i="3"/>
  <c r="T92" i="3"/>
  <c r="T88" i="3"/>
  <c r="T84" i="3"/>
  <c r="T80" i="3"/>
  <c r="T76" i="3"/>
  <c r="T72" i="3"/>
  <c r="T68" i="3"/>
  <c r="T64" i="3"/>
  <c r="T60" i="3"/>
  <c r="T56" i="3"/>
  <c r="T52" i="3"/>
  <c r="T48" i="3"/>
  <c r="T44" i="3"/>
  <c r="T40" i="3"/>
  <c r="T36" i="3"/>
  <c r="T32" i="3"/>
  <c r="T28" i="3"/>
  <c r="T24" i="3"/>
  <c r="T20" i="3"/>
  <c r="T16" i="3"/>
  <c r="T98" i="3"/>
  <c r="T86" i="3"/>
  <c r="T78" i="3"/>
  <c r="T70" i="3"/>
  <c r="T62" i="3"/>
  <c r="T38" i="3"/>
  <c r="T30" i="3"/>
  <c r="T26" i="3"/>
  <c r="T18" i="3"/>
  <c r="T94" i="3"/>
  <c r="T90" i="3"/>
  <c r="T82" i="3"/>
  <c r="T74" i="3"/>
  <c r="T66" i="3"/>
  <c r="T58" i="3"/>
  <c r="T54" i="3"/>
  <c r="T50" i="3"/>
  <c r="T42" i="3"/>
  <c r="T34" i="3"/>
  <c r="T22" i="3"/>
  <c r="T14" i="3"/>
  <c r="O91" i="3"/>
  <c r="U91" i="3" s="1"/>
  <c r="O79" i="3"/>
  <c r="U79" i="3" s="1"/>
  <c r="O71" i="3"/>
  <c r="U71" i="3" s="1"/>
  <c r="O63" i="3"/>
  <c r="U63" i="3" s="1"/>
  <c r="O55" i="3"/>
  <c r="U55" i="3" s="1"/>
  <c r="O47" i="3"/>
  <c r="U47" i="3" s="1"/>
  <c r="O39" i="3"/>
  <c r="U39" i="3" s="1"/>
  <c r="O31" i="3"/>
  <c r="U31" i="3" s="1"/>
  <c r="O15" i="3"/>
  <c r="U15" i="3" s="1"/>
  <c r="T89" i="3"/>
  <c r="T85" i="3"/>
  <c r="T81" i="3"/>
  <c r="T77" i="3"/>
  <c r="T73" i="3"/>
  <c r="T69" i="3"/>
  <c r="T65" i="3"/>
  <c r="T61" i="3"/>
  <c r="T57" i="3"/>
  <c r="T53" i="3"/>
  <c r="T49" i="3"/>
  <c r="T45" i="3"/>
  <c r="T41" i="3"/>
  <c r="T37" i="3"/>
  <c r="T33" i="3"/>
  <c r="T29" i="3"/>
  <c r="T25" i="3"/>
  <c r="T21" i="3"/>
  <c r="T17" i="3"/>
  <c r="T13" i="3"/>
  <c r="O98" i="3"/>
  <c r="U98" i="3" s="1"/>
  <c r="O94" i="3"/>
  <c r="U94" i="3" s="1"/>
  <c r="O90" i="3"/>
  <c r="U90" i="3" s="1"/>
  <c r="O86" i="3"/>
  <c r="U86" i="3" s="1"/>
  <c r="O82" i="3"/>
  <c r="U82" i="3" s="1"/>
  <c r="O78" i="3"/>
  <c r="U78" i="3" s="1"/>
  <c r="O74" i="3"/>
  <c r="U74" i="3" s="1"/>
  <c r="O70" i="3"/>
  <c r="U70" i="3" s="1"/>
  <c r="O66" i="3"/>
  <c r="U66" i="3" s="1"/>
  <c r="O62" i="3"/>
  <c r="U62" i="3" s="1"/>
  <c r="O58" i="3"/>
  <c r="U58" i="3" s="1"/>
  <c r="O54" i="3"/>
  <c r="U54" i="3" s="1"/>
  <c r="O50" i="3"/>
  <c r="U50" i="3" s="1"/>
  <c r="O46" i="3"/>
  <c r="U46" i="3" s="1"/>
  <c r="O42" i="3"/>
  <c r="U42" i="3" s="1"/>
  <c r="O38" i="3"/>
  <c r="U38" i="3" s="1"/>
  <c r="O34" i="3"/>
  <c r="U34" i="3" s="1"/>
  <c r="O30" i="3"/>
  <c r="U30" i="3" s="1"/>
  <c r="O26" i="3"/>
  <c r="U26" i="3" s="1"/>
  <c r="O22" i="3"/>
  <c r="U22" i="3" s="1"/>
  <c r="O18" i="3"/>
  <c r="U18" i="3" s="1"/>
  <c r="O14" i="3"/>
  <c r="U14" i="3" s="1"/>
  <c r="O95" i="3"/>
  <c r="U95" i="3" s="1"/>
  <c r="O87" i="3"/>
  <c r="U87" i="3" s="1"/>
  <c r="O75" i="3"/>
  <c r="U75" i="3" s="1"/>
  <c r="O59" i="3"/>
  <c r="U59" i="3" s="1"/>
  <c r="O51" i="3"/>
  <c r="U51" i="3" s="1"/>
  <c r="O43" i="3"/>
  <c r="U43" i="3" s="1"/>
  <c r="O35" i="3"/>
  <c r="U35" i="3" s="1"/>
  <c r="O27" i="3"/>
  <c r="U27" i="3" s="1"/>
  <c r="O23" i="3"/>
  <c r="U23" i="3" s="1"/>
  <c r="T93" i="3"/>
  <c r="O97" i="3"/>
  <c r="U97" i="3" s="1"/>
  <c r="O93" i="3"/>
  <c r="U93" i="3" s="1"/>
  <c r="O89" i="3"/>
  <c r="U89" i="3" s="1"/>
  <c r="O85" i="3"/>
  <c r="U85" i="3" s="1"/>
  <c r="O81" i="3"/>
  <c r="U81" i="3" s="1"/>
  <c r="O77" i="3"/>
  <c r="U77" i="3" s="1"/>
  <c r="O73" i="3"/>
  <c r="U73" i="3" s="1"/>
  <c r="O69" i="3"/>
  <c r="U69" i="3" s="1"/>
  <c r="O65" i="3"/>
  <c r="U65" i="3" s="1"/>
  <c r="O61" i="3"/>
  <c r="U61" i="3" s="1"/>
  <c r="O57" i="3"/>
  <c r="U57" i="3" s="1"/>
  <c r="O53" i="3"/>
  <c r="U53" i="3" s="1"/>
  <c r="O49" i="3"/>
  <c r="U49" i="3" s="1"/>
  <c r="O45" i="3"/>
  <c r="U45" i="3" s="1"/>
  <c r="O41" i="3"/>
  <c r="U41" i="3" s="1"/>
  <c r="O37" i="3"/>
  <c r="U37" i="3" s="1"/>
  <c r="O33" i="3"/>
  <c r="U33" i="3" s="1"/>
  <c r="O29" i="3"/>
  <c r="U29" i="3" s="1"/>
  <c r="O25" i="3"/>
  <c r="U25" i="3" s="1"/>
  <c r="O21" i="3"/>
  <c r="U21" i="3" s="1"/>
  <c r="O17" i="3"/>
  <c r="U17" i="3" s="1"/>
  <c r="O13" i="3"/>
  <c r="U13" i="3" s="1"/>
  <c r="O83" i="3"/>
  <c r="U83" i="3" s="1"/>
  <c r="O67" i="3"/>
  <c r="U67" i="3" s="1"/>
  <c r="O19" i="3"/>
  <c r="U19" i="3" s="1"/>
  <c r="T97" i="3"/>
  <c r="T12" i="3"/>
  <c r="T95" i="3"/>
  <c r="T91" i="3"/>
  <c r="T87" i="3"/>
  <c r="T83" i="3"/>
  <c r="T79" i="3"/>
  <c r="T75" i="3"/>
  <c r="T71" i="3"/>
  <c r="T67" i="3"/>
  <c r="T63" i="3"/>
  <c r="T59" i="3"/>
  <c r="T55" i="3"/>
  <c r="T51" i="3"/>
  <c r="T47" i="3"/>
  <c r="T43" i="3"/>
  <c r="T39" i="3"/>
  <c r="T35" i="3"/>
  <c r="T31" i="3"/>
  <c r="T27" i="3"/>
  <c r="T23" i="3"/>
  <c r="T19" i="3"/>
  <c r="T15" i="3"/>
  <c r="O96" i="3"/>
  <c r="U96" i="3" s="1"/>
  <c r="O92" i="3"/>
  <c r="U92" i="3" s="1"/>
  <c r="O88" i="3"/>
  <c r="U88" i="3" s="1"/>
  <c r="O84" i="3"/>
  <c r="U84" i="3" s="1"/>
  <c r="O80" i="3"/>
  <c r="U80" i="3" s="1"/>
  <c r="O76" i="3"/>
  <c r="U76" i="3" s="1"/>
  <c r="O72" i="3"/>
  <c r="U72" i="3" s="1"/>
  <c r="O68" i="3"/>
  <c r="U68" i="3" s="1"/>
  <c r="O64" i="3"/>
  <c r="U64" i="3" s="1"/>
  <c r="O60" i="3"/>
  <c r="U60" i="3" s="1"/>
  <c r="O56" i="3"/>
  <c r="U56" i="3" s="1"/>
  <c r="O52" i="3"/>
  <c r="U52" i="3" s="1"/>
  <c r="O48" i="3"/>
  <c r="U48" i="3" s="1"/>
  <c r="O44" i="3"/>
  <c r="U44" i="3" s="1"/>
  <c r="O40" i="3"/>
  <c r="U40" i="3" s="1"/>
  <c r="O36" i="3"/>
  <c r="U36" i="3" s="1"/>
  <c r="O32" i="3"/>
  <c r="U32" i="3" s="1"/>
  <c r="O28" i="3"/>
  <c r="U28" i="3" s="1"/>
  <c r="O24" i="3"/>
  <c r="U24" i="3" s="1"/>
  <c r="O20" i="3"/>
  <c r="U20" i="3" s="1"/>
  <c r="O16" i="3"/>
  <c r="U16" i="3" s="1"/>
  <c r="O12" i="3"/>
  <c r="U12" i="3" s="1"/>
  <c r="P88" i="3"/>
  <c r="P56" i="3"/>
  <c r="P24" i="3"/>
  <c r="H5" i="5"/>
  <c r="H5" i="4"/>
  <c r="G5" i="3"/>
  <c r="BE11" i="3"/>
  <c r="G5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36" i="2"/>
  <c r="H36" i="2" s="1"/>
  <c r="G35" i="2"/>
  <c r="H35" i="2" s="1"/>
  <c r="G34" i="2"/>
  <c r="H34" i="2" s="1"/>
  <c r="G33" i="2"/>
  <c r="H33" i="2" s="1"/>
  <c r="AB72" i="3" s="1"/>
  <c r="G32" i="2"/>
  <c r="H32" i="2" s="1"/>
  <c r="AB44" i="3" s="1"/>
  <c r="G31" i="2"/>
  <c r="H31" i="2" s="1"/>
  <c r="AB23" i="3" s="1"/>
  <c r="Q29" i="2"/>
  <c r="Q28" i="2"/>
  <c r="Q27" i="2"/>
  <c r="Q26" i="2"/>
  <c r="Q25" i="2"/>
  <c r="Q24" i="2"/>
  <c r="Q23" i="2"/>
  <c r="Q22" i="2"/>
  <c r="Q21" i="2"/>
  <c r="Q20" i="2"/>
  <c r="Q19" i="2"/>
  <c r="K19" i="2"/>
  <c r="L19" i="2" s="1"/>
  <c r="Q18" i="2"/>
  <c r="K18" i="2"/>
  <c r="L18" i="2" s="1"/>
  <c r="Q17" i="2"/>
  <c r="K17" i="2"/>
  <c r="L17" i="2" s="1"/>
  <c r="AB96" i="3" l="1"/>
  <c r="AB74" i="3"/>
  <c r="AB73" i="3"/>
  <c r="AB67" i="3"/>
  <c r="AB87" i="3"/>
  <c r="AB77" i="3"/>
  <c r="AB95" i="3"/>
  <c r="AB26" i="3"/>
  <c r="AB90" i="3"/>
  <c r="AB91" i="3"/>
  <c r="AB41" i="3"/>
  <c r="AB89" i="3"/>
  <c r="AB64" i="3"/>
  <c r="AB58" i="3"/>
  <c r="AB94" i="3"/>
  <c r="AB36" i="3"/>
  <c r="AB45" i="3"/>
  <c r="AB62" i="3"/>
  <c r="AB59" i="3"/>
  <c r="AA16" i="3"/>
  <c r="AA20" i="3"/>
  <c r="AA24" i="3"/>
  <c r="AA28" i="3"/>
  <c r="AA32" i="3"/>
  <c r="AA36" i="3"/>
  <c r="AA40" i="3"/>
  <c r="Z18" i="3"/>
  <c r="Z30" i="3"/>
  <c r="AA17" i="3"/>
  <c r="AA33" i="3"/>
  <c r="Z19" i="3"/>
  <c r="Z27" i="3"/>
  <c r="Z35" i="3"/>
  <c r="AA13" i="3"/>
  <c r="AA14" i="3"/>
  <c r="AA15" i="3"/>
  <c r="AA19" i="3"/>
  <c r="AA23" i="3"/>
  <c r="AA27" i="3"/>
  <c r="AA31" i="3"/>
  <c r="AA35" i="3"/>
  <c r="AA39" i="3"/>
  <c r="Z13" i="3"/>
  <c r="Z17" i="3"/>
  <c r="Z21" i="3"/>
  <c r="Z25" i="3"/>
  <c r="Z29" i="3"/>
  <c r="Z33" i="3"/>
  <c r="Z37" i="3"/>
  <c r="Z14" i="3"/>
  <c r="Z22" i="3"/>
  <c r="Z26" i="3"/>
  <c r="Z34" i="3"/>
  <c r="Z38" i="3"/>
  <c r="AA21" i="3"/>
  <c r="AA25" i="3"/>
  <c r="AA29" i="3"/>
  <c r="AA37" i="3"/>
  <c r="Z15" i="3"/>
  <c r="Z23" i="3"/>
  <c r="Z31" i="3"/>
  <c r="Z39" i="3"/>
  <c r="AA30" i="3"/>
  <c r="Z24" i="3"/>
  <c r="Z40" i="3"/>
  <c r="AA12" i="3"/>
  <c r="Z12" i="3"/>
  <c r="AA38" i="3"/>
  <c r="Z16" i="3"/>
  <c r="Z20" i="3"/>
  <c r="AA18" i="3"/>
  <c r="AA34" i="3"/>
  <c r="Z28" i="3"/>
  <c r="AA22" i="3"/>
  <c r="Z32" i="3"/>
  <c r="AA26" i="3"/>
  <c r="Z36" i="3"/>
  <c r="AB28" i="3"/>
  <c r="AB19" i="3"/>
  <c r="AB38" i="3"/>
  <c r="AB22" i="3"/>
  <c r="AB24" i="3"/>
  <c r="AB15" i="3"/>
  <c r="AB37" i="3"/>
  <c r="AB21" i="3"/>
  <c r="AB20" i="3"/>
  <c r="AB34" i="3"/>
  <c r="AB18" i="3"/>
  <c r="AB16" i="3"/>
  <c r="AB39" i="3"/>
  <c r="AC39" i="3" s="1"/>
  <c r="AD39" i="3" s="1"/>
  <c r="AB33" i="3"/>
  <c r="AB17" i="3"/>
  <c r="AB13" i="3"/>
  <c r="AB31" i="3"/>
  <c r="AB30" i="3"/>
  <c r="AA44" i="3"/>
  <c r="AA52" i="3"/>
  <c r="AA64" i="3"/>
  <c r="Z42" i="3"/>
  <c r="Z50" i="3"/>
  <c r="Z62" i="3"/>
  <c r="AA41" i="3"/>
  <c r="AA49" i="3"/>
  <c r="AA57" i="3"/>
  <c r="AA65" i="3"/>
  <c r="Z43" i="3"/>
  <c r="Z51" i="3"/>
  <c r="Z59" i="3"/>
  <c r="Z67" i="3"/>
  <c r="AA43" i="3"/>
  <c r="AA47" i="3"/>
  <c r="AA51" i="3"/>
  <c r="AA55" i="3"/>
  <c r="AA59" i="3"/>
  <c r="AA63" i="3"/>
  <c r="AA67" i="3"/>
  <c r="Z41" i="3"/>
  <c r="Z45" i="3"/>
  <c r="Z49" i="3"/>
  <c r="Z53" i="3"/>
  <c r="Z57" i="3"/>
  <c r="Z61" i="3"/>
  <c r="Z65" i="3"/>
  <c r="Z69" i="3"/>
  <c r="AA48" i="3"/>
  <c r="AA56" i="3"/>
  <c r="AA60" i="3"/>
  <c r="AA68" i="3"/>
  <c r="Z46" i="3"/>
  <c r="Z54" i="3"/>
  <c r="Z58" i="3"/>
  <c r="Z66" i="3"/>
  <c r="AA45" i="3"/>
  <c r="AA53" i="3"/>
  <c r="AA61" i="3"/>
  <c r="AA69" i="3"/>
  <c r="Z47" i="3"/>
  <c r="Z55" i="3"/>
  <c r="Z63" i="3"/>
  <c r="AA46" i="3"/>
  <c r="AA62" i="3"/>
  <c r="Z56" i="3"/>
  <c r="Z48" i="3"/>
  <c r="AA42" i="3"/>
  <c r="Z52" i="3"/>
  <c r="Z68" i="3"/>
  <c r="AA50" i="3"/>
  <c r="AA66" i="3"/>
  <c r="Z44" i="3"/>
  <c r="Z60" i="3"/>
  <c r="AA54" i="3"/>
  <c r="Z64" i="3"/>
  <c r="AA58" i="3"/>
  <c r="AB60" i="3"/>
  <c r="AB51" i="3"/>
  <c r="AB54" i="3"/>
  <c r="AB56" i="3"/>
  <c r="AB47" i="3"/>
  <c r="AB69" i="3"/>
  <c r="AB53" i="3"/>
  <c r="AB52" i="3"/>
  <c r="AC52" i="3" s="1"/>
  <c r="AD52" i="3" s="1"/>
  <c r="AB43" i="3"/>
  <c r="AC43" i="3" s="1"/>
  <c r="AD43" i="3" s="1"/>
  <c r="AB66" i="3"/>
  <c r="AB50" i="3"/>
  <c r="AB48" i="3"/>
  <c r="AB65" i="3"/>
  <c r="AB49" i="3"/>
  <c r="AC49" i="3" s="1"/>
  <c r="AD49" i="3" s="1"/>
  <c r="AB25" i="3"/>
  <c r="AB57" i="3"/>
  <c r="AB55" i="3"/>
  <c r="AB32" i="3"/>
  <c r="AB42" i="3"/>
  <c r="AB27" i="3"/>
  <c r="AB68" i="3"/>
  <c r="AA76" i="3"/>
  <c r="AA88" i="3"/>
  <c r="AA96" i="3"/>
  <c r="Z70" i="3"/>
  <c r="Z82" i="3"/>
  <c r="Z94" i="3"/>
  <c r="AA73" i="3"/>
  <c r="AA81" i="3"/>
  <c r="AA89" i="3"/>
  <c r="AA97" i="3"/>
  <c r="Z75" i="3"/>
  <c r="Z83" i="3"/>
  <c r="Z91" i="3"/>
  <c r="Z95" i="3"/>
  <c r="AA71" i="3"/>
  <c r="AA75" i="3"/>
  <c r="AA79" i="3"/>
  <c r="AA83" i="3"/>
  <c r="AA87" i="3"/>
  <c r="AA91" i="3"/>
  <c r="AA95" i="3"/>
  <c r="Z73" i="3"/>
  <c r="Z77" i="3"/>
  <c r="Z81" i="3"/>
  <c r="Z85" i="3"/>
  <c r="Z89" i="3"/>
  <c r="Z93" i="3"/>
  <c r="Z97" i="3"/>
  <c r="AA72" i="3"/>
  <c r="AA80" i="3"/>
  <c r="AA84" i="3"/>
  <c r="AA92" i="3"/>
  <c r="Z74" i="3"/>
  <c r="Z78" i="3"/>
  <c r="Z86" i="3"/>
  <c r="Z90" i="3"/>
  <c r="Z98" i="3"/>
  <c r="AA77" i="3"/>
  <c r="AA85" i="3"/>
  <c r="AA93" i="3"/>
  <c r="Z71" i="3"/>
  <c r="Z79" i="3"/>
  <c r="AA78" i="3"/>
  <c r="AA94" i="3"/>
  <c r="Z72" i="3"/>
  <c r="AC72" i="3" s="1"/>
  <c r="AD72" i="3" s="1"/>
  <c r="Z87" i="3"/>
  <c r="AA70" i="3"/>
  <c r="Z80" i="3"/>
  <c r="AA74" i="3"/>
  <c r="Z96" i="3"/>
  <c r="AA82" i="3"/>
  <c r="AA98" i="3"/>
  <c r="Z76" i="3"/>
  <c r="Z88" i="3"/>
  <c r="AA86" i="3"/>
  <c r="Z92" i="3"/>
  <c r="AA90" i="3"/>
  <c r="Z84" i="3"/>
  <c r="AB92" i="3"/>
  <c r="AB83" i="3"/>
  <c r="AB86" i="3"/>
  <c r="AB70" i="3"/>
  <c r="AB88" i="3"/>
  <c r="AB79" i="3"/>
  <c r="AB85" i="3"/>
  <c r="AB84" i="3"/>
  <c r="AB75" i="3"/>
  <c r="AB98" i="3"/>
  <c r="AB82" i="3"/>
  <c r="AB80" i="3"/>
  <c r="AB71" i="3"/>
  <c r="AB97" i="3"/>
  <c r="AB81" i="3"/>
  <c r="AB29" i="3"/>
  <c r="AB61" i="3"/>
  <c r="AB93" i="3"/>
  <c r="AB63" i="3"/>
  <c r="AC63" i="3" s="1"/>
  <c r="AD63" i="3" s="1"/>
  <c r="AB40" i="3"/>
  <c r="AB14" i="3"/>
  <c r="AB46" i="3"/>
  <c r="AB78" i="3"/>
  <c r="AB35" i="3"/>
  <c r="AB12" i="3"/>
  <c r="AB76" i="3"/>
  <c r="AC81" i="3" l="1"/>
  <c r="AD81" i="3" s="1"/>
  <c r="AC32" i="3"/>
  <c r="AD32" i="3" s="1"/>
  <c r="AC88" i="3"/>
  <c r="AD88" i="3" s="1"/>
  <c r="AC16" i="3"/>
  <c r="AD16" i="3" s="1"/>
  <c r="AC36" i="3"/>
  <c r="AD36" i="3" s="1"/>
  <c r="AC91" i="3"/>
  <c r="AD91" i="3" s="1"/>
  <c r="AC94" i="3"/>
  <c r="AD94" i="3" s="1"/>
  <c r="AC77" i="3"/>
  <c r="AD77" i="3" s="1"/>
  <c r="AC87" i="3"/>
  <c r="AD87" i="3" s="1"/>
  <c r="AC96" i="3"/>
  <c r="AD96" i="3" s="1"/>
  <c r="AC25" i="3"/>
  <c r="AD25" i="3" s="1"/>
  <c r="AC64" i="3"/>
  <c r="AD64" i="3" s="1"/>
  <c r="AC90" i="3"/>
  <c r="AD90" i="3" s="1"/>
  <c r="AC45" i="3"/>
  <c r="AD45" i="3" s="1"/>
  <c r="AC27" i="3"/>
  <c r="AD27" i="3" s="1"/>
  <c r="AC21" i="3"/>
  <c r="AD21" i="3" s="1"/>
  <c r="AC95" i="3"/>
  <c r="AD95" i="3" s="1"/>
  <c r="AC50" i="3"/>
  <c r="AD50" i="3" s="1"/>
  <c r="AC53" i="3"/>
  <c r="AD53" i="3" s="1"/>
  <c r="AC54" i="3"/>
  <c r="AD54" i="3" s="1"/>
  <c r="AC59" i="3"/>
  <c r="AD59" i="3" s="1"/>
  <c r="AC18" i="3"/>
  <c r="AD18" i="3" s="1"/>
  <c r="AC13" i="3"/>
  <c r="AD13" i="3" s="1"/>
  <c r="AC22" i="3"/>
  <c r="AD22" i="3" s="1"/>
  <c r="AC74" i="3"/>
  <c r="AD74" i="3" s="1"/>
  <c r="AC12" i="3"/>
  <c r="AD12" i="3" s="1"/>
  <c r="AC61" i="3"/>
  <c r="AD61" i="3" s="1"/>
  <c r="AC71" i="3"/>
  <c r="AD71" i="3" s="1"/>
  <c r="AC38" i="3"/>
  <c r="AD38" i="3" s="1"/>
  <c r="AC23" i="3"/>
  <c r="AD23" i="3" s="1"/>
  <c r="AC26" i="3"/>
  <c r="AD26" i="3" s="1"/>
  <c r="AC14" i="3"/>
  <c r="AD14" i="3" s="1"/>
  <c r="AC75" i="3"/>
  <c r="AD75" i="3" s="1"/>
  <c r="AC92" i="3"/>
  <c r="AD92" i="3" s="1"/>
  <c r="AC80" i="3"/>
  <c r="AD80" i="3" s="1"/>
  <c r="AC89" i="3"/>
  <c r="AD89" i="3" s="1"/>
  <c r="AC73" i="3"/>
  <c r="AD73" i="3" s="1"/>
  <c r="AC57" i="3"/>
  <c r="AD57" i="3" s="1"/>
  <c r="AC48" i="3"/>
  <c r="AD48" i="3" s="1"/>
  <c r="AC56" i="3"/>
  <c r="AD56" i="3" s="1"/>
  <c r="AC58" i="3"/>
  <c r="AD58" i="3" s="1"/>
  <c r="AC44" i="3"/>
  <c r="AD44" i="3" s="1"/>
  <c r="AC41" i="3"/>
  <c r="AD41" i="3" s="1"/>
  <c r="AC67" i="3"/>
  <c r="AD67" i="3" s="1"/>
  <c r="AC62" i="3"/>
  <c r="AD62" i="3" s="1"/>
  <c r="AC40" i="3"/>
  <c r="AD40" i="3" s="1"/>
  <c r="AC70" i="3"/>
  <c r="AD70" i="3" s="1"/>
  <c r="AC17" i="3"/>
  <c r="AD17" i="3" s="1"/>
  <c r="AC78" i="3"/>
  <c r="AD78" i="3" s="1"/>
  <c r="AC86" i="3"/>
  <c r="AD86" i="3" s="1"/>
  <c r="AC55" i="3"/>
  <c r="AD55" i="3" s="1"/>
  <c r="AC66" i="3"/>
  <c r="AD66" i="3" s="1"/>
  <c r="AC51" i="3"/>
  <c r="AD51" i="3" s="1"/>
  <c r="AC33" i="3"/>
  <c r="AD33" i="3" s="1"/>
  <c r="AC15" i="3"/>
  <c r="AD15" i="3" s="1"/>
  <c r="AC35" i="3"/>
  <c r="AD35" i="3" s="1"/>
  <c r="AC29" i="3"/>
  <c r="AD29" i="3" s="1"/>
  <c r="AC84" i="3"/>
  <c r="AD84" i="3" s="1"/>
  <c r="AC31" i="3"/>
  <c r="AD31" i="3" s="1"/>
  <c r="AC37" i="3"/>
  <c r="AD37" i="3" s="1"/>
  <c r="AC82" i="3"/>
  <c r="AD82" i="3" s="1"/>
  <c r="AC85" i="3"/>
  <c r="AD85" i="3" s="1"/>
  <c r="AC69" i="3"/>
  <c r="AD69" i="3" s="1"/>
  <c r="AC30" i="3"/>
  <c r="AD30" i="3" s="1"/>
  <c r="AC34" i="3"/>
  <c r="AD34" i="3" s="1"/>
  <c r="AC19" i="3"/>
  <c r="AD19" i="3" s="1"/>
  <c r="AC76" i="3"/>
  <c r="AD76" i="3" s="1"/>
  <c r="AC46" i="3"/>
  <c r="AD46" i="3" s="1"/>
  <c r="AC93" i="3"/>
  <c r="AD93" i="3" s="1"/>
  <c r="AC97" i="3"/>
  <c r="AD97" i="3" s="1"/>
  <c r="AC98" i="3"/>
  <c r="AD98" i="3" s="1"/>
  <c r="AC79" i="3"/>
  <c r="AD79" i="3" s="1"/>
  <c r="AC83" i="3"/>
  <c r="AD83" i="3" s="1"/>
  <c r="AC68" i="3"/>
  <c r="AD68" i="3" s="1"/>
  <c r="AC42" i="3"/>
  <c r="AD42" i="3" s="1"/>
  <c r="AC65" i="3"/>
  <c r="AD65" i="3" s="1"/>
  <c r="AC47" i="3"/>
  <c r="AD47" i="3" s="1"/>
  <c r="AC60" i="3"/>
  <c r="AD60" i="3" s="1"/>
  <c r="AC20" i="3"/>
  <c r="AD20" i="3" s="1"/>
  <c r="AC24" i="3"/>
  <c r="AD24" i="3" s="1"/>
  <c r="AC28" i="3"/>
  <c r="AD2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bnixon</author>
  </authors>
  <commentList>
    <comment ref="B9" authorId="0" shapeId="0" xr:uid="{74AA9721-15F8-418F-826B-3596CD9DCCCC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This is optional</t>
        </r>
      </text>
    </comment>
    <comment ref="A46" authorId="0" shapeId="0" xr:uid="{0B16144B-5F0C-446E-A501-CEA7B9DA3E11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Optional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bnixon</author>
  </authors>
  <commentList>
    <comment ref="D11" authorId="0" shapeId="0" xr:uid="{5A5F4E6F-37D8-42C1-94DC-FD7393E310AE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The number of the Day of the week (Sunday = 1)</t>
        </r>
      </text>
    </comment>
    <comment ref="P11" authorId="0" shapeId="0" xr:uid="{09CB355E-93F9-4BCF-8E3F-8EDCA47AA775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Difference between Quantity Received and Quantity Inspected.</t>
        </r>
      </text>
    </comment>
    <comment ref="Q11" authorId="0" shapeId="0" xr:uid="{794BDC17-8D97-45F6-911F-161F99D07FE3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Percentage of Inspected Parts that Pass</t>
        </r>
      </text>
    </comment>
    <comment ref="R11" authorId="0" shapeId="0" xr:uid="{C9D9EDE3-9402-4691-A1FE-2F2C1DB3C868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Supplier's Income = Parts that Pass * Part Sell For
</t>
        </r>
      </text>
    </comment>
    <comment ref="S11" authorId="0" shapeId="0" xr:uid="{76418CDE-B8B6-4FC1-89C6-97EB812AB2B2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Total of 2 Supplier Costs for Inspected Part * # of Received Parts (Passed or Failed)</t>
        </r>
      </text>
    </comment>
    <comment ref="T11" authorId="0" shapeId="0" xr:uid="{2BF16FF3-5F4A-440A-9106-DA7457E7C33E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Supplier Income - Supplier Costs of Parts</t>
        </r>
      </text>
    </comment>
    <comment ref="U11" authorId="0" shapeId="0" xr:uid="{DC3639C5-4F8C-405C-9BC4-846B45D05410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Income that was NOT received from the Sale of Parts that did NOT pass.</t>
        </r>
      </text>
    </comment>
    <comment ref="Y11" authorId="0" shapeId="0" xr:uid="{B3BCD135-2029-41F0-BAFC-2CE4C88A5E58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Calculation - Inspectors - Training - Regular</t>
        </r>
      </text>
    </comment>
    <comment ref="Z11" authorId="0" shapeId="0" xr:uid="{7E10AB33-EF0E-40B0-98FB-945420212A22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Calculation = # of Trainees * Total hours in the shift * payrate per hour for that day and shift
</t>
        </r>
      </text>
    </comment>
    <comment ref="AA11" authorId="0" shapeId="0" xr:uid="{C3AD0368-AED8-466A-87B0-70A6233ACAB0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Regular Employees * Total hours in the shift * payrate per hour for that day and shift</t>
        </r>
      </text>
    </comment>
    <comment ref="AB11" authorId="0" shapeId="0" xr:uid="{0D5EA3FE-A0D8-4C58-9D2B-CFAD96BB7863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Casual emploiyees * Total hours in the shift * most expensive payrate per hour for that day and shift</t>
        </r>
      </text>
    </comment>
    <comment ref="AD11" authorId="0" shapeId="0" xr:uid="{D0F598AD-0C93-416F-9A0C-E1041ACA28AB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Calculation = Total of Labour Line A/Total Inspected
</t>
        </r>
      </text>
    </comment>
    <comment ref="BD11" authorId="0" shapeId="0" xr:uid="{4FE4642B-9CD3-4EB0-B47D-1D77860E6D60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Team Leads * Total hours in the shift * payrate per hour for that day and shift</t>
        </r>
      </text>
    </comment>
    <comment ref="BE11" authorId="0" shapeId="0" xr:uid="{7F315072-2EFF-4509-BC94-45B6C532BE18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Shipper/Receivers * Total hours in the shift * payrate per hour for that day and shift</t>
        </r>
      </text>
    </comment>
    <comment ref="BF11" authorId="0" shapeId="0" xr:uid="{FC8A8802-D3C7-49B5-9970-ECE3385FC009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= Total labour costs for Shipper/Receivers, Team Leads, and all types of Inspectors for both Inspection Lines *** Not a Mandatory Metric ***</t>
        </r>
      </text>
    </comment>
  </commentList>
</comments>
</file>

<file path=xl/sharedStrings.xml><?xml version="1.0" encoding="utf-8"?>
<sst xmlns="http://schemas.openxmlformats.org/spreadsheetml/2006/main" count="1238" uniqueCount="884">
  <si>
    <t>Read Me First</t>
  </si>
  <si>
    <t>Purpose: DataSet for INFO8136 Case Study 2</t>
  </si>
  <si>
    <t>This Excel Workbook was:</t>
  </si>
  <si>
    <t>Created by:</t>
  </si>
  <si>
    <t>Created for:</t>
  </si>
  <si>
    <t>Conestoga College BA Program, Courses INFO 8136</t>
  </si>
  <si>
    <t>Created on:</t>
  </si>
  <si>
    <t>Project:</t>
  </si>
  <si>
    <t>Case Study 2</t>
  </si>
  <si>
    <t>Possible Consumers of this:</t>
  </si>
  <si>
    <t>All Section Members of INFO8146</t>
  </si>
  <si>
    <t>Copyright:</t>
  </si>
  <si>
    <t>Conestoga College, 2024.  All rights reserved</t>
  </si>
  <si>
    <t>Useage rights granted to registered section members of INFO 8146</t>
  </si>
  <si>
    <t>Assumptions:</t>
  </si>
  <si>
    <t>This WB contains data on 2 Inspection Lines.  Little Panda Quality Inspection has more than 2 Inspection Lines</t>
  </si>
  <si>
    <t>This WB contains data on 3 Inspected Parts.  Little Panda Quality Inspection has more than 400 Inspected Parts</t>
  </si>
  <si>
    <t>This WB contains data on 2 Suppliers of Parts To be Inspected (Parts TBI).  Little Panda Quality Inspection has more than 2 Suppliers of Parts to Be Inspected</t>
  </si>
  <si>
    <t xml:space="preserve">Little Panda receives parts TBI within 24 hours of their making. </t>
  </si>
  <si>
    <t>Suppliers of Parts TBI operate Monday thru Friday at full capacity, and produce about 1/3 of a weekday's output on either Saturday and Sunday</t>
  </si>
  <si>
    <t>Assumptions 4 and 5 cause Little Panda's Inspection Loading is the lightest on Sunday and Monday</t>
  </si>
  <si>
    <t>Parts that Cannot be Inspected in Shifts 1 and 2 are to be inspected during Shift 3 of the same day,</t>
  </si>
  <si>
    <t>LPQI charges for Parts Inspection to the Supplier of the Parts is included in the Suppliers' Other Costs for each Part</t>
  </si>
  <si>
    <t>Employees are paid for a Shift of 8 hours, but only do actual work for 7 hours in that shift.</t>
  </si>
  <si>
    <t>Dimensions to be Analyzed</t>
  </si>
  <si>
    <t>LPQI Inspection Line A or Inspection Line B</t>
  </si>
  <si>
    <t>LPQI Shift 1 or Shift 2 or Shift 3</t>
  </si>
  <si>
    <t>Tuesday to Saturday Shifts OR Sunday and Monday Shifts</t>
  </si>
  <si>
    <t>Issues to be Explored</t>
  </si>
  <si>
    <t>see Supplied Videos for more detail</t>
  </si>
  <si>
    <t>Inspected Parts - Pass or Fail - Including Costs of Failed Parts</t>
  </si>
  <si>
    <t>LPQI Labour Cost and Parts TBI Suppliers' Projected Profits</t>
  </si>
  <si>
    <t>LPQI Inspection Line Capacity - Impacted by Varying Parts TBI Deliveries and Varying LPQI Staffing</t>
  </si>
  <si>
    <t>Mandatory (Expected) Metrics - determined by the Data Analyst Assignment</t>
  </si>
  <si>
    <t>Day + Shift + Inspection Line - Over/Under</t>
  </si>
  <si>
    <t>Day + Shift + Inspection Line - Pass %</t>
  </si>
  <si>
    <t>Day + Shift + Inspection Line - Possible Supplier Profit</t>
  </si>
  <si>
    <t>Day + Shift + Inspection Line - Total LPQI Labour $</t>
  </si>
  <si>
    <t>Day + Shift + Inspection Line - LPQI Inspect Labour $ per Part Inspected</t>
  </si>
  <si>
    <t>Data Analyst Assignment</t>
  </si>
  <si>
    <t>Each Analyst will be Assigned a Combination of each of the 3 Dimensions listed above, and one of the Issues to be Explored</t>
  </si>
  <si>
    <t>For example, a DA might be assigned:   Inspection Line B, Shift 2, Sunday+Monday Shifts, and LPQI Inpsection Line Capacity</t>
  </si>
  <si>
    <t>The assignment will be done by the Section's Faculty</t>
  </si>
  <si>
    <t>Document History</t>
  </si>
  <si>
    <t>ID</t>
  </si>
  <si>
    <t>Updated by and on:</t>
  </si>
  <si>
    <t>Published on:</t>
  </si>
  <si>
    <t>Reason(s):</t>
  </si>
  <si>
    <t>Bill Nixon on Apr 2nd</t>
  </si>
  <si>
    <t>Sources and References</t>
  </si>
  <si>
    <t>Various earlier versions of this produced by Bill Nixon, in March 2024 for Section 1 and 5</t>
  </si>
  <si>
    <t>Various movies recorded and published by Bill Nixon thru the Case Study 2 Home Page</t>
  </si>
  <si>
    <t>Various Course Materials about LPQI already provided</t>
  </si>
  <si>
    <t>Sheets in this Workbook</t>
  </si>
  <si>
    <t>Sheet Name</t>
  </si>
  <si>
    <t>Description</t>
  </si>
  <si>
    <t>ReadMeFirst</t>
  </si>
  <si>
    <t>Other Lists</t>
  </si>
  <si>
    <t>Inspect DM</t>
  </si>
  <si>
    <t>29 Days of Production Data for 3 Shifts and 2 Inspection Lines</t>
  </si>
  <si>
    <t>A Batches</t>
  </si>
  <si>
    <t>B Batches</t>
  </si>
  <si>
    <t>Little Panda Quality Inspection - Reference Tables</t>
  </si>
  <si>
    <t>Suppliers of Parts to Be Inspected</t>
  </si>
  <si>
    <t>MakerID</t>
  </si>
  <si>
    <t>Maker</t>
  </si>
  <si>
    <t>Plant Location</t>
  </si>
  <si>
    <t>Eclipse</t>
  </si>
  <si>
    <t>Cambridge, ON</t>
  </si>
  <si>
    <t>Linacar</t>
  </si>
  <si>
    <t>Guelph, ON</t>
  </si>
  <si>
    <t>Suppliers of Parts TBI - Production Lines / Cells Codes</t>
  </si>
  <si>
    <t>=R13&amp;"-"&amp;S13</t>
  </si>
  <si>
    <t>Factors on Parts to be Inspected</t>
  </si>
  <si>
    <t>=INT(7/(I13*J13/60))</t>
  </si>
  <si>
    <t>ProdTypeID</t>
  </si>
  <si>
    <t>Product Type</t>
  </si>
  <si>
    <t>Prodn Lines / Cells</t>
  </si>
  <si>
    <t>Cost To Make</t>
  </si>
  <si>
    <t>Other Costs</t>
  </si>
  <si>
    <t>Sells For</t>
  </si>
  <si>
    <t>Inspect Tests</t>
  </si>
  <si>
    <t>Avg Mins Per Inspect</t>
  </si>
  <si>
    <t>Total Per 7 hrs per Inspector</t>
  </si>
  <si>
    <t>NightShift</t>
  </si>
  <si>
    <t>Porter Mins</t>
  </si>
  <si>
    <t>Box Qty</t>
  </si>
  <si>
    <t>Key</t>
  </si>
  <si>
    <t>Sequence</t>
  </si>
  <si>
    <t>Alternator</t>
  </si>
  <si>
    <t>G</t>
  </si>
  <si>
    <t>Tie Rod End</t>
  </si>
  <si>
    <t>H</t>
  </si>
  <si>
    <t>Ball Joint</t>
  </si>
  <si>
    <t>J</t>
  </si>
  <si>
    <t>D1</t>
  </si>
  <si>
    <t>D2</t>
  </si>
  <si>
    <t>Employee Groups</t>
  </si>
  <si>
    <t>D3</t>
  </si>
  <si>
    <t>EmpGroupID</t>
  </si>
  <si>
    <t>EmployeeGroup</t>
  </si>
  <si>
    <t>D4</t>
  </si>
  <si>
    <t>Inspector</t>
  </si>
  <si>
    <t>D5</t>
  </si>
  <si>
    <t>Team Lead</t>
  </si>
  <si>
    <t>D6</t>
  </si>
  <si>
    <t>Shipper/Receiver</t>
  </si>
  <si>
    <t>M5</t>
  </si>
  <si>
    <t>M6</t>
  </si>
  <si>
    <t>M7</t>
  </si>
  <si>
    <t>Employee Payrates</t>
  </si>
  <si>
    <t>M8</t>
  </si>
  <si>
    <t>EmpTypeID</t>
  </si>
  <si>
    <t>Employee Types</t>
  </si>
  <si>
    <t>Experience</t>
  </si>
  <si>
    <t>Payrate / hr</t>
  </si>
  <si>
    <t>Employer Share</t>
  </si>
  <si>
    <t>Total Cost/Hr</t>
  </si>
  <si>
    <t>Training</t>
  </si>
  <si>
    <t>Casual</t>
  </si>
  <si>
    <t>Under 100 hours</t>
  </si>
  <si>
    <t>101-300 hours</t>
  </si>
  <si>
    <t>Regular</t>
  </si>
  <si>
    <t>301+ hours</t>
  </si>
  <si>
    <t>501+ hours</t>
  </si>
  <si>
    <t>Shift Factors</t>
  </si>
  <si>
    <t>ShiftID</t>
  </si>
  <si>
    <t>ShiftName</t>
  </si>
  <si>
    <t>ShiftHours</t>
  </si>
  <si>
    <t>Shift Premium</t>
  </si>
  <si>
    <t>Day</t>
  </si>
  <si>
    <t>6am-2pm</t>
  </si>
  <si>
    <t>Afternoon</t>
  </si>
  <si>
    <t>2pm-10pm</t>
  </si>
  <si>
    <t>Nights</t>
  </si>
  <si>
    <t>10pm-6am</t>
  </si>
  <si>
    <t>Inspection Lines</t>
  </si>
  <si>
    <t>InspectLineID</t>
  </si>
  <si>
    <t>InspectLine Name</t>
  </si>
  <si>
    <t>A</t>
  </si>
  <si>
    <t>Line A</t>
  </si>
  <si>
    <t>B</t>
  </si>
  <si>
    <t>Line B</t>
  </si>
  <si>
    <t>=D49&amp;E49&amp;"-"&amp;H49&amp;"-"&amp;F49</t>
  </si>
  <si>
    <t>Inspection Line, Shift, WeekDay/WeekEnd Staffing Counts</t>
  </si>
  <si>
    <t>StaffingID</t>
  </si>
  <si>
    <t>As Of</t>
  </si>
  <si>
    <t>LineID</t>
  </si>
  <si>
    <t>SunMon</t>
  </si>
  <si>
    <t>LkupKey</t>
  </si>
  <si>
    <t>EmployeeCOunt</t>
  </si>
  <si>
    <t>N</t>
  </si>
  <si>
    <t>Y</t>
  </si>
  <si>
    <t>Data Set</t>
  </si>
  <si>
    <t>Little Panda Inspection Lines A and B Inspection Data</t>
  </si>
  <si>
    <t>Line A Inspection Data</t>
  </si>
  <si>
    <t>Line B Inspection Data</t>
  </si>
  <si>
    <t>InspectDataID</t>
  </si>
  <si>
    <t>Day of Week</t>
  </si>
  <si>
    <t>Over / Under</t>
  </si>
  <si>
    <t>Pass%</t>
  </si>
  <si>
    <t>Possible Supplier Income</t>
  </si>
  <si>
    <t>Supplier Cost of Parts</t>
  </si>
  <si>
    <t>Possible Supplier Profit</t>
  </si>
  <si>
    <t>Supplier Cost of Bad Parts</t>
  </si>
  <si>
    <t>Training $</t>
  </si>
  <si>
    <t>Regular $</t>
  </si>
  <si>
    <t>Casual $</t>
  </si>
  <si>
    <t>Total Line A $</t>
  </si>
  <si>
    <t>Inspect Labour $ per Part</t>
  </si>
  <si>
    <t>Over/Under</t>
  </si>
  <si>
    <t>Team Lead $</t>
  </si>
  <si>
    <t>All Total Labour $</t>
  </si>
  <si>
    <t>Little Panda Inspection Line A Batch Data</t>
  </si>
  <si>
    <t>BatchesLineAID</t>
  </si>
  <si>
    <t/>
  </si>
  <si>
    <t>Little Panda Inspection Line B Batch Data</t>
  </si>
  <si>
    <t>BatchesLineBID</t>
  </si>
  <si>
    <t>Date</t>
  </si>
  <si>
    <t>Shift</t>
  </si>
  <si>
    <t>LineA-ProdType</t>
  </si>
  <si>
    <t>Received</t>
  </si>
  <si>
    <t>Received Inspected</t>
  </si>
  <si>
    <t>Leftover Inspected</t>
  </si>
  <si>
    <t>Capacity</t>
  </si>
  <si>
    <t>Not Inspected</t>
  </si>
  <si>
    <t>Left From Day Shift for 3rd Shift</t>
  </si>
  <si>
    <t>Inspect Pass</t>
  </si>
  <si>
    <t>Inspectors</t>
  </si>
  <si>
    <t>LineB-ProdType</t>
  </si>
  <si>
    <t>Shipper/Receiver/Porter</t>
  </si>
  <si>
    <t>Batch  ID</t>
  </si>
  <si>
    <t>Batch 1 Qty</t>
  </si>
  <si>
    <t>Batch 1 Pass</t>
  </si>
  <si>
    <t>Batch 2 ID</t>
  </si>
  <si>
    <t>Batch 2 Qty</t>
  </si>
  <si>
    <t>Batch 2 Pass</t>
  </si>
  <si>
    <t>Batch 3 ID</t>
  </si>
  <si>
    <t>Batch 3 Qty</t>
  </si>
  <si>
    <t>Batch 3 Pass</t>
  </si>
  <si>
    <t>Batch 4 ID</t>
  </si>
  <si>
    <t>Batch 4 Qty</t>
  </si>
  <si>
    <t>Batch 4 Pass</t>
  </si>
  <si>
    <t>Batch 5 ID</t>
  </si>
  <si>
    <t>Batch 5 Qty</t>
  </si>
  <si>
    <t>Batch 5 Pass</t>
  </si>
  <si>
    <t>Batch 6 ID</t>
  </si>
  <si>
    <t>Batch 6 Qty</t>
  </si>
  <si>
    <t>Batch 6 Pass</t>
  </si>
  <si>
    <t>L</t>
  </si>
  <si>
    <t>230608-S1-D1</t>
  </si>
  <si>
    <t>230608-S1-D2</t>
  </si>
  <si>
    <t>230608-S1-D3</t>
  </si>
  <si>
    <t>230608-S1-D4</t>
  </si>
  <si>
    <t>230608-S1-D5</t>
  </si>
  <si>
    <t>230608-S1-D6</t>
  </si>
  <si>
    <t>230610-S1-D1</t>
  </si>
  <si>
    <t>230610-S1-D2</t>
  </si>
  <si>
    <t>230610-S1-D3</t>
  </si>
  <si>
    <t>230610-S1-D4</t>
  </si>
  <si>
    <t>230610-S1-D6</t>
  </si>
  <si>
    <t>230612-S1-M5</t>
  </si>
  <si>
    <t>230612-S1-M6</t>
  </si>
  <si>
    <t>230612-S1-M7</t>
  </si>
  <si>
    <t>230612-S1-M8</t>
  </si>
  <si>
    <t>230614-S1-D1</t>
  </si>
  <si>
    <t>230614-S1-D2</t>
  </si>
  <si>
    <t>230614-S1-D3</t>
  </si>
  <si>
    <t>230614-S1-D4</t>
  </si>
  <si>
    <t>230614-S1-D5</t>
  </si>
  <si>
    <t>230614-S1-D6</t>
  </si>
  <si>
    <t>230618-S1-D2</t>
  </si>
  <si>
    <t>230618-S1-D4</t>
  </si>
  <si>
    <t>230618-S1-D5</t>
  </si>
  <si>
    <t>230618-S1-D6</t>
  </si>
  <si>
    <t>230619-S1-D1</t>
  </si>
  <si>
    <t>230619-S1-D2</t>
  </si>
  <si>
    <t>230619-S1-D3</t>
  </si>
  <si>
    <t>230619-S1-D4</t>
  </si>
  <si>
    <t>230619-S1-D5</t>
  </si>
  <si>
    <t>230619-S1-D6</t>
  </si>
  <si>
    <t>230620-S1-M6</t>
  </si>
  <si>
    <t>230620-S1-M7</t>
  </si>
  <si>
    <t>230620-S1-M8</t>
  </si>
  <si>
    <t>230628-S1-D1</t>
  </si>
  <si>
    <t>230628-S1-D3</t>
  </si>
  <si>
    <t>230628-S1-D4</t>
  </si>
  <si>
    <t>230628-S1-D5</t>
  </si>
  <si>
    <t>230628-S1-D6</t>
  </si>
  <si>
    <t>230630-S1-M5</t>
  </si>
  <si>
    <t>230630-S1-M6</t>
  </si>
  <si>
    <t>230630-S1-M7</t>
  </si>
  <si>
    <t>230630-S1-M8</t>
  </si>
  <si>
    <t>230701-S1-D1</t>
  </si>
  <si>
    <t>230701-S1-D3</t>
  </si>
  <si>
    <t>230701-S1-D4</t>
  </si>
  <si>
    <t>230701-S1-D5</t>
  </si>
  <si>
    <t>230701-S1-D6</t>
  </si>
  <si>
    <t>230702-S1-D1</t>
  </si>
  <si>
    <t>230702-S1-D2</t>
  </si>
  <si>
    <t>230702-S1-D4</t>
  </si>
  <si>
    <t>230702-S1-D5</t>
  </si>
  <si>
    <t>230702-S1-D6</t>
  </si>
  <si>
    <t>230703-S1-D2</t>
  </si>
  <si>
    <t>230703-S1-D3</t>
  </si>
  <si>
    <t>230703-S1-D4</t>
  </si>
  <si>
    <t>230703-S1-D5</t>
  </si>
  <si>
    <t>230703-S1-D6</t>
  </si>
  <si>
    <t>230704-S1-M6</t>
  </si>
  <si>
    <t>230704-S1-M7</t>
  </si>
  <si>
    <t>230704-S1-M8</t>
  </si>
  <si>
    <t>230606-S1-G</t>
  </si>
  <si>
    <t>230606-S1-H</t>
  </si>
  <si>
    <t>230606-S1-J</t>
  </si>
  <si>
    <t>230607-S1-H</t>
  </si>
  <si>
    <t>230607-S1-J</t>
  </si>
  <si>
    <t>230608-S1-G</t>
  </si>
  <si>
    <t>230608-S1-H</t>
  </si>
  <si>
    <t>230608-S1-J</t>
  </si>
  <si>
    <t>230609-S1-G</t>
  </si>
  <si>
    <t>230609-S1-H</t>
  </si>
  <si>
    <t>230609-S1-J</t>
  </si>
  <si>
    <t>230610-S1-G</t>
  </si>
  <si>
    <t>230610-S1-H</t>
  </si>
  <si>
    <t>230610-S1-J</t>
  </si>
  <si>
    <t>230611-S1-G</t>
  </si>
  <si>
    <t>230611-S1-J</t>
  </si>
  <si>
    <t>230612-S1-G</t>
  </si>
  <si>
    <t>230612-S1-H</t>
  </si>
  <si>
    <t>230612-S1-J</t>
  </si>
  <si>
    <t>230613-S1-G</t>
  </si>
  <si>
    <t>230613-S1-H</t>
  </si>
  <si>
    <t>230613-S1-J</t>
  </si>
  <si>
    <t>230614-S1-H</t>
  </si>
  <si>
    <t>230614-S1-J</t>
  </si>
  <si>
    <t>230615-S1-G</t>
  </si>
  <si>
    <t>230615-S1-H</t>
  </si>
  <si>
    <t>230615-S1-J</t>
  </si>
  <si>
    <t>230616-S1-G</t>
  </si>
  <si>
    <t>230616-S1-H</t>
  </si>
  <si>
    <t>230616-S1-J</t>
  </si>
  <si>
    <t>230617-S1-G</t>
  </si>
  <si>
    <t>230617-S1-H</t>
  </si>
  <si>
    <t>230617-S1-J</t>
  </si>
  <si>
    <t>230618-S1-G</t>
  </si>
  <si>
    <t>230618-S1-J</t>
  </si>
  <si>
    <t>230619-S1-G</t>
  </si>
  <si>
    <t>230619-S1-J</t>
  </si>
  <si>
    <t>230620-S1-G</t>
  </si>
  <si>
    <t>230620-S1-J</t>
  </si>
  <si>
    <t>230621-S1-H</t>
  </si>
  <si>
    <t>230621-S1-J</t>
  </si>
  <si>
    <t>230622-S1-G</t>
  </si>
  <si>
    <t>230622-S1-H</t>
  </si>
  <si>
    <t>230622-S1-J</t>
  </si>
  <si>
    <t>230623-S1-G</t>
  </si>
  <si>
    <t>230623-S1-H</t>
  </si>
  <si>
    <t>230623-S1-J</t>
  </si>
  <si>
    <t>230624-S1-G</t>
  </si>
  <si>
    <t>230624-S1-H</t>
  </si>
  <si>
    <t>230624-S1-J</t>
  </si>
  <si>
    <t>230625-S1-G</t>
  </si>
  <si>
    <t>230625-S1-H</t>
  </si>
  <si>
    <t>230625-S1-J</t>
  </si>
  <si>
    <t>230626-S1-G</t>
  </si>
  <si>
    <t>230626-S1-H</t>
  </si>
  <si>
    <t>230626-S1-J</t>
  </si>
  <si>
    <t>230627-S1-G</t>
  </si>
  <si>
    <t>230627-S1-H</t>
  </si>
  <si>
    <t>230627-S1-J</t>
  </si>
  <si>
    <t>230628-S1-G</t>
  </si>
  <si>
    <t>230628-S1-J</t>
  </si>
  <si>
    <t>230629-S1-H</t>
  </si>
  <si>
    <t>230629-S1-J</t>
  </si>
  <si>
    <t>230630-S1-H</t>
  </si>
  <si>
    <t>230630-S1-J</t>
  </si>
  <si>
    <t>230701-S1-G</t>
  </si>
  <si>
    <t>230701-S1-H</t>
  </si>
  <si>
    <t>230701-S1-J</t>
  </si>
  <si>
    <t>230702-S1-G</t>
  </si>
  <si>
    <t>230702-S1-H</t>
  </si>
  <si>
    <t>230702-S1-J</t>
  </si>
  <si>
    <t>230703-S1-G</t>
  </si>
  <si>
    <t>230703-S1-H</t>
  </si>
  <si>
    <t>230703-S1-J</t>
  </si>
  <si>
    <t>230704-S1-G</t>
  </si>
  <si>
    <t>230704-S1-H</t>
  </si>
  <si>
    <t>230704-S1-J</t>
  </si>
  <si>
    <t>230606-S1-M6</t>
  </si>
  <si>
    <t>230606-S1-M7</t>
  </si>
  <si>
    <t>230606-S1-M8</t>
  </si>
  <si>
    <t>230607-S1-M5</t>
  </si>
  <si>
    <t>230607-S1-M6</t>
  </si>
  <si>
    <t>230607-S1-M7</t>
  </si>
  <si>
    <t>230607-S1-M8</t>
  </si>
  <si>
    <t>230609-S1-D1</t>
  </si>
  <si>
    <t>230609-S1-D3</t>
  </si>
  <si>
    <t>230609-S1-D4</t>
  </si>
  <si>
    <t>230609-S1-D5</t>
  </si>
  <si>
    <t>230609-S1-D6</t>
  </si>
  <si>
    <t>230611-S1-M5</t>
  </si>
  <si>
    <t>230611-S1-M6</t>
  </si>
  <si>
    <t>230611-S1-M7</t>
  </si>
  <si>
    <t>230611-S1-M8</t>
  </si>
  <si>
    <t>230613-S1-D1</t>
  </si>
  <si>
    <t>230613-S1-D2</t>
  </si>
  <si>
    <t>230613-S1-D3</t>
  </si>
  <si>
    <t>230613-S1-D4</t>
  </si>
  <si>
    <t>230613-S1-D5</t>
  </si>
  <si>
    <t>230613-S1-D6</t>
  </si>
  <si>
    <t>230615-S1-M5</t>
  </si>
  <si>
    <t>230615-S1-M7</t>
  </si>
  <si>
    <t>230615-S1-M8</t>
  </si>
  <si>
    <t>230616-S1-D1</t>
  </si>
  <si>
    <t>230616-S1-D2</t>
  </si>
  <si>
    <t>230616-S1-D3</t>
  </si>
  <si>
    <t>230616-S1-D4</t>
  </si>
  <si>
    <t>230616-S1-D5</t>
  </si>
  <si>
    <t>230616-S1-D6</t>
  </si>
  <si>
    <t>230617-S1-M5</t>
  </si>
  <si>
    <t>230617-S1-M6</t>
  </si>
  <si>
    <t>230617-S1-M7</t>
  </si>
  <si>
    <t>230617-S1-M8</t>
  </si>
  <si>
    <t>230618-S1-D3</t>
  </si>
  <si>
    <t>230621-S1-D2</t>
  </si>
  <si>
    <t>230621-S1-D3</t>
  </si>
  <si>
    <t>230621-S1-D4</t>
  </si>
  <si>
    <t>230621-S1-D5</t>
  </si>
  <si>
    <t>230621-S1-D6</t>
  </si>
  <si>
    <t>230622-S1-M5</t>
  </si>
  <si>
    <t>230622-S1-M6</t>
  </si>
  <si>
    <t>230622-S1-M7</t>
  </si>
  <si>
    <t>230622-S1-M8</t>
  </si>
  <si>
    <t>230623-S1-D1</t>
  </si>
  <si>
    <t>230623-S1-D2</t>
  </si>
  <si>
    <t>230623-S1-D4</t>
  </si>
  <si>
    <t>230623-S1-D5</t>
  </si>
  <si>
    <t>230623-S1-D6</t>
  </si>
  <si>
    <t>230624-S1-D1</t>
  </si>
  <si>
    <t>230624-S1-D2</t>
  </si>
  <si>
    <t>230624-S1-D3</t>
  </si>
  <si>
    <t>230624-S1-D4</t>
  </si>
  <si>
    <t>230624-S1-D5</t>
  </si>
  <si>
    <t>230624-S1-D6</t>
  </si>
  <si>
    <t>230625-S1-M5</t>
  </si>
  <si>
    <t>230625-S1-M6</t>
  </si>
  <si>
    <t>230625-S1-M7</t>
  </si>
  <si>
    <t>230625-S1-M8</t>
  </si>
  <si>
    <t>230626-S1-D1</t>
  </si>
  <si>
    <t>230626-S1-D2</t>
  </si>
  <si>
    <t>230626-S1-D3</t>
  </si>
  <si>
    <t>230626-S1-D4</t>
  </si>
  <si>
    <t>230626-S1-D5</t>
  </si>
  <si>
    <t>230626-S1-D6</t>
  </si>
  <si>
    <t>230627-S1-M5</t>
  </si>
  <si>
    <t>230627-S1-M6</t>
  </si>
  <si>
    <t>230627-S1-M7</t>
  </si>
  <si>
    <t>230627-S1-M8</t>
  </si>
  <si>
    <t>230628-S1-D2</t>
  </si>
  <si>
    <t>230629-S1-D1</t>
  </si>
  <si>
    <t>230629-S1-D3</t>
  </si>
  <si>
    <t>230629-S1-D4</t>
  </si>
  <si>
    <t>230629-S1-D5</t>
  </si>
  <si>
    <t>230629-S1-D6</t>
  </si>
  <si>
    <t>230704-S1-M5</t>
  </si>
  <si>
    <t>230606-S2-M5</t>
  </si>
  <si>
    <t>230606-S2-M6</t>
  </si>
  <si>
    <t>230606-S2-M7</t>
  </si>
  <si>
    <t>230606-S2-M8</t>
  </si>
  <si>
    <t>230607-S2-M5</t>
  </si>
  <si>
    <t>230607-S2-M6</t>
  </si>
  <si>
    <t>230607-S2-M7</t>
  </si>
  <si>
    <t>230607-S2-M8</t>
  </si>
  <si>
    <t>230608-S2-M5</t>
  </si>
  <si>
    <t>230608-S2-M6</t>
  </si>
  <si>
    <t>230608-S2-M7</t>
  </si>
  <si>
    <t>230608-S2-M8</t>
  </si>
  <si>
    <t>230609-S2-M5</t>
  </si>
  <si>
    <t>230609-S2-M6</t>
  </si>
  <si>
    <t>230609-S2-M7</t>
  </si>
  <si>
    <t>230609-S2-M8</t>
  </si>
  <si>
    <t>230610-S2-M5</t>
  </si>
  <si>
    <t>230610-S2-M7</t>
  </si>
  <si>
    <t>230610-S2-M8</t>
  </si>
  <si>
    <t>230611-S2-M6</t>
  </si>
  <si>
    <t>230611-S2-M7</t>
  </si>
  <si>
    <t>230611-S2-M8</t>
  </si>
  <si>
    <t>230612-S2-D1</t>
  </si>
  <si>
    <t>230612-S2-D3</t>
  </si>
  <si>
    <t>230612-S2-D4</t>
  </si>
  <si>
    <t>230612-S2-D5</t>
  </si>
  <si>
    <t>230612-S2-D6</t>
  </si>
  <si>
    <t>230613-S2-D1</t>
  </si>
  <si>
    <t>230613-S2-D2</t>
  </si>
  <si>
    <t>230613-S2-D3</t>
  </si>
  <si>
    <t>230613-S2-D4</t>
  </si>
  <si>
    <t>230613-S2-D5</t>
  </si>
  <si>
    <t>230613-S2-D6</t>
  </si>
  <si>
    <t>230614-S2-D1</t>
  </si>
  <si>
    <t>230614-S2-D2</t>
  </si>
  <si>
    <t>230614-S2-D3</t>
  </si>
  <si>
    <t>230614-S2-D4</t>
  </si>
  <si>
    <t>230614-S2-D5</t>
  </si>
  <si>
    <t>230614-S2-D6</t>
  </si>
  <si>
    <t>230615-S2-D1</t>
  </si>
  <si>
    <t>230615-S2-D3</t>
  </si>
  <si>
    <t>230615-S2-D4</t>
  </si>
  <si>
    <t>230615-S2-D5</t>
  </si>
  <si>
    <t>230615-S2-D6</t>
  </si>
  <si>
    <t>230616-S2-D1</t>
  </si>
  <si>
    <t>230616-S2-D2</t>
  </si>
  <si>
    <t>230616-S2-D3</t>
  </si>
  <si>
    <t>230616-S2-D4</t>
  </si>
  <si>
    <t>230616-S2-D5</t>
  </si>
  <si>
    <t>230616-S2-D6</t>
  </si>
  <si>
    <t>230617-S2-M5</t>
  </si>
  <si>
    <t>230617-S2-M6</t>
  </si>
  <si>
    <t>230617-S2-M7</t>
  </si>
  <si>
    <t>230617-S2-M8</t>
  </si>
  <si>
    <t>230618-S2-D1</t>
  </si>
  <si>
    <t>230618-S2-D2</t>
  </si>
  <si>
    <t>230618-S2-D3</t>
  </si>
  <si>
    <t>230618-S2-D4</t>
  </si>
  <si>
    <t>230618-S2-D6</t>
  </si>
  <si>
    <t>230619-S2-D1</t>
  </si>
  <si>
    <t>230619-S2-D2</t>
  </si>
  <si>
    <t>230619-S2-D3</t>
  </si>
  <si>
    <t>230619-S2-D4</t>
  </si>
  <si>
    <t>230619-S2-D5</t>
  </si>
  <si>
    <t>230619-S2-D6</t>
  </si>
  <si>
    <t>230620-S2-M5</t>
  </si>
  <si>
    <t>230620-S2-M6</t>
  </si>
  <si>
    <t>230620-S2-M7</t>
  </si>
  <si>
    <t>230620-S2-M8</t>
  </si>
  <si>
    <t>230621-S2-M5</t>
  </si>
  <si>
    <t>230621-S2-M6</t>
  </si>
  <si>
    <t>230621-S2-M7</t>
  </si>
  <si>
    <t>230621-S2-M8</t>
  </si>
  <si>
    <t>230622-S2-D1</t>
  </si>
  <si>
    <t>230622-S2-D2</t>
  </si>
  <si>
    <t>230622-S2-D3</t>
  </si>
  <si>
    <t>230622-S2-D4</t>
  </si>
  <si>
    <t>230622-S2-D5</t>
  </si>
  <si>
    <t>230622-S2-D6</t>
  </si>
  <si>
    <t>230623-S2-M5</t>
  </si>
  <si>
    <t>230623-S2-M6</t>
  </si>
  <si>
    <t>230623-S2-M7</t>
  </si>
  <si>
    <t>230623-S2-M8</t>
  </si>
  <si>
    <t>230624-S2-M6</t>
  </si>
  <si>
    <t>230624-S2-M7</t>
  </si>
  <si>
    <t>230624-S2-M8</t>
  </si>
  <si>
    <t>230625-S2-D1</t>
  </si>
  <si>
    <t>230625-S2-D2</t>
  </si>
  <si>
    <t>230625-S2-D3</t>
  </si>
  <si>
    <t>230625-S2-D4</t>
  </si>
  <si>
    <t>230625-S2-D5</t>
  </si>
  <si>
    <t>230625-S2-D6</t>
  </si>
  <si>
    <t>230626-S2-M5</t>
  </si>
  <si>
    <t>230626-S2-M6</t>
  </si>
  <si>
    <t>230626-S2-M7</t>
  </si>
  <si>
    <t>230626-S2-M8</t>
  </si>
  <si>
    <t>230627-S2-M5</t>
  </si>
  <si>
    <t>230627-S2-M6</t>
  </si>
  <si>
    <t>230627-S2-M7</t>
  </si>
  <si>
    <t>230627-S2-M8</t>
  </si>
  <si>
    <t>230628-S2-D1</t>
  </si>
  <si>
    <t>230628-S2-D2</t>
  </si>
  <si>
    <t>230628-S2-D3</t>
  </si>
  <si>
    <t>230628-S2-D4</t>
  </si>
  <si>
    <t>230628-S2-D5</t>
  </si>
  <si>
    <t>230628-S2-D6</t>
  </si>
  <si>
    <t>230629-S2-M5</t>
  </si>
  <si>
    <t>230629-S2-M6</t>
  </si>
  <si>
    <t>230629-S2-M7</t>
  </si>
  <si>
    <t>230629-S2-M8</t>
  </si>
  <si>
    <t>230630-S2-D1</t>
  </si>
  <si>
    <t>230630-S2-D2</t>
  </si>
  <si>
    <t>230630-S2-D3</t>
  </si>
  <si>
    <t>230630-S2-D4</t>
  </si>
  <si>
    <t>230630-S2-D5</t>
  </si>
  <si>
    <t>230630-S2-D6</t>
  </si>
  <si>
    <t>230701-S2-M5</t>
  </si>
  <si>
    <t>230701-S2-M6</t>
  </si>
  <si>
    <t>230701-S2-M7</t>
  </si>
  <si>
    <t>230701-S2-M8</t>
  </si>
  <si>
    <t>230702-S2-M5</t>
  </si>
  <si>
    <t>230702-S2-M6</t>
  </si>
  <si>
    <t>230702-S2-M8</t>
  </si>
  <si>
    <t>230703-S2-D1</t>
  </si>
  <si>
    <t>230703-S2-D2</t>
  </si>
  <si>
    <t>230703-S2-D4</t>
  </si>
  <si>
    <t>230703-S2-D5</t>
  </si>
  <si>
    <t>230703-S2-D6</t>
  </si>
  <si>
    <t>230704-S2-D2</t>
  </si>
  <si>
    <t>230704-S2-D3</t>
  </si>
  <si>
    <t>230704-S2-D4</t>
  </si>
  <si>
    <t>230704-S2-D5</t>
  </si>
  <si>
    <t>230704-S2-D6</t>
  </si>
  <si>
    <t>230606-S3-D1</t>
  </si>
  <si>
    <t>230606-S3-D2</t>
  </si>
  <si>
    <t>230606-S3-D3</t>
  </si>
  <si>
    <t>230606-S3-D4</t>
  </si>
  <si>
    <t>230606-S3-D5</t>
  </si>
  <si>
    <t>230606-S3-D6</t>
  </si>
  <si>
    <t>230607-S3-M5</t>
  </si>
  <si>
    <t>230607-S3-M6</t>
  </si>
  <si>
    <t>230607-S3-M8</t>
  </si>
  <si>
    <t>230608-S3-M6</t>
  </si>
  <si>
    <t>230608-S3-M7</t>
  </si>
  <si>
    <t>230608-S3-M8</t>
  </si>
  <si>
    <t>230609-S3-M5</t>
  </si>
  <si>
    <t>230609-S3-M6</t>
  </si>
  <si>
    <t>230609-S3-M7</t>
  </si>
  <si>
    <t>230609-S3-M8</t>
  </si>
  <si>
    <t>230610-S3-D1</t>
  </si>
  <si>
    <t>230610-S3-D2</t>
  </si>
  <si>
    <t>230610-S3-D3</t>
  </si>
  <si>
    <t>230610-S3-D4</t>
  </si>
  <si>
    <t>230610-S3-D5</t>
  </si>
  <si>
    <t>230610-S3-D6</t>
  </si>
  <si>
    <t>230613-S3-D2</t>
  </si>
  <si>
    <t>230613-S3-D3</t>
  </si>
  <si>
    <t>230613-S3-D4</t>
  </si>
  <si>
    <t>230613-S3-D5</t>
  </si>
  <si>
    <t>230613-S3-D6</t>
  </si>
  <si>
    <t>230614-S3-D1</t>
  </si>
  <si>
    <t>230614-S3-D3</t>
  </si>
  <si>
    <t>230614-S3-D4</t>
  </si>
  <si>
    <t>230614-S3-D5</t>
  </si>
  <si>
    <t>230614-S3-D6</t>
  </si>
  <si>
    <t>230615-S3-M6</t>
  </si>
  <si>
    <t>230615-S3-M7</t>
  </si>
  <si>
    <t>230615-S3-M8</t>
  </si>
  <si>
    <t>230616-S3-M5</t>
  </si>
  <si>
    <t>230616-S3-M6</t>
  </si>
  <si>
    <t>230616-S3-M7</t>
  </si>
  <si>
    <t>230616-S3-M8</t>
  </si>
  <si>
    <t>230617-S3-D1</t>
  </si>
  <si>
    <t>230617-S3-D2</t>
  </si>
  <si>
    <t>230617-S3-D3</t>
  </si>
  <si>
    <t>230617-S3-D4</t>
  </si>
  <si>
    <t>230617-S3-D5</t>
  </si>
  <si>
    <t>230617-S3-D6</t>
  </si>
  <si>
    <t>230620-S3-D1</t>
  </si>
  <si>
    <t>230620-S3-D2</t>
  </si>
  <si>
    <t>230620-S3-D3</t>
  </si>
  <si>
    <t>230620-S3-D4</t>
  </si>
  <si>
    <t>230620-S3-D6</t>
  </si>
  <si>
    <t>230621-S3-D1</t>
  </si>
  <si>
    <t>230621-S3-D2</t>
  </si>
  <si>
    <t>230621-S3-D3</t>
  </si>
  <si>
    <t>230621-S3-D4</t>
  </si>
  <si>
    <t>230621-S3-D5</t>
  </si>
  <si>
    <t>230621-S3-D6</t>
  </si>
  <si>
    <t>230622-S3-M5</t>
  </si>
  <si>
    <t>230622-S3-M7</t>
  </si>
  <si>
    <t>230622-S3-M8</t>
  </si>
  <si>
    <t>230623-S3-M5</t>
  </si>
  <si>
    <t>230623-S3-M6</t>
  </si>
  <si>
    <t>230623-S3-M7</t>
  </si>
  <si>
    <t>230623-S3-M8</t>
  </si>
  <si>
    <t>230624-S3-D1</t>
  </si>
  <si>
    <t>230624-S3-D2</t>
  </si>
  <si>
    <t>230624-S3-D3</t>
  </si>
  <si>
    <t>230624-S3-D4</t>
  </si>
  <si>
    <t>230624-S3-D6</t>
  </si>
  <si>
    <t>230627-S3-D1</t>
  </si>
  <si>
    <t>230627-S3-D3</t>
  </si>
  <si>
    <t>230627-S3-D4</t>
  </si>
  <si>
    <t>230627-S3-D5</t>
  </si>
  <si>
    <t>230627-S3-D6</t>
  </si>
  <si>
    <t>230628-S3-M5</t>
  </si>
  <si>
    <t>230628-S3-M6</t>
  </si>
  <si>
    <t>230628-S3-M7</t>
  </si>
  <si>
    <t>230628-S3-M8</t>
  </si>
  <si>
    <t>230629-S3-D1</t>
  </si>
  <si>
    <t>230629-S3-D2</t>
  </si>
  <si>
    <t>230629-S3-D3</t>
  </si>
  <si>
    <t>230629-S3-D4</t>
  </si>
  <si>
    <t>230629-S3-D5</t>
  </si>
  <si>
    <t>230629-S3-D6</t>
  </si>
  <si>
    <t>230630-S3-D2</t>
  </si>
  <si>
    <t>230630-S3-D3</t>
  </si>
  <si>
    <t>230630-S3-D4</t>
  </si>
  <si>
    <t>230630-S3-D5</t>
  </si>
  <si>
    <t>230630-S3-D6</t>
  </si>
  <si>
    <t>230701-S3-M5</t>
  </si>
  <si>
    <t>230701-S3-M6</t>
  </si>
  <si>
    <t>230701-S3-M7</t>
  </si>
  <si>
    <t>230701-S3-M8</t>
  </si>
  <si>
    <t>230704-S3-M5</t>
  </si>
  <si>
    <t>230704-S3-M6</t>
  </si>
  <si>
    <t>230704-S3-M7</t>
  </si>
  <si>
    <t>230704-S3-M8</t>
  </si>
  <si>
    <t>230614-S1-G</t>
  </si>
  <si>
    <t>230620-S1-H</t>
  </si>
  <si>
    <t>230629-S1-G</t>
  </si>
  <si>
    <t>230630-S1-G</t>
  </si>
  <si>
    <t>230606-S2-G</t>
  </si>
  <si>
    <t>230606-S2-H</t>
  </si>
  <si>
    <t>230606-S2-J</t>
  </si>
  <si>
    <t>230607-S2-G</t>
  </si>
  <si>
    <t>230607-S2-H</t>
  </si>
  <si>
    <t>230607-S2-J</t>
  </si>
  <si>
    <t>230608-S2-G</t>
  </si>
  <si>
    <t>230608-S2-H</t>
  </si>
  <si>
    <t>230608-S2-J</t>
  </si>
  <si>
    <t>230609-S2-G</t>
  </si>
  <si>
    <t>230609-S2-H</t>
  </si>
  <si>
    <t>230609-S2-J</t>
  </si>
  <si>
    <t>230610-S2-G</t>
  </si>
  <si>
    <t>230610-S2-J</t>
  </si>
  <si>
    <t>230611-S2-G</t>
  </si>
  <si>
    <t>230611-S2-H</t>
  </si>
  <si>
    <t>230611-S2-J</t>
  </si>
  <si>
    <t>230612-S2-H</t>
  </si>
  <si>
    <t>230612-S2-J</t>
  </si>
  <si>
    <t>230613-S2-H</t>
  </si>
  <si>
    <t>230613-S2-J</t>
  </si>
  <si>
    <t>230614-S2-G</t>
  </si>
  <si>
    <t>230614-S2-H</t>
  </si>
  <si>
    <t>230614-S2-J</t>
  </si>
  <si>
    <t>230615-S2-G</t>
  </si>
  <si>
    <t>230615-S2-H</t>
  </si>
  <si>
    <t>230615-S2-J</t>
  </si>
  <si>
    <t>230616-S2-G</t>
  </si>
  <si>
    <t>230616-S2-H</t>
  </si>
  <si>
    <t>230616-S2-J</t>
  </si>
  <si>
    <t>230617-S2-G</t>
  </si>
  <si>
    <t>230617-S2-H</t>
  </si>
  <si>
    <t>230617-S2-J</t>
  </si>
  <si>
    <t>230618-S2-G</t>
  </si>
  <si>
    <t>230618-S2-H</t>
  </si>
  <si>
    <t>230618-S2-J</t>
  </si>
  <si>
    <t>230619-S2-G</t>
  </si>
  <si>
    <t>230619-S2-H</t>
  </si>
  <si>
    <t>230619-S2-J</t>
  </si>
  <si>
    <t>230620-S2-G</t>
  </si>
  <si>
    <t>230620-S2-H</t>
  </si>
  <si>
    <t>230620-S2-J</t>
  </si>
  <si>
    <t>230621-S2-G</t>
  </si>
  <si>
    <t>230621-S2-J</t>
  </si>
  <si>
    <t>230622-S2-G</t>
  </si>
  <si>
    <t>230622-S2-H</t>
  </si>
  <si>
    <t>230622-S2-J</t>
  </si>
  <si>
    <t>230623-S2-G</t>
  </si>
  <si>
    <t>230623-S2-H</t>
  </si>
  <si>
    <t>230623-S2-J</t>
  </si>
  <si>
    <t>230624-S2-G</t>
  </si>
  <si>
    <t>230624-S2-H</t>
  </si>
  <si>
    <t>230624-S2-J</t>
  </si>
  <si>
    <t>230625-S2-G</t>
  </si>
  <si>
    <t>230625-S2-H</t>
  </si>
  <si>
    <t>230625-S2-J</t>
  </si>
  <si>
    <t>230626-S2-H</t>
  </si>
  <si>
    <t>230626-S2-J</t>
  </si>
  <si>
    <t>230627-S2-G</t>
  </si>
  <si>
    <t>230627-S2-H</t>
  </si>
  <si>
    <t>230627-S2-J</t>
  </si>
  <si>
    <t>230628-S2-G</t>
  </si>
  <si>
    <t>230628-S2-H</t>
  </si>
  <si>
    <t>230628-S2-J</t>
  </si>
  <si>
    <t>230629-S2-G</t>
  </si>
  <si>
    <t>230629-S2-H</t>
  </si>
  <si>
    <t>230629-S2-J</t>
  </si>
  <si>
    <t>230630-S2-G</t>
  </si>
  <si>
    <t>230630-S2-H</t>
  </si>
  <si>
    <t>230630-S2-J</t>
  </si>
  <si>
    <t>230701-S2-G</t>
  </si>
  <si>
    <t>230701-S2-H</t>
  </si>
  <si>
    <t>230701-S2-J</t>
  </si>
  <si>
    <t>230702-S2-G</t>
  </si>
  <si>
    <t>230702-S2-H</t>
  </si>
  <si>
    <t>230702-S2-J</t>
  </si>
  <si>
    <t>230703-S2-G</t>
  </si>
  <si>
    <t>230703-S2-H</t>
  </si>
  <si>
    <t>230703-S2-J</t>
  </si>
  <si>
    <t>230704-S2-G</t>
  </si>
  <si>
    <t>230704-S2-H</t>
  </si>
  <si>
    <t>230704-S2-J</t>
  </si>
  <si>
    <t>230606-S3-G</t>
  </si>
  <si>
    <t>230606-S3-H</t>
  </si>
  <si>
    <t>230606-S3-J</t>
  </si>
  <si>
    <t>230607-S3-G</t>
  </si>
  <si>
    <t>230607-S3-H</t>
  </si>
  <si>
    <t>230607-S3-J</t>
  </si>
  <si>
    <t>230608-S3-G</t>
  </si>
  <si>
    <t>230608-S3-H</t>
  </si>
  <si>
    <t>230608-S3-J</t>
  </si>
  <si>
    <t>230609-S3-G</t>
  </si>
  <si>
    <t>230609-S3-H</t>
  </si>
  <si>
    <t>230609-S3-J</t>
  </si>
  <si>
    <t>230610-S3-G</t>
  </si>
  <si>
    <t>230610-S3-H</t>
  </si>
  <si>
    <t>230610-S3-J</t>
  </si>
  <si>
    <t>230613-S3-G</t>
  </si>
  <si>
    <t>230613-S3-H</t>
  </si>
  <si>
    <t>230613-S3-J</t>
  </si>
  <si>
    <t>230614-S3-G</t>
  </si>
  <si>
    <t>230614-S3-H</t>
  </si>
  <si>
    <t>230614-S3-J</t>
  </si>
  <si>
    <t>230615-S3-G</t>
  </si>
  <si>
    <t>230615-S3-J</t>
  </si>
  <si>
    <t>230616-S3-G</t>
  </si>
  <si>
    <t>230616-S3-H</t>
  </si>
  <si>
    <t>230616-S3-J</t>
  </si>
  <si>
    <t>230617-S3-G</t>
  </si>
  <si>
    <t>230617-S3-H</t>
  </si>
  <si>
    <t>230617-S3-J</t>
  </si>
  <si>
    <t>230620-S3-H</t>
  </si>
  <si>
    <t>230620-S3-J</t>
  </si>
  <si>
    <t>230621-S3-G</t>
  </si>
  <si>
    <t>230621-S3-H</t>
  </si>
  <si>
    <t>230621-S3-J</t>
  </si>
  <si>
    <t>230622-S3-G</t>
  </si>
  <si>
    <t>230622-S3-H</t>
  </si>
  <si>
    <t>230622-S3-J</t>
  </si>
  <si>
    <t>230623-S3-G</t>
  </si>
  <si>
    <t>230623-S3-H</t>
  </si>
  <si>
    <t>230623-S3-J</t>
  </si>
  <si>
    <t>230624-S3-G</t>
  </si>
  <si>
    <t>230624-S3-H</t>
  </si>
  <si>
    <t>230624-S3-J</t>
  </si>
  <si>
    <t>230627-S3-G</t>
  </si>
  <si>
    <t>230627-S3-H</t>
  </si>
  <si>
    <t>230627-S3-J</t>
  </si>
  <si>
    <t>230628-S3-G</t>
  </si>
  <si>
    <t>230628-S3-H</t>
  </si>
  <si>
    <t>230628-S3-J</t>
  </si>
  <si>
    <t>230629-S3-G</t>
  </si>
  <si>
    <t>230629-S3-H</t>
  </si>
  <si>
    <t>230629-S3-J</t>
  </si>
  <si>
    <t>230630-S3-G</t>
  </si>
  <si>
    <t>230630-S3-H</t>
  </si>
  <si>
    <t>230630-S3-J</t>
  </si>
  <si>
    <t>230701-S3-G</t>
  </si>
  <si>
    <t>230701-S3-H</t>
  </si>
  <si>
    <t>230701-S3-J</t>
  </si>
  <si>
    <t>230704-S3-G</t>
  </si>
  <si>
    <t>230704-S3-J</t>
  </si>
  <si>
    <t>Total Inspected</t>
  </si>
  <si>
    <t>Received2</t>
  </si>
  <si>
    <t>Received Inspected3</t>
  </si>
  <si>
    <t>Leftover Inspected4</t>
  </si>
  <si>
    <t>Capacity5</t>
  </si>
  <si>
    <t>Not Inspected6</t>
  </si>
  <si>
    <t>Left From Day Shift for 3rd Shift7</t>
  </si>
  <si>
    <t>Inspect Pass8</t>
  </si>
  <si>
    <t>Pass%9</t>
  </si>
  <si>
    <t>Inspectors10</t>
  </si>
  <si>
    <t>Inspectors11</t>
  </si>
  <si>
    <t>Training12</t>
  </si>
  <si>
    <t>Regular13</t>
  </si>
  <si>
    <t>Casual14</t>
  </si>
  <si>
    <t>Training $15</t>
  </si>
  <si>
    <t>Regular $16</t>
  </si>
  <si>
    <t>Casual $17</t>
  </si>
  <si>
    <t>Total Line A $18</t>
  </si>
  <si>
    <t>Inspect Labour $ per Part19</t>
  </si>
  <si>
    <t>Inspect Not Pass</t>
  </si>
  <si>
    <t>Total Inspected2</t>
  </si>
  <si>
    <t>Inspect Not Pass2</t>
  </si>
  <si>
    <t>Day of the week</t>
  </si>
  <si>
    <t>Row Labels</t>
  </si>
  <si>
    <t>Grand Total</t>
  </si>
  <si>
    <t>(Multiple Items)</t>
  </si>
  <si>
    <t>Why #</t>
  </si>
  <si>
    <t>Why</t>
  </si>
  <si>
    <t>Answer</t>
  </si>
  <si>
    <t>The total received parts exceeded the capacity. Whereas, 10 parts were not inspected, possibly due to time constraints or insufficient labor.</t>
  </si>
  <si>
    <t>Why did the inspection pass rate drop to 92.9% on 11-06-2023 ?</t>
  </si>
  <si>
    <t>Sum of Received</t>
  </si>
  <si>
    <t>Sum of Capacity</t>
  </si>
  <si>
    <t>Sum of Not Inspected</t>
  </si>
  <si>
    <t>Why#1</t>
  </si>
  <si>
    <t>Why did the over/under metric vary between inpsection dates?</t>
  </si>
  <si>
    <t>Fluctuations in the difference between total inspected parts and capacity could be influenced by changes in production efficiency , variations in incoming part quality, or inconsistencies in the inspection process.</t>
  </si>
  <si>
    <t>Sum of Over / Under</t>
  </si>
  <si>
    <t>Sum of Total Inspected</t>
  </si>
  <si>
    <t>Why did the Possible supplier income fluctuate between inpsection dates?</t>
  </si>
  <si>
    <t>Changes in the number of total inpsected parts, variations in the quality of incoming parts, or fluctuations in the pricing agreement with the supplier could influence possible supplier income.</t>
  </si>
  <si>
    <t>Sum of Possible Supplier Income</t>
  </si>
  <si>
    <t>Changes in the number of total inspected parts, fluctuations in the cost of raw materials, or variation in supplier pricing could impact the supplier cost of parts.</t>
  </si>
  <si>
    <t>Why did the supplier cost of parts vary between inspection dates?</t>
  </si>
  <si>
    <t>Sum of Supplier Cost of Parts</t>
  </si>
  <si>
    <t>Why did the possible supplier profit fluctuate between inpsection dates ?</t>
  </si>
  <si>
    <t>Variations in possible supplier income, changes in the supplier cost of parts, or fluctuations in the cost of bad parts could influence possible profit.</t>
  </si>
  <si>
    <t>Sum of Possible Supplier Profit</t>
  </si>
  <si>
    <t>Sum of Supplier Cost of Bad Parts</t>
  </si>
  <si>
    <t>Siddhesh Otari</t>
  </si>
  <si>
    <t>Case Study 2 Submission</t>
  </si>
  <si>
    <t>Return to ReadMeFirst</t>
  </si>
  <si>
    <t>Date:</t>
  </si>
  <si>
    <t>Author:</t>
  </si>
  <si>
    <t>Why's</t>
  </si>
  <si>
    <t>Why#1 Visualization</t>
  </si>
  <si>
    <t>Why#5 Visualization</t>
  </si>
  <si>
    <t>Why#4 Visualization</t>
  </si>
  <si>
    <t>Why#3 Visualization</t>
  </si>
  <si>
    <t>Why#2 Visualization</t>
  </si>
  <si>
    <t>Excel workbook information and history. List of other WB sheets and short descriptions</t>
  </si>
  <si>
    <t>Collection of 8 Lists of Reference Data for the Inspect DM and 2 Inspection Line Batch DMs at the Little Panda facility</t>
  </si>
  <si>
    <t>List of the Suppliers' Batches of Supplied Parts TBI for each Day and Shift for LPQI Inspection Line A. Data has ID Code (see the Production Line/Cells Reference table), and LPQI Qty Received and Passed</t>
  </si>
  <si>
    <t>List of the Suppliers' Batches of Supplied Parts TBI for each Day and Shift for LPQI Inspection Line B. Data has ID Code (see the Production Line/Cells Reference table), and LPQI Qty Received and Passed</t>
  </si>
  <si>
    <t>Explanation about the 5 why's created for the Data analysis created.</t>
  </si>
  <si>
    <t>Visualization on 1st Why</t>
  </si>
  <si>
    <t>Visualization on 2nd Why</t>
  </si>
  <si>
    <t>Visualization on 3rd Why</t>
  </si>
  <si>
    <t>Visualization on 5th Why</t>
  </si>
  <si>
    <t>Visualization on 4th Why</t>
  </si>
  <si>
    <t>=WEEKDAY([@Date])</t>
  </si>
  <si>
    <t>=SUM(H46+I46)</t>
  </si>
  <si>
    <t>=G46-J46</t>
  </si>
  <si>
    <t>=([@[Inspect Pass]]/[@[Total Inspected]])</t>
  </si>
  <si>
    <t>=[@[Inspect Pass]]*VLOOKUP([@[LineA-ProdType]],'Other Lists'!$B$17:$H$19,7,FALSE)</t>
  </si>
  <si>
    <t>'=[@Received]*((VLOOKUP([@[LineA-ProdType]],'Other Lists'!$B$16:$G$19,5,FALSE)+(VLOOKUP([@[LineA-ProdType]],'Other Lists'!$B$16:$G$19,6,FALSE))))</t>
  </si>
  <si>
    <t>=[@[Possible Supplier Income]]-[@[Supplier Cost of Parts]]</t>
  </si>
  <si>
    <t>=[@[Inspect Not Pass]]*((VLOOKUP([@[LineA-ProdType]],'Other Lists'!$B$17:$G$19,5,FALSE)+VLOOKUP([@[LineA-ProdType]],'Other Lists'!$B$17:$G$19,6,FALSE)))</t>
  </si>
  <si>
    <t>=[@Inspectors]-[@Training]-[@Regular]</t>
  </si>
  <si>
    <t>=VLOOKUP([@Shift],'Other Lists'!$B$31:$H$36,7,FALSE)*8*[@Casual]</t>
  </si>
  <si>
    <t>=VLOOKUP([@Shift],'Other Lists'!$B$31:$H$36,7,FALSE)*8*[@Training]</t>
  </si>
  <si>
    <t>=VLOOKUP([@Shift],'Other Lists'!$B$31:$H$36,7,FALSE)*8*[@Regular]</t>
  </si>
  <si>
    <t>=SUM(Table2[@[Training $]:[Casual $]])</t>
  </si>
  <si>
    <t>=[@[Total Line A $]]/[@[Total Inspected]]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</si>
</sst>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;[Red]\-&quot;$&quot;#,##0"/>
    <numFmt numFmtId="165" formatCode="&quot;$&quot;#,##0.00;[Red]\-&quot;$&quot;#,##0.00"/>
    <numFmt numFmtId="166" formatCode="[$-F800]dddd\,\ mmmm\ dd\,\ yyyy"/>
    <numFmt numFmtId="167" formatCode="0.0%"/>
    <numFmt numFmtId="168" formatCode="_-[$$-409]* #,##0.00_ ;_-[$$-409]* \-#,##0.00\ ;_-[$$-409]* &quot;-&quot;??_ ;_-@_ 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166" fontId="0" fillId="0" borderId="0" xfId="0" applyNumberFormat="1" applyAlignment="1">
      <alignment horizontal="left"/>
    </xf>
    <xf numFmtId="0" fontId="5" fillId="0" borderId="0" xfId="0" applyFont="1"/>
    <xf numFmtId="0" fontId="2" fillId="0" borderId="0" xfId="1"/>
    <xf numFmtId="0" fontId="0" fillId="0" borderId="0" xfId="0" applyAlignment="1">
      <alignment wrapText="1"/>
    </xf>
    <xf numFmtId="0" fontId="6" fillId="0" borderId="0" xfId="0" applyFont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5" fontId="0" fillId="0" borderId="0" xfId="0" applyNumberFormat="1"/>
    <xf numFmtId="0" fontId="9" fillId="0" borderId="0" xfId="0" applyFont="1"/>
    <xf numFmtId="14" fontId="0" fillId="0" borderId="0" xfId="0" applyNumberFormat="1"/>
    <xf numFmtId="15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2" fillId="0" borderId="0" xfId="1" applyAlignment="1">
      <alignment wrapText="1"/>
    </xf>
    <xf numFmtId="0" fontId="0" fillId="3" borderId="0" xfId="0" quotePrefix="1" applyFill="1" applyAlignment="1">
      <alignment wrapText="1"/>
    </xf>
    <xf numFmtId="0" fontId="0" fillId="3" borderId="1" xfId="0" quotePrefix="1" applyFill="1" applyBorder="1"/>
    <xf numFmtId="0" fontId="0" fillId="3" borderId="1" xfId="0" quotePrefix="1" applyFill="1" applyBorder="1" applyAlignment="1">
      <alignment wrapText="1"/>
    </xf>
    <xf numFmtId="168" fontId="0" fillId="0" borderId="1" xfId="0" quotePrefix="1" applyNumberFormat="1" applyBorder="1"/>
    <xf numFmtId="0" fontId="0" fillId="3" borderId="1" xfId="0" applyFill="1" applyBorder="1" applyAlignment="1">
      <alignment wrapText="1"/>
    </xf>
    <xf numFmtId="0" fontId="11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2" fillId="0" borderId="0" xfId="1" applyFill="1"/>
  </cellXfs>
  <cellStyles count="2">
    <cellStyle name="Hyperlink" xfId="1" builtinId="8"/>
    <cellStyle name="Normal" xfId="0" builtinId="0"/>
  </cellStyles>
  <dxfs count="64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$-409]* #,##0.00_ ;_-[$$-409]* \-#,##0.00\ ;_-[$$-409]* &quot;-&quot;??_ ;_-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$-409]* #,##0.00_ ;_-[$$-409]* \-#,##0.00\ ;_-[$$-409]* &quot;-&quot;??_ ;_-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numFmt numFmtId="20" formatCode="dd/mmm/yy"/>
    </dxf>
    <dxf>
      <numFmt numFmtId="20" formatCode="dd/mmm/yy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[8136 CS2 DataSet L Siddhesh Otari-8934061.xlsx]Why#1 Visualization!PivotTable1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'Why#1 Visualization'!$C$10</c:f>
              <c:strCache>
                <c:ptCount val="1"/>
                <c:pt idx="0">
                  <c:v>Sum of Received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'Why#1 Visualization'!$B$11:$B$19</c:f>
              <c:strCache>
                <c:ptCount val="8"/>
                <c:pt idx="0">
                  <c:v>11-06-2023</c:v>
                </c:pt>
                <c:pt idx="1">
                  <c:v>12-06-2023</c:v>
                </c:pt>
                <c:pt idx="2">
                  <c:v>18-06-2023</c:v>
                </c:pt>
                <c:pt idx="3">
                  <c:v>19-06-2023</c:v>
                </c:pt>
                <c:pt idx="4">
                  <c:v>25-06-2023</c:v>
                </c:pt>
                <c:pt idx="5">
                  <c:v>26-06-2023</c:v>
                </c:pt>
                <c:pt idx="6">
                  <c:v>02-07-2023</c:v>
                </c:pt>
                <c:pt idx="7">
                  <c:v>03-07-2023</c:v>
                </c:pt>
              </c:strCache>
            </c:strRef>
          </c:cat>
          <c:val>
            <c:numRef>
              <c:f>'Why#1 Visualization'!$C$11:$C$19</c:f>
              <c:numCache>
                <c:formatCode>General</c:formatCode>
                <c:ptCount val="8"/>
                <c:pt idx="0">
                  <c:v>148</c:v>
                </c:pt>
                <c:pt idx="1">
                  <c:v>339</c:v>
                </c:pt>
                <c:pt idx="2">
                  <c:v>371</c:v>
                </c:pt>
                <c:pt idx="3">
                  <c:v>322</c:v>
                </c:pt>
                <c:pt idx="4">
                  <c:v>385</c:v>
                </c:pt>
                <c:pt idx="5">
                  <c:v>149</c:v>
                </c:pt>
                <c:pt idx="6">
                  <c:v>159</c:v>
                </c:pt>
                <c:pt idx="7">
                  <c:v>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3-4C11-96C0-00FF0A1FA2DF}"/>
            </c:ext>
          </c:extLst>
        </c:ser>
        <c:ser>
          <c:idx val="1"/>
          <c:order val="1"/>
          <c:tx>
            <c:strRef>
              <c:f>'Why#1 Visualization'!$D$10</c:f>
              <c:strCache>
                <c:ptCount val="1"/>
                <c:pt idx="0">
                  <c:v>Sum of Capacity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'Why#1 Visualization'!$B$11:$B$19</c:f>
              <c:strCache>
                <c:ptCount val="8"/>
                <c:pt idx="0">
                  <c:v>11-06-2023</c:v>
                </c:pt>
                <c:pt idx="1">
                  <c:v>12-06-2023</c:v>
                </c:pt>
                <c:pt idx="2">
                  <c:v>18-06-2023</c:v>
                </c:pt>
                <c:pt idx="3">
                  <c:v>19-06-2023</c:v>
                </c:pt>
                <c:pt idx="4">
                  <c:v>25-06-2023</c:v>
                </c:pt>
                <c:pt idx="5">
                  <c:v>26-06-2023</c:v>
                </c:pt>
                <c:pt idx="6">
                  <c:v>02-07-2023</c:v>
                </c:pt>
                <c:pt idx="7">
                  <c:v>03-07-2023</c:v>
                </c:pt>
              </c:strCache>
            </c:strRef>
          </c:cat>
          <c:val>
            <c:numRef>
              <c:f>'Why#1 Visualization'!$D$11:$D$19</c:f>
              <c:numCache>
                <c:formatCode>General</c:formatCode>
                <c:ptCount val="8"/>
                <c:pt idx="0">
                  <c:v>140</c:v>
                </c:pt>
                <c:pt idx="1">
                  <c:v>349.99999999999994</c:v>
                </c:pt>
                <c:pt idx="2">
                  <c:v>349.99999999999994</c:v>
                </c:pt>
                <c:pt idx="3">
                  <c:v>349.99999999999994</c:v>
                </c:pt>
                <c:pt idx="4">
                  <c:v>349.99999999999994</c:v>
                </c:pt>
                <c:pt idx="5">
                  <c:v>140</c:v>
                </c:pt>
                <c:pt idx="6">
                  <c:v>140</c:v>
                </c:pt>
                <c:pt idx="7">
                  <c:v>349.99999999999994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3-4C11-96C0-00FF0A1FA2DF}"/>
            </c:ext>
          </c:extLst>
        </c:ser>
        <c:ser>
          <c:idx val="2"/>
          <c:order val="2"/>
          <c:tx>
            <c:strRef>
              <c:f>'Why#1 Visualization'!$E$10</c:f>
              <c:strCache>
                <c:ptCount val="1"/>
                <c:pt idx="0">
                  <c:v>Sum of Not Inspected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'Why#1 Visualization'!$B$11:$B$19</c:f>
              <c:strCache>
                <c:ptCount val="8"/>
                <c:pt idx="0">
                  <c:v>11-06-2023</c:v>
                </c:pt>
                <c:pt idx="1">
                  <c:v>12-06-2023</c:v>
                </c:pt>
                <c:pt idx="2">
                  <c:v>18-06-2023</c:v>
                </c:pt>
                <c:pt idx="3">
                  <c:v>19-06-2023</c:v>
                </c:pt>
                <c:pt idx="4">
                  <c:v>25-06-2023</c:v>
                </c:pt>
                <c:pt idx="5">
                  <c:v>26-06-2023</c:v>
                </c:pt>
                <c:pt idx="6">
                  <c:v>02-07-2023</c:v>
                </c:pt>
                <c:pt idx="7">
                  <c:v>03-07-2023</c:v>
                </c:pt>
              </c:strCache>
            </c:strRef>
          </c:cat>
          <c:val>
            <c:numRef>
              <c:f>'Why#1 Visualization'!$E$11:$E$19</c:f>
              <c:numCache>
                <c:formatCode>General</c:formatCode>
                <c:ptCount val="8"/>
                <c:pt idx="0">
                  <c:v>8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35</c:v>
                </c:pt>
                <c:pt idx="5">
                  <c:v>4</c:v>
                </c:pt>
                <c:pt idx="6">
                  <c:v>24</c:v>
                </c:pt>
                <c:pt idx="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D3-4C11-96C0-00FF0A1FA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098032"/>
        <c:axId val="1944108112"/>
      </c:barChart>
      <c:catAx>
        <c:axId val="194409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08112"/>
        <c:crosses val="autoZero"/>
        <c:auto val="1"/>
        <c:lblAlgn val="ctr"/>
        <c:lblOffset val="100"/>
        <c:noMultiLvlLbl val="0"/>
      </c:catAx>
      <c:valAx>
        <c:axId val="19441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9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[8136 CS2 DataSet L Siddhesh Otari-8934061.xlsx]Why#2 Visualization!PivotTable3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'Why#2 Visualization'!$C$7</c:f>
              <c:strCache>
                <c:ptCount val="1"/>
                <c:pt idx="0">
                  <c:v>Sum of Total Inspected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'Why#2 Visualization'!$B$8:$B$16</c:f>
              <c:strCache>
                <c:ptCount val="8"/>
                <c:pt idx="0">
                  <c:v>11-06-2023</c:v>
                </c:pt>
                <c:pt idx="1">
                  <c:v>12-06-2023</c:v>
                </c:pt>
                <c:pt idx="2">
                  <c:v>18-06-2023</c:v>
                </c:pt>
                <c:pt idx="3">
                  <c:v>19-06-2023</c:v>
                </c:pt>
                <c:pt idx="4">
                  <c:v>25-06-2023</c:v>
                </c:pt>
                <c:pt idx="5">
                  <c:v>26-06-2023</c:v>
                </c:pt>
                <c:pt idx="6">
                  <c:v>02-07-2023</c:v>
                </c:pt>
                <c:pt idx="7">
                  <c:v>03-07-2023</c:v>
                </c:pt>
              </c:strCache>
            </c:strRef>
          </c:cat>
          <c:val>
            <c:numRef>
              <c:f>'Why#2 Visualization'!$C$8:$C$16</c:f>
              <c:numCache>
                <c:formatCode>General</c:formatCode>
                <c:ptCount val="8"/>
                <c:pt idx="0">
                  <c:v>140</c:v>
                </c:pt>
                <c:pt idx="1">
                  <c:v>339</c:v>
                </c:pt>
                <c:pt idx="2">
                  <c:v>367</c:v>
                </c:pt>
                <c:pt idx="3">
                  <c:v>322</c:v>
                </c:pt>
                <c:pt idx="4">
                  <c:v>350</c:v>
                </c:pt>
                <c:pt idx="5">
                  <c:v>145</c:v>
                </c:pt>
                <c:pt idx="6">
                  <c:v>135</c:v>
                </c:pt>
                <c:pt idx="7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E-4B16-AE32-E77696832C3F}"/>
            </c:ext>
          </c:extLst>
        </c:ser>
        <c:ser>
          <c:idx val="1"/>
          <c:order val="1"/>
          <c:tx>
            <c:strRef>
              <c:f>'Why#2 Visualization'!$D$7</c:f>
              <c:strCache>
                <c:ptCount val="1"/>
                <c:pt idx="0">
                  <c:v>Sum of Capacity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'Why#2 Visualization'!$B$8:$B$16</c:f>
              <c:strCache>
                <c:ptCount val="8"/>
                <c:pt idx="0">
                  <c:v>11-06-2023</c:v>
                </c:pt>
                <c:pt idx="1">
                  <c:v>12-06-2023</c:v>
                </c:pt>
                <c:pt idx="2">
                  <c:v>18-06-2023</c:v>
                </c:pt>
                <c:pt idx="3">
                  <c:v>19-06-2023</c:v>
                </c:pt>
                <c:pt idx="4">
                  <c:v>25-06-2023</c:v>
                </c:pt>
                <c:pt idx="5">
                  <c:v>26-06-2023</c:v>
                </c:pt>
                <c:pt idx="6">
                  <c:v>02-07-2023</c:v>
                </c:pt>
                <c:pt idx="7">
                  <c:v>03-07-2023</c:v>
                </c:pt>
              </c:strCache>
            </c:strRef>
          </c:cat>
          <c:val>
            <c:numRef>
              <c:f>'Why#2 Visualization'!$D$8:$D$16</c:f>
              <c:numCache>
                <c:formatCode>General</c:formatCode>
                <c:ptCount val="8"/>
                <c:pt idx="0">
                  <c:v>140</c:v>
                </c:pt>
                <c:pt idx="1">
                  <c:v>349.99999999999994</c:v>
                </c:pt>
                <c:pt idx="2">
                  <c:v>349.99999999999994</c:v>
                </c:pt>
                <c:pt idx="3">
                  <c:v>349.99999999999994</c:v>
                </c:pt>
                <c:pt idx="4">
                  <c:v>349.99999999999994</c:v>
                </c:pt>
                <c:pt idx="5">
                  <c:v>140</c:v>
                </c:pt>
                <c:pt idx="6">
                  <c:v>140</c:v>
                </c:pt>
                <c:pt idx="7">
                  <c:v>349.99999999999994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E-4B16-AE32-E77696832C3F}"/>
            </c:ext>
          </c:extLst>
        </c:ser>
        <c:ser>
          <c:idx val="2"/>
          <c:order val="2"/>
          <c:tx>
            <c:strRef>
              <c:f>'Why#2 Visualization'!$E$7</c:f>
              <c:strCache>
                <c:ptCount val="1"/>
                <c:pt idx="0">
                  <c:v>Sum of Over / Under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'Why#2 Visualization'!$B$8:$B$16</c:f>
              <c:strCache>
                <c:ptCount val="8"/>
                <c:pt idx="0">
                  <c:v>11-06-2023</c:v>
                </c:pt>
                <c:pt idx="1">
                  <c:v>12-06-2023</c:v>
                </c:pt>
                <c:pt idx="2">
                  <c:v>18-06-2023</c:v>
                </c:pt>
                <c:pt idx="3">
                  <c:v>19-06-2023</c:v>
                </c:pt>
                <c:pt idx="4">
                  <c:v>25-06-2023</c:v>
                </c:pt>
                <c:pt idx="5">
                  <c:v>26-06-2023</c:v>
                </c:pt>
                <c:pt idx="6">
                  <c:v>02-07-2023</c:v>
                </c:pt>
                <c:pt idx="7">
                  <c:v>03-07-2023</c:v>
                </c:pt>
              </c:strCache>
            </c:strRef>
          </c:cat>
          <c:val>
            <c:numRef>
              <c:f>'Why#2 Visualization'!$E$8:$E$16</c:f>
              <c:numCache>
                <c:formatCode>General</c:formatCode>
                <c:ptCount val="8"/>
                <c:pt idx="0">
                  <c:v>8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35</c:v>
                </c:pt>
                <c:pt idx="5">
                  <c:v>4</c:v>
                </c:pt>
                <c:pt idx="6">
                  <c:v>24</c:v>
                </c:pt>
                <c:pt idx="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8E-4B16-AE32-E77696832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037744"/>
        <c:axId val="2029035344"/>
      </c:barChart>
      <c:catAx>
        <c:axId val="2029037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Inspection</a:t>
                </a:r>
                <a:r>
                  <a:rPr lang="en-IN" baseline="0"/>
                  <a:t> Date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035344"/>
        <c:crosses val="autoZero"/>
        <c:auto val="1"/>
        <c:lblAlgn val="ctr"/>
        <c:lblOffset val="100"/>
        <c:noMultiLvlLbl val="0"/>
      </c:catAx>
      <c:valAx>
        <c:axId val="202903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Count of Parts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03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[8136 CS2 DataSet L Siddhesh Otari-8934061.xlsx]Why#3 Visualization!PivotTable4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'Why#3 Visualization'!$C$7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'Why#3 Visualization'!$B$8:$B$16</c:f>
              <c:strCache>
                <c:ptCount val="8"/>
                <c:pt idx="0">
                  <c:v>11-06-2023</c:v>
                </c:pt>
                <c:pt idx="1">
                  <c:v>12-06-2023</c:v>
                </c:pt>
                <c:pt idx="2">
                  <c:v>18-06-2023</c:v>
                </c:pt>
                <c:pt idx="3">
                  <c:v>19-06-2023</c:v>
                </c:pt>
                <c:pt idx="4">
                  <c:v>25-06-2023</c:v>
                </c:pt>
                <c:pt idx="5">
                  <c:v>26-06-2023</c:v>
                </c:pt>
                <c:pt idx="6">
                  <c:v>02-07-2023</c:v>
                </c:pt>
                <c:pt idx="7">
                  <c:v>03-07-2023</c:v>
                </c:pt>
              </c:strCache>
            </c:strRef>
          </c:cat>
          <c:val>
            <c:numRef>
              <c:f>'Why#3 Visualization'!$C$8:$C$16</c:f>
              <c:numCache>
                <c:formatCode>General</c:formatCode>
                <c:ptCount val="8"/>
                <c:pt idx="0">
                  <c:v>9230</c:v>
                </c:pt>
                <c:pt idx="1">
                  <c:v>10080</c:v>
                </c:pt>
                <c:pt idx="2">
                  <c:v>11360</c:v>
                </c:pt>
                <c:pt idx="3">
                  <c:v>9760</c:v>
                </c:pt>
                <c:pt idx="4">
                  <c:v>10976</c:v>
                </c:pt>
                <c:pt idx="5">
                  <c:v>9514</c:v>
                </c:pt>
                <c:pt idx="6">
                  <c:v>8946</c:v>
                </c:pt>
                <c:pt idx="7">
                  <c:v>10400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0-4054-B208-E6EA42453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523984"/>
        <c:axId val="2030514384"/>
      </c:lineChart>
      <c:catAx>
        <c:axId val="203052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Inspection</a:t>
                </a:r>
                <a:r>
                  <a:rPr lang="en-IN" baseline="0"/>
                  <a:t> Date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514384"/>
        <c:crosses val="autoZero"/>
        <c:auto val="1"/>
        <c:lblAlgn val="ctr"/>
        <c:lblOffset val="100"/>
        <c:noMultiLvlLbl val="0"/>
      </c:catAx>
      <c:valAx>
        <c:axId val="20305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Possible</a:t>
                </a:r>
                <a:r>
                  <a:rPr lang="en-IN" baseline="0"/>
                  <a:t> Supplier Income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52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[8136 CS2 DataSet L Siddhesh Otari-8934061.xlsx]Why#4 Visualization!PivotTable5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'Why#4 Visualization'!$C$7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'Why#4 Visualization'!$B$8:$B$16</c:f>
              <c:strCache>
                <c:ptCount val="8"/>
                <c:pt idx="0">
                  <c:v>11-06-2023</c:v>
                </c:pt>
                <c:pt idx="1">
                  <c:v>12-06-2023</c:v>
                </c:pt>
                <c:pt idx="2">
                  <c:v>18-06-2023</c:v>
                </c:pt>
                <c:pt idx="3">
                  <c:v>19-06-2023</c:v>
                </c:pt>
                <c:pt idx="4">
                  <c:v>25-06-2023</c:v>
                </c:pt>
                <c:pt idx="5">
                  <c:v>26-06-2023</c:v>
                </c:pt>
                <c:pt idx="6">
                  <c:v>02-07-2023</c:v>
                </c:pt>
                <c:pt idx="7">
                  <c:v>03-07-2023</c:v>
                </c:pt>
              </c:strCache>
            </c:strRef>
          </c:cat>
          <c:val>
            <c:numRef>
              <c:f>'Why#4 Visualization'!$C$8:$C$16</c:f>
              <c:numCache>
                <c:formatCode>General</c:formatCode>
                <c:ptCount val="8"/>
                <c:pt idx="0">
                  <c:v>7266.8</c:v>
                </c:pt>
                <c:pt idx="1">
                  <c:v>9763.2000000000007</c:v>
                </c:pt>
                <c:pt idx="2">
                  <c:v>10684.800000000001</c:v>
                </c:pt>
                <c:pt idx="3">
                  <c:v>9273.6</c:v>
                </c:pt>
                <c:pt idx="4">
                  <c:v>11088</c:v>
                </c:pt>
                <c:pt idx="5">
                  <c:v>7315.9000000000005</c:v>
                </c:pt>
                <c:pt idx="6">
                  <c:v>7806.9000000000005</c:v>
                </c:pt>
                <c:pt idx="7">
                  <c:v>11174.4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A-448F-B779-6C1AC7A77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379904"/>
        <c:axId val="2051373184"/>
      </c:barChart>
      <c:catAx>
        <c:axId val="205137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73184"/>
        <c:crosses val="autoZero"/>
        <c:auto val="1"/>
        <c:lblAlgn val="ctr"/>
        <c:lblOffset val="100"/>
        <c:noMultiLvlLbl val="0"/>
      </c:catAx>
      <c:valAx>
        <c:axId val="20513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7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[8136 CS2 DataSet L Siddhesh Otari-8934061.xlsx]Why#5 Visualization!PivotTable6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'Why#5 Visualization'!$C$7</c:f>
              <c:strCache>
                <c:ptCount val="1"/>
                <c:pt idx="0">
                  <c:v>Sum of Possible Supplier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'Why#5 Visualization'!$B$8:$B$16</c:f>
              <c:strCache>
                <c:ptCount val="8"/>
                <c:pt idx="0">
                  <c:v>11-06-2023</c:v>
                </c:pt>
                <c:pt idx="1">
                  <c:v>12-06-2023</c:v>
                </c:pt>
                <c:pt idx="2">
                  <c:v>18-06-2023</c:v>
                </c:pt>
                <c:pt idx="3">
                  <c:v>19-06-2023</c:v>
                </c:pt>
                <c:pt idx="4">
                  <c:v>25-06-2023</c:v>
                </c:pt>
                <c:pt idx="5">
                  <c:v>26-06-2023</c:v>
                </c:pt>
                <c:pt idx="6">
                  <c:v>02-07-2023</c:v>
                </c:pt>
                <c:pt idx="7">
                  <c:v>03-07-2023</c:v>
                </c:pt>
              </c:strCache>
            </c:strRef>
          </c:cat>
          <c:val>
            <c:numRef>
              <c:f>'Why#5 Visualization'!$C$8:$C$16</c:f>
              <c:numCache>
                <c:formatCode>General</c:formatCode>
                <c:ptCount val="8"/>
                <c:pt idx="0">
                  <c:v>1963.1999999999998</c:v>
                </c:pt>
                <c:pt idx="1">
                  <c:v>316.79999999999927</c:v>
                </c:pt>
                <c:pt idx="2">
                  <c:v>675.19999999999891</c:v>
                </c:pt>
                <c:pt idx="3">
                  <c:v>486.39999999999964</c:v>
                </c:pt>
                <c:pt idx="4">
                  <c:v>-112</c:v>
                </c:pt>
                <c:pt idx="5">
                  <c:v>2198.0999999999995</c:v>
                </c:pt>
                <c:pt idx="6">
                  <c:v>1139.0999999999995</c:v>
                </c:pt>
                <c:pt idx="7">
                  <c:v>-774.39999999999964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5-4925-9A8E-B9C577429D40}"/>
            </c:ext>
          </c:extLst>
        </c:ser>
        <c:ser>
          <c:idx val="1"/>
          <c:order val="1"/>
          <c:tx>
            <c:strRef>
              <c:f>'Why#5 Visualization'!$D$7</c:f>
              <c:strCache>
                <c:ptCount val="1"/>
                <c:pt idx="0">
                  <c:v>Sum of Supplier Cost of Bad 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'Why#5 Visualization'!$B$8:$B$16</c:f>
              <c:strCache>
                <c:ptCount val="8"/>
                <c:pt idx="0">
                  <c:v>11-06-2023</c:v>
                </c:pt>
                <c:pt idx="1">
                  <c:v>12-06-2023</c:v>
                </c:pt>
                <c:pt idx="2">
                  <c:v>18-06-2023</c:v>
                </c:pt>
                <c:pt idx="3">
                  <c:v>19-06-2023</c:v>
                </c:pt>
                <c:pt idx="4">
                  <c:v>25-06-2023</c:v>
                </c:pt>
                <c:pt idx="5">
                  <c:v>26-06-2023</c:v>
                </c:pt>
                <c:pt idx="6">
                  <c:v>02-07-2023</c:v>
                </c:pt>
                <c:pt idx="7">
                  <c:v>03-07-2023</c:v>
                </c:pt>
              </c:strCache>
            </c:strRef>
          </c:cat>
          <c:val>
            <c:numRef>
              <c:f>'Why#5 Visualization'!$D$8:$D$16</c:f>
              <c:numCache>
                <c:formatCode>General</c:formatCode>
                <c:ptCount val="8"/>
                <c:pt idx="0">
                  <c:v>491</c:v>
                </c:pt>
                <c:pt idx="1">
                  <c:v>691.2</c:v>
                </c:pt>
                <c:pt idx="2">
                  <c:v>345.6</c:v>
                </c:pt>
                <c:pt idx="3">
                  <c:v>489.6</c:v>
                </c:pt>
                <c:pt idx="4">
                  <c:v>201.6</c:v>
                </c:pt>
                <c:pt idx="5">
                  <c:v>540.1</c:v>
                </c:pt>
                <c:pt idx="6">
                  <c:v>441.90000000000003</c:v>
                </c:pt>
                <c:pt idx="7">
                  <c:v>201.6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5-4925-9A8E-B9C577429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100432"/>
        <c:axId val="1944102352"/>
      </c:barChart>
      <c:catAx>
        <c:axId val="19441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02352"/>
        <c:crosses val="autoZero"/>
        <c:auto val="1"/>
        <c:lblAlgn val="ctr"/>
        <c:lblOffset val="100"/>
        <c:noMultiLvlLbl val="0"/>
      </c:catAx>
      <c:valAx>
        <c:axId val="19441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0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7</xdr:row>
      <xdr:rowOff>39052</xdr:rowOff>
    </xdr:from>
    <xdr:to>
      <xdr:col>16</xdr:col>
      <xdr:colOff>220980</xdr:colOff>
      <xdr:row>22</xdr:row>
      <xdr:rowOff>75247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3B190-A116-E11D-4EC3-8D14D281B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307657</xdr:colOff>
      <xdr:row>2</xdr:row>
      <xdr:rowOff>35242</xdr:rowOff>
    </xdr:from>
    <xdr:to>
      <xdr:col>11</xdr:col>
      <xdr:colOff>514350</xdr:colOff>
      <xdr:row>19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85EEA3-7CAF-68E4-D73F-CE733118B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598170</xdr:colOff>
      <xdr:row>2</xdr:row>
      <xdr:rowOff>134302</xdr:rowOff>
    </xdr:from>
    <xdr:to>
      <xdr:col>12</xdr:col>
      <xdr:colOff>293370</xdr:colOff>
      <xdr:row>17</xdr:row>
      <xdr:rowOff>170497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250DD-5D6C-F03F-4F76-BC40FCDC7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3</xdr:row>
      <xdr:rowOff>29527</xdr:rowOff>
    </xdr:from>
    <xdr:to>
      <xdr:col>12</xdr:col>
      <xdr:colOff>219075</xdr:colOff>
      <xdr:row>18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3985E-EE8C-ECE9-B9F1-1F9EE4DA0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</xdr:colOff>
      <xdr:row>3</xdr:row>
      <xdr:rowOff>58102</xdr:rowOff>
    </xdr:from>
    <xdr:to>
      <xdr:col>12</xdr:col>
      <xdr:colOff>331470</xdr:colOff>
      <xdr:row>18</xdr:row>
      <xdr:rowOff>94297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8B9267-CA5E-C2CE-F66E-35E1BD059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87.890713773151" createdVersion="8" refreshedVersion="8" minRefreshableVersion="3" recordCount="87" xr:uid="{6506FC82-45D8-4FB5-96AB-E4F477369939}">
  <cacheSource type="worksheet">
    <worksheetSource name="Table2"/>
  </cacheSource>
  <cacheFields count="54">
    <cacheField name="InspectDataID" numFmtId="0">
      <sharedItems containsSemiMixedTypes="0" containsString="0" containsNumber="1" containsInteger="1" minValue="890" maxValue="976"/>
    </cacheField>
    <cacheField name="Date" numFmtId="14">
      <sharedItems containsSemiMixedTypes="0" containsNonDate="0" containsDate="1" containsString="0" minDate="2023-06-06T00:00:00" maxDate="2023-07-05T00:00:00" count="29"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</sharedItems>
      <fieldGroup par="53"/>
    </cacheField>
    <cacheField name="Day of Week" numFmtId="0">
      <sharedItems containsSemiMixedTypes="0" containsString="0" containsNumber="1" containsInteger="1" minValue="1" maxValue="7" count="7">
        <n v="3"/>
        <n v="4"/>
        <n v="5"/>
        <n v="6"/>
        <n v="7"/>
        <n v="1"/>
        <n v="2"/>
      </sharedItems>
    </cacheField>
    <cacheField name="Shift" numFmtId="0">
      <sharedItems containsSemiMixedTypes="0" containsString="0" containsNumber="1" containsInteger="1" minValue="1" maxValue="3" count="3">
        <n v="1"/>
        <n v="2"/>
        <n v="3"/>
      </sharedItems>
    </cacheField>
    <cacheField name="LineA-ProdType" numFmtId="0">
      <sharedItems containsSemiMixedTypes="0" containsString="0" containsNumber="1" containsInteger="1" minValue="119" maxValue="201"/>
    </cacheField>
    <cacheField name="Received" numFmtId="0">
      <sharedItems containsSemiMixedTypes="0" containsString="0" containsNumber="1" containsInteger="1" minValue="0" maxValue="1249" count="70">
        <n v="470"/>
        <n v="378"/>
        <n v="882"/>
        <n v="1197"/>
        <n v="1081"/>
        <n v="228"/>
        <n v="207"/>
        <n v="871"/>
        <n v="478"/>
        <n v="1008"/>
        <n v="411"/>
        <n v="477"/>
        <n v="624"/>
        <n v="445"/>
        <n v="861"/>
        <n v="352"/>
        <n v="1018"/>
        <n v="1249"/>
        <n v="172"/>
        <n v="435"/>
        <n v="441"/>
        <n v="1155"/>
        <n v="987"/>
        <n v="840"/>
        <n v="462"/>
        <n v="619"/>
        <n v="340"/>
        <n v="374"/>
        <n v="322"/>
        <n v="350"/>
        <n v="308"/>
        <n v="416"/>
        <n v="148"/>
        <n v="339"/>
        <n v="805"/>
        <n v="787"/>
        <n v="796"/>
        <n v="364"/>
        <n v="371"/>
        <n v="332"/>
        <n v="409"/>
        <n v="735"/>
        <n v="399"/>
        <n v="385"/>
        <n v="149"/>
        <n v="367"/>
        <n v="901"/>
        <n v="395"/>
        <n v="778"/>
        <n v="159"/>
        <n v="388"/>
        <n v="953"/>
        <n v="651"/>
        <n v="336"/>
        <n v="289"/>
        <n v="264"/>
        <n v="903"/>
        <n v="0"/>
        <n v="546"/>
        <n v="344"/>
        <n v="260"/>
        <n v="714"/>
        <n v="556"/>
        <n v="373"/>
        <n v="369"/>
        <n v="766"/>
        <n v="819"/>
        <n v="247"/>
        <n v="934"/>
        <n v="598"/>
      </sharedItems>
    </cacheField>
    <cacheField name="Received Inspected" numFmtId="0">
      <sharedItems containsSemiMixedTypes="0" containsString="0" containsNumber="1" containsInteger="1" minValue="0" maxValue="1081"/>
    </cacheField>
    <cacheField name="Leftover Inspected" numFmtId="0">
      <sharedItems containsSemiMixedTypes="0" containsString="0" containsNumber="1" containsInteger="1" minValue="0" maxValue="235"/>
    </cacheField>
    <cacheField name="Total Inspected" numFmtId="0">
      <sharedItems containsSemiMixedTypes="0" containsString="0" containsNumber="1" containsInteger="1" minValue="0" maxValue="1081" count="62">
        <n v="420"/>
        <n v="378"/>
        <n v="882"/>
        <n v="955"/>
        <n v="1081"/>
        <n v="210"/>
        <n v="201"/>
        <n v="1050"/>
        <n v="871"/>
        <n v="403"/>
        <n v="857"/>
        <n v="350"/>
        <n v="477"/>
        <n v="509"/>
        <n v="432"/>
        <n v="861"/>
        <n v="352"/>
        <n v="913"/>
        <n v="172"/>
        <n v="435"/>
        <n v="424"/>
        <n v="840"/>
        <n v="987"/>
        <n v="411"/>
        <n v="462"/>
        <n v="546"/>
        <n v="340"/>
        <n v="360"/>
        <n v="322"/>
        <n v="288"/>
        <n v="308"/>
        <n v="343"/>
        <n v="140"/>
        <n v="339"/>
        <n v="805"/>
        <n v="787"/>
        <n v="796"/>
        <n v="336"/>
        <n v="367"/>
        <n v="332"/>
        <n v="735"/>
        <n v="353"/>
        <n v="145"/>
        <n v="778"/>
        <n v="135"/>
        <n v="715"/>
        <n v="351"/>
        <n v="976"/>
        <n v="0"/>
        <n v="577"/>
        <n v="619"/>
        <n v="419"/>
        <n v="803"/>
        <n v="853"/>
        <n v="633"/>
        <n v="373"/>
        <n v="1001"/>
        <n v="836"/>
        <n v="990"/>
        <n v="598"/>
        <n v="320"/>
        <n v="440"/>
      </sharedItems>
    </cacheField>
    <cacheField name="Capacity" numFmtId="0">
      <sharedItems containsSemiMixedTypes="0" containsString="0" containsNumber="1" minValue="0" maxValue="1049.9999999999998" count="9">
        <n v="420"/>
        <n v="1049.9999999999998"/>
        <n v="210"/>
        <n v="524.99999999999989"/>
        <n v="350"/>
        <n v="140"/>
        <n v="349.99999999999994"/>
        <n v="874.99999999999989"/>
        <n v="0"/>
      </sharedItems>
    </cacheField>
    <cacheField name="Not Inspected" numFmtId="0">
      <sharedItems containsSemiMixedTypes="0" containsString="0" containsNumber="1" containsInteger="1" minValue="0" maxValue="315"/>
    </cacheField>
    <cacheField name="Left From Day Shift for 3rd Shift" numFmtId="0">
      <sharedItems containsSemiMixedTypes="0" containsString="0" containsNumber="1" containsInteger="1" minValue="0" maxValue="420"/>
    </cacheField>
    <cacheField name="Inspect Pass" numFmtId="0">
      <sharedItems containsSemiMixedTypes="0" containsString="0" containsNumber="1" containsInteger="1" minValue="0" maxValue="1059"/>
    </cacheField>
    <cacheField name="Inspect Not Pass" numFmtId="0">
      <sharedItems containsSemiMixedTypes="0" containsString="0" containsNumber="1" containsInteger="1" minValue="0" maxValue="67"/>
    </cacheField>
    <cacheField name="Over / Under" numFmtId="0">
      <sharedItems containsSemiMixedTypes="0" containsString="0" containsNumber="1" containsInteger="1" minValue="-235" maxValue="315" count="46">
        <n v="50"/>
        <n v="0"/>
        <n v="242"/>
        <n v="18"/>
        <n v="6"/>
        <n v="31"/>
        <n v="75"/>
        <n v="151"/>
        <n v="61"/>
        <n v="115"/>
        <n v="13"/>
        <n v="105"/>
        <n v="168"/>
        <n v="17"/>
        <n v="315"/>
        <n v="73"/>
        <n v="14"/>
        <n v="62"/>
        <n v="8"/>
        <n v="28"/>
        <n v="4"/>
        <n v="77"/>
        <n v="46"/>
        <n v="67"/>
        <n v="35"/>
        <n v="56"/>
        <n v="60"/>
        <n v="24"/>
        <n v="96"/>
        <n v="-64"/>
        <n v="-62"/>
        <n v="-198"/>
        <n v="-73"/>
        <n v="-31"/>
        <n v="-75"/>
        <n v="-151"/>
        <n v="-89"/>
        <n v="-13"/>
        <n v="-77"/>
        <n v="-93"/>
        <n v="-235"/>
        <n v="-17"/>
        <n v="-215"/>
        <n v="-56"/>
        <n v="-60"/>
        <n v="-96"/>
      </sharedItems>
    </cacheField>
    <cacheField name="Pass%" numFmtId="167">
      <sharedItems containsMixedTypes="1" containsNumber="1" minValue="0.92413793103448272" maxValue="0.98" count="70">
        <n v="0.97857142857142854"/>
        <n v="0.9285714285714286"/>
        <n v="0.9399092970521542"/>
        <n v="0.92984293193717282"/>
        <n v="0.97964847363552265"/>
        <n v="0.96666666666666667"/>
        <n v="0.96517412935323388"/>
        <n v="0.96952380952380957"/>
        <n v="0.95981630309988519"/>
        <n v="0.94789081885856075"/>
        <n v="0.95915985997666275"/>
        <n v="0.94"/>
        <n v="0.97903563941299787"/>
        <n v="0.94891944990176813"/>
        <n v="0.9282407407407407"/>
        <n v="0.97909407665505221"/>
        <n v="0.95738636363636365"/>
        <n v="0.97918948521358162"/>
        <n v="0.97674418604651159"/>
        <n v="0.92873563218390809"/>
        <n v="0.94811320754716977"/>
        <n v="0.96904761904761905"/>
        <n v="0.94934143870314081"/>
        <n v="0.96836982968369834"/>
        <n v="0.92976190476190479"/>
        <n v="0.96969696969696972"/>
        <n v="0.95"/>
        <n v="0.95833333333333337"/>
        <n v="0.97826086956521741"/>
        <n v="0.97727272727272729"/>
        <n v="0.94752186588921283"/>
        <n v="0.92920353982300885"/>
        <n v="0.93913043478260871"/>
        <n v="0.96950444726810669"/>
        <n v="0.95979899497487442"/>
        <n v="0.96730245231607626"/>
        <n v="0.94720496894409933"/>
        <n v="0.97891566265060237"/>
        <n v="0.95783132530120485"/>
        <n v="0.95918367346938771"/>
        <n v="0.94900849858356939"/>
        <n v="0.9487951807228916"/>
        <n v="0.98"/>
        <n v="0.92413793103448272"/>
        <n v="0.92915531335149859"/>
        <n v="0.97989949748743721"/>
        <n v="0.94985250737463123"/>
        <n v="0.96915167095115684"/>
        <n v="0.93805309734513276"/>
        <n v="0.93333333333333335"/>
        <n v="0.92998833138856474"/>
        <n v="0.94965034965034967"/>
        <n v="0.9375"/>
        <n v="0.97720797720797725"/>
        <n v="0.95887445887445888"/>
        <n v="0.93954918032786883"/>
        <e v="#DIV/0!"/>
        <n v="0.94974003466204504"/>
        <n v="0.94991922455573508"/>
        <n v="0.93794749403341293"/>
        <n v="0.93917274939172746"/>
        <n v="0.97882938978829392"/>
        <n v="0.97889800703399765"/>
        <n v="0.92890995260663511"/>
        <n v="0.97855227882037532"/>
        <n v="0.97902097902097907"/>
        <n v="0.95933014354066981"/>
        <n v="0.93939393939393945"/>
        <n v="0.93979933110367897"/>
        <n v="0.9386363636363636"/>
      </sharedItems>
    </cacheField>
    <cacheField name="Possible Supplier Income" numFmtId="168">
      <sharedItems containsSemiMixedTypes="0" containsString="0" containsNumber="1" containsInteger="1" minValue="0" maxValue="33888"/>
    </cacheField>
    <cacheField name="Supplier Cost of Parts" numFmtId="168">
      <sharedItems containsSemiMixedTypes="0" containsString="0" containsNumber="1" minValue="0" maxValue="35971.200000000004"/>
    </cacheField>
    <cacheField name="Possible Supplier Profit" numFmtId="168">
      <sharedItems containsSemiMixedTypes="0" containsString="0" containsNumber="1" minValue="-7216" maxValue="19680.3"/>
    </cacheField>
    <cacheField name="Supplier Cost of Bad Parts" numFmtId="168">
      <sharedItems containsSemiMixedTypes="0" containsString="0" containsNumber="1" minValue="0" maxValue="1929.6000000000001"/>
    </cacheField>
    <cacheField name="Inspectors" numFmtId="0">
      <sharedItems containsSemiMixedTypes="0" containsString="0" containsNumber="1" containsInteger="1" minValue="0" maxValue="6"/>
    </cacheField>
    <cacheField name="Training" numFmtId="0">
      <sharedItems containsSemiMixedTypes="0" containsString="0" containsNumber="1" containsInteger="1" minValue="0" maxValue="1"/>
    </cacheField>
    <cacheField name="Regular" numFmtId="0">
      <sharedItems containsSemiMixedTypes="0" containsString="0" containsNumber="1" containsInteger="1" minValue="0" maxValue="4"/>
    </cacheField>
    <cacheField name="Casual" numFmtId="0">
      <sharedItems containsSemiMixedTypes="0" containsString="0" containsNumber="1" containsInteger="1" minValue="0" maxValue="3"/>
    </cacheField>
    <cacheField name="Training $" numFmtId="168">
      <sharedItems containsSemiMixedTypes="0" containsString="0" containsNumber="1" minValue="0" maxValue="237.6"/>
    </cacheField>
    <cacheField name="Regular $" numFmtId="168">
      <sharedItems containsSemiMixedTypes="0" containsString="0" containsNumber="1" minValue="0" maxValue="1036.8"/>
    </cacheField>
    <cacheField name="Casual $" numFmtId="168">
      <sharedItems containsSemiMixedTypes="0" containsString="0" containsNumber="1" minValue="0" maxValue="777.59999999999991"/>
    </cacheField>
    <cacheField name="Total Line A $" numFmtId="168">
      <sharedItems containsSemiMixedTypes="0" containsString="0" containsNumber="1" minValue="0" maxValue="1555.1999999999998"/>
    </cacheField>
    <cacheField name="Inspect Labour $ per Part" numFmtId="168">
      <sharedItems containsMixedTypes="1" containsNumber="1" minValue="1.0681318681318681" maxValue="4.6285714285714281"/>
    </cacheField>
    <cacheField name="Column1" numFmtId="0">
      <sharedItems containsNonDate="0" containsString="0" containsBlank="1"/>
    </cacheField>
    <cacheField name="LineB-ProdType" numFmtId="0">
      <sharedItems containsSemiMixedTypes="0" containsString="0" containsNumber="1" containsInteger="1" minValue="105" maxValue="105"/>
    </cacheField>
    <cacheField name="Received2" numFmtId="0">
      <sharedItems containsSemiMixedTypes="0" containsString="0" containsNumber="1" containsInteger="1" minValue="0" maxValue="259"/>
    </cacheField>
    <cacheField name="Received Inspected3" numFmtId="0">
      <sharedItems containsSemiMixedTypes="0" containsString="0" containsNumber="1" containsInteger="1" minValue="0" maxValue="226"/>
    </cacheField>
    <cacheField name="Leftover Inspected4" numFmtId="0">
      <sharedItems containsSemiMixedTypes="0" containsString="0" containsNumber="1" containsInteger="1" minValue="0" maxValue="36"/>
    </cacheField>
    <cacheField name="Total Inspected2" numFmtId="0">
      <sharedItems containsSemiMixedTypes="0" containsString="0" containsNumber="1" containsInteger="1" minValue="0" maxValue="226"/>
    </cacheField>
    <cacheField name="Capacity5" numFmtId="0">
      <sharedItems containsSemiMixedTypes="0" containsString="0" containsNumber="1" containsInteger="1" minValue="0" maxValue="216"/>
    </cacheField>
    <cacheField name="Not Inspected6" numFmtId="0">
      <sharedItems containsSemiMixedTypes="0" containsString="0" containsNumber="1" containsInteger="1" minValue="0" maxValue="53"/>
    </cacheField>
    <cacheField name="Left From Day Shift for 3rd Shift7" numFmtId="0">
      <sharedItems containsSemiMixedTypes="0" containsString="0" containsNumber="1" containsInteger="1" minValue="0" maxValue="69"/>
    </cacheField>
    <cacheField name="Inspect Pass8" numFmtId="0">
      <sharedItems containsSemiMixedTypes="0" containsString="0" containsNumber="1" containsInteger="1" minValue="0" maxValue="221"/>
    </cacheField>
    <cacheField name="Inspect Not Pass2" numFmtId="0">
      <sharedItems containsSemiMixedTypes="0" containsString="0" containsNumber="1" containsInteger="1" minValue="0" maxValue="15"/>
    </cacheField>
    <cacheField name="Over/Under" numFmtId="0">
      <sharedItems containsSemiMixedTypes="0" containsString="0" containsNumber="1" containsInteger="1" minValue="-36" maxValue="53"/>
    </cacheField>
    <cacheField name="Pass%9" numFmtId="167">
      <sharedItems containsMixedTypes="1" containsNumber="1" minValue="0.67204301075268813" maxValue="1.1901408450704225"/>
    </cacheField>
    <cacheField name="Inspectors10" numFmtId="0">
      <sharedItems containsSemiMixedTypes="0" containsString="0" containsNumber="1" containsInteger="1" minValue="0" maxValue="8"/>
    </cacheField>
    <cacheField name="Inspectors11" numFmtId="0">
      <sharedItems containsSemiMixedTypes="0" containsString="0" containsNumber="1" containsInteger="1" minValue="0" maxValue="8"/>
    </cacheField>
    <cacheField name="Training12" numFmtId="0">
      <sharedItems containsSemiMixedTypes="0" containsString="0" containsNumber="1" containsInteger="1" minValue="0" maxValue="1"/>
    </cacheField>
    <cacheField name="Regular13" numFmtId="0">
      <sharedItems containsSemiMixedTypes="0" containsString="0" containsNumber="1" containsInteger="1" minValue="0" maxValue="4"/>
    </cacheField>
    <cacheField name="Casual14" numFmtId="0">
      <sharedItems containsSemiMixedTypes="0" containsString="0" containsNumber="1" containsInteger="1" minValue="0" maxValue="5"/>
    </cacheField>
    <cacheField name="Training $15" numFmtId="0">
      <sharedItems containsNonDate="0" containsString="0" containsBlank="1"/>
    </cacheField>
    <cacheField name="Regular $16" numFmtId="0">
      <sharedItems containsNonDate="0" containsString="0" containsBlank="1"/>
    </cacheField>
    <cacheField name="Casual $17" numFmtId="0">
      <sharedItems containsNonDate="0" containsString="0" containsBlank="1"/>
    </cacheField>
    <cacheField name="Total Line A $18" numFmtId="0">
      <sharedItems containsNonDate="0" containsString="0" containsBlank="1"/>
    </cacheField>
    <cacheField name="Inspect Labour $ per Part19" numFmtId="0">
      <sharedItems containsNonDate="0" containsString="0" containsBlank="1"/>
    </cacheField>
    <cacheField name="Days (Date)" numFmtId="0" databaseField="0">
      <fieldGroup base="1">
        <rangePr groupBy="days" startDate="2023-06-06T00:00:00" endDate="2023-07-05T00:00:00"/>
        <groupItems count="368">
          <s v="&lt;06-06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5-07-2023"/>
        </groupItems>
      </fieldGroup>
    </cacheField>
    <cacheField name="Months (Date)" numFmtId="0" databaseField="0">
      <fieldGroup base="1">
        <rangePr groupBy="months" startDate="2023-06-06T00:00:00" endDate="2023-07-05T00:00:00"/>
        <groupItems count="14">
          <s v="&lt;06-06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5-07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n v="890"/>
    <x v="0"/>
    <x v="0"/>
    <x v="0"/>
    <n v="201"/>
    <x v="0"/>
    <n v="420"/>
    <n v="0"/>
    <x v="0"/>
    <x v="0"/>
    <n v="50"/>
    <n v="0"/>
    <n v="411"/>
    <n v="9"/>
    <x v="0"/>
    <x v="0"/>
    <n v="29181"/>
    <n v="23077"/>
    <n v="6104"/>
    <n v="441.90000000000003"/>
    <n v="6"/>
    <n v="0"/>
    <n v="3"/>
    <n v="3"/>
    <n v="0"/>
    <n v="583.20000000000005"/>
    <n v="583.20000000000005"/>
    <n v="1166.4000000000001"/>
    <n v="2.7771428571428576"/>
    <m/>
    <n v="105"/>
    <n v="211"/>
    <n v="185"/>
    <n v="0"/>
    <n v="185"/>
    <n v="216"/>
    <n v="26"/>
    <n v="0"/>
    <n v="177"/>
    <n v="8"/>
    <n v="26"/>
    <n v="0.83886255924170616"/>
    <n v="8"/>
    <n v="7"/>
    <n v="0"/>
    <n v="3"/>
    <n v="4"/>
    <m/>
    <m/>
    <m/>
    <m/>
    <m/>
  </r>
  <r>
    <n v="891"/>
    <x v="1"/>
    <x v="1"/>
    <x v="0"/>
    <n v="201"/>
    <x v="1"/>
    <n v="378"/>
    <n v="0"/>
    <x v="1"/>
    <x v="0"/>
    <n v="0"/>
    <n v="0"/>
    <n v="351"/>
    <n v="27"/>
    <x v="1"/>
    <x v="1"/>
    <n v="24921"/>
    <n v="18559.8"/>
    <n v="6361.2000000000007"/>
    <n v="1325.7"/>
    <n v="6"/>
    <n v="0"/>
    <n v="4"/>
    <n v="2"/>
    <n v="0"/>
    <n v="777.6"/>
    <n v="388.8"/>
    <n v="1166.4000000000001"/>
    <n v="3.0857142857142859"/>
    <m/>
    <n v="105"/>
    <n v="235"/>
    <n v="226"/>
    <n v="0"/>
    <n v="226"/>
    <n v="216"/>
    <n v="9"/>
    <n v="0"/>
    <n v="212"/>
    <n v="14"/>
    <n v="9"/>
    <n v="0.90212765957446805"/>
    <n v="8"/>
    <n v="8"/>
    <n v="0"/>
    <n v="3"/>
    <n v="5"/>
    <m/>
    <m/>
    <m/>
    <m/>
    <m/>
  </r>
  <r>
    <n v="892"/>
    <x v="2"/>
    <x v="2"/>
    <x v="0"/>
    <n v="119"/>
    <x v="2"/>
    <n v="882"/>
    <n v="0"/>
    <x v="2"/>
    <x v="1"/>
    <n v="0"/>
    <n v="0"/>
    <n v="829"/>
    <n v="53"/>
    <x v="1"/>
    <x v="2"/>
    <n v="26528"/>
    <n v="25401.600000000002"/>
    <n v="1126.3999999999978"/>
    <n v="1526.4"/>
    <n v="6"/>
    <n v="0"/>
    <n v="3"/>
    <n v="3"/>
    <n v="0"/>
    <n v="583.20000000000005"/>
    <n v="583.20000000000005"/>
    <n v="1166.4000000000001"/>
    <n v="1.3224489795918368"/>
    <m/>
    <n v="105"/>
    <n v="174"/>
    <n v="174"/>
    <n v="0"/>
    <n v="174"/>
    <n v="216"/>
    <n v="0"/>
    <n v="0"/>
    <n v="161"/>
    <n v="13"/>
    <n v="0"/>
    <n v="0.92528735632183912"/>
    <n v="8"/>
    <n v="8"/>
    <n v="0"/>
    <n v="3"/>
    <n v="5"/>
    <m/>
    <m/>
    <m/>
    <m/>
    <m/>
  </r>
  <r>
    <n v="893"/>
    <x v="3"/>
    <x v="3"/>
    <x v="0"/>
    <n v="119"/>
    <x v="3"/>
    <n v="955"/>
    <n v="0"/>
    <x v="3"/>
    <x v="1"/>
    <n v="242"/>
    <n v="0"/>
    <n v="888"/>
    <n v="67"/>
    <x v="2"/>
    <x v="3"/>
    <n v="28416"/>
    <n v="34473.599999999999"/>
    <n v="-6057.5999999999985"/>
    <n v="1929.6000000000001"/>
    <n v="6"/>
    <n v="1"/>
    <n v="4"/>
    <n v="1"/>
    <n v="194.4"/>
    <n v="777.6"/>
    <n v="194.4"/>
    <n v="1166.4000000000001"/>
    <n v="1.2213612565445027"/>
    <m/>
    <n v="105"/>
    <n v="259"/>
    <n v="209"/>
    <n v="0"/>
    <n v="209"/>
    <n v="216"/>
    <n v="50"/>
    <n v="0"/>
    <n v="200"/>
    <n v="9"/>
    <n v="50"/>
    <n v="0.77220077220077221"/>
    <n v="8"/>
    <n v="8"/>
    <n v="0"/>
    <n v="3"/>
    <n v="5"/>
    <m/>
    <m/>
    <m/>
    <m/>
    <m/>
  </r>
  <r>
    <n v="894"/>
    <x v="4"/>
    <x v="4"/>
    <x v="0"/>
    <n v="119"/>
    <x v="4"/>
    <n v="1081"/>
    <n v="0"/>
    <x v="4"/>
    <x v="1"/>
    <n v="0"/>
    <n v="0"/>
    <n v="1059"/>
    <n v="22"/>
    <x v="1"/>
    <x v="4"/>
    <n v="33888"/>
    <n v="31132.799999999999"/>
    <n v="2755.2000000000007"/>
    <n v="633.6"/>
    <n v="6"/>
    <n v="0"/>
    <n v="4"/>
    <n v="2"/>
    <n v="0"/>
    <n v="777.6"/>
    <n v="388.8"/>
    <n v="1166.4000000000001"/>
    <n v="1.0790009250693804"/>
    <m/>
    <n v="105"/>
    <n v="209"/>
    <n v="209"/>
    <n v="0"/>
    <n v="209"/>
    <n v="216"/>
    <n v="0"/>
    <n v="0"/>
    <n v="198"/>
    <n v="11"/>
    <n v="0"/>
    <n v="0.94736842105263153"/>
    <n v="8"/>
    <n v="8"/>
    <n v="0"/>
    <n v="4"/>
    <n v="4"/>
    <m/>
    <m/>
    <m/>
    <m/>
    <m/>
  </r>
  <r>
    <n v="895"/>
    <x v="5"/>
    <x v="5"/>
    <x v="0"/>
    <n v="201"/>
    <x v="5"/>
    <n v="210"/>
    <n v="0"/>
    <x v="5"/>
    <x v="2"/>
    <n v="18"/>
    <n v="0"/>
    <n v="203"/>
    <n v="7"/>
    <x v="3"/>
    <x v="5"/>
    <n v="14413"/>
    <n v="11194.800000000001"/>
    <n v="3218.1999999999989"/>
    <n v="343.7"/>
    <n v="3"/>
    <n v="0"/>
    <n v="2"/>
    <n v="1"/>
    <n v="0"/>
    <n v="388.8"/>
    <n v="194.4"/>
    <n v="583.20000000000005"/>
    <n v="2.7771428571428576"/>
    <m/>
    <n v="105"/>
    <n v="120"/>
    <n v="108"/>
    <n v="0"/>
    <n v="108"/>
    <n v="108"/>
    <n v="12"/>
    <n v="0"/>
    <n v="103"/>
    <n v="5"/>
    <n v="12"/>
    <n v="0.85833333333333328"/>
    <n v="4"/>
    <n v="4"/>
    <n v="0"/>
    <n v="2"/>
    <n v="2"/>
    <m/>
    <m/>
    <m/>
    <m/>
    <m/>
  </r>
  <r>
    <n v="896"/>
    <x v="6"/>
    <x v="6"/>
    <x v="0"/>
    <n v="201"/>
    <x v="6"/>
    <n v="201"/>
    <n v="0"/>
    <x v="6"/>
    <x v="2"/>
    <n v="6"/>
    <n v="0"/>
    <n v="194"/>
    <n v="7"/>
    <x v="4"/>
    <x v="6"/>
    <n v="13774"/>
    <n v="10163.700000000001"/>
    <n v="3610.2999999999993"/>
    <n v="343.7"/>
    <n v="3"/>
    <n v="0"/>
    <n v="2"/>
    <n v="1"/>
    <n v="0"/>
    <n v="388.8"/>
    <n v="194.4"/>
    <n v="583.20000000000005"/>
    <n v="2.901492537313433"/>
    <m/>
    <n v="105"/>
    <n v="101"/>
    <n v="101"/>
    <n v="0"/>
    <n v="101"/>
    <n v="108"/>
    <n v="0"/>
    <n v="0"/>
    <n v="96"/>
    <n v="5"/>
    <n v="0"/>
    <n v="0.95049504950495045"/>
    <n v="4"/>
    <n v="4"/>
    <n v="0"/>
    <n v="2"/>
    <n v="2"/>
    <m/>
    <m/>
    <m/>
    <m/>
    <m/>
  </r>
  <r>
    <n v="897"/>
    <x v="7"/>
    <x v="0"/>
    <x v="0"/>
    <n v="119"/>
    <x v="4"/>
    <n v="1050"/>
    <n v="0"/>
    <x v="7"/>
    <x v="1"/>
    <n v="31"/>
    <n v="0"/>
    <n v="1018"/>
    <n v="32"/>
    <x v="5"/>
    <x v="7"/>
    <n v="32576"/>
    <n v="31132.799999999999"/>
    <n v="1443.2000000000007"/>
    <n v="921.6"/>
    <n v="6"/>
    <n v="0"/>
    <n v="3"/>
    <n v="3"/>
    <n v="0"/>
    <n v="583.20000000000005"/>
    <n v="583.20000000000005"/>
    <n v="1166.4000000000001"/>
    <n v="1.110857142857143"/>
    <m/>
    <n v="105"/>
    <n v="248"/>
    <n v="220"/>
    <n v="0"/>
    <n v="220"/>
    <n v="216"/>
    <n v="28"/>
    <n v="0"/>
    <n v="215"/>
    <n v="5"/>
    <n v="28"/>
    <n v="0.86693548387096775"/>
    <n v="8"/>
    <n v="8"/>
    <n v="0"/>
    <n v="4"/>
    <n v="4"/>
    <m/>
    <m/>
    <m/>
    <m/>
    <m/>
  </r>
  <r>
    <n v="898"/>
    <x v="8"/>
    <x v="1"/>
    <x v="0"/>
    <n v="119"/>
    <x v="7"/>
    <n v="871"/>
    <n v="0"/>
    <x v="8"/>
    <x v="1"/>
    <n v="0"/>
    <n v="0"/>
    <n v="836"/>
    <n v="35"/>
    <x v="1"/>
    <x v="8"/>
    <n v="26752"/>
    <n v="25084.799999999999"/>
    <n v="1667.2000000000007"/>
    <n v="1008"/>
    <n v="6"/>
    <n v="0"/>
    <n v="4"/>
    <n v="2"/>
    <n v="0"/>
    <n v="777.6"/>
    <n v="388.8"/>
    <n v="1166.4000000000001"/>
    <n v="1.3391504018369691"/>
    <m/>
    <n v="105"/>
    <n v="224"/>
    <n v="224"/>
    <n v="0"/>
    <n v="224"/>
    <n v="216"/>
    <n v="0"/>
    <n v="0"/>
    <n v="215"/>
    <n v="9"/>
    <n v="0"/>
    <n v="0.9598214285714286"/>
    <n v="8"/>
    <n v="8"/>
    <n v="0"/>
    <n v="4"/>
    <n v="4"/>
    <m/>
    <m/>
    <m/>
    <m/>
    <m/>
  </r>
  <r>
    <n v="899"/>
    <x v="9"/>
    <x v="2"/>
    <x v="0"/>
    <n v="201"/>
    <x v="8"/>
    <n v="403"/>
    <n v="0"/>
    <x v="9"/>
    <x v="0"/>
    <n v="75"/>
    <n v="0"/>
    <n v="382"/>
    <n v="21"/>
    <x v="6"/>
    <x v="9"/>
    <n v="27122"/>
    <n v="23469.8"/>
    <n v="3652.2000000000007"/>
    <n v="1031.1000000000001"/>
    <n v="6"/>
    <n v="0"/>
    <n v="4"/>
    <n v="2"/>
    <n v="0"/>
    <n v="777.6"/>
    <n v="388.8"/>
    <n v="1166.4000000000001"/>
    <n v="2.8942928039702234"/>
    <m/>
    <n v="105"/>
    <n v="226"/>
    <n v="207"/>
    <n v="0"/>
    <n v="207"/>
    <n v="216"/>
    <n v="19"/>
    <n v="0"/>
    <n v="192"/>
    <n v="15"/>
    <n v="19"/>
    <n v="0.84955752212389379"/>
    <n v="8"/>
    <n v="8"/>
    <n v="0"/>
    <n v="3"/>
    <n v="5"/>
    <m/>
    <m/>
    <m/>
    <m/>
    <m/>
  </r>
  <r>
    <n v="900"/>
    <x v="10"/>
    <x v="3"/>
    <x v="0"/>
    <n v="119"/>
    <x v="9"/>
    <n v="857"/>
    <n v="0"/>
    <x v="10"/>
    <x v="1"/>
    <n v="151"/>
    <n v="0"/>
    <n v="822"/>
    <n v="35"/>
    <x v="7"/>
    <x v="10"/>
    <n v="26304"/>
    <n v="29030.400000000001"/>
    <n v="-2726.4000000000015"/>
    <n v="1008"/>
    <n v="5"/>
    <n v="0"/>
    <n v="3"/>
    <n v="2"/>
    <n v="0"/>
    <n v="583.20000000000005"/>
    <n v="388.8"/>
    <n v="972"/>
    <n v="1.134189031505251"/>
    <m/>
    <n v="105"/>
    <n v="226"/>
    <n v="211"/>
    <n v="0"/>
    <n v="211"/>
    <n v="216"/>
    <n v="15"/>
    <n v="0"/>
    <n v="196"/>
    <n v="15"/>
    <n v="15"/>
    <n v="0.86725663716814161"/>
    <n v="8"/>
    <n v="8"/>
    <n v="1"/>
    <n v="3"/>
    <n v="4"/>
    <m/>
    <m/>
    <m/>
    <m/>
    <m/>
  </r>
  <r>
    <n v="901"/>
    <x v="11"/>
    <x v="4"/>
    <x v="0"/>
    <n v="201"/>
    <x v="10"/>
    <n v="350"/>
    <n v="0"/>
    <x v="11"/>
    <x v="0"/>
    <n v="61"/>
    <n v="0"/>
    <n v="329"/>
    <n v="21"/>
    <x v="8"/>
    <x v="11"/>
    <n v="23359"/>
    <n v="20180.100000000002"/>
    <n v="3178.8999999999978"/>
    <n v="1031.1000000000001"/>
    <n v="5"/>
    <n v="0"/>
    <n v="4"/>
    <n v="1"/>
    <n v="0"/>
    <n v="777.6"/>
    <n v="194.4"/>
    <n v="972"/>
    <n v="2.7771428571428571"/>
    <m/>
    <n v="105"/>
    <n v="218"/>
    <n v="209"/>
    <n v="0"/>
    <n v="209"/>
    <n v="216"/>
    <n v="9"/>
    <n v="0"/>
    <n v="204"/>
    <n v="5"/>
    <n v="9"/>
    <n v="0.93577981651376152"/>
    <n v="8"/>
    <n v="8"/>
    <n v="0"/>
    <n v="3"/>
    <n v="5"/>
    <m/>
    <m/>
    <m/>
    <m/>
    <m/>
  </r>
  <r>
    <n v="902"/>
    <x v="12"/>
    <x v="5"/>
    <x v="0"/>
    <n v="119"/>
    <x v="11"/>
    <n v="477"/>
    <n v="0"/>
    <x v="12"/>
    <x v="3"/>
    <n v="0"/>
    <n v="0"/>
    <n v="467"/>
    <n v="10"/>
    <x v="1"/>
    <x v="12"/>
    <n v="14944"/>
    <n v="13737.6"/>
    <n v="1206.3999999999996"/>
    <n v="288"/>
    <n v="3"/>
    <n v="0"/>
    <n v="2"/>
    <n v="1"/>
    <n v="0"/>
    <n v="388.8"/>
    <n v="194.4"/>
    <n v="583.20000000000005"/>
    <n v="1.2226415094339624"/>
    <m/>
    <n v="105"/>
    <n v="87"/>
    <n v="87"/>
    <n v="0"/>
    <n v="87"/>
    <n v="108"/>
    <n v="0"/>
    <n v="0"/>
    <n v="80"/>
    <n v="7"/>
    <n v="0"/>
    <n v="0.91954022988505746"/>
    <n v="4"/>
    <n v="4"/>
    <n v="0"/>
    <n v="2"/>
    <n v="2"/>
    <m/>
    <m/>
    <m/>
    <m/>
    <m/>
  </r>
  <r>
    <n v="903"/>
    <x v="13"/>
    <x v="6"/>
    <x v="0"/>
    <n v="119"/>
    <x v="12"/>
    <n v="509"/>
    <n v="0"/>
    <x v="13"/>
    <x v="3"/>
    <n v="115"/>
    <n v="0"/>
    <n v="483"/>
    <n v="26"/>
    <x v="9"/>
    <x v="13"/>
    <n v="15456"/>
    <n v="17971.2"/>
    <n v="-2515.2000000000007"/>
    <n v="748.80000000000007"/>
    <n v="3"/>
    <n v="0"/>
    <n v="2"/>
    <n v="1"/>
    <n v="0"/>
    <n v="388.8"/>
    <n v="194.4"/>
    <n v="583.20000000000005"/>
    <n v="1.1457760314341847"/>
    <m/>
    <n v="105"/>
    <n v="124"/>
    <n v="108"/>
    <n v="0"/>
    <n v="108"/>
    <n v="108"/>
    <n v="16"/>
    <n v="0"/>
    <n v="104"/>
    <n v="4"/>
    <n v="16"/>
    <n v="0.83870967741935487"/>
    <n v="4"/>
    <n v="4"/>
    <n v="0"/>
    <n v="2"/>
    <n v="2"/>
    <m/>
    <m/>
    <m/>
    <m/>
    <m/>
  </r>
  <r>
    <n v="904"/>
    <x v="14"/>
    <x v="0"/>
    <x v="0"/>
    <n v="201"/>
    <x v="13"/>
    <n v="432"/>
    <n v="0"/>
    <x v="14"/>
    <x v="0"/>
    <n v="13"/>
    <n v="0"/>
    <n v="401"/>
    <n v="31"/>
    <x v="10"/>
    <x v="14"/>
    <n v="28471"/>
    <n v="21849.5"/>
    <n v="6621.5"/>
    <n v="1522.1000000000001"/>
    <n v="6"/>
    <n v="0"/>
    <n v="4"/>
    <n v="2"/>
    <n v="0"/>
    <n v="777.6"/>
    <n v="388.8"/>
    <n v="1166.4000000000001"/>
    <n v="2.7"/>
    <m/>
    <n v="105"/>
    <n v="209"/>
    <n v="205"/>
    <n v="0"/>
    <n v="205"/>
    <n v="216"/>
    <n v="4"/>
    <n v="0"/>
    <n v="196"/>
    <n v="9"/>
    <n v="4"/>
    <n v="0.93779904306220097"/>
    <n v="8"/>
    <n v="8"/>
    <n v="1"/>
    <n v="3"/>
    <n v="4"/>
    <m/>
    <m/>
    <m/>
    <m/>
    <m/>
  </r>
  <r>
    <n v="905"/>
    <x v="15"/>
    <x v="1"/>
    <x v="0"/>
    <n v="119"/>
    <x v="14"/>
    <n v="861"/>
    <n v="0"/>
    <x v="15"/>
    <x v="1"/>
    <n v="0"/>
    <n v="0"/>
    <n v="843"/>
    <n v="18"/>
    <x v="1"/>
    <x v="15"/>
    <n v="26976"/>
    <n v="24796.799999999999"/>
    <n v="2179.2000000000007"/>
    <n v="518.4"/>
    <n v="6"/>
    <n v="0"/>
    <n v="3"/>
    <n v="3"/>
    <n v="0"/>
    <n v="583.20000000000005"/>
    <n v="583.20000000000005"/>
    <n v="1166.4000000000001"/>
    <n v="1.3547038327526133"/>
    <m/>
    <n v="105"/>
    <n v="187"/>
    <n v="187"/>
    <n v="0"/>
    <n v="187"/>
    <n v="216"/>
    <n v="0"/>
    <n v="0"/>
    <n v="177"/>
    <n v="10"/>
    <n v="0"/>
    <n v="0.946524064171123"/>
    <n v="8"/>
    <n v="8"/>
    <n v="0"/>
    <n v="4"/>
    <n v="4"/>
    <m/>
    <m/>
    <m/>
    <m/>
    <m/>
  </r>
  <r>
    <n v="906"/>
    <x v="16"/>
    <x v="2"/>
    <x v="0"/>
    <n v="201"/>
    <x v="15"/>
    <n v="352"/>
    <n v="0"/>
    <x v="16"/>
    <x v="0"/>
    <n v="0"/>
    <n v="0"/>
    <n v="337"/>
    <n v="15"/>
    <x v="1"/>
    <x v="16"/>
    <n v="23927"/>
    <n v="17283.2"/>
    <n v="6643.7999999999993"/>
    <n v="736.5"/>
    <n v="6"/>
    <n v="0"/>
    <n v="3"/>
    <n v="3"/>
    <n v="0"/>
    <n v="583.20000000000005"/>
    <n v="583.20000000000005"/>
    <n v="1166.4000000000001"/>
    <n v="3.3136363636363639"/>
    <m/>
    <n v="105"/>
    <n v="211"/>
    <n v="211"/>
    <n v="0"/>
    <n v="211"/>
    <n v="216"/>
    <n v="0"/>
    <n v="0"/>
    <n v="196"/>
    <n v="15"/>
    <n v="0"/>
    <n v="0.92890995260663511"/>
    <n v="8"/>
    <n v="8"/>
    <n v="0"/>
    <n v="4"/>
    <n v="4"/>
    <m/>
    <m/>
    <m/>
    <m/>
    <m/>
  </r>
  <r>
    <n v="907"/>
    <x v="17"/>
    <x v="3"/>
    <x v="0"/>
    <n v="119"/>
    <x v="16"/>
    <n v="913"/>
    <n v="0"/>
    <x v="17"/>
    <x v="1"/>
    <n v="105"/>
    <n v="0"/>
    <n v="894"/>
    <n v="19"/>
    <x v="11"/>
    <x v="17"/>
    <n v="28608"/>
    <n v="29318.400000000001"/>
    <n v="-710.40000000000146"/>
    <n v="547.20000000000005"/>
    <n v="6"/>
    <n v="1"/>
    <n v="3"/>
    <n v="2"/>
    <n v="194.4"/>
    <n v="583.20000000000005"/>
    <n v="388.8"/>
    <n v="1166.4000000000001"/>
    <n v="1.2775465498357066"/>
    <m/>
    <n v="105"/>
    <n v="177"/>
    <n v="177"/>
    <n v="0"/>
    <n v="177"/>
    <n v="216"/>
    <n v="0"/>
    <n v="0"/>
    <n v="169"/>
    <n v="8"/>
    <n v="0"/>
    <n v="0.95480225988700562"/>
    <n v="8"/>
    <n v="7"/>
    <n v="0"/>
    <n v="3"/>
    <n v="4"/>
    <m/>
    <m/>
    <m/>
    <m/>
    <m/>
  </r>
  <r>
    <n v="908"/>
    <x v="18"/>
    <x v="4"/>
    <x v="0"/>
    <n v="119"/>
    <x v="17"/>
    <n v="1081"/>
    <n v="0"/>
    <x v="4"/>
    <x v="1"/>
    <n v="168"/>
    <n v="0"/>
    <n v="1059"/>
    <n v="22"/>
    <x v="12"/>
    <x v="4"/>
    <n v="33888"/>
    <n v="35971.200000000004"/>
    <n v="-2083.2000000000044"/>
    <n v="633.6"/>
    <n v="6"/>
    <n v="0"/>
    <n v="4"/>
    <n v="2"/>
    <n v="0"/>
    <n v="777.6"/>
    <n v="388.8"/>
    <n v="1166.4000000000001"/>
    <n v="1.0790009250693804"/>
    <m/>
    <n v="105"/>
    <n v="250"/>
    <n v="205"/>
    <n v="0"/>
    <n v="205"/>
    <n v="216"/>
    <n v="45"/>
    <n v="0"/>
    <n v="192"/>
    <n v="13"/>
    <n v="45"/>
    <n v="0.76800000000000002"/>
    <n v="8"/>
    <n v="8"/>
    <n v="0"/>
    <n v="3"/>
    <n v="5"/>
    <m/>
    <m/>
    <m/>
    <m/>
    <m/>
  </r>
  <r>
    <n v="909"/>
    <x v="19"/>
    <x v="5"/>
    <x v="0"/>
    <n v="201"/>
    <x v="18"/>
    <n v="172"/>
    <n v="0"/>
    <x v="18"/>
    <x v="2"/>
    <n v="0"/>
    <n v="0"/>
    <n v="168"/>
    <n v="4"/>
    <x v="1"/>
    <x v="18"/>
    <n v="11928"/>
    <n v="8445.2000000000007"/>
    <n v="3482.7999999999993"/>
    <n v="196.4"/>
    <n v="3"/>
    <n v="0"/>
    <n v="2"/>
    <n v="1"/>
    <n v="0"/>
    <n v="388.8"/>
    <n v="194.4"/>
    <n v="583.20000000000005"/>
    <n v="3.3906976744186048"/>
    <m/>
    <n v="105"/>
    <n v="117"/>
    <n v="111"/>
    <n v="0"/>
    <n v="111"/>
    <n v="108"/>
    <n v="6"/>
    <n v="0"/>
    <n v="105"/>
    <n v="6"/>
    <n v="6"/>
    <n v="0.89743589743589747"/>
    <n v="4"/>
    <n v="4"/>
    <n v="0"/>
    <n v="2"/>
    <n v="2"/>
    <m/>
    <m/>
    <m/>
    <m/>
    <m/>
  </r>
  <r>
    <n v="910"/>
    <x v="20"/>
    <x v="6"/>
    <x v="0"/>
    <n v="119"/>
    <x v="19"/>
    <n v="435"/>
    <n v="0"/>
    <x v="19"/>
    <x v="3"/>
    <n v="0"/>
    <n v="0"/>
    <n v="404"/>
    <n v="31"/>
    <x v="1"/>
    <x v="19"/>
    <n v="12928"/>
    <n v="12528"/>
    <n v="400"/>
    <n v="892.80000000000007"/>
    <n v="3"/>
    <n v="0"/>
    <n v="2"/>
    <n v="1"/>
    <n v="0"/>
    <n v="388.8"/>
    <n v="194.4"/>
    <n v="583.20000000000005"/>
    <n v="1.3406896551724139"/>
    <m/>
    <n v="105"/>
    <n v="102"/>
    <n v="102"/>
    <n v="0"/>
    <n v="102"/>
    <n v="108"/>
    <n v="0"/>
    <n v="0"/>
    <n v="98"/>
    <n v="4"/>
    <n v="0"/>
    <n v="0.96078431372549022"/>
    <n v="4"/>
    <n v="4"/>
    <n v="0"/>
    <n v="2"/>
    <n v="2"/>
    <m/>
    <m/>
    <m/>
    <m/>
    <m/>
  </r>
  <r>
    <n v="911"/>
    <x v="21"/>
    <x v="0"/>
    <x v="0"/>
    <n v="201"/>
    <x v="20"/>
    <n v="424"/>
    <n v="0"/>
    <x v="20"/>
    <x v="0"/>
    <n v="17"/>
    <n v="0"/>
    <n v="402"/>
    <n v="22"/>
    <x v="13"/>
    <x v="20"/>
    <n v="28542"/>
    <n v="21653.100000000002"/>
    <n v="6888.8999999999978"/>
    <n v="1080.2"/>
    <n v="6"/>
    <n v="0"/>
    <n v="4"/>
    <n v="2"/>
    <n v="0"/>
    <n v="777.6"/>
    <n v="388.8"/>
    <n v="1166.4000000000001"/>
    <n v="2.7509433962264151"/>
    <m/>
    <n v="105"/>
    <n v="259"/>
    <n v="222"/>
    <n v="0"/>
    <n v="222"/>
    <n v="216"/>
    <n v="37"/>
    <n v="0"/>
    <n v="217"/>
    <n v="5"/>
    <n v="37"/>
    <n v="0.83783783783783783"/>
    <n v="8"/>
    <n v="8"/>
    <n v="0"/>
    <n v="3"/>
    <n v="5"/>
    <m/>
    <m/>
    <m/>
    <m/>
    <m/>
  </r>
  <r>
    <n v="912"/>
    <x v="22"/>
    <x v="1"/>
    <x v="0"/>
    <n v="119"/>
    <x v="21"/>
    <n v="840"/>
    <n v="0"/>
    <x v="21"/>
    <x v="1"/>
    <n v="315"/>
    <n v="0"/>
    <n v="814"/>
    <n v="26"/>
    <x v="14"/>
    <x v="21"/>
    <n v="26048"/>
    <n v="33264"/>
    <n v="-7216"/>
    <n v="748.80000000000007"/>
    <n v="5"/>
    <n v="0"/>
    <n v="3"/>
    <n v="2"/>
    <n v="0"/>
    <n v="583.20000000000005"/>
    <n v="388.8"/>
    <n v="972"/>
    <n v="1.1571428571428573"/>
    <m/>
    <n v="105"/>
    <n v="228"/>
    <n v="226"/>
    <n v="0"/>
    <n v="226"/>
    <n v="216"/>
    <n v="2"/>
    <n v="0"/>
    <n v="221"/>
    <n v="5"/>
    <n v="2"/>
    <n v="0.9692982456140351"/>
    <n v="8"/>
    <n v="8"/>
    <n v="0"/>
    <n v="3"/>
    <n v="5"/>
    <m/>
    <m/>
    <m/>
    <m/>
    <m/>
  </r>
  <r>
    <n v="913"/>
    <x v="23"/>
    <x v="2"/>
    <x v="0"/>
    <n v="119"/>
    <x v="22"/>
    <n v="987"/>
    <n v="0"/>
    <x v="22"/>
    <x v="1"/>
    <n v="0"/>
    <n v="0"/>
    <n v="937"/>
    <n v="50"/>
    <x v="1"/>
    <x v="22"/>
    <n v="29984"/>
    <n v="28425.600000000002"/>
    <n v="1558.3999999999978"/>
    <n v="1440"/>
    <n v="6"/>
    <n v="0"/>
    <n v="3"/>
    <n v="3"/>
    <n v="0"/>
    <n v="583.20000000000005"/>
    <n v="583.20000000000005"/>
    <n v="1166.4000000000001"/>
    <n v="1.1817629179331308"/>
    <m/>
    <n v="105"/>
    <n v="187"/>
    <n v="187"/>
    <n v="0"/>
    <n v="187"/>
    <n v="216"/>
    <n v="0"/>
    <n v="0"/>
    <n v="179"/>
    <n v="8"/>
    <n v="0"/>
    <n v="0.95721925133689845"/>
    <n v="8"/>
    <n v="8"/>
    <n v="0"/>
    <n v="4"/>
    <n v="4"/>
    <m/>
    <m/>
    <m/>
    <m/>
    <m/>
  </r>
  <r>
    <n v="914"/>
    <x v="24"/>
    <x v="3"/>
    <x v="0"/>
    <n v="201"/>
    <x v="10"/>
    <n v="411"/>
    <n v="0"/>
    <x v="23"/>
    <x v="0"/>
    <n v="0"/>
    <n v="0"/>
    <n v="398"/>
    <n v="13"/>
    <x v="1"/>
    <x v="23"/>
    <n v="28258"/>
    <n v="20180.100000000002"/>
    <n v="8077.8999999999978"/>
    <n v="638.30000000000007"/>
    <n v="6"/>
    <n v="0"/>
    <n v="4"/>
    <n v="2"/>
    <n v="0"/>
    <n v="777.6"/>
    <n v="388.8"/>
    <n v="1166.4000000000001"/>
    <n v="2.8379562043795623"/>
    <m/>
    <n v="105"/>
    <n v="179"/>
    <n v="179"/>
    <n v="0"/>
    <n v="179"/>
    <n v="216"/>
    <n v="0"/>
    <n v="0"/>
    <n v="173"/>
    <n v="6"/>
    <n v="0"/>
    <n v="0.96648044692737434"/>
    <n v="8"/>
    <n v="8"/>
    <n v="1"/>
    <n v="3"/>
    <n v="4"/>
    <m/>
    <m/>
    <m/>
    <m/>
    <m/>
  </r>
  <r>
    <n v="915"/>
    <x v="25"/>
    <x v="4"/>
    <x v="0"/>
    <n v="119"/>
    <x v="23"/>
    <n v="840"/>
    <n v="0"/>
    <x v="21"/>
    <x v="1"/>
    <n v="0"/>
    <n v="0"/>
    <n v="781"/>
    <n v="59"/>
    <x v="1"/>
    <x v="24"/>
    <n v="24992"/>
    <n v="24192"/>
    <n v="800"/>
    <n v="1699.2"/>
    <n v="5"/>
    <n v="0"/>
    <n v="3"/>
    <n v="2"/>
    <n v="0"/>
    <n v="583.20000000000005"/>
    <n v="388.8"/>
    <n v="972"/>
    <n v="1.1571428571428573"/>
    <m/>
    <n v="105"/>
    <n v="246"/>
    <n v="213"/>
    <n v="0"/>
    <n v="213"/>
    <n v="216"/>
    <n v="33"/>
    <n v="0"/>
    <n v="204"/>
    <n v="9"/>
    <n v="33"/>
    <n v="0.82926829268292679"/>
    <n v="8"/>
    <n v="8"/>
    <n v="0"/>
    <n v="3"/>
    <n v="5"/>
    <m/>
    <m/>
    <m/>
    <m/>
    <m/>
  </r>
  <r>
    <n v="916"/>
    <x v="26"/>
    <x v="5"/>
    <x v="0"/>
    <n v="119"/>
    <x v="24"/>
    <n v="462"/>
    <n v="0"/>
    <x v="24"/>
    <x v="3"/>
    <n v="0"/>
    <n v="0"/>
    <n v="448"/>
    <n v="14"/>
    <x v="1"/>
    <x v="25"/>
    <n v="14336"/>
    <n v="13305.6"/>
    <n v="1030.3999999999996"/>
    <n v="403.2"/>
    <n v="3"/>
    <n v="0"/>
    <n v="2"/>
    <n v="1"/>
    <n v="0"/>
    <n v="388.8"/>
    <n v="194.4"/>
    <n v="583.20000000000005"/>
    <n v="1.2623376623376625"/>
    <m/>
    <n v="105"/>
    <n v="113"/>
    <n v="105"/>
    <n v="0"/>
    <n v="105"/>
    <n v="108"/>
    <n v="8"/>
    <n v="0"/>
    <n v="102"/>
    <n v="3"/>
    <n v="8"/>
    <n v="0.90265486725663713"/>
    <n v="4"/>
    <n v="4"/>
    <n v="0"/>
    <n v="2"/>
    <n v="2"/>
    <m/>
    <m/>
    <m/>
    <m/>
    <m/>
  </r>
  <r>
    <n v="917"/>
    <x v="27"/>
    <x v="6"/>
    <x v="0"/>
    <n v="119"/>
    <x v="25"/>
    <n v="546"/>
    <n v="0"/>
    <x v="25"/>
    <x v="3"/>
    <n v="73"/>
    <n v="0"/>
    <n v="507"/>
    <n v="39"/>
    <x v="15"/>
    <x v="1"/>
    <n v="16224"/>
    <n v="17827.2"/>
    <n v="-1603.2000000000007"/>
    <n v="1123.2"/>
    <n v="3"/>
    <n v="0"/>
    <n v="2"/>
    <n v="1"/>
    <n v="0"/>
    <n v="388.8"/>
    <n v="194.4"/>
    <n v="583.20000000000005"/>
    <n v="1.0681318681318681"/>
    <m/>
    <n v="105"/>
    <n v="88"/>
    <n v="88"/>
    <n v="0"/>
    <n v="88"/>
    <n v="108"/>
    <n v="0"/>
    <n v="0"/>
    <n v="84"/>
    <n v="4"/>
    <n v="0"/>
    <n v="0.95454545454545459"/>
    <n v="4"/>
    <n v="4"/>
    <n v="0"/>
    <n v="2"/>
    <n v="2"/>
    <m/>
    <m/>
    <m/>
    <m/>
    <m/>
  </r>
  <r>
    <n v="918"/>
    <x v="28"/>
    <x v="0"/>
    <x v="0"/>
    <n v="201"/>
    <x v="26"/>
    <n v="340"/>
    <n v="0"/>
    <x v="26"/>
    <x v="0"/>
    <n v="0"/>
    <n v="0"/>
    <n v="323"/>
    <n v="17"/>
    <x v="1"/>
    <x v="26"/>
    <n v="22933"/>
    <n v="16694"/>
    <n v="6239"/>
    <n v="834.7"/>
    <n v="6"/>
    <n v="0"/>
    <n v="4"/>
    <n v="2"/>
    <n v="0"/>
    <n v="777.6"/>
    <n v="388.8"/>
    <n v="1166.4000000000001"/>
    <n v="3.4305882352941177"/>
    <m/>
    <n v="105"/>
    <n v="213"/>
    <n v="213"/>
    <n v="0"/>
    <n v="213"/>
    <n v="216"/>
    <n v="0"/>
    <n v="0"/>
    <n v="204"/>
    <n v="9"/>
    <n v="0"/>
    <n v="0.95774647887323938"/>
    <n v="8"/>
    <n v="8"/>
    <n v="0"/>
    <n v="4"/>
    <n v="4"/>
    <m/>
    <m/>
    <m/>
    <m/>
    <m/>
  </r>
  <r>
    <n v="919"/>
    <x v="0"/>
    <x v="0"/>
    <x v="1"/>
    <n v="201"/>
    <x v="27"/>
    <n v="360"/>
    <n v="0"/>
    <x v="27"/>
    <x v="4"/>
    <n v="14"/>
    <n v="0"/>
    <n v="345"/>
    <n v="15"/>
    <x v="16"/>
    <x v="27"/>
    <n v="24495"/>
    <n v="18363.400000000001"/>
    <n v="6131.5999999999985"/>
    <n v="736.5"/>
    <n v="5"/>
    <n v="0"/>
    <n v="4"/>
    <n v="1"/>
    <n v="0"/>
    <n v="950.4"/>
    <n v="237.6"/>
    <n v="1188"/>
    <n v="3.3"/>
    <m/>
    <n v="105"/>
    <n v="211"/>
    <n v="185"/>
    <n v="0"/>
    <n v="185"/>
    <n v="189"/>
    <n v="26"/>
    <n v="0"/>
    <n v="179"/>
    <n v="6"/>
    <n v="26"/>
    <n v="0.84834123222748814"/>
    <n v="7"/>
    <n v="7"/>
    <n v="0"/>
    <n v="3"/>
    <n v="4"/>
    <m/>
    <m/>
    <m/>
    <m/>
    <m/>
  </r>
  <r>
    <n v="920"/>
    <x v="1"/>
    <x v="1"/>
    <x v="1"/>
    <n v="201"/>
    <x v="28"/>
    <n v="322"/>
    <n v="0"/>
    <x v="28"/>
    <x v="4"/>
    <n v="0"/>
    <n v="0"/>
    <n v="315"/>
    <n v="7"/>
    <x v="1"/>
    <x v="28"/>
    <n v="22365"/>
    <n v="15810.2"/>
    <n v="6554.7999999999993"/>
    <n v="343.7"/>
    <n v="5"/>
    <n v="1"/>
    <n v="3"/>
    <n v="1"/>
    <n v="237.6"/>
    <n v="712.8"/>
    <n v="237.6"/>
    <n v="1188"/>
    <n v="3.68944099378882"/>
    <m/>
    <n v="105"/>
    <n v="162"/>
    <n v="162"/>
    <n v="0"/>
    <n v="162"/>
    <n v="189"/>
    <n v="0"/>
    <n v="0"/>
    <n v="150"/>
    <n v="12"/>
    <n v="0"/>
    <n v="0.92592592592592593"/>
    <n v="7"/>
    <n v="7"/>
    <n v="0"/>
    <n v="4"/>
    <n v="3"/>
    <m/>
    <m/>
    <m/>
    <m/>
    <m/>
  </r>
  <r>
    <n v="921"/>
    <x v="2"/>
    <x v="2"/>
    <x v="1"/>
    <n v="201"/>
    <x v="29"/>
    <n v="288"/>
    <n v="0"/>
    <x v="29"/>
    <x v="4"/>
    <n v="62"/>
    <n v="0"/>
    <n v="276"/>
    <n v="12"/>
    <x v="17"/>
    <x v="27"/>
    <n v="19596"/>
    <n v="17185"/>
    <n v="2411"/>
    <n v="589.20000000000005"/>
    <n v="4"/>
    <n v="0"/>
    <n v="3"/>
    <n v="1"/>
    <n v="0"/>
    <n v="712.8"/>
    <n v="237.6"/>
    <n v="950.4"/>
    <n v="3.3"/>
    <m/>
    <n v="105"/>
    <n v="154"/>
    <n v="154"/>
    <n v="0"/>
    <n v="154"/>
    <n v="189"/>
    <n v="0"/>
    <n v="0"/>
    <n v="150"/>
    <n v="4"/>
    <n v="0"/>
    <n v="0.97402597402597402"/>
    <n v="7"/>
    <n v="7"/>
    <n v="0"/>
    <n v="3"/>
    <n v="4"/>
    <m/>
    <m/>
    <m/>
    <m/>
    <m/>
  </r>
  <r>
    <n v="922"/>
    <x v="3"/>
    <x v="3"/>
    <x v="1"/>
    <n v="201"/>
    <x v="30"/>
    <n v="308"/>
    <n v="0"/>
    <x v="30"/>
    <x v="4"/>
    <n v="0"/>
    <n v="0"/>
    <n v="301"/>
    <n v="7"/>
    <x v="1"/>
    <x v="29"/>
    <n v="21371"/>
    <n v="15122.800000000001"/>
    <n v="6248.1999999999989"/>
    <n v="343.7"/>
    <n v="5"/>
    <n v="0"/>
    <n v="3"/>
    <n v="2"/>
    <n v="0"/>
    <n v="712.8"/>
    <n v="475.2"/>
    <n v="1188"/>
    <n v="3.8571428571428572"/>
    <m/>
    <n v="105"/>
    <n v="181"/>
    <n v="181"/>
    <n v="0"/>
    <n v="181"/>
    <n v="189"/>
    <n v="0"/>
    <n v="0"/>
    <n v="173"/>
    <n v="8"/>
    <n v="0"/>
    <n v="0.95580110497237569"/>
    <n v="7"/>
    <n v="7"/>
    <n v="0"/>
    <n v="3"/>
    <n v="4"/>
    <m/>
    <m/>
    <m/>
    <m/>
    <m/>
  </r>
  <r>
    <n v="923"/>
    <x v="4"/>
    <x v="4"/>
    <x v="1"/>
    <n v="201"/>
    <x v="31"/>
    <n v="343"/>
    <n v="0"/>
    <x v="31"/>
    <x v="4"/>
    <n v="73"/>
    <n v="0"/>
    <n v="325"/>
    <n v="18"/>
    <x v="15"/>
    <x v="30"/>
    <n v="23075"/>
    <n v="20425.600000000002"/>
    <n v="2649.3999999999978"/>
    <n v="883.80000000000007"/>
    <n v="5"/>
    <n v="0"/>
    <n v="3"/>
    <n v="2"/>
    <n v="0"/>
    <n v="712.8"/>
    <n v="475.2"/>
    <n v="1188"/>
    <n v="3.4635568513119535"/>
    <m/>
    <n v="105"/>
    <n v="158"/>
    <n v="158"/>
    <n v="0"/>
    <n v="158"/>
    <n v="189"/>
    <n v="0"/>
    <n v="0"/>
    <n v="151"/>
    <n v="7"/>
    <n v="0"/>
    <n v="0.95569620253164556"/>
    <n v="7"/>
    <n v="7"/>
    <n v="0"/>
    <n v="3"/>
    <n v="4"/>
    <m/>
    <m/>
    <m/>
    <m/>
    <m/>
  </r>
  <r>
    <n v="924"/>
    <x v="5"/>
    <x v="5"/>
    <x v="1"/>
    <n v="201"/>
    <x v="32"/>
    <n v="140"/>
    <n v="0"/>
    <x v="32"/>
    <x v="5"/>
    <n v="8"/>
    <n v="0"/>
    <n v="130"/>
    <n v="10"/>
    <x v="18"/>
    <x v="1"/>
    <n v="9230"/>
    <n v="7266.8"/>
    <n v="1963.1999999999998"/>
    <n v="491"/>
    <n v="2"/>
    <n v="0"/>
    <n v="1"/>
    <n v="1"/>
    <n v="0"/>
    <n v="237.6"/>
    <n v="237.6"/>
    <n v="475.2"/>
    <n v="3.3942857142857141"/>
    <m/>
    <n v="105"/>
    <n v="76"/>
    <n v="76"/>
    <n v="0"/>
    <n v="76"/>
    <n v="81"/>
    <n v="0"/>
    <n v="0"/>
    <n v="72"/>
    <n v="4"/>
    <n v="0"/>
    <n v="0.94736842105263153"/>
    <n v="3"/>
    <n v="3"/>
    <n v="0"/>
    <n v="1"/>
    <n v="2"/>
    <m/>
    <m/>
    <m/>
    <m/>
    <m/>
  </r>
  <r>
    <n v="925"/>
    <x v="6"/>
    <x v="6"/>
    <x v="1"/>
    <n v="119"/>
    <x v="33"/>
    <n v="339"/>
    <n v="0"/>
    <x v="33"/>
    <x v="6"/>
    <n v="0"/>
    <n v="0"/>
    <n v="315"/>
    <n v="24"/>
    <x v="1"/>
    <x v="31"/>
    <n v="10080"/>
    <n v="9763.2000000000007"/>
    <n v="316.79999999999927"/>
    <n v="691.2"/>
    <n v="2"/>
    <n v="0"/>
    <n v="1"/>
    <n v="1"/>
    <n v="0"/>
    <n v="237.6"/>
    <n v="237.6"/>
    <n v="475.2"/>
    <n v="1.4017699115044246"/>
    <m/>
    <n v="105"/>
    <n v="69"/>
    <n v="69"/>
    <n v="0"/>
    <n v="69"/>
    <n v="81"/>
    <n v="0"/>
    <n v="0"/>
    <n v="66"/>
    <n v="3"/>
    <n v="0"/>
    <n v="0.95652173913043481"/>
    <n v="3"/>
    <n v="3"/>
    <n v="0"/>
    <n v="1"/>
    <n v="2"/>
    <m/>
    <m/>
    <m/>
    <m/>
    <m/>
  </r>
  <r>
    <n v="926"/>
    <x v="7"/>
    <x v="0"/>
    <x v="1"/>
    <n v="119"/>
    <x v="23"/>
    <n v="840"/>
    <n v="0"/>
    <x v="21"/>
    <x v="7"/>
    <n v="0"/>
    <n v="0"/>
    <n v="781"/>
    <n v="59"/>
    <x v="1"/>
    <x v="24"/>
    <n v="24992"/>
    <n v="24192"/>
    <n v="800"/>
    <n v="1699.2"/>
    <n v="5"/>
    <n v="0"/>
    <n v="4"/>
    <n v="1"/>
    <n v="0"/>
    <n v="950.4"/>
    <n v="237.6"/>
    <n v="1188"/>
    <n v="1.4142857142857144"/>
    <m/>
    <n v="105"/>
    <n v="166"/>
    <n v="166"/>
    <n v="0"/>
    <n v="166"/>
    <n v="189"/>
    <n v="0"/>
    <n v="0"/>
    <n v="154"/>
    <n v="12"/>
    <n v="0"/>
    <n v="0.92771084337349397"/>
    <n v="7"/>
    <n v="7"/>
    <n v="0"/>
    <n v="4"/>
    <n v="3"/>
    <m/>
    <m/>
    <m/>
    <m/>
    <m/>
  </r>
  <r>
    <n v="927"/>
    <x v="8"/>
    <x v="1"/>
    <x v="1"/>
    <n v="119"/>
    <x v="34"/>
    <n v="805"/>
    <n v="0"/>
    <x v="34"/>
    <x v="7"/>
    <n v="0"/>
    <n v="0"/>
    <n v="756"/>
    <n v="49"/>
    <x v="1"/>
    <x v="32"/>
    <n v="24192"/>
    <n v="23184"/>
    <n v="1008"/>
    <n v="1411.2"/>
    <n v="5"/>
    <n v="0"/>
    <n v="4"/>
    <n v="1"/>
    <n v="0"/>
    <n v="950.4"/>
    <n v="237.6"/>
    <n v="1188"/>
    <n v="1.475776397515528"/>
    <m/>
    <n v="105"/>
    <n v="156"/>
    <n v="156"/>
    <n v="0"/>
    <n v="156"/>
    <n v="189"/>
    <n v="0"/>
    <n v="0"/>
    <n v="148"/>
    <n v="8"/>
    <n v="0"/>
    <n v="0.94871794871794868"/>
    <n v="7"/>
    <n v="7"/>
    <n v="0"/>
    <n v="3"/>
    <n v="4"/>
    <m/>
    <m/>
    <m/>
    <m/>
    <m/>
  </r>
  <r>
    <n v="928"/>
    <x v="9"/>
    <x v="2"/>
    <x v="1"/>
    <n v="119"/>
    <x v="35"/>
    <n v="787"/>
    <n v="0"/>
    <x v="35"/>
    <x v="7"/>
    <n v="0"/>
    <n v="0"/>
    <n v="763"/>
    <n v="24"/>
    <x v="1"/>
    <x v="33"/>
    <n v="24416"/>
    <n v="22665.600000000002"/>
    <n v="1750.3999999999978"/>
    <n v="691.2"/>
    <n v="5"/>
    <n v="0"/>
    <n v="4"/>
    <n v="1"/>
    <n v="0"/>
    <n v="950.4"/>
    <n v="237.6"/>
    <n v="1188"/>
    <n v="1.5095298602287166"/>
    <m/>
    <n v="105"/>
    <n v="190"/>
    <n v="189"/>
    <n v="0"/>
    <n v="189"/>
    <n v="189"/>
    <n v="1"/>
    <n v="0"/>
    <n v="175"/>
    <n v="14"/>
    <n v="1"/>
    <n v="0.92105263157894735"/>
    <n v="7"/>
    <n v="7"/>
    <n v="0"/>
    <n v="4"/>
    <n v="3"/>
    <m/>
    <m/>
    <m/>
    <m/>
    <m/>
  </r>
  <r>
    <n v="929"/>
    <x v="10"/>
    <x v="3"/>
    <x v="1"/>
    <n v="119"/>
    <x v="36"/>
    <n v="796"/>
    <n v="0"/>
    <x v="36"/>
    <x v="7"/>
    <n v="0"/>
    <n v="0"/>
    <n v="764"/>
    <n v="32"/>
    <x v="1"/>
    <x v="34"/>
    <n v="24448"/>
    <n v="22924.799999999999"/>
    <n v="1523.2000000000007"/>
    <n v="921.6"/>
    <n v="5"/>
    <n v="1"/>
    <n v="3"/>
    <n v="1"/>
    <n v="237.6"/>
    <n v="712.8"/>
    <n v="237.6"/>
    <n v="1188"/>
    <n v="1.4924623115577889"/>
    <m/>
    <n v="105"/>
    <n v="185"/>
    <n v="185"/>
    <n v="0"/>
    <n v="185"/>
    <n v="189"/>
    <n v="0"/>
    <n v="0"/>
    <n v="177"/>
    <n v="8"/>
    <n v="0"/>
    <n v="0.95675675675675675"/>
    <n v="7"/>
    <n v="7"/>
    <n v="0"/>
    <n v="4"/>
    <n v="3"/>
    <m/>
    <m/>
    <m/>
    <m/>
    <m/>
  </r>
  <r>
    <n v="930"/>
    <x v="11"/>
    <x v="4"/>
    <x v="1"/>
    <n v="201"/>
    <x v="37"/>
    <n v="336"/>
    <n v="0"/>
    <x v="37"/>
    <x v="4"/>
    <n v="28"/>
    <n v="0"/>
    <n v="312"/>
    <n v="24"/>
    <x v="19"/>
    <x v="1"/>
    <n v="22152"/>
    <n v="17872.400000000001"/>
    <n v="4279.5999999999985"/>
    <n v="1178.4000000000001"/>
    <n v="5"/>
    <n v="0"/>
    <n v="4"/>
    <n v="1"/>
    <n v="0"/>
    <n v="950.4"/>
    <n v="237.6"/>
    <n v="1188"/>
    <n v="3.5357142857142856"/>
    <m/>
    <n v="105"/>
    <n v="181"/>
    <n v="171"/>
    <n v="0"/>
    <n v="171"/>
    <n v="189"/>
    <n v="10"/>
    <n v="0"/>
    <n v="159"/>
    <n v="12"/>
    <n v="10"/>
    <n v="0.87845303867403313"/>
    <n v="7"/>
    <n v="7"/>
    <n v="1"/>
    <n v="4"/>
    <n v="2"/>
    <m/>
    <m/>
    <m/>
    <m/>
    <m/>
  </r>
  <r>
    <n v="931"/>
    <x v="12"/>
    <x v="5"/>
    <x v="1"/>
    <n v="119"/>
    <x v="38"/>
    <n v="367"/>
    <n v="0"/>
    <x v="38"/>
    <x v="6"/>
    <n v="4"/>
    <n v="0"/>
    <n v="355"/>
    <n v="12"/>
    <x v="20"/>
    <x v="35"/>
    <n v="11360"/>
    <n v="10684.800000000001"/>
    <n v="675.19999999999891"/>
    <n v="345.6"/>
    <n v="2"/>
    <n v="0"/>
    <n v="1"/>
    <n v="1"/>
    <n v="0"/>
    <n v="237.6"/>
    <n v="237.6"/>
    <n v="475.2"/>
    <n v="1.2948228882833788"/>
    <m/>
    <n v="105"/>
    <n v="93"/>
    <n v="85"/>
    <n v="0"/>
    <n v="85"/>
    <n v="81"/>
    <n v="8"/>
    <n v="0"/>
    <n v="82"/>
    <n v="3"/>
    <n v="8"/>
    <n v="0.88172043010752688"/>
    <n v="3"/>
    <n v="3"/>
    <n v="0"/>
    <n v="1"/>
    <n v="2"/>
    <m/>
    <m/>
    <m/>
    <m/>
    <m/>
  </r>
  <r>
    <n v="932"/>
    <x v="13"/>
    <x v="6"/>
    <x v="1"/>
    <n v="119"/>
    <x v="28"/>
    <n v="322"/>
    <n v="0"/>
    <x v="28"/>
    <x v="6"/>
    <n v="0"/>
    <n v="0"/>
    <n v="305"/>
    <n v="17"/>
    <x v="1"/>
    <x v="36"/>
    <n v="9760"/>
    <n v="9273.6"/>
    <n v="486.39999999999964"/>
    <n v="489.6"/>
    <n v="2"/>
    <n v="0"/>
    <n v="1"/>
    <n v="1"/>
    <n v="0"/>
    <n v="237.6"/>
    <n v="237.6"/>
    <n v="475.2"/>
    <n v="1.4757763975155278"/>
    <m/>
    <n v="105"/>
    <n v="92"/>
    <n v="78"/>
    <n v="0"/>
    <n v="78"/>
    <n v="81"/>
    <n v="14"/>
    <n v="0"/>
    <n v="76"/>
    <n v="2"/>
    <n v="14"/>
    <n v="0.82608695652173914"/>
    <n v="3"/>
    <n v="3"/>
    <n v="0"/>
    <n v="1"/>
    <n v="2"/>
    <m/>
    <m/>
    <m/>
    <m/>
    <m/>
  </r>
  <r>
    <n v="933"/>
    <x v="14"/>
    <x v="0"/>
    <x v="1"/>
    <n v="201"/>
    <x v="39"/>
    <n v="332"/>
    <n v="0"/>
    <x v="39"/>
    <x v="4"/>
    <n v="0"/>
    <n v="0"/>
    <n v="325"/>
    <n v="7"/>
    <x v="1"/>
    <x v="37"/>
    <n v="23075"/>
    <n v="16301.2"/>
    <n v="6773.7999999999993"/>
    <n v="343.7"/>
    <n v="5"/>
    <n v="0"/>
    <n v="3"/>
    <n v="2"/>
    <n v="0"/>
    <n v="712.8"/>
    <n v="475.2"/>
    <n v="1188"/>
    <n v="3.5783132530120483"/>
    <m/>
    <n v="105"/>
    <n v="204"/>
    <n v="192"/>
    <n v="0"/>
    <n v="192"/>
    <n v="189"/>
    <n v="12"/>
    <n v="0"/>
    <n v="184"/>
    <n v="8"/>
    <n v="12"/>
    <n v="0.90196078431372551"/>
    <n v="7"/>
    <n v="7"/>
    <n v="0"/>
    <n v="3"/>
    <n v="4"/>
    <m/>
    <m/>
    <m/>
    <m/>
    <m/>
  </r>
  <r>
    <n v="934"/>
    <x v="15"/>
    <x v="1"/>
    <x v="1"/>
    <n v="201"/>
    <x v="40"/>
    <n v="332"/>
    <n v="0"/>
    <x v="39"/>
    <x v="4"/>
    <n v="77"/>
    <n v="0"/>
    <n v="318"/>
    <n v="14"/>
    <x v="21"/>
    <x v="38"/>
    <n v="22578"/>
    <n v="20081.900000000001"/>
    <n v="2496.0999999999985"/>
    <n v="687.4"/>
    <n v="5"/>
    <n v="0"/>
    <n v="4"/>
    <n v="1"/>
    <n v="0"/>
    <n v="950.4"/>
    <n v="237.6"/>
    <n v="1188"/>
    <n v="3.5783132530120483"/>
    <m/>
    <n v="105"/>
    <n v="158"/>
    <n v="147"/>
    <n v="0"/>
    <n v="147"/>
    <n v="189"/>
    <n v="11"/>
    <n v="0"/>
    <n v="138"/>
    <n v="9"/>
    <n v="11"/>
    <n v="0.87341772151898733"/>
    <n v="7"/>
    <n v="6"/>
    <n v="1"/>
    <n v="3"/>
    <n v="2"/>
    <m/>
    <m/>
    <m/>
    <m/>
    <m/>
  </r>
  <r>
    <n v="935"/>
    <x v="16"/>
    <x v="2"/>
    <x v="1"/>
    <n v="119"/>
    <x v="41"/>
    <n v="735"/>
    <n v="0"/>
    <x v="40"/>
    <x v="7"/>
    <n v="0"/>
    <n v="0"/>
    <n v="705"/>
    <n v="30"/>
    <x v="1"/>
    <x v="39"/>
    <n v="22560"/>
    <n v="21168"/>
    <n v="1392"/>
    <n v="864"/>
    <n v="5"/>
    <n v="1"/>
    <n v="3"/>
    <n v="1"/>
    <n v="237.6"/>
    <n v="712.8"/>
    <n v="237.6"/>
    <n v="1188"/>
    <n v="1.616326530612245"/>
    <m/>
    <n v="105"/>
    <n v="175"/>
    <n v="175"/>
    <n v="0"/>
    <n v="175"/>
    <n v="189"/>
    <n v="0"/>
    <n v="0"/>
    <n v="166"/>
    <n v="9"/>
    <n v="0"/>
    <n v="0.94857142857142862"/>
    <n v="7"/>
    <n v="7"/>
    <n v="0"/>
    <n v="3"/>
    <n v="4"/>
    <m/>
    <m/>
    <m/>
    <m/>
    <m/>
  </r>
  <r>
    <n v="936"/>
    <x v="17"/>
    <x v="3"/>
    <x v="1"/>
    <n v="201"/>
    <x v="42"/>
    <n v="353"/>
    <n v="0"/>
    <x v="41"/>
    <x v="4"/>
    <n v="46"/>
    <n v="0"/>
    <n v="335"/>
    <n v="18"/>
    <x v="22"/>
    <x v="40"/>
    <n v="23785"/>
    <n v="19590.900000000001"/>
    <n v="4194.0999999999985"/>
    <n v="883.80000000000007"/>
    <n v="5"/>
    <n v="0"/>
    <n v="4"/>
    <n v="1"/>
    <n v="0"/>
    <n v="950.4"/>
    <n v="237.6"/>
    <n v="1188"/>
    <n v="3.3654390934844192"/>
    <m/>
    <n v="105"/>
    <n v="204"/>
    <n v="151"/>
    <n v="0"/>
    <n v="151"/>
    <n v="189"/>
    <n v="53"/>
    <n v="0"/>
    <n v="147"/>
    <n v="4"/>
    <n v="53"/>
    <n v="0.72058823529411764"/>
    <n v="7"/>
    <n v="6"/>
    <n v="1"/>
    <n v="4"/>
    <n v="1"/>
    <m/>
    <m/>
    <m/>
    <m/>
    <m/>
  </r>
  <r>
    <n v="937"/>
    <x v="18"/>
    <x v="4"/>
    <x v="1"/>
    <n v="201"/>
    <x v="42"/>
    <n v="332"/>
    <n v="0"/>
    <x v="39"/>
    <x v="4"/>
    <n v="67"/>
    <n v="0"/>
    <n v="315"/>
    <n v="17"/>
    <x v="23"/>
    <x v="41"/>
    <n v="22365"/>
    <n v="19590.900000000001"/>
    <n v="2774.0999999999985"/>
    <n v="834.7"/>
    <n v="5"/>
    <n v="0"/>
    <n v="3"/>
    <n v="2"/>
    <n v="0"/>
    <n v="712.8"/>
    <n v="475.2"/>
    <n v="1188"/>
    <n v="3.5783132530120483"/>
    <m/>
    <n v="105"/>
    <n v="166"/>
    <n v="166"/>
    <n v="0"/>
    <n v="166"/>
    <n v="189"/>
    <n v="0"/>
    <n v="0"/>
    <n v="162"/>
    <n v="4"/>
    <n v="0"/>
    <n v="0.97590361445783136"/>
    <n v="7"/>
    <n v="7"/>
    <n v="0"/>
    <n v="4"/>
    <n v="3"/>
    <m/>
    <m/>
    <m/>
    <m/>
    <m/>
  </r>
  <r>
    <n v="938"/>
    <x v="19"/>
    <x v="5"/>
    <x v="1"/>
    <n v="119"/>
    <x v="43"/>
    <n v="350"/>
    <n v="0"/>
    <x v="11"/>
    <x v="6"/>
    <n v="35"/>
    <n v="0"/>
    <n v="343"/>
    <n v="7"/>
    <x v="24"/>
    <x v="42"/>
    <n v="10976"/>
    <n v="11088"/>
    <n v="-112"/>
    <n v="201.6"/>
    <n v="2"/>
    <n v="0"/>
    <n v="1"/>
    <n v="1"/>
    <n v="0"/>
    <n v="237.6"/>
    <n v="237.6"/>
    <n v="475.2"/>
    <n v="1.3577142857142857"/>
    <m/>
    <n v="105"/>
    <n v="76"/>
    <n v="76"/>
    <n v="0"/>
    <n v="76"/>
    <n v="81"/>
    <n v="0"/>
    <n v="0"/>
    <n v="73"/>
    <n v="3"/>
    <n v="0"/>
    <n v="0.96052631578947367"/>
    <n v="3"/>
    <n v="3"/>
    <n v="0"/>
    <n v="1"/>
    <n v="2"/>
    <m/>
    <m/>
    <m/>
    <m/>
    <m/>
  </r>
  <r>
    <n v="939"/>
    <x v="20"/>
    <x v="6"/>
    <x v="1"/>
    <n v="201"/>
    <x v="44"/>
    <n v="145"/>
    <n v="0"/>
    <x v="42"/>
    <x v="5"/>
    <n v="4"/>
    <n v="0"/>
    <n v="134"/>
    <n v="11"/>
    <x v="20"/>
    <x v="43"/>
    <n v="9514"/>
    <n v="7315.9000000000005"/>
    <n v="2198.0999999999995"/>
    <n v="540.1"/>
    <n v="2"/>
    <n v="0"/>
    <n v="1"/>
    <n v="1"/>
    <n v="0"/>
    <n v="237.6"/>
    <n v="237.6"/>
    <n v="475.2"/>
    <n v="3.2772413793103445"/>
    <m/>
    <n v="105"/>
    <n v="93"/>
    <n v="83"/>
    <n v="0"/>
    <n v="83"/>
    <n v="81"/>
    <n v="10"/>
    <n v="0"/>
    <n v="77"/>
    <n v="6"/>
    <n v="10"/>
    <n v="0.82795698924731187"/>
    <n v="3"/>
    <n v="3"/>
    <n v="0"/>
    <n v="1"/>
    <n v="2"/>
    <m/>
    <m/>
    <m/>
    <m/>
    <m/>
  </r>
  <r>
    <n v="940"/>
    <x v="21"/>
    <x v="0"/>
    <x v="1"/>
    <n v="201"/>
    <x v="45"/>
    <n v="367"/>
    <n v="0"/>
    <x v="38"/>
    <x v="4"/>
    <n v="0"/>
    <n v="0"/>
    <n v="341"/>
    <n v="26"/>
    <x v="1"/>
    <x v="44"/>
    <n v="24211"/>
    <n v="18019.7"/>
    <n v="6191.2999999999993"/>
    <n v="1276.6000000000001"/>
    <n v="5"/>
    <n v="0"/>
    <n v="4"/>
    <n v="1"/>
    <n v="0"/>
    <n v="950.4"/>
    <n v="237.6"/>
    <n v="1188"/>
    <n v="3.2370572207084467"/>
    <m/>
    <n v="105"/>
    <n v="179"/>
    <n v="179"/>
    <n v="0"/>
    <n v="179"/>
    <n v="189"/>
    <n v="0"/>
    <n v="0"/>
    <n v="168"/>
    <n v="11"/>
    <n v="0"/>
    <n v="0.93854748603351956"/>
    <n v="7"/>
    <n v="7"/>
    <n v="0"/>
    <n v="4"/>
    <n v="3"/>
    <m/>
    <m/>
    <m/>
    <m/>
    <m/>
  </r>
  <r>
    <n v="941"/>
    <x v="22"/>
    <x v="1"/>
    <x v="1"/>
    <n v="119"/>
    <x v="46"/>
    <n v="796"/>
    <n v="0"/>
    <x v="36"/>
    <x v="7"/>
    <n v="105"/>
    <n v="0"/>
    <n v="780"/>
    <n v="16"/>
    <x v="11"/>
    <x v="45"/>
    <n v="24960"/>
    <n v="25948.799999999999"/>
    <n v="-988.79999999999927"/>
    <n v="460.8"/>
    <n v="5"/>
    <n v="1"/>
    <n v="3"/>
    <n v="1"/>
    <n v="237.6"/>
    <n v="712.8"/>
    <n v="237.6"/>
    <n v="1188"/>
    <n v="1.4924623115577889"/>
    <m/>
    <n v="105"/>
    <n v="202"/>
    <n v="196"/>
    <n v="0"/>
    <n v="196"/>
    <n v="189"/>
    <n v="6"/>
    <n v="0"/>
    <n v="182"/>
    <n v="14"/>
    <n v="6"/>
    <n v="0.90099009900990101"/>
    <n v="7"/>
    <n v="7"/>
    <n v="0"/>
    <n v="3"/>
    <n v="4"/>
    <m/>
    <m/>
    <m/>
    <m/>
    <m/>
  </r>
  <r>
    <n v="942"/>
    <x v="23"/>
    <x v="2"/>
    <x v="1"/>
    <n v="201"/>
    <x v="47"/>
    <n v="339"/>
    <n v="0"/>
    <x v="33"/>
    <x v="4"/>
    <n v="56"/>
    <n v="0"/>
    <n v="322"/>
    <n v="17"/>
    <x v="25"/>
    <x v="46"/>
    <n v="22862"/>
    <n v="19394.5"/>
    <n v="3467.5"/>
    <n v="834.7"/>
    <n v="5"/>
    <n v="0"/>
    <n v="3"/>
    <n v="2"/>
    <n v="0"/>
    <n v="712.8"/>
    <n v="475.2"/>
    <n v="1188"/>
    <n v="3.5044247787610621"/>
    <m/>
    <n v="105"/>
    <n v="206"/>
    <n v="181"/>
    <n v="0"/>
    <n v="181"/>
    <n v="189"/>
    <n v="25"/>
    <n v="0"/>
    <n v="170"/>
    <n v="11"/>
    <n v="25"/>
    <n v="0.82524271844660191"/>
    <n v="7"/>
    <n v="7"/>
    <n v="0"/>
    <n v="3"/>
    <n v="4"/>
    <m/>
    <m/>
    <m/>
    <m/>
    <m/>
  </r>
  <r>
    <n v="943"/>
    <x v="24"/>
    <x v="3"/>
    <x v="1"/>
    <n v="119"/>
    <x v="48"/>
    <n v="778"/>
    <n v="0"/>
    <x v="43"/>
    <x v="7"/>
    <n v="0"/>
    <n v="0"/>
    <n v="754"/>
    <n v="24"/>
    <x v="1"/>
    <x v="47"/>
    <n v="24128"/>
    <n v="22406.400000000001"/>
    <n v="1721.5999999999985"/>
    <n v="691.2"/>
    <n v="5"/>
    <n v="0"/>
    <n v="4"/>
    <n v="1"/>
    <n v="0"/>
    <n v="950.4"/>
    <n v="237.6"/>
    <n v="1188"/>
    <n v="1.5269922879177378"/>
    <m/>
    <n v="105"/>
    <n v="160"/>
    <n v="160"/>
    <n v="0"/>
    <n v="160"/>
    <n v="189"/>
    <n v="0"/>
    <n v="0"/>
    <n v="153"/>
    <n v="7"/>
    <n v="0"/>
    <n v="0.95625000000000004"/>
    <n v="7"/>
    <n v="7"/>
    <n v="0"/>
    <n v="3"/>
    <n v="4"/>
    <m/>
    <m/>
    <m/>
    <m/>
    <m/>
  </r>
  <r>
    <n v="944"/>
    <x v="25"/>
    <x v="4"/>
    <x v="1"/>
    <n v="201"/>
    <x v="42"/>
    <n v="339"/>
    <n v="0"/>
    <x v="33"/>
    <x v="4"/>
    <n v="60"/>
    <n v="0"/>
    <n v="318"/>
    <n v="21"/>
    <x v="26"/>
    <x v="48"/>
    <n v="22578"/>
    <n v="19590.900000000001"/>
    <n v="2987.0999999999985"/>
    <n v="1031.1000000000001"/>
    <n v="5"/>
    <n v="0"/>
    <n v="4"/>
    <n v="1"/>
    <n v="0"/>
    <n v="950.4"/>
    <n v="237.6"/>
    <n v="1188"/>
    <n v="3.5044247787610621"/>
    <m/>
    <n v="105"/>
    <n v="223"/>
    <n v="187"/>
    <n v="0"/>
    <n v="187"/>
    <n v="189"/>
    <n v="36"/>
    <n v="0"/>
    <n v="179"/>
    <n v="8"/>
    <n v="36"/>
    <n v="0.80269058295964124"/>
    <n v="7"/>
    <n v="7"/>
    <n v="1"/>
    <n v="3"/>
    <n v="3"/>
    <m/>
    <m/>
    <m/>
    <m/>
    <m/>
  </r>
  <r>
    <n v="945"/>
    <x v="26"/>
    <x v="5"/>
    <x v="1"/>
    <n v="201"/>
    <x v="49"/>
    <n v="135"/>
    <n v="0"/>
    <x v="44"/>
    <x v="5"/>
    <n v="24"/>
    <n v="0"/>
    <n v="126"/>
    <n v="9"/>
    <x v="27"/>
    <x v="49"/>
    <n v="8946"/>
    <n v="7806.9000000000005"/>
    <n v="1139.0999999999995"/>
    <n v="441.90000000000003"/>
    <n v="2"/>
    <n v="0"/>
    <n v="1"/>
    <n v="1"/>
    <n v="0"/>
    <n v="237.6"/>
    <n v="237.6"/>
    <n v="475.2"/>
    <n v="3.52"/>
    <m/>
    <n v="105"/>
    <n v="81"/>
    <n v="81"/>
    <n v="0"/>
    <n v="81"/>
    <n v="81"/>
    <n v="0"/>
    <n v="0"/>
    <n v="79"/>
    <n v="2"/>
    <n v="0"/>
    <n v="0.97530864197530864"/>
    <n v="3"/>
    <n v="3"/>
    <n v="0"/>
    <n v="1"/>
    <n v="2"/>
    <m/>
    <m/>
    <m/>
    <m/>
    <m/>
  </r>
  <r>
    <n v="946"/>
    <x v="27"/>
    <x v="6"/>
    <x v="1"/>
    <n v="119"/>
    <x v="50"/>
    <n v="332"/>
    <n v="0"/>
    <x v="39"/>
    <x v="6"/>
    <n v="56"/>
    <n v="0"/>
    <n v="325"/>
    <n v="7"/>
    <x v="25"/>
    <x v="37"/>
    <n v="10400"/>
    <n v="11174.4"/>
    <n v="-774.39999999999964"/>
    <n v="201.6"/>
    <n v="2"/>
    <n v="0"/>
    <n v="1"/>
    <n v="1"/>
    <n v="0"/>
    <n v="237.6"/>
    <n v="237.6"/>
    <n v="475.2"/>
    <n v="1.4313253012048193"/>
    <m/>
    <n v="105"/>
    <n v="92"/>
    <n v="82"/>
    <n v="0"/>
    <n v="82"/>
    <n v="81"/>
    <n v="10"/>
    <n v="0"/>
    <n v="76"/>
    <n v="6"/>
    <n v="10"/>
    <n v="0.82608695652173914"/>
    <n v="3"/>
    <n v="3"/>
    <n v="0"/>
    <n v="1"/>
    <n v="2"/>
    <m/>
    <m/>
    <m/>
    <m/>
    <m/>
  </r>
  <r>
    <n v="947"/>
    <x v="28"/>
    <x v="0"/>
    <x v="1"/>
    <n v="119"/>
    <x v="51"/>
    <n v="857"/>
    <n v="0"/>
    <x v="10"/>
    <x v="7"/>
    <n v="96"/>
    <n v="0"/>
    <n v="797"/>
    <n v="60"/>
    <x v="28"/>
    <x v="50"/>
    <n v="25504"/>
    <n v="27446.400000000001"/>
    <n v="-1942.4000000000015"/>
    <n v="1728"/>
    <n v="5"/>
    <n v="0"/>
    <n v="3"/>
    <n v="2"/>
    <n v="0"/>
    <n v="712.8"/>
    <n v="475.2"/>
    <n v="1188"/>
    <n v="1.3862310385064178"/>
    <m/>
    <n v="105"/>
    <n v="196"/>
    <n v="181"/>
    <n v="0"/>
    <n v="181"/>
    <n v="189"/>
    <n v="15"/>
    <n v="0"/>
    <n v="177"/>
    <n v="4"/>
    <n v="15"/>
    <n v="0.90306122448979587"/>
    <n v="7"/>
    <n v="7"/>
    <n v="0"/>
    <n v="4"/>
    <n v="3"/>
    <m/>
    <m/>
    <m/>
    <m/>
    <m/>
  </r>
  <r>
    <n v="948"/>
    <x v="0"/>
    <x v="0"/>
    <x v="2"/>
    <n v="119"/>
    <x v="52"/>
    <n v="651"/>
    <n v="64"/>
    <x v="45"/>
    <x v="1"/>
    <n v="0"/>
    <n v="64"/>
    <n v="679"/>
    <n v="36"/>
    <x v="29"/>
    <x v="51"/>
    <n v="21728"/>
    <n v="18748.8"/>
    <n v="2979.2000000000007"/>
    <n v="1036.8"/>
    <n v="6"/>
    <n v="0"/>
    <n v="4"/>
    <n v="2"/>
    <n v="0"/>
    <n v="1036.8"/>
    <n v="518.4"/>
    <n v="1555.1999999999998"/>
    <n v="2.1751048951048948"/>
    <m/>
    <n v="105"/>
    <n v="194"/>
    <n v="162"/>
    <n v="16"/>
    <n v="178"/>
    <n v="162"/>
    <n v="36"/>
    <n v="52"/>
    <n v="172"/>
    <n v="6"/>
    <n v="16"/>
    <n v="0.88659793814432986"/>
    <n v="6"/>
    <n v="6"/>
    <n v="0"/>
    <n v="3"/>
    <n v="3"/>
    <m/>
    <m/>
    <m/>
    <m/>
    <m/>
  </r>
  <r>
    <n v="949"/>
    <x v="1"/>
    <x v="1"/>
    <x v="2"/>
    <n v="201"/>
    <x v="53"/>
    <n v="336"/>
    <n v="0"/>
    <x v="37"/>
    <x v="0"/>
    <n v="0"/>
    <n v="0"/>
    <n v="315"/>
    <n v="21"/>
    <x v="1"/>
    <x v="52"/>
    <n v="22365"/>
    <n v="16497.600000000002"/>
    <n v="5867.3999999999978"/>
    <n v="1031.1000000000001"/>
    <n v="6"/>
    <n v="0"/>
    <n v="4"/>
    <n v="2"/>
    <n v="0"/>
    <n v="1036.8"/>
    <n v="518.4"/>
    <n v="1555.1999999999998"/>
    <n v="4.6285714285714281"/>
    <m/>
    <n v="105"/>
    <n v="173"/>
    <n v="165"/>
    <n v="9"/>
    <n v="174"/>
    <n v="162"/>
    <n v="0"/>
    <n v="9"/>
    <n v="167"/>
    <n v="7"/>
    <n v="-1"/>
    <n v="0.96531791907514453"/>
    <n v="6"/>
    <n v="6"/>
    <n v="0"/>
    <n v="3"/>
    <n v="3"/>
    <m/>
    <m/>
    <m/>
    <m/>
    <m/>
  </r>
  <r>
    <n v="950"/>
    <x v="2"/>
    <x v="2"/>
    <x v="2"/>
    <n v="201"/>
    <x v="54"/>
    <n v="289"/>
    <n v="62"/>
    <x v="46"/>
    <x v="0"/>
    <n v="0"/>
    <n v="62"/>
    <n v="343"/>
    <n v="8"/>
    <x v="30"/>
    <x v="53"/>
    <n v="24353"/>
    <n v="14189.9"/>
    <n v="10163.1"/>
    <n v="392.8"/>
    <n v="6"/>
    <n v="0"/>
    <n v="3"/>
    <n v="3"/>
    <n v="0"/>
    <n v="777.59999999999991"/>
    <n v="777.59999999999991"/>
    <n v="1555.1999999999998"/>
    <n v="4.4307692307692301"/>
    <m/>
    <n v="105"/>
    <n v="189"/>
    <n v="170"/>
    <n v="0"/>
    <n v="170"/>
    <n v="162"/>
    <n v="0"/>
    <n v="0"/>
    <n v="161"/>
    <n v="9"/>
    <n v="19"/>
    <n v="0.85185185185185186"/>
    <n v="6"/>
    <n v="6"/>
    <n v="0"/>
    <n v="4"/>
    <n v="2"/>
    <m/>
    <m/>
    <m/>
    <m/>
    <m/>
  </r>
  <r>
    <n v="951"/>
    <x v="3"/>
    <x v="3"/>
    <x v="2"/>
    <n v="201"/>
    <x v="55"/>
    <n v="264"/>
    <n v="198"/>
    <x v="24"/>
    <x v="0"/>
    <n v="44"/>
    <n v="242"/>
    <n v="443"/>
    <n v="19"/>
    <x v="31"/>
    <x v="54"/>
    <n v="31453"/>
    <n v="12962.4"/>
    <n v="18490.599999999999"/>
    <n v="932.9"/>
    <n v="6"/>
    <n v="0"/>
    <n v="4"/>
    <n v="2"/>
    <n v="0"/>
    <n v="1036.8"/>
    <n v="518.4"/>
    <n v="1555.1999999999998"/>
    <n v="3.366233766233766"/>
    <m/>
    <n v="105"/>
    <n v="186"/>
    <n v="157"/>
    <n v="21"/>
    <n v="178"/>
    <n v="162"/>
    <n v="29"/>
    <n v="50"/>
    <n v="165"/>
    <n v="13"/>
    <n v="8"/>
    <n v="0.88709677419354838"/>
    <n v="6"/>
    <n v="6"/>
    <n v="0"/>
    <n v="4"/>
    <n v="2"/>
    <m/>
    <m/>
    <m/>
    <m/>
    <m/>
  </r>
  <r>
    <n v="952"/>
    <x v="4"/>
    <x v="4"/>
    <x v="2"/>
    <n v="119"/>
    <x v="56"/>
    <n v="903"/>
    <n v="73"/>
    <x v="47"/>
    <x v="1"/>
    <n v="0"/>
    <n v="73"/>
    <n v="917"/>
    <n v="59"/>
    <x v="32"/>
    <x v="55"/>
    <n v="29344"/>
    <n v="26006.400000000001"/>
    <n v="3337.5999999999985"/>
    <n v="1699.2"/>
    <n v="6"/>
    <n v="0"/>
    <n v="3"/>
    <n v="3"/>
    <n v="0"/>
    <n v="777.59999999999991"/>
    <n v="777.59999999999991"/>
    <n v="1555.1999999999998"/>
    <n v="1.5934426229508194"/>
    <m/>
    <n v="105"/>
    <n v="149"/>
    <n v="149"/>
    <n v="0"/>
    <n v="149"/>
    <n v="162"/>
    <n v="0"/>
    <n v="0"/>
    <n v="141"/>
    <n v="8"/>
    <n v="0"/>
    <n v="0.94630872483221473"/>
    <n v="6"/>
    <n v="6"/>
    <n v="0"/>
    <n v="3"/>
    <n v="3"/>
    <m/>
    <m/>
    <m/>
    <m/>
    <m/>
  </r>
  <r>
    <n v="953"/>
    <x v="5"/>
    <x v="5"/>
    <x v="2"/>
    <n v="119"/>
    <x v="57"/>
    <n v="0"/>
    <n v="0"/>
    <x v="48"/>
    <x v="8"/>
    <n v="26"/>
    <n v="26"/>
    <n v="0"/>
    <n v="0"/>
    <x v="1"/>
    <x v="56"/>
    <n v="0"/>
    <n v="0"/>
    <n v="0"/>
    <n v="0"/>
    <n v="0"/>
    <n v="0"/>
    <n v="0"/>
    <n v="0"/>
    <n v="0"/>
    <n v="0"/>
    <n v="0"/>
    <n v="0"/>
    <e v="#DIV/0!"/>
    <m/>
    <n v="105"/>
    <n v="0"/>
    <n v="0"/>
    <n v="0"/>
    <n v="0"/>
    <n v="0"/>
    <n v="12"/>
    <n v="12"/>
    <n v="0"/>
    <n v="0"/>
    <n v="0"/>
    <e v="#DIV/0!"/>
    <n v="0"/>
    <n v="0"/>
    <n v="0"/>
    <n v="0"/>
    <n v="0"/>
    <m/>
    <m/>
    <m/>
    <m/>
    <m/>
  </r>
  <r>
    <n v="954"/>
    <x v="6"/>
    <x v="6"/>
    <x v="2"/>
    <n v="201"/>
    <x v="57"/>
    <n v="0"/>
    <n v="0"/>
    <x v="48"/>
    <x v="8"/>
    <n v="6"/>
    <n v="6"/>
    <n v="0"/>
    <n v="0"/>
    <x v="1"/>
    <x v="56"/>
    <n v="0"/>
    <n v="0"/>
    <n v="0"/>
    <n v="0"/>
    <n v="0"/>
    <n v="0"/>
    <n v="0"/>
    <n v="0"/>
    <n v="0"/>
    <n v="0"/>
    <n v="0"/>
    <n v="0"/>
    <e v="#DIV/0!"/>
    <m/>
    <n v="105"/>
    <n v="0"/>
    <n v="0"/>
    <n v="0"/>
    <n v="0"/>
    <n v="0"/>
    <n v="0"/>
    <n v="0"/>
    <n v="0"/>
    <n v="0"/>
    <n v="0"/>
    <e v="#DIV/0!"/>
    <n v="0"/>
    <n v="0"/>
    <n v="0"/>
    <n v="0"/>
    <n v="0"/>
    <m/>
    <m/>
    <m/>
    <m/>
    <m/>
  </r>
  <r>
    <n v="955"/>
    <x v="7"/>
    <x v="0"/>
    <x v="2"/>
    <n v="119"/>
    <x v="58"/>
    <n v="546"/>
    <n v="31"/>
    <x v="49"/>
    <x v="1"/>
    <n v="0"/>
    <n v="31"/>
    <n v="548"/>
    <n v="29"/>
    <x v="33"/>
    <x v="57"/>
    <n v="17536"/>
    <n v="15724.800000000001"/>
    <n v="1811.1999999999989"/>
    <n v="835.2"/>
    <n v="5"/>
    <n v="0"/>
    <n v="4"/>
    <n v="1"/>
    <n v="0"/>
    <n v="1036.8"/>
    <n v="259.2"/>
    <n v="1296"/>
    <n v="2.2461005199306761"/>
    <m/>
    <n v="105"/>
    <n v="160"/>
    <n v="158"/>
    <n v="20"/>
    <n v="178"/>
    <n v="162"/>
    <n v="8"/>
    <n v="28"/>
    <n v="174"/>
    <n v="4"/>
    <n v="-18"/>
    <n v="1.0874999999999999"/>
    <n v="6"/>
    <n v="6"/>
    <n v="0"/>
    <n v="3"/>
    <n v="3"/>
    <m/>
    <m/>
    <m/>
    <m/>
    <m/>
  </r>
  <r>
    <n v="956"/>
    <x v="8"/>
    <x v="1"/>
    <x v="2"/>
    <n v="119"/>
    <x v="25"/>
    <n v="619"/>
    <n v="0"/>
    <x v="50"/>
    <x v="1"/>
    <n v="0"/>
    <n v="0"/>
    <n v="588"/>
    <n v="31"/>
    <x v="1"/>
    <x v="58"/>
    <n v="18816"/>
    <n v="17827.2"/>
    <n v="988.79999999999927"/>
    <n v="892.80000000000007"/>
    <n v="6"/>
    <n v="0"/>
    <n v="4"/>
    <n v="2"/>
    <n v="0"/>
    <n v="1036.8"/>
    <n v="518.4"/>
    <n v="1555.1999999999998"/>
    <n v="2.5124394184168009"/>
    <m/>
    <n v="105"/>
    <n v="174"/>
    <n v="163"/>
    <n v="0"/>
    <n v="163"/>
    <n v="162"/>
    <n v="0"/>
    <n v="0"/>
    <n v="151"/>
    <n v="12"/>
    <n v="11"/>
    <n v="0.86781609195402298"/>
    <n v="6"/>
    <n v="6"/>
    <n v="0"/>
    <n v="4"/>
    <n v="2"/>
    <m/>
    <m/>
    <m/>
    <m/>
    <m/>
  </r>
  <r>
    <n v="957"/>
    <x v="9"/>
    <x v="2"/>
    <x v="2"/>
    <n v="201"/>
    <x v="59"/>
    <n v="344"/>
    <n v="75"/>
    <x v="51"/>
    <x v="0"/>
    <n v="0"/>
    <n v="75"/>
    <n v="393"/>
    <n v="26"/>
    <x v="34"/>
    <x v="59"/>
    <n v="27903"/>
    <n v="16890.400000000001"/>
    <n v="11012.599999999999"/>
    <n v="1276.6000000000001"/>
    <n v="6"/>
    <n v="0"/>
    <n v="3"/>
    <n v="3"/>
    <n v="0"/>
    <n v="777.59999999999991"/>
    <n v="777.59999999999991"/>
    <n v="1555.1999999999998"/>
    <n v="3.7116945107398562"/>
    <m/>
    <n v="105"/>
    <n v="191"/>
    <n v="158"/>
    <n v="20"/>
    <n v="178"/>
    <n v="162"/>
    <n v="0"/>
    <n v="20"/>
    <n v="170"/>
    <n v="8"/>
    <n v="13"/>
    <n v="0.89005235602094246"/>
    <n v="6"/>
    <n v="6"/>
    <n v="0"/>
    <n v="4"/>
    <n v="2"/>
    <m/>
    <m/>
    <m/>
    <m/>
    <m/>
  </r>
  <r>
    <n v="958"/>
    <x v="10"/>
    <x v="3"/>
    <x v="2"/>
    <n v="201"/>
    <x v="60"/>
    <n v="260"/>
    <n v="151"/>
    <x v="23"/>
    <x v="0"/>
    <n v="0"/>
    <n v="151"/>
    <n v="386"/>
    <n v="25"/>
    <x v="35"/>
    <x v="60"/>
    <n v="27406"/>
    <n v="12766"/>
    <n v="14640"/>
    <n v="1227.5"/>
    <n v="5"/>
    <n v="0"/>
    <n v="4"/>
    <n v="1"/>
    <n v="0"/>
    <n v="1036.8"/>
    <n v="259.2"/>
    <n v="1296"/>
    <n v="3.1532846715328469"/>
    <m/>
    <n v="105"/>
    <n v="187"/>
    <n v="157"/>
    <n v="15"/>
    <n v="172"/>
    <n v="162"/>
    <n v="0"/>
    <n v="15"/>
    <n v="159"/>
    <n v="13"/>
    <n v="15"/>
    <n v="0.85026737967914434"/>
    <n v="6"/>
    <n v="6"/>
    <n v="0"/>
    <n v="4"/>
    <n v="2"/>
    <m/>
    <m/>
    <m/>
    <m/>
    <m/>
  </r>
  <r>
    <n v="959"/>
    <x v="11"/>
    <x v="4"/>
    <x v="2"/>
    <n v="119"/>
    <x v="61"/>
    <n v="714"/>
    <n v="89"/>
    <x v="52"/>
    <x v="1"/>
    <n v="0"/>
    <n v="89"/>
    <n v="786"/>
    <n v="17"/>
    <x v="36"/>
    <x v="61"/>
    <n v="25152"/>
    <n v="20563.2"/>
    <n v="4588.7999999999993"/>
    <n v="489.6"/>
    <n v="6"/>
    <n v="0"/>
    <n v="4"/>
    <n v="2"/>
    <n v="0"/>
    <n v="1036.8"/>
    <n v="518.4"/>
    <n v="1555.1999999999998"/>
    <n v="1.9367372353673722"/>
    <m/>
    <n v="105"/>
    <n v="173"/>
    <n v="160"/>
    <n v="18"/>
    <n v="178"/>
    <n v="162"/>
    <n v="1"/>
    <n v="19"/>
    <n v="170"/>
    <n v="8"/>
    <n v="-5"/>
    <n v="0.98265895953757221"/>
    <n v="6"/>
    <n v="6"/>
    <n v="0"/>
    <n v="4"/>
    <n v="2"/>
    <m/>
    <m/>
    <m/>
    <m/>
    <m/>
  </r>
  <r>
    <n v="960"/>
    <x v="12"/>
    <x v="5"/>
    <x v="2"/>
    <n v="201"/>
    <x v="57"/>
    <n v="0"/>
    <n v="0"/>
    <x v="48"/>
    <x v="8"/>
    <n v="4"/>
    <n v="4"/>
    <n v="0"/>
    <n v="0"/>
    <x v="1"/>
    <x v="56"/>
    <n v="0"/>
    <n v="0"/>
    <n v="0"/>
    <n v="0"/>
    <n v="0"/>
    <n v="0"/>
    <n v="0"/>
    <n v="0"/>
    <n v="0"/>
    <n v="0"/>
    <n v="0"/>
    <n v="0"/>
    <e v="#DIV/0!"/>
    <m/>
    <n v="105"/>
    <n v="0"/>
    <n v="0"/>
    <n v="0"/>
    <n v="0"/>
    <n v="0"/>
    <n v="8"/>
    <n v="8"/>
    <n v="0"/>
    <n v="0"/>
    <n v="0"/>
    <e v="#DIV/0!"/>
    <n v="0"/>
    <n v="0"/>
    <n v="0"/>
    <n v="0"/>
    <n v="0"/>
    <m/>
    <m/>
    <m/>
    <m/>
    <m/>
  </r>
  <r>
    <n v="961"/>
    <x v="13"/>
    <x v="6"/>
    <x v="2"/>
    <n v="201"/>
    <x v="57"/>
    <n v="0"/>
    <n v="0"/>
    <x v="48"/>
    <x v="8"/>
    <n v="115"/>
    <n v="115"/>
    <n v="0"/>
    <n v="0"/>
    <x v="1"/>
    <x v="56"/>
    <n v="0"/>
    <n v="0"/>
    <n v="0"/>
    <n v="0"/>
    <n v="0"/>
    <n v="0"/>
    <n v="0"/>
    <n v="0"/>
    <n v="0"/>
    <n v="0"/>
    <n v="0"/>
    <n v="0"/>
    <e v="#DIV/0!"/>
    <m/>
    <n v="105"/>
    <n v="0"/>
    <n v="0"/>
    <n v="0"/>
    <n v="0"/>
    <n v="0"/>
    <n v="30"/>
    <n v="30"/>
    <n v="0"/>
    <n v="0"/>
    <n v="0"/>
    <e v="#DIV/0!"/>
    <n v="0"/>
    <n v="0"/>
    <n v="0"/>
    <n v="0"/>
    <n v="0"/>
    <m/>
    <m/>
    <m/>
    <m/>
    <m/>
  </r>
  <r>
    <n v="962"/>
    <x v="14"/>
    <x v="0"/>
    <x v="2"/>
    <n v="119"/>
    <x v="23"/>
    <n v="840"/>
    <n v="13"/>
    <x v="53"/>
    <x v="1"/>
    <n v="0"/>
    <n v="13"/>
    <n v="835"/>
    <n v="18"/>
    <x v="37"/>
    <x v="62"/>
    <n v="26720"/>
    <n v="24192"/>
    <n v="2528"/>
    <n v="518.4"/>
    <n v="6"/>
    <n v="0"/>
    <n v="4"/>
    <n v="2"/>
    <n v="0"/>
    <n v="1036.8"/>
    <n v="518.4"/>
    <n v="1555.1999999999998"/>
    <n v="1.8232121922626023"/>
    <m/>
    <n v="105"/>
    <n v="134"/>
    <n v="134"/>
    <n v="16"/>
    <n v="150"/>
    <n v="162"/>
    <n v="0"/>
    <n v="16"/>
    <n v="144"/>
    <n v="6"/>
    <n v="-16"/>
    <n v="1.0746268656716418"/>
    <n v="6"/>
    <n v="6"/>
    <n v="0"/>
    <n v="4"/>
    <n v="2"/>
    <m/>
    <m/>
    <m/>
    <m/>
    <m/>
  </r>
  <r>
    <n v="963"/>
    <x v="15"/>
    <x v="1"/>
    <x v="2"/>
    <n v="119"/>
    <x v="62"/>
    <n v="556"/>
    <n v="77"/>
    <x v="54"/>
    <x v="1"/>
    <n v="0"/>
    <n v="77"/>
    <n v="588"/>
    <n v="45"/>
    <x v="38"/>
    <x v="63"/>
    <n v="18816"/>
    <n v="16012.800000000001"/>
    <n v="2803.1999999999989"/>
    <n v="1296"/>
    <n v="6"/>
    <n v="0"/>
    <n v="3"/>
    <n v="3"/>
    <n v="0"/>
    <n v="777.59999999999991"/>
    <n v="777.59999999999991"/>
    <n v="1555.1999999999998"/>
    <n v="2.4568720379146916"/>
    <m/>
    <n v="105"/>
    <n v="150"/>
    <n v="128"/>
    <n v="11"/>
    <n v="139"/>
    <n v="162"/>
    <n v="0"/>
    <n v="11"/>
    <n v="132"/>
    <n v="7"/>
    <n v="11"/>
    <n v="0.88"/>
    <n v="6"/>
    <n v="5"/>
    <n v="0"/>
    <n v="4"/>
    <n v="1"/>
    <m/>
    <m/>
    <m/>
    <m/>
    <m/>
  </r>
  <r>
    <n v="964"/>
    <x v="16"/>
    <x v="2"/>
    <x v="2"/>
    <n v="201"/>
    <x v="63"/>
    <n v="373"/>
    <n v="0"/>
    <x v="55"/>
    <x v="0"/>
    <n v="0"/>
    <n v="0"/>
    <n v="365"/>
    <n v="8"/>
    <x v="1"/>
    <x v="64"/>
    <n v="25915"/>
    <n v="18314.3"/>
    <n v="7600.7000000000007"/>
    <n v="392.8"/>
    <n v="6"/>
    <n v="0"/>
    <n v="3"/>
    <n v="3"/>
    <n v="0"/>
    <n v="777.59999999999991"/>
    <n v="777.59999999999991"/>
    <n v="1555.1999999999998"/>
    <n v="4.1694369973190346"/>
    <m/>
    <n v="105"/>
    <n v="186"/>
    <n v="135"/>
    <n v="0"/>
    <n v="135"/>
    <n v="162"/>
    <n v="0"/>
    <n v="0"/>
    <n v="125"/>
    <n v="10"/>
    <n v="51"/>
    <n v="0.67204301075268813"/>
    <n v="6"/>
    <n v="5"/>
    <n v="0"/>
    <n v="4"/>
    <n v="1"/>
    <m/>
    <m/>
    <m/>
    <m/>
    <m/>
  </r>
  <r>
    <n v="965"/>
    <x v="17"/>
    <x v="3"/>
    <x v="2"/>
    <n v="201"/>
    <x v="64"/>
    <n v="369"/>
    <n v="93"/>
    <x v="24"/>
    <x v="0"/>
    <n v="58"/>
    <n v="151"/>
    <n v="448"/>
    <n v="14"/>
    <x v="39"/>
    <x v="25"/>
    <n v="31808"/>
    <n v="18117.900000000001"/>
    <n v="13690.099999999999"/>
    <n v="687.4"/>
    <n v="6"/>
    <n v="0"/>
    <n v="4"/>
    <n v="2"/>
    <n v="0"/>
    <n v="1036.8"/>
    <n v="518.4"/>
    <n v="1555.1999999999998"/>
    <n v="3.366233766233766"/>
    <m/>
    <n v="105"/>
    <n v="179"/>
    <n v="160"/>
    <n v="18"/>
    <n v="178"/>
    <n v="162"/>
    <n v="35"/>
    <n v="53"/>
    <n v="174"/>
    <n v="4"/>
    <n v="1"/>
    <n v="0.97206703910614523"/>
    <n v="6"/>
    <n v="6"/>
    <n v="0"/>
    <n v="3"/>
    <n v="3"/>
    <m/>
    <m/>
    <m/>
    <m/>
    <m/>
  </r>
  <r>
    <n v="966"/>
    <x v="18"/>
    <x v="4"/>
    <x v="2"/>
    <n v="119"/>
    <x v="65"/>
    <n v="766"/>
    <n v="235"/>
    <x v="56"/>
    <x v="1"/>
    <n v="0"/>
    <n v="235"/>
    <n v="980"/>
    <n v="21"/>
    <x v="40"/>
    <x v="65"/>
    <n v="31360"/>
    <n v="22060.799999999999"/>
    <n v="9299.2000000000007"/>
    <n v="604.80000000000007"/>
    <n v="6"/>
    <n v="0"/>
    <n v="3"/>
    <n v="3"/>
    <n v="0"/>
    <n v="777.59999999999991"/>
    <n v="777.59999999999991"/>
    <n v="1555.1999999999998"/>
    <n v="1.5536463536463534"/>
    <m/>
    <n v="105"/>
    <n v="179"/>
    <n v="166"/>
    <n v="12"/>
    <n v="178"/>
    <n v="162"/>
    <n v="33"/>
    <n v="45"/>
    <n v="165"/>
    <n v="13"/>
    <n v="1"/>
    <n v="0.92178770949720668"/>
    <n v="6"/>
    <n v="6"/>
    <n v="0"/>
    <n v="3"/>
    <n v="3"/>
    <m/>
    <m/>
    <m/>
    <m/>
    <m/>
  </r>
  <r>
    <n v="967"/>
    <x v="19"/>
    <x v="5"/>
    <x v="2"/>
    <n v="201"/>
    <x v="57"/>
    <n v="0"/>
    <n v="0"/>
    <x v="48"/>
    <x v="8"/>
    <n v="35"/>
    <n v="35"/>
    <n v="0"/>
    <n v="0"/>
    <x v="1"/>
    <x v="56"/>
    <n v="0"/>
    <n v="0"/>
    <n v="0"/>
    <n v="0"/>
    <n v="0"/>
    <n v="0"/>
    <n v="0"/>
    <n v="0"/>
    <n v="0"/>
    <n v="0"/>
    <n v="0"/>
    <n v="0"/>
    <e v="#DIV/0!"/>
    <m/>
    <n v="105"/>
    <n v="0"/>
    <n v="0"/>
    <n v="0"/>
    <n v="0"/>
    <n v="0"/>
    <n v="6"/>
    <n v="6"/>
    <n v="0"/>
    <n v="0"/>
    <n v="0"/>
    <e v="#DIV/0!"/>
    <n v="0"/>
    <n v="0"/>
    <n v="0"/>
    <n v="0"/>
    <n v="0"/>
    <m/>
    <m/>
    <m/>
    <m/>
    <m/>
  </r>
  <r>
    <n v="968"/>
    <x v="20"/>
    <x v="6"/>
    <x v="2"/>
    <n v="201"/>
    <x v="57"/>
    <n v="0"/>
    <n v="0"/>
    <x v="48"/>
    <x v="8"/>
    <n v="4"/>
    <n v="4"/>
    <n v="0"/>
    <n v="0"/>
    <x v="1"/>
    <x v="56"/>
    <n v="0"/>
    <n v="0"/>
    <n v="0"/>
    <n v="0"/>
    <n v="0"/>
    <n v="0"/>
    <n v="0"/>
    <n v="0"/>
    <n v="0"/>
    <n v="0"/>
    <n v="0"/>
    <n v="0"/>
    <e v="#DIV/0!"/>
    <m/>
    <n v="105"/>
    <n v="0"/>
    <n v="0"/>
    <n v="0"/>
    <n v="0"/>
    <n v="0"/>
    <n v="10"/>
    <n v="10"/>
    <n v="0"/>
    <n v="0"/>
    <n v="0"/>
    <e v="#DIV/0!"/>
    <n v="0"/>
    <n v="0"/>
    <n v="0"/>
    <n v="0"/>
    <n v="0"/>
    <m/>
    <m/>
    <m/>
    <m/>
    <m/>
  </r>
  <r>
    <n v="969"/>
    <x v="21"/>
    <x v="0"/>
    <x v="2"/>
    <n v="119"/>
    <x v="66"/>
    <n v="819"/>
    <n v="17"/>
    <x v="57"/>
    <x v="1"/>
    <n v="0"/>
    <n v="17"/>
    <n v="802"/>
    <n v="34"/>
    <x v="41"/>
    <x v="66"/>
    <n v="25664"/>
    <n v="23587.200000000001"/>
    <n v="2076.7999999999993"/>
    <n v="979.2"/>
    <n v="6"/>
    <n v="0"/>
    <n v="3"/>
    <n v="3"/>
    <n v="0"/>
    <n v="777.59999999999991"/>
    <n v="777.59999999999991"/>
    <n v="1555.1999999999998"/>
    <n v="1.8602870813397128"/>
    <m/>
    <n v="105"/>
    <n v="142"/>
    <n v="142"/>
    <n v="36"/>
    <n v="178"/>
    <n v="162"/>
    <n v="1"/>
    <n v="37"/>
    <n v="169"/>
    <n v="9"/>
    <n v="-36"/>
    <n v="1.1901408450704225"/>
    <n v="6"/>
    <n v="6"/>
    <n v="0"/>
    <n v="3"/>
    <n v="3"/>
    <m/>
    <m/>
    <m/>
    <m/>
    <m/>
  </r>
  <r>
    <n v="970"/>
    <x v="22"/>
    <x v="1"/>
    <x v="2"/>
    <n v="201"/>
    <x v="67"/>
    <n v="247"/>
    <n v="215"/>
    <x v="24"/>
    <x v="0"/>
    <n v="205"/>
    <n v="420"/>
    <n v="448"/>
    <n v="14"/>
    <x v="42"/>
    <x v="25"/>
    <n v="31808"/>
    <n v="12127.7"/>
    <n v="19680.3"/>
    <n v="687.4"/>
    <n v="6"/>
    <n v="0"/>
    <n v="3"/>
    <n v="3"/>
    <n v="0"/>
    <n v="777.59999999999991"/>
    <n v="777.59999999999991"/>
    <n v="1555.1999999999998"/>
    <n v="3.366233766233766"/>
    <m/>
    <n v="105"/>
    <n v="139"/>
    <n v="139"/>
    <n v="8"/>
    <n v="147"/>
    <n v="162"/>
    <n v="0"/>
    <n v="8"/>
    <n v="141"/>
    <n v="6"/>
    <n v="-8"/>
    <n v="1.014388489208633"/>
    <n v="6"/>
    <n v="6"/>
    <n v="0"/>
    <n v="3"/>
    <n v="3"/>
    <m/>
    <m/>
    <m/>
    <m/>
    <m/>
  </r>
  <r>
    <n v="971"/>
    <x v="23"/>
    <x v="2"/>
    <x v="2"/>
    <n v="119"/>
    <x v="68"/>
    <n v="934"/>
    <n v="56"/>
    <x v="58"/>
    <x v="1"/>
    <n v="0"/>
    <n v="56"/>
    <n v="930"/>
    <n v="60"/>
    <x v="43"/>
    <x v="67"/>
    <n v="29760"/>
    <n v="26899.200000000001"/>
    <n v="2860.7999999999993"/>
    <n v="1728"/>
    <n v="6"/>
    <n v="0"/>
    <n v="3"/>
    <n v="3"/>
    <n v="0"/>
    <n v="777.59999999999991"/>
    <n v="777.59999999999991"/>
    <n v="1555.1999999999998"/>
    <n v="1.5709090909090908"/>
    <m/>
    <n v="105"/>
    <n v="140"/>
    <n v="140"/>
    <n v="25"/>
    <n v="165"/>
    <n v="162"/>
    <n v="0"/>
    <n v="25"/>
    <n v="155"/>
    <n v="10"/>
    <n v="-25"/>
    <n v="1.1071428571428572"/>
    <n v="6"/>
    <n v="6"/>
    <n v="0"/>
    <n v="4"/>
    <n v="2"/>
    <m/>
    <m/>
    <m/>
    <m/>
    <m/>
  </r>
  <r>
    <n v="972"/>
    <x v="24"/>
    <x v="3"/>
    <x v="2"/>
    <n v="119"/>
    <x v="69"/>
    <n v="598"/>
    <n v="0"/>
    <x v="59"/>
    <x v="1"/>
    <n v="0"/>
    <n v="0"/>
    <n v="562"/>
    <n v="36"/>
    <x v="1"/>
    <x v="68"/>
    <n v="17984"/>
    <n v="17222.400000000001"/>
    <n v="761.59999999999854"/>
    <n v="1036.8"/>
    <n v="6"/>
    <n v="0"/>
    <n v="4"/>
    <n v="2"/>
    <n v="0"/>
    <n v="1036.8"/>
    <n v="518.4"/>
    <n v="1555.1999999999998"/>
    <n v="2.60066889632107"/>
    <m/>
    <n v="105"/>
    <n v="178"/>
    <n v="136"/>
    <n v="0"/>
    <n v="136"/>
    <n v="162"/>
    <n v="0"/>
    <n v="0"/>
    <n v="127"/>
    <n v="9"/>
    <n v="42"/>
    <n v="0.7134831460674157"/>
    <n v="6"/>
    <n v="5"/>
    <n v="0"/>
    <n v="4"/>
    <n v="1"/>
    <m/>
    <m/>
    <m/>
    <m/>
    <m/>
  </r>
  <r>
    <n v="973"/>
    <x v="25"/>
    <x v="4"/>
    <x v="2"/>
    <n v="201"/>
    <x v="60"/>
    <n v="260"/>
    <n v="60"/>
    <x v="60"/>
    <x v="0"/>
    <n v="0"/>
    <n v="60"/>
    <n v="300"/>
    <n v="20"/>
    <x v="44"/>
    <x v="52"/>
    <n v="21300"/>
    <n v="12766"/>
    <n v="8534"/>
    <n v="982"/>
    <n v="5"/>
    <n v="0"/>
    <n v="4"/>
    <n v="1"/>
    <n v="0"/>
    <n v="1036.8"/>
    <n v="259.2"/>
    <n v="1296"/>
    <n v="4.05"/>
    <m/>
    <n v="105"/>
    <n v="145"/>
    <n v="145"/>
    <n v="33"/>
    <n v="178"/>
    <n v="162"/>
    <n v="36"/>
    <n v="69"/>
    <n v="167"/>
    <n v="11"/>
    <n v="-33"/>
    <n v="1.1517241379310346"/>
    <n v="6"/>
    <n v="6"/>
    <n v="0"/>
    <n v="3"/>
    <n v="3"/>
    <m/>
    <m/>
    <m/>
    <m/>
    <m/>
  </r>
  <r>
    <n v="974"/>
    <x v="26"/>
    <x v="5"/>
    <x v="2"/>
    <n v="119"/>
    <x v="57"/>
    <n v="0"/>
    <n v="0"/>
    <x v="48"/>
    <x v="8"/>
    <n v="24"/>
    <n v="24"/>
    <n v="0"/>
    <n v="0"/>
    <x v="1"/>
    <x v="56"/>
    <n v="0"/>
    <n v="0"/>
    <n v="0"/>
    <n v="0"/>
    <n v="0"/>
    <n v="0"/>
    <n v="0"/>
    <n v="0"/>
    <n v="0"/>
    <n v="0"/>
    <n v="0"/>
    <n v="0"/>
    <e v="#DIV/0!"/>
    <m/>
    <n v="105"/>
    <n v="0"/>
    <n v="0"/>
    <n v="0"/>
    <n v="0"/>
    <n v="0"/>
    <n v="8"/>
    <n v="8"/>
    <n v="0"/>
    <n v="0"/>
    <n v="0"/>
    <e v="#DIV/0!"/>
    <n v="0"/>
    <n v="0"/>
    <n v="0"/>
    <n v="0"/>
    <n v="0"/>
    <m/>
    <m/>
    <m/>
    <m/>
    <m/>
  </r>
  <r>
    <n v="975"/>
    <x v="27"/>
    <x v="6"/>
    <x v="2"/>
    <n v="201"/>
    <x v="57"/>
    <n v="0"/>
    <n v="0"/>
    <x v="48"/>
    <x v="8"/>
    <n v="129"/>
    <n v="129"/>
    <n v="0"/>
    <n v="0"/>
    <x v="1"/>
    <x v="56"/>
    <n v="0"/>
    <n v="0"/>
    <n v="0"/>
    <n v="0"/>
    <n v="0"/>
    <n v="0"/>
    <n v="0"/>
    <n v="0"/>
    <n v="0"/>
    <n v="0"/>
    <n v="0"/>
    <n v="0"/>
    <e v="#DIV/0!"/>
    <m/>
    <n v="105"/>
    <n v="0"/>
    <n v="0"/>
    <n v="0"/>
    <n v="0"/>
    <n v="0"/>
    <n v="10"/>
    <n v="10"/>
    <n v="0"/>
    <n v="0"/>
    <n v="0"/>
    <e v="#DIV/0!"/>
    <n v="0"/>
    <n v="0"/>
    <n v="0"/>
    <n v="0"/>
    <n v="0"/>
    <m/>
    <m/>
    <m/>
    <m/>
    <m/>
  </r>
  <r>
    <n v="976"/>
    <x v="28"/>
    <x v="0"/>
    <x v="2"/>
    <n v="201"/>
    <x v="59"/>
    <n v="344"/>
    <n v="96"/>
    <x v="61"/>
    <x v="0"/>
    <n v="0"/>
    <n v="96"/>
    <n v="413"/>
    <n v="27"/>
    <x v="45"/>
    <x v="69"/>
    <n v="29323"/>
    <n v="16890.400000000001"/>
    <n v="12432.599999999999"/>
    <n v="1325.7"/>
    <n v="6"/>
    <n v="0"/>
    <n v="3"/>
    <n v="3"/>
    <n v="0"/>
    <n v="777.59999999999991"/>
    <n v="777.59999999999991"/>
    <n v="1555.1999999999998"/>
    <n v="3.5345454545454542"/>
    <m/>
    <n v="105"/>
    <n v="178"/>
    <n v="155"/>
    <n v="15"/>
    <n v="170"/>
    <n v="162"/>
    <n v="0"/>
    <n v="15"/>
    <n v="158"/>
    <n v="12"/>
    <n v="8"/>
    <n v="0.88764044943820219"/>
    <n v="6"/>
    <n v="6"/>
    <n v="0"/>
    <n v="3"/>
    <n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A98FA2-DBD0-4916-B2CB-718D0F7053F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10:E19" firstHeaderRow="0" firstDataRow="1" firstDataCol="1" rowPageCount="2" colPageCount="1"/>
  <pivotFields count="54">
    <pivotField showAll="0"/>
    <pivotField axis="axisRow" numFmtId="14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multipleItemSelectionAllowed="1" showAll="0">
      <items count="8">
        <item x="5"/>
        <item x="6"/>
        <item h="1" x="0"/>
        <item h="1" x="1"/>
        <item h="1" x="2"/>
        <item h="1" x="3"/>
        <item h="1" x="4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dataField="1" showAll="0">
      <items count="71">
        <item x="57"/>
        <item x="32"/>
        <item x="44"/>
        <item x="49"/>
        <item x="18"/>
        <item x="6"/>
        <item x="5"/>
        <item x="67"/>
        <item x="60"/>
        <item x="55"/>
        <item x="54"/>
        <item x="30"/>
        <item x="28"/>
        <item x="39"/>
        <item x="53"/>
        <item x="33"/>
        <item x="26"/>
        <item x="59"/>
        <item x="29"/>
        <item x="15"/>
        <item x="37"/>
        <item x="45"/>
        <item x="64"/>
        <item x="38"/>
        <item x="63"/>
        <item x="27"/>
        <item x="1"/>
        <item x="43"/>
        <item x="50"/>
        <item x="47"/>
        <item x="42"/>
        <item x="40"/>
        <item x="10"/>
        <item x="31"/>
        <item x="19"/>
        <item x="20"/>
        <item x="13"/>
        <item x="24"/>
        <item x="0"/>
        <item x="11"/>
        <item x="8"/>
        <item x="58"/>
        <item x="62"/>
        <item x="69"/>
        <item x="25"/>
        <item x="12"/>
        <item x="52"/>
        <item x="61"/>
        <item x="41"/>
        <item x="65"/>
        <item x="48"/>
        <item x="35"/>
        <item x="36"/>
        <item x="34"/>
        <item x="66"/>
        <item x="23"/>
        <item x="14"/>
        <item x="7"/>
        <item x="2"/>
        <item x="46"/>
        <item x="56"/>
        <item x="68"/>
        <item x="51"/>
        <item x="22"/>
        <item x="9"/>
        <item x="16"/>
        <item x="4"/>
        <item x="21"/>
        <item x="3"/>
        <item x="17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>
      <items count="71">
        <item x="43"/>
        <item x="14"/>
        <item x="1"/>
        <item x="19"/>
        <item x="63"/>
        <item x="44"/>
        <item x="31"/>
        <item x="24"/>
        <item x="3"/>
        <item x="50"/>
        <item x="49"/>
        <item x="52"/>
        <item x="59"/>
        <item x="48"/>
        <item x="69"/>
        <item x="32"/>
        <item x="60"/>
        <item x="67"/>
        <item x="55"/>
        <item x="68"/>
        <item x="2"/>
        <item x="11"/>
        <item x="36"/>
        <item x="30"/>
        <item x="9"/>
        <item x="20"/>
        <item x="41"/>
        <item x="13"/>
        <item x="40"/>
        <item x="22"/>
        <item x="51"/>
        <item x="57"/>
        <item x="46"/>
        <item x="58"/>
        <item x="26"/>
        <item x="16"/>
        <item x="38"/>
        <item x="27"/>
        <item x="54"/>
        <item x="10"/>
        <item x="39"/>
        <item x="66"/>
        <item x="34"/>
        <item x="8"/>
        <item x="6"/>
        <item x="5"/>
        <item x="35"/>
        <item x="23"/>
        <item x="21"/>
        <item x="47"/>
        <item x="33"/>
        <item x="7"/>
        <item x="25"/>
        <item x="18"/>
        <item x="53"/>
        <item x="29"/>
        <item x="28"/>
        <item x="64"/>
        <item x="0"/>
        <item x="61"/>
        <item x="62"/>
        <item x="37"/>
        <item x="65"/>
        <item x="12"/>
        <item x="15"/>
        <item x="17"/>
        <item x="4"/>
        <item x="45"/>
        <item x="42"/>
        <item x="56"/>
        <item t="default"/>
      </items>
    </pivotField>
    <pivotField numFmtId="168" showAll="0"/>
    <pivotField numFmtId="168" showAll="0"/>
    <pivotField numFmtId="168" showAll="0"/>
    <pivotField numFmtId="168" showAll="0"/>
    <pivotField showAll="0"/>
    <pivotField showAll="0"/>
    <pivotField showAll="0"/>
    <pivotField showAll="0"/>
    <pivotField numFmtId="168" showAll="0"/>
    <pivotField numFmtId="168" showAll="0"/>
    <pivotField numFmtId="168"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9">
    <i>
      <x v="5"/>
    </i>
    <i>
      <x v="6"/>
    </i>
    <i>
      <x v="12"/>
    </i>
    <i>
      <x v="13"/>
    </i>
    <i>
      <x v="19"/>
    </i>
    <i>
      <x v="20"/>
    </i>
    <i>
      <x v="26"/>
    </i>
    <i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-1"/>
    <pageField fld="3" hier="-1"/>
  </pageFields>
  <dataFields count="3">
    <dataField name="Sum of Received" fld="5" baseField="0" baseItem="0"/>
    <dataField name="Sum of Capacity" fld="9" baseField="1" baseItem="13"/>
    <dataField name="Sum of Not Inspected" fld="1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C579F-8758-4298-9B53-D7C59DB3E67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B7:E16" firstHeaderRow="0" firstDataRow="1" firstDataCol="1" rowPageCount="2" colPageCount="1"/>
  <pivotFields count="54">
    <pivotField showAll="0"/>
    <pivotField axis="axisRow" numFmtId="14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multipleItemSelectionAllowed="1" showAll="0">
      <items count="8">
        <item x="5"/>
        <item x="6"/>
        <item h="1" x="0"/>
        <item h="1" x="1"/>
        <item h="1" x="2"/>
        <item h="1" x="3"/>
        <item h="1" x="4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  <pivotField dataField="1" showAll="0">
      <items count="63">
        <item x="48"/>
        <item x="44"/>
        <item x="32"/>
        <item x="42"/>
        <item x="18"/>
        <item x="6"/>
        <item x="5"/>
        <item x="29"/>
        <item x="30"/>
        <item x="60"/>
        <item x="28"/>
        <item x="39"/>
        <item x="37"/>
        <item x="33"/>
        <item x="26"/>
        <item x="31"/>
        <item x="11"/>
        <item x="46"/>
        <item x="16"/>
        <item x="41"/>
        <item x="27"/>
        <item x="38"/>
        <item x="55"/>
        <item x="1"/>
        <item x="9"/>
        <item x="23"/>
        <item x="51"/>
        <item x="0"/>
        <item x="20"/>
        <item x="14"/>
        <item x="19"/>
        <item x="61"/>
        <item x="24"/>
        <item x="12"/>
        <item x="13"/>
        <item x="25"/>
        <item x="49"/>
        <item x="59"/>
        <item x="50"/>
        <item x="54"/>
        <item x="45"/>
        <item x="40"/>
        <item x="43"/>
        <item x="35"/>
        <item x="36"/>
        <item x="52"/>
        <item x="34"/>
        <item x="57"/>
        <item x="21"/>
        <item x="53"/>
        <item x="10"/>
        <item x="15"/>
        <item x="8"/>
        <item x="2"/>
        <item x="17"/>
        <item x="3"/>
        <item x="47"/>
        <item x="22"/>
        <item x="58"/>
        <item x="56"/>
        <item x="7"/>
        <item x="4"/>
        <item t="default"/>
      </items>
    </pivotField>
    <pivotField dataField="1" showAll="0">
      <items count="10">
        <item x="8"/>
        <item x="5"/>
        <item x="2"/>
        <item x="6"/>
        <item x="4"/>
        <item x="0"/>
        <item x="3"/>
        <item x="7"/>
        <item x="1"/>
        <item t="default"/>
      </items>
    </pivotField>
    <pivotField showAll="0"/>
    <pivotField showAll="0"/>
    <pivotField showAll="0"/>
    <pivotField showAll="0"/>
    <pivotField dataField="1" showAll="0">
      <items count="47">
        <item x="40"/>
        <item x="42"/>
        <item x="31"/>
        <item x="35"/>
        <item x="45"/>
        <item x="39"/>
        <item x="36"/>
        <item x="38"/>
        <item x="34"/>
        <item x="32"/>
        <item x="29"/>
        <item x="30"/>
        <item x="44"/>
        <item x="43"/>
        <item x="33"/>
        <item x="41"/>
        <item x="37"/>
        <item x="1"/>
        <item x="20"/>
        <item x="4"/>
        <item x="18"/>
        <item x="10"/>
        <item x="16"/>
        <item x="13"/>
        <item x="3"/>
        <item x="27"/>
        <item x="19"/>
        <item x="5"/>
        <item x="24"/>
        <item x="22"/>
        <item x="0"/>
        <item x="25"/>
        <item x="26"/>
        <item x="8"/>
        <item x="17"/>
        <item x="23"/>
        <item x="15"/>
        <item x="6"/>
        <item x="21"/>
        <item x="28"/>
        <item x="11"/>
        <item x="9"/>
        <item x="7"/>
        <item x="12"/>
        <item x="2"/>
        <item x="14"/>
        <item t="default"/>
      </items>
    </pivotField>
    <pivotField showAll="0"/>
    <pivotField numFmtId="168" showAll="0"/>
    <pivotField numFmtId="168" showAll="0"/>
    <pivotField numFmtId="168" showAll="0"/>
    <pivotField numFmtId="168" showAll="0"/>
    <pivotField showAll="0"/>
    <pivotField showAll="0"/>
    <pivotField showAll="0"/>
    <pivotField showAll="0"/>
    <pivotField numFmtId="168" showAll="0"/>
    <pivotField numFmtId="168" showAll="0"/>
    <pivotField numFmtId="168"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9">
    <i>
      <x v="5"/>
    </i>
    <i>
      <x v="6"/>
    </i>
    <i>
      <x v="12"/>
    </i>
    <i>
      <x v="13"/>
    </i>
    <i>
      <x v="19"/>
    </i>
    <i>
      <x v="20"/>
    </i>
    <i>
      <x v="26"/>
    </i>
    <i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-1"/>
    <pageField fld="2" hier="-1"/>
  </pageFields>
  <dataFields count="3">
    <dataField name="Sum of Total Inspected" fld="8" baseField="0" baseItem="0"/>
    <dataField name="Sum of Capacity" fld="9" baseField="0" baseItem="0"/>
    <dataField name="Sum of Over / Under" fld="14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E5B34-1B85-4D93-834E-B3B77B2051C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7:C16" firstHeaderRow="1" firstDataRow="1" firstDataCol="1" rowPageCount="2" colPageCount="1"/>
  <pivotFields count="54">
    <pivotField showAll="0"/>
    <pivotField axis="axisRow" numFmtId="14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multipleItemSelectionAllowed="1" showAll="0">
      <items count="8">
        <item x="5"/>
        <item x="6"/>
        <item h="1" x="0"/>
        <item h="1" x="1"/>
        <item h="1" x="2"/>
        <item h="1" x="3"/>
        <item h="1" x="4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8" showAll="0"/>
    <pivotField numFmtId="168" showAll="0"/>
    <pivotField numFmtId="168" showAll="0"/>
    <pivotField numFmtId="168" showAll="0"/>
    <pivotField showAll="0"/>
    <pivotField showAll="0"/>
    <pivotField showAll="0"/>
    <pivotField showAll="0"/>
    <pivotField numFmtId="168" showAll="0"/>
    <pivotField numFmtId="168" showAll="0"/>
    <pivotField numFmtId="168"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9">
    <i>
      <x v="5"/>
    </i>
    <i>
      <x v="6"/>
    </i>
    <i>
      <x v="12"/>
    </i>
    <i>
      <x v="13"/>
    </i>
    <i>
      <x v="19"/>
    </i>
    <i>
      <x v="20"/>
    </i>
    <i>
      <x v="26"/>
    </i>
    <i>
      <x v="27"/>
    </i>
    <i t="grand">
      <x/>
    </i>
  </rowItems>
  <colItems count="1">
    <i/>
  </colItems>
  <pageFields count="2">
    <pageField fld="2" hier="-1"/>
    <pageField fld="3" hier="-1"/>
  </pageFields>
  <dataFields count="1">
    <dataField name="Sum of Possible Supplier Income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E89D7-D40C-4DF4-9521-93AC649BA7B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7:C16" firstHeaderRow="1" firstDataRow="1" firstDataCol="1" rowPageCount="2" colPageCount="1"/>
  <pivotFields count="54">
    <pivotField showAll="0"/>
    <pivotField axis="axisRow" numFmtId="14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multipleItemSelectionAllowed="1" showAll="0">
      <items count="8">
        <item x="5"/>
        <item x="6"/>
        <item h="1" x="0"/>
        <item h="1" x="1"/>
        <item h="1" x="2"/>
        <item h="1" x="3"/>
        <item h="1" x="4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8" showAll="0"/>
    <pivotField dataField="1" numFmtId="168" showAll="0"/>
    <pivotField numFmtId="168" showAll="0"/>
    <pivotField numFmtId="168" showAll="0"/>
    <pivotField showAll="0"/>
    <pivotField showAll="0"/>
    <pivotField showAll="0"/>
    <pivotField showAll="0"/>
    <pivotField numFmtId="168" showAll="0"/>
    <pivotField numFmtId="168" showAll="0"/>
    <pivotField numFmtId="168"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9">
    <i>
      <x v="5"/>
    </i>
    <i>
      <x v="6"/>
    </i>
    <i>
      <x v="12"/>
    </i>
    <i>
      <x v="13"/>
    </i>
    <i>
      <x v="19"/>
    </i>
    <i>
      <x v="20"/>
    </i>
    <i>
      <x v="26"/>
    </i>
    <i>
      <x v="27"/>
    </i>
    <i t="grand">
      <x/>
    </i>
  </rowItems>
  <colItems count="1">
    <i/>
  </colItems>
  <pageFields count="2">
    <pageField fld="2" hier="-1"/>
    <pageField fld="3" hier="-1"/>
  </pageFields>
  <dataFields count="1">
    <dataField name="Sum of Supplier Cost of Parts" fld="1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41E69-133E-4B11-A200-63A548A2A74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7:D16" firstHeaderRow="0" firstDataRow="1" firstDataCol="1" rowPageCount="2" colPageCount="1"/>
  <pivotFields count="54">
    <pivotField showAll="0"/>
    <pivotField axis="axisRow" numFmtId="14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multipleItemSelectionAllowed="1" showAll="0">
      <items count="8">
        <item x="5"/>
        <item x="6"/>
        <item h="1" x="0"/>
        <item h="1" x="1"/>
        <item h="1" x="2"/>
        <item h="1" x="3"/>
        <item h="1" x="4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8" showAll="0"/>
    <pivotField numFmtId="168" showAll="0"/>
    <pivotField dataField="1" numFmtId="168" showAll="0"/>
    <pivotField dataField="1" numFmtId="168" showAll="0"/>
    <pivotField showAll="0"/>
    <pivotField showAll="0"/>
    <pivotField showAll="0"/>
    <pivotField showAll="0"/>
    <pivotField numFmtId="168" showAll="0"/>
    <pivotField numFmtId="168" showAll="0"/>
    <pivotField numFmtId="168"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9">
    <i>
      <x v="5"/>
    </i>
    <i>
      <x v="6"/>
    </i>
    <i>
      <x v="12"/>
    </i>
    <i>
      <x v="13"/>
    </i>
    <i>
      <x v="19"/>
    </i>
    <i>
      <x v="20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3" hier="-1"/>
  </pageFields>
  <dataFields count="2">
    <dataField name="Sum of Possible Supplier Profit" fld="18" baseField="0" baseItem="0"/>
    <dataField name="Sum of Supplier Cost of Bad Parts" fld="1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C844C3-53DA-42DD-A980-E5FB1445F813}" name="Table3" displayName="Table3" ref="B11:Y98" totalsRowShown="0" headerRowDxfId="63">
  <autoFilter ref="B11:Y98" xr:uid="{89C844C3-53DA-42DD-A980-E5FB1445F813}">
    <filterColumn colId="2">
      <filters>
        <filter val="1"/>
        <filter val="2"/>
      </filters>
    </filterColumn>
    <filterColumn colId="3">
      <filters>
        <filter val="2"/>
      </filters>
    </filterColumn>
  </autoFilter>
  <tableColumns count="24">
    <tableColumn id="1" xr3:uid="{24EF55ED-7011-4334-9ADE-11F1CDAB207E}" name="BatchesLineAID"/>
    <tableColumn id="2" xr3:uid="{F20E4C61-1D46-4B76-8494-8F2F2A8F5C58}" name="Date" dataDxfId="62"/>
    <tableColumn id="24" xr3:uid="{BAC58EC0-8D1B-49E0-AA14-40E7AC6F7201}" name="Day of the week" dataDxfId="61">
      <calculatedColumnFormula>WEEKDAY(Table3[[#This Row],[Date]])</calculatedColumnFormula>
    </tableColumn>
    <tableColumn id="3" xr3:uid="{AB8B427D-A980-4F6C-9DEA-BFCA6D6BE855}" name="Shift"/>
    <tableColumn id="4" xr3:uid="{A80F9997-D22B-472C-9B7C-84A2627694E6}" name="LineA-ProdType"/>
    <tableColumn id="5" xr3:uid="{D4B1D267-F987-4574-9D51-05B83E40BD92}" name="Received"/>
    <tableColumn id="6" xr3:uid="{BC9972C6-3AE9-463D-877A-F476EFACE7F3}" name="Batch  ID"/>
    <tableColumn id="7" xr3:uid="{B18DB288-DBE1-4FDD-874F-0BAC155F605F}" name="Batch 1 Qty"/>
    <tableColumn id="8" xr3:uid="{B295CE6C-9A03-492D-BE5E-B76191D7BE36}" name="Batch 1 Pass"/>
    <tableColumn id="9" xr3:uid="{1EEEB60C-E9E6-459E-91EF-8EECE8DDB903}" name="Batch 2 ID"/>
    <tableColumn id="10" xr3:uid="{2F0E061A-9D54-4830-94D6-5ACF762A5725}" name="Batch 2 Qty"/>
    <tableColumn id="11" xr3:uid="{70CB728B-7FD7-4A78-840A-DFE0943E0B4D}" name="Batch 2 Pass"/>
    <tableColumn id="12" xr3:uid="{B6F4438A-2099-40B9-8FEF-E98F88AE7B64}" name="Batch 3 ID"/>
    <tableColumn id="13" xr3:uid="{67C02336-C098-4887-B66A-235D478916B7}" name="Batch 3 Qty"/>
    <tableColumn id="14" xr3:uid="{154B75F8-267D-4F32-B931-7018DE8AD88D}" name="Batch 3 Pass"/>
    <tableColumn id="15" xr3:uid="{10ACC42E-E063-48FB-B40D-B0672C804325}" name="Batch 4 ID"/>
    <tableColumn id="16" xr3:uid="{561D3A7D-8ADF-4BF1-B532-DF4F01C07FDD}" name="Batch 4 Qty"/>
    <tableColumn id="17" xr3:uid="{93BF3896-A095-4256-A14D-A7CC59EA2F36}" name="Batch 4 Pass"/>
    <tableColumn id="18" xr3:uid="{99B04AC6-5AEF-49A8-8DED-B47DF6A32D00}" name="Batch 5 ID"/>
    <tableColumn id="19" xr3:uid="{A2956AB4-2DF2-4ABF-8D73-BC7B600F13A4}" name="Batch 5 Qty"/>
    <tableColumn id="20" xr3:uid="{8762F501-332F-42B7-B975-4CAE0090203A}" name="Batch 5 Pass"/>
    <tableColumn id="21" xr3:uid="{194E14D7-7E6D-4BC3-B718-D1B2097CD373}" name="Batch 6 ID"/>
    <tableColumn id="22" xr3:uid="{4383DF03-ECCA-42DE-A939-0C0EC8B6E279}" name="Batch 6 Qty"/>
    <tableColumn id="23" xr3:uid="{C5B8CAC1-8A7C-4E66-8D03-8B1416349E0C}" name="Batch 6 Pas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36F394-D192-4527-91A2-DBA692EB7777}" name="Table4" displayName="Table4" ref="B11:P98" totalsRowShown="0" headerRowDxfId="60">
  <autoFilter ref="B11:P98" xr:uid="{1E36F394-D192-4527-91A2-DBA692EB7777}"/>
  <tableColumns count="15">
    <tableColumn id="1" xr3:uid="{6DF0A350-1AD0-4E46-AC06-9B548198CA71}" name="BatchesLineBID"/>
    <tableColumn id="2" xr3:uid="{CEEA44DB-3F85-44EC-A27F-0238F37484FD}" name="Date" dataDxfId="59"/>
    <tableColumn id="15" xr3:uid="{9403009A-C16B-46AC-8FFC-44B8791BFAF8}" name="Day of the week" dataDxfId="58">
      <calculatedColumnFormula>WEEKDAY(Table4[[#This Row],[Date]])</calculatedColumnFormula>
    </tableColumn>
    <tableColumn id="3" xr3:uid="{B8069A4C-F88C-4D12-AAF8-4715EB2BD5E5}" name="Shift"/>
    <tableColumn id="4" xr3:uid="{9D457663-8C90-45EC-B69B-92D864EBC0AA}" name="LineA-ProdType"/>
    <tableColumn id="5" xr3:uid="{16A97923-F92F-4F06-8DDD-500E4FC4FE53}" name="Received"/>
    <tableColumn id="6" xr3:uid="{187E1B71-4FF5-496C-96F6-F254EB10930B}" name="Batch  ID"/>
    <tableColumn id="7" xr3:uid="{0BF4352D-854D-4C1F-8FFA-D7BB0D0C4426}" name="Batch 1 Qty"/>
    <tableColumn id="8" xr3:uid="{86C19EA0-454C-4A77-BD61-9C6A245CEB16}" name="Batch 1 Pass"/>
    <tableColumn id="9" xr3:uid="{862816BB-8A3C-4C62-A75B-7AF09B4E66E3}" name="Batch 2 ID"/>
    <tableColumn id="10" xr3:uid="{D950B041-AD05-4FA8-B9AF-8A2D8609A2CC}" name="Batch 2 Qty"/>
    <tableColumn id="11" xr3:uid="{2493C889-F907-4C9B-9084-8324ED1B54D6}" name="Batch 2 Pass"/>
    <tableColumn id="12" xr3:uid="{9D371611-4054-40AB-86BC-E29C43577BC1}" name="Batch 3 ID"/>
    <tableColumn id="13" xr3:uid="{5505A357-8981-480B-85D0-EE9E1CD08C69}" name="Batch 3 Qty"/>
    <tableColumn id="14" xr3:uid="{AF0211C6-3BFC-42D1-A530-14D81746C018}" name="Batch 3 Pas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8FA287-1147-44B2-BF61-CD94C1CF2C47}" name="Table2" displayName="Table2" ref="B11:AZ98" totalsRowShown="0" headerRowDxfId="57">
  <autoFilter ref="B11:AZ98" xr:uid="{AF8FA287-1147-44B2-BF61-CD94C1CF2C47}">
    <filterColumn colId="2">
      <filters>
        <filter val="1"/>
        <filter val="2"/>
      </filters>
    </filterColumn>
    <filterColumn colId="3">
      <filters>
        <filter val="2"/>
      </filters>
    </filterColumn>
  </autoFilter>
  <tableColumns count="51">
    <tableColumn id="1" xr3:uid="{F848D1D5-4AAA-4A7D-9CF9-0F2F3D37BF6A}" name="InspectDataID" dataDxfId="56"/>
    <tableColumn id="2" xr3:uid="{4F27E700-623D-4761-938E-101E5A5C6EDE}" name="Date" dataDxfId="55"/>
    <tableColumn id="3" xr3:uid="{C0BAA469-6AAE-410A-A757-0F700AF7D057}" name="Day of Week" dataDxfId="54">
      <calculatedColumnFormula>WEEKDAY(Table2[[#This Row],[Date]])</calculatedColumnFormula>
    </tableColumn>
    <tableColumn id="4" xr3:uid="{5227935F-D061-4789-8497-3D9DF1E53470}" name="Shift" dataDxfId="53"/>
    <tableColumn id="5" xr3:uid="{9288B510-08A2-4902-85EB-D81FCD88A035}" name="LineA-ProdType" dataDxfId="52"/>
    <tableColumn id="6" xr3:uid="{A2564150-B1AE-4253-89EF-CCD46BE93309}" name="Received" dataDxfId="51"/>
    <tableColumn id="7" xr3:uid="{ABF1FCA6-EE46-4743-B518-AC7D8277CE7B}" name="Received Inspected" dataDxfId="50"/>
    <tableColumn id="8" xr3:uid="{9A455491-8DC6-4232-B91A-697A8DD9B2CB}" name="Leftover Inspected" dataDxfId="49"/>
    <tableColumn id="9" xr3:uid="{F1E36BE7-665B-4A12-AFB5-DD24C6D03050}" name="Total Inspected" dataDxfId="48">
      <calculatedColumnFormula>SUM(H12+I12)</calculatedColumnFormula>
    </tableColumn>
    <tableColumn id="10" xr3:uid="{6FABB2CE-CDE1-4941-8533-1327E59D3AAE}" name="Capacity" dataDxfId="47"/>
    <tableColumn id="11" xr3:uid="{C7E7DB38-C5E6-4DA8-887E-907DDA06F77D}" name="Not Inspected" dataDxfId="46"/>
    <tableColumn id="12" xr3:uid="{E3768149-5F94-4B2E-9020-9B1021B278A7}" name="Left From Day Shift for 3rd Shift" dataDxfId="45"/>
    <tableColumn id="13" xr3:uid="{9A555F55-459E-4E99-9FC9-5269EB0DAE3A}" name="Inspect Pass" dataDxfId="44"/>
    <tableColumn id="50" xr3:uid="{8A50AF0A-605B-4CF7-8990-56BCF1B039E1}" name="Inspect Not Pass" dataDxfId="43">
      <calculatedColumnFormula>Table2[[#This Row],[Total Inspected]]-Table2[[#This Row],[Inspect Pass]]</calculatedColumnFormula>
    </tableColumn>
    <tableColumn id="14" xr3:uid="{F9BD8B56-32C6-44BC-A814-FC5B38693E79}" name="Over / Under" dataDxfId="42">
      <calculatedColumnFormula>G12-J12</calculatedColumnFormula>
    </tableColumn>
    <tableColumn id="15" xr3:uid="{E3210D94-8F4C-4650-A133-351734A2395D}" name="Pass%" dataDxfId="41">
      <calculatedColumnFormula>(Table2[[#This Row],[Inspect Pass]]/Table2[[#This Row],[Total Inspected]])</calculatedColumnFormula>
    </tableColumn>
    <tableColumn id="16" xr3:uid="{22542F3D-EA14-4AE4-A88B-5ADBA28D8177}" name="Possible Supplier Income" dataDxfId="40">
      <calculatedColumnFormula>Table2[[#This Row],[Inspect Pass]]*VLOOKUP(Table2[[#This Row],[LineA-ProdType]],'Other Lists'!$B$17:$H$19,7,FALSE)</calculatedColumnFormula>
    </tableColumn>
    <tableColumn id="17" xr3:uid="{2F26FC3F-AAE0-4C47-94FF-088C52F5ADD1}" name="Supplier Cost of Parts" dataDxfId="39">
      <calculatedColumnFormula>Table2[[#This Row],[Received]]*((VLOOKUP(Table2[[#This Row],[LineA-ProdType]],'Other Lists'!$B$16:$G$19,5,FALSE)+(VLOOKUP(Table2[[#This Row],[LineA-ProdType]],'Other Lists'!$B$16:$G$19,6,FALSE))))</calculatedColumnFormula>
    </tableColumn>
    <tableColumn id="18" xr3:uid="{38C7F71A-73EA-44BF-BADC-263BBDF758AE}" name="Possible Supplier Profit" dataDxfId="38">
      <calculatedColumnFormula>Table2[[#This Row],[Possible Supplier Income]]-Table2[[#This Row],[Supplier Cost of Parts]]</calculatedColumnFormula>
    </tableColumn>
    <tableColumn id="19" xr3:uid="{63E05B24-084A-4E8B-B19C-B57859448BA7}" name="Supplier Cost of Bad Parts" dataDxfId="37">
      <calculatedColumnFormula>Table2[[#This Row],[Inspect Not Pass]]*((VLOOKUP(Table2[[#This Row],[LineA-ProdType]],'Other Lists'!$B$17:$G$19,5,FALSE)+VLOOKUP(Table2[[#This Row],[LineA-ProdType]],'Other Lists'!$B$17:$G$19,6,FALSE)))</calculatedColumnFormula>
    </tableColumn>
    <tableColumn id="20" xr3:uid="{7678A786-9B8B-41BA-9CAB-5F23FAF6EA7B}" name="Inspectors" dataDxfId="36"/>
    <tableColumn id="21" xr3:uid="{D1986EDF-891A-484B-A38E-B164214BC8C0}" name="Training" dataDxfId="35"/>
    <tableColumn id="22" xr3:uid="{48C11C42-C577-4266-8698-7AABE5362C6A}" name="Regular" dataDxfId="34"/>
    <tableColumn id="23" xr3:uid="{86BA4D93-9DE3-4910-AA96-003D0A116479}" name="Casual" dataDxfId="33">
      <calculatedColumnFormula>Table2[[#This Row],[Inspectors]]-Table2[[#This Row],[Training]]-Table2[[#This Row],[Regular]]</calculatedColumnFormula>
    </tableColumn>
    <tableColumn id="24" xr3:uid="{699E6A2F-9395-4235-9783-F8129A0494A6}" name="Training $" dataDxfId="32">
      <calculatedColumnFormula>VLOOKUP(Table2[[#This Row],[Shift]],'Other Lists'!$B$31:$H$36,7,FALSE)*8*Table2[[#This Row],[Training]]</calculatedColumnFormula>
    </tableColumn>
    <tableColumn id="25" xr3:uid="{EA26E14F-5D98-4BD6-9EAD-9D93E9912504}" name="Regular $" dataDxfId="31">
      <calculatedColumnFormula>VLOOKUP(Table2[[#This Row],[Shift]],'Other Lists'!$B$31:$H$36,7,FALSE)*8*Table2[[#This Row],[Regular]]</calculatedColumnFormula>
    </tableColumn>
    <tableColumn id="26" xr3:uid="{B8BE8872-7F35-47E2-9463-522737664875}" name="Casual $" dataDxfId="30">
      <calculatedColumnFormula>VLOOKUP(Table2[[#This Row],[Shift]],'Other Lists'!$B$31:$H$36,7,FALSE)*8*Table2[[#This Row],[Casual]]</calculatedColumnFormula>
    </tableColumn>
    <tableColumn id="27" xr3:uid="{7037E8BC-891A-465D-AC5E-E0E625574AE6}" name="Total Line A $" dataDxfId="29">
      <calculatedColumnFormula>SUM(Table2[[#This Row],[Training $]:[Casual $]])</calculatedColumnFormula>
    </tableColumn>
    <tableColumn id="28" xr3:uid="{5914B35E-892C-4B0A-AA3C-221E6779939F}" name="Inspect Labour $ per Part" dataDxfId="28">
      <calculatedColumnFormula>Table2[[#This Row],[Total Line A $]]/Table2[[#This Row],[Total Inspected]]</calculatedColumnFormula>
    </tableColumn>
    <tableColumn id="30" xr3:uid="{7C9520FE-BBB3-4920-B213-C4CE8423B24D}" name="LineB-ProdType" dataDxfId="27"/>
    <tableColumn id="31" xr3:uid="{687513DD-BF88-479F-B710-A8DF1C8456DD}" name="Received2" dataDxfId="26"/>
    <tableColumn id="32" xr3:uid="{17948B71-A95E-4639-8943-E592599AC635}" name="Received Inspected3" dataDxfId="25"/>
    <tableColumn id="33" xr3:uid="{CCFA8B90-3B34-46CE-86AE-9C26ED7DE179}" name="Leftover Inspected4" dataDxfId="24"/>
    <tableColumn id="51" xr3:uid="{28A4F434-2B91-4DE4-8731-AB182980CCFB}" name="Total Inspected2" dataDxfId="23">
      <calculatedColumnFormula>Table2[[#This Row],[Received Inspected3]]+Table2[[#This Row],[Leftover Inspected4]]</calculatedColumnFormula>
    </tableColumn>
    <tableColumn id="34" xr3:uid="{99DD299E-33A3-4C71-9E0F-5406A54273F0}" name="Capacity5" dataDxfId="22"/>
    <tableColumn id="35" xr3:uid="{5B55C220-B617-45F1-B9E4-83BAB40F5321}" name="Not Inspected6" dataDxfId="21"/>
    <tableColumn id="36" xr3:uid="{456D1958-5C9F-4983-B8BB-F0E1F9D03927}" name="Left From Day Shift for 3rd Shift7" dataDxfId="20"/>
    <tableColumn id="37" xr3:uid="{021F470C-960D-47FF-857E-AC42B2E205DC}" name="Inspect Pass8" dataDxfId="19"/>
    <tableColumn id="52" xr3:uid="{BB5F6F8F-C855-46BB-9355-36F93B1BEE1E}" name="Inspect Not Pass2" dataDxfId="18">
      <calculatedColumnFormula>Table2[[#This Row],[Total Inspected2]]-Table2[[#This Row],[Inspect Pass8]]</calculatedColumnFormula>
    </tableColumn>
    <tableColumn id="38" xr3:uid="{CDA4348E-7757-43C7-946F-F52ED4BB6CB8}" name="Over/Under" dataDxfId="17">
      <calculatedColumnFormula>Table2[[#This Row],[Received2]]-Table2[[#This Row],[Total Inspected2]]</calculatedColumnFormula>
    </tableColumn>
    <tableColumn id="39" xr3:uid="{4E32FCBB-0ED5-4699-8C9E-F4D6841C0C29}" name="Pass%9" dataDxfId="16">
      <calculatedColumnFormula>Table2[[#This Row],[Inspect Pass8]]/Table2[[#This Row],[Received2]]</calculatedColumnFormula>
    </tableColumn>
    <tableColumn id="40" xr3:uid="{E6FDBFFC-E2CE-4E23-8B9D-1C438A600A5F}" name="Inspectors10" dataDxfId="15"/>
    <tableColumn id="41" xr3:uid="{6D2C5916-F1B7-4E3A-897F-C157FE09CD59}" name="Inspectors11" dataDxfId="14"/>
    <tableColumn id="42" xr3:uid="{078C13A5-D98C-421D-A5B1-3B9DAA95125A}" name="Training12" dataDxfId="13"/>
    <tableColumn id="43" xr3:uid="{91875BB2-B23B-4CB1-B222-7F058C48536B}" name="Regular13" dataDxfId="12"/>
    <tableColumn id="44" xr3:uid="{1CB8446A-1E51-4696-B101-53C5B6083A48}" name="Casual14" dataDxfId="11">
      <calculatedColumnFormula>Table2[[#This Row],[Inspectors11]]-Table2[[#This Row],[Training12]]-Table2[[#This Row],[Regular13]]</calculatedColumnFormula>
    </tableColumn>
    <tableColumn id="45" xr3:uid="{BCF7C45C-1838-4BA9-8B04-2D739660C5BD}" name="Training $15" dataDxfId="10"/>
    <tableColumn id="46" xr3:uid="{5B8364F5-92E7-49F4-9DFE-E027E68B1C9A}" name="Regular $16" dataDxfId="9"/>
    <tableColumn id="47" xr3:uid="{334B58A8-C32C-478A-9BB8-B0149589A8DC}" name="Casual $17" dataDxfId="8"/>
    <tableColumn id="48" xr3:uid="{FA7DCCAE-1D4A-4AD4-B6C8-BCF28D5CF53F}" name="Total Line A $18" dataDxfId="7"/>
    <tableColumn id="49" xr3:uid="{ED15591A-F5C3-4610-82A5-19FDA2B7A192}" name="Inspect Labour $ per Part19" dataDxfId="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1F7256-A452-4511-BA57-48F1EA96DFE6}" name="Table5" displayName="Table5" ref="B7:D12" totalsRowShown="0" headerRowBorderDxfId="5" tableBorderDxfId="4" totalsRowBorderDxfId="3">
  <autoFilter ref="B7:D12" xr:uid="{9B1F7256-A452-4511-BA57-48F1EA96DFE6}"/>
  <tableColumns count="3">
    <tableColumn id="1" xr3:uid="{CC3E0CFE-8928-4A95-B9F0-C6A2AE153A40}" name="Why #" dataDxfId="2"/>
    <tableColumn id="2" xr3:uid="{45B559A7-F3DE-4C0D-97A4-F51C1AA279D0}" name="Why" dataDxfId="1"/>
    <tableColumn id="3" xr3:uid="{8741D749-529A-4464-84CF-B28AC6FEC082}" name="Answe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83AE-F49B-46DF-B988-E7F0F8CC81AF}">
  <dimension ref="A1:E88"/>
  <sheetViews>
    <sheetView topLeftCell="A9" workbookViewId="0"/>
  </sheetViews>
  <sheetFormatPr defaultRowHeight="14.4" x14ac:dyDescent="0.3"/>
  <cols>
    <col min="1" max="1" width="9.33203125" customWidth="1"/>
    <col min="2" max="2" width="24.44140625" customWidth="1"/>
    <col min="3" max="3" width="58.33203125" customWidth="1"/>
    <col min="4" max="4" width="13.6640625" customWidth="1"/>
  </cols>
  <sheetData>
    <row r="1" spans="1:5" ht="21" x14ac:dyDescent="0.4">
      <c r="A1" s="1" t="s">
        <v>0</v>
      </c>
      <c r="C1" s="2" t="s">
        <v>1</v>
      </c>
      <c r="D1" s="14" t="s">
        <v>153</v>
      </c>
      <c r="E1" s="14" t="s">
        <v>209</v>
      </c>
    </row>
    <row r="3" spans="1:5" x14ac:dyDescent="0.3">
      <c r="A3" s="2" t="s">
        <v>2</v>
      </c>
    </row>
    <row r="4" spans="1:5" x14ac:dyDescent="0.3">
      <c r="B4" t="s">
        <v>3</v>
      </c>
      <c r="C4" s="3" t="s">
        <v>849</v>
      </c>
    </row>
    <row r="5" spans="1:5" x14ac:dyDescent="0.3">
      <c r="B5" t="s">
        <v>4</v>
      </c>
      <c r="C5" t="s">
        <v>5</v>
      </c>
    </row>
    <row r="6" spans="1:5" x14ac:dyDescent="0.3">
      <c r="B6" t="s">
        <v>6</v>
      </c>
      <c r="C6" s="4">
        <v>45387</v>
      </c>
    </row>
    <row r="7" spans="1:5" x14ac:dyDescent="0.3">
      <c r="B7" t="s">
        <v>7</v>
      </c>
      <c r="C7" s="4" t="s">
        <v>8</v>
      </c>
    </row>
    <row r="8" spans="1:5" x14ac:dyDescent="0.3">
      <c r="B8" t="s">
        <v>9</v>
      </c>
      <c r="C8" t="s">
        <v>10</v>
      </c>
    </row>
    <row r="9" spans="1:5" x14ac:dyDescent="0.3">
      <c r="B9" t="s">
        <v>11</v>
      </c>
      <c r="C9" s="4" t="s">
        <v>12</v>
      </c>
    </row>
    <row r="10" spans="1:5" x14ac:dyDescent="0.3">
      <c r="C10" s="4" t="s">
        <v>13</v>
      </c>
    </row>
    <row r="11" spans="1:5" x14ac:dyDescent="0.3">
      <c r="C11" s="4"/>
    </row>
    <row r="12" spans="1:5" x14ac:dyDescent="0.3">
      <c r="A12" s="2" t="s">
        <v>14</v>
      </c>
    </row>
    <row r="13" spans="1:5" x14ac:dyDescent="0.3">
      <c r="A13">
        <v>1</v>
      </c>
      <c r="B13" s="3" t="s">
        <v>15</v>
      </c>
      <c r="C13" s="3"/>
    </row>
    <row r="14" spans="1:5" x14ac:dyDescent="0.3">
      <c r="A14">
        <v>2</v>
      </c>
      <c r="B14" s="3" t="s">
        <v>16</v>
      </c>
      <c r="C14" s="3"/>
    </row>
    <row r="15" spans="1:5" x14ac:dyDescent="0.3">
      <c r="A15">
        <v>3</v>
      </c>
      <c r="B15" s="3" t="s">
        <v>17</v>
      </c>
      <c r="C15" s="3"/>
    </row>
    <row r="16" spans="1:5" x14ac:dyDescent="0.3">
      <c r="A16">
        <v>4</v>
      </c>
      <c r="B16" s="3" t="s">
        <v>18</v>
      </c>
      <c r="C16" s="3"/>
    </row>
    <row r="17" spans="1:3" x14ac:dyDescent="0.3">
      <c r="A17">
        <v>5</v>
      </c>
      <c r="B17" s="3" t="s">
        <v>19</v>
      </c>
      <c r="C17" s="3"/>
    </row>
    <row r="18" spans="1:3" x14ac:dyDescent="0.3">
      <c r="A18">
        <v>6</v>
      </c>
      <c r="B18" s="3" t="s">
        <v>20</v>
      </c>
      <c r="C18" s="3"/>
    </row>
    <row r="19" spans="1:3" x14ac:dyDescent="0.3">
      <c r="A19">
        <v>7</v>
      </c>
      <c r="B19" s="3" t="s">
        <v>21</v>
      </c>
      <c r="C19" s="3"/>
    </row>
    <row r="20" spans="1:3" x14ac:dyDescent="0.3">
      <c r="A20">
        <v>9</v>
      </c>
      <c r="B20" s="3" t="s">
        <v>22</v>
      </c>
      <c r="C20" s="3"/>
    </row>
    <row r="21" spans="1:3" x14ac:dyDescent="0.3">
      <c r="A21">
        <v>10</v>
      </c>
      <c r="B21" s="3" t="s">
        <v>23</v>
      </c>
      <c r="C21" s="3"/>
    </row>
    <row r="22" spans="1:3" x14ac:dyDescent="0.3">
      <c r="B22" s="3"/>
      <c r="C22" s="3"/>
    </row>
    <row r="23" spans="1:3" x14ac:dyDescent="0.3">
      <c r="B23" s="3"/>
      <c r="C23" s="3"/>
    </row>
    <row r="24" spans="1:3" x14ac:dyDescent="0.3">
      <c r="A24" s="2" t="s">
        <v>24</v>
      </c>
      <c r="C24" s="3"/>
    </row>
    <row r="25" spans="1:3" x14ac:dyDescent="0.3">
      <c r="A25">
        <v>1</v>
      </c>
      <c r="B25" t="s">
        <v>25</v>
      </c>
      <c r="C25" s="3"/>
    </row>
    <row r="26" spans="1:3" x14ac:dyDescent="0.3">
      <c r="A26">
        <v>2</v>
      </c>
      <c r="B26" t="s">
        <v>26</v>
      </c>
      <c r="C26" s="3"/>
    </row>
    <row r="27" spans="1:3" x14ac:dyDescent="0.3">
      <c r="A27">
        <v>3</v>
      </c>
      <c r="B27" t="s">
        <v>27</v>
      </c>
      <c r="C27" s="3"/>
    </row>
    <row r="28" spans="1:3" x14ac:dyDescent="0.3">
      <c r="C28" s="3"/>
    </row>
    <row r="29" spans="1:3" x14ac:dyDescent="0.3">
      <c r="A29" s="2" t="s">
        <v>28</v>
      </c>
      <c r="C29" s="3" t="s">
        <v>29</v>
      </c>
    </row>
    <row r="30" spans="1:3" x14ac:dyDescent="0.3">
      <c r="A30">
        <v>1</v>
      </c>
      <c r="B30" t="s">
        <v>30</v>
      </c>
      <c r="C30" s="3"/>
    </row>
    <row r="31" spans="1:3" x14ac:dyDescent="0.3">
      <c r="A31">
        <v>2</v>
      </c>
      <c r="B31" t="s">
        <v>31</v>
      </c>
      <c r="C31" s="3"/>
    </row>
    <row r="32" spans="1:3" x14ac:dyDescent="0.3">
      <c r="A32">
        <v>3</v>
      </c>
      <c r="B32" t="s">
        <v>32</v>
      </c>
      <c r="C32" s="3"/>
    </row>
    <row r="33" spans="1:4" x14ac:dyDescent="0.3">
      <c r="C33" s="3"/>
    </row>
    <row r="34" spans="1:4" x14ac:dyDescent="0.3">
      <c r="A34" s="2" t="s">
        <v>33</v>
      </c>
      <c r="C34" s="3"/>
    </row>
    <row r="35" spans="1:4" x14ac:dyDescent="0.3">
      <c r="A35">
        <v>1</v>
      </c>
      <c r="B35" t="s">
        <v>34</v>
      </c>
      <c r="C35" s="3"/>
    </row>
    <row r="36" spans="1:4" x14ac:dyDescent="0.3">
      <c r="A36">
        <v>2</v>
      </c>
      <c r="B36" t="s">
        <v>35</v>
      </c>
      <c r="C36" s="3"/>
    </row>
    <row r="37" spans="1:4" x14ac:dyDescent="0.3">
      <c r="A37">
        <v>3</v>
      </c>
      <c r="B37" t="s">
        <v>36</v>
      </c>
      <c r="C37" s="3"/>
    </row>
    <row r="38" spans="1:4" x14ac:dyDescent="0.3">
      <c r="A38">
        <v>4</v>
      </c>
      <c r="B38" t="s">
        <v>37</v>
      </c>
      <c r="C38" s="3"/>
    </row>
    <row r="39" spans="1:4" x14ac:dyDescent="0.3">
      <c r="A39">
        <v>5</v>
      </c>
      <c r="B39" t="s">
        <v>38</v>
      </c>
      <c r="C39" s="3"/>
    </row>
    <row r="40" spans="1:4" x14ac:dyDescent="0.3">
      <c r="C40" s="3"/>
    </row>
    <row r="41" spans="1:4" x14ac:dyDescent="0.3">
      <c r="A41" s="2" t="s">
        <v>39</v>
      </c>
      <c r="C41" s="3"/>
    </row>
    <row r="42" spans="1:4" x14ac:dyDescent="0.3">
      <c r="A42" s="2"/>
      <c r="B42" t="s">
        <v>40</v>
      </c>
      <c r="C42" s="3"/>
    </row>
    <row r="43" spans="1:4" x14ac:dyDescent="0.3">
      <c r="A43" s="2"/>
      <c r="B43" t="s">
        <v>41</v>
      </c>
      <c r="C43" s="3"/>
    </row>
    <row r="44" spans="1:4" x14ac:dyDescent="0.3">
      <c r="A44" s="2"/>
      <c r="B44" t="s">
        <v>42</v>
      </c>
      <c r="C44" s="3"/>
    </row>
    <row r="45" spans="1:4" x14ac:dyDescent="0.3">
      <c r="C45" s="3"/>
    </row>
    <row r="46" spans="1:4" x14ac:dyDescent="0.3">
      <c r="A46" s="2" t="s">
        <v>43</v>
      </c>
    </row>
    <row r="47" spans="1:4" x14ac:dyDescent="0.3">
      <c r="A47" s="5" t="s">
        <v>44</v>
      </c>
      <c r="B47" s="5" t="s">
        <v>45</v>
      </c>
      <c r="C47" s="5" t="s">
        <v>46</v>
      </c>
      <c r="D47" s="5" t="s">
        <v>47</v>
      </c>
    </row>
    <row r="48" spans="1:4" x14ac:dyDescent="0.3">
      <c r="A48">
        <v>1</v>
      </c>
      <c r="B48" s="3" t="s">
        <v>48</v>
      </c>
      <c r="C48" s="4">
        <v>45384</v>
      </c>
      <c r="D48" s="3"/>
    </row>
    <row r="49" spans="1:4" x14ac:dyDescent="0.3">
      <c r="A49">
        <v>2</v>
      </c>
      <c r="B49" s="3" t="s">
        <v>849</v>
      </c>
      <c r="C49" s="4">
        <v>45387</v>
      </c>
      <c r="D49" s="3" t="s">
        <v>850</v>
      </c>
    </row>
    <row r="51" spans="1:4" x14ac:dyDescent="0.3">
      <c r="A51" s="2" t="s">
        <v>49</v>
      </c>
    </row>
    <row r="52" spans="1:4" x14ac:dyDescent="0.3">
      <c r="A52">
        <v>1</v>
      </c>
      <c r="B52" t="s">
        <v>50</v>
      </c>
    </row>
    <row r="53" spans="1:4" x14ac:dyDescent="0.3">
      <c r="A53">
        <v>2</v>
      </c>
      <c r="B53" t="s">
        <v>51</v>
      </c>
    </row>
    <row r="54" spans="1:4" x14ac:dyDescent="0.3">
      <c r="A54">
        <v>3</v>
      </c>
      <c r="B54" t="s">
        <v>52</v>
      </c>
    </row>
    <row r="55" spans="1:4" x14ac:dyDescent="0.3">
      <c r="B55" s="6"/>
    </row>
    <row r="57" spans="1:4" x14ac:dyDescent="0.3">
      <c r="A57" s="2" t="s">
        <v>53</v>
      </c>
    </row>
    <row r="58" spans="1:4" x14ac:dyDescent="0.3">
      <c r="A58" s="5" t="s">
        <v>44</v>
      </c>
      <c r="B58" s="5" t="s">
        <v>54</v>
      </c>
      <c r="C58" s="5" t="s">
        <v>55</v>
      </c>
    </row>
    <row r="59" spans="1:4" s="7" customFormat="1" ht="28.8" x14ac:dyDescent="0.3">
      <c r="A59" s="7">
        <v>1</v>
      </c>
      <c r="B59" s="36" t="s">
        <v>56</v>
      </c>
      <c r="C59" s="7" t="s">
        <v>860</v>
      </c>
    </row>
    <row r="60" spans="1:4" s="7" customFormat="1" ht="28.8" x14ac:dyDescent="0.3">
      <c r="A60" s="7">
        <v>2</v>
      </c>
      <c r="B60" s="36" t="s">
        <v>57</v>
      </c>
      <c r="C60" s="7" t="s">
        <v>861</v>
      </c>
    </row>
    <row r="61" spans="1:4" s="7" customFormat="1" ht="57.6" x14ac:dyDescent="0.3">
      <c r="A61" s="7">
        <v>3</v>
      </c>
      <c r="B61" s="36" t="s">
        <v>60</v>
      </c>
      <c r="C61" s="7" t="s">
        <v>862</v>
      </c>
    </row>
    <row r="62" spans="1:4" s="7" customFormat="1" ht="57.6" x14ac:dyDescent="0.3">
      <c r="A62" s="7">
        <v>4</v>
      </c>
      <c r="B62" s="36" t="s">
        <v>61</v>
      </c>
      <c r="C62" s="7" t="s">
        <v>863</v>
      </c>
    </row>
    <row r="63" spans="1:4" s="7" customFormat="1" x14ac:dyDescent="0.3">
      <c r="A63" s="7">
        <v>5</v>
      </c>
      <c r="B63" s="36" t="s">
        <v>58</v>
      </c>
      <c r="C63" s="7" t="s">
        <v>59</v>
      </c>
    </row>
    <row r="64" spans="1:4" s="7" customFormat="1" x14ac:dyDescent="0.3">
      <c r="A64" s="7">
        <v>6</v>
      </c>
      <c r="B64" s="36" t="s">
        <v>854</v>
      </c>
      <c r="C64" s="7" t="s">
        <v>864</v>
      </c>
    </row>
    <row r="65" spans="1:3" s="7" customFormat="1" x14ac:dyDescent="0.3">
      <c r="A65" s="7">
        <v>7</v>
      </c>
      <c r="B65" s="36" t="s">
        <v>855</v>
      </c>
      <c r="C65" s="7" t="s">
        <v>865</v>
      </c>
    </row>
    <row r="66" spans="1:3" s="7" customFormat="1" x14ac:dyDescent="0.3">
      <c r="A66" s="7">
        <v>8</v>
      </c>
      <c r="B66" s="36" t="s">
        <v>859</v>
      </c>
      <c r="C66" s="7" t="s">
        <v>866</v>
      </c>
    </row>
    <row r="67" spans="1:3" s="7" customFormat="1" x14ac:dyDescent="0.3">
      <c r="A67" s="7">
        <v>9</v>
      </c>
      <c r="B67" s="36" t="s">
        <v>858</v>
      </c>
      <c r="C67" s="7" t="s">
        <v>867</v>
      </c>
    </row>
    <row r="68" spans="1:3" s="7" customFormat="1" x14ac:dyDescent="0.3">
      <c r="A68" s="7">
        <v>10</v>
      </c>
      <c r="B68" s="36" t="s">
        <v>857</v>
      </c>
      <c r="C68" s="7" t="s">
        <v>869</v>
      </c>
    </row>
    <row r="69" spans="1:3" s="7" customFormat="1" x14ac:dyDescent="0.3">
      <c r="A69" s="7">
        <v>11</v>
      </c>
      <c r="B69" s="36" t="s">
        <v>856</v>
      </c>
      <c r="C69" s="7" t="s">
        <v>868</v>
      </c>
    </row>
    <row r="73" spans="1:3" x14ac:dyDescent="0.3">
      <c r="B73" s="8"/>
    </row>
    <row r="88" spans="2:2" x14ac:dyDescent="0.3">
      <c r="B88" s="8"/>
    </row>
  </sheetData>
  <hyperlinks>
    <hyperlink ref="B59" location="ReadMeFirst!A1" display="ReadMeFirst" xr:uid="{29F11C03-D4C3-4936-805E-6729AFCF6DA1}"/>
    <hyperlink ref="B60" location="'Other Lists'!A1" display="Other Lists" xr:uid="{B29AA7CE-24FB-4ABC-B792-031C81BCF249}"/>
    <hyperlink ref="B63" location="'Inspect DM'!A1" display="Inspect DM" xr:uid="{0C74A8B0-8657-4993-9429-FD4A7B87CD23}"/>
    <hyperlink ref="B61" location="'A Batches'!A1" display="A Batches" xr:uid="{8D834D9B-121A-40DD-B9FE-82ED115DAB91}"/>
    <hyperlink ref="B62" location="'B Batches'!A1" display="B Batches" xr:uid="{5B9D50FD-21E7-48F0-9A00-8649C321B86F}"/>
    <hyperlink ref="B64" location="'Why''s'!A1" display="Why's" xr:uid="{F2CD19B3-47D6-48FD-82DA-E146E19CC323}"/>
    <hyperlink ref="B65" location="'Why#1 Visualization'!A1" display="Why#1 Visualization" xr:uid="{DA23D5C7-C421-43A9-A5C8-CC67C00CAFCA}"/>
    <hyperlink ref="B66" location="'Why#2 Visualization'!A1" display="Why#2 Visualization" xr:uid="{CCEADEAB-E9CF-43E1-B1A9-32A0A35E5E84}"/>
    <hyperlink ref="B67" location="'Why#3 Visualization'!A1" display="Why#3 Visualization" xr:uid="{CFE0D81E-D454-4D12-87E5-8554C36770CF}"/>
    <hyperlink ref="B68" location="'Why#4 Visualization'!A1" display="Why#4 Visualization" xr:uid="{43BC4626-28EA-4C7F-84F2-2CA9E01943EA}"/>
    <hyperlink ref="B69" location="'Why#5 Visualization'!A1" display="Why#5 Visualization" xr:uid="{C0D4C265-1B2E-49B7-B622-88B03AEF9246}"/>
  </hyperlinks>
  <pageMargins left="0.7" right="0.7" top="0.75" bottom="0.75" header="0.3" footer="0.3"/>
  <pageSetup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3EE9-AD12-422E-B8DB-FA21524062E7}">
  <dimension ref="A1:I16"/>
  <sheetViews>
    <sheetView workbookViewId="0">
      <selection sqref="A1:B1"/>
    </sheetView>
  </sheetViews>
  <sheetFormatPr defaultRowHeight="14.4" x14ac:dyDescent="0.3"/>
  <cols>
    <col min="1" max="1" width="13.6640625" customWidth="1"/>
    <col min="2" max="2" width="12.77734375" bestFit="1" customWidth="1"/>
    <col min="3" max="3" width="26.21875" bestFit="1" customWidth="1"/>
    <col min="5" max="5" width="10.33203125" bestFit="1" customWidth="1"/>
  </cols>
  <sheetData>
    <row r="1" spans="1:9" ht="21" x14ac:dyDescent="0.4">
      <c r="A1" s="42" t="s">
        <v>857</v>
      </c>
      <c r="B1" s="42"/>
      <c r="D1" t="s">
        <v>852</v>
      </c>
      <c r="E1" s="15">
        <v>45390</v>
      </c>
      <c r="G1" t="s">
        <v>853</v>
      </c>
      <c r="H1" s="44" t="s">
        <v>849</v>
      </c>
      <c r="I1" s="44"/>
    </row>
    <row r="2" spans="1:9" x14ac:dyDescent="0.3">
      <c r="A2" s="43" t="s">
        <v>851</v>
      </c>
      <c r="B2" s="43"/>
    </row>
    <row r="4" spans="1:9" x14ac:dyDescent="0.3">
      <c r="B4" s="25" t="s">
        <v>158</v>
      </c>
      <c r="C4" t="s">
        <v>825</v>
      </c>
    </row>
    <row r="5" spans="1:9" x14ac:dyDescent="0.3">
      <c r="B5" s="25" t="s">
        <v>179</v>
      </c>
      <c r="C5" s="26">
        <v>2</v>
      </c>
    </row>
    <row r="7" spans="1:9" x14ac:dyDescent="0.3">
      <c r="B7" s="25" t="s">
        <v>823</v>
      </c>
      <c r="C7" t="s">
        <v>844</v>
      </c>
    </row>
    <row r="8" spans="1:9" x14ac:dyDescent="0.3">
      <c r="B8" s="27">
        <v>45088</v>
      </c>
      <c r="C8">
        <v>7266.8</v>
      </c>
    </row>
    <row r="9" spans="1:9" x14ac:dyDescent="0.3">
      <c r="B9" s="27">
        <v>45089</v>
      </c>
      <c r="C9">
        <v>9763.2000000000007</v>
      </c>
    </row>
    <row r="10" spans="1:9" x14ac:dyDescent="0.3">
      <c r="B10" s="27">
        <v>45095</v>
      </c>
      <c r="C10">
        <v>10684.800000000001</v>
      </c>
    </row>
    <row r="11" spans="1:9" x14ac:dyDescent="0.3">
      <c r="B11" s="27">
        <v>45096</v>
      </c>
      <c r="C11">
        <v>9273.6</v>
      </c>
    </row>
    <row r="12" spans="1:9" x14ac:dyDescent="0.3">
      <c r="B12" s="27">
        <v>45102</v>
      </c>
      <c r="C12">
        <v>11088</v>
      </c>
    </row>
    <row r="13" spans="1:9" x14ac:dyDescent="0.3">
      <c r="B13" s="27">
        <v>45103</v>
      </c>
      <c r="C13">
        <v>7315.9000000000005</v>
      </c>
    </row>
    <row r="14" spans="1:9" x14ac:dyDescent="0.3">
      <c r="B14" s="27">
        <v>45109</v>
      </c>
      <c r="C14">
        <v>7806.9000000000005</v>
      </c>
    </row>
    <row r="15" spans="1:9" x14ac:dyDescent="0.3">
      <c r="B15" s="27">
        <v>45110</v>
      </c>
      <c r="C15">
        <v>11174.4</v>
      </c>
    </row>
    <row r="16" spans="1:9" x14ac:dyDescent="0.3">
      <c r="B16" s="27" t="s">
        <v>824</v>
      </c>
      <c r="C16">
        <v>74373.600000000006</v>
      </c>
    </row>
  </sheetData>
  <mergeCells count="3">
    <mergeCell ref="A1:B1"/>
    <mergeCell ref="H1:I1"/>
    <mergeCell ref="A2:B2"/>
  </mergeCells>
  <hyperlinks>
    <hyperlink ref="A2:B2" location="ReadMeFirst!A1" display="Return to ReadMeFirst" xr:uid="{06D1E389-0F46-4295-A527-13EB566923C0}"/>
  </hyperlinks>
  <pageMargins left="0.7" right="0.7" top="0.75" bottom="0.75" header="0.3" footer="0.3"/>
  <pageSetup orientation="landscape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1AF2-40B8-4FD3-91F4-ECB6B80C6326}">
  <dimension ref="A1:I16"/>
  <sheetViews>
    <sheetView workbookViewId="0">
      <selection sqref="A1:B1"/>
    </sheetView>
  </sheetViews>
  <sheetFormatPr defaultRowHeight="14.4" x14ac:dyDescent="0.3"/>
  <cols>
    <col min="1" max="1" width="14" customWidth="1"/>
    <col min="2" max="2" width="12.77734375" bestFit="1" customWidth="1"/>
    <col min="3" max="3" width="28" bestFit="1" customWidth="1"/>
    <col min="4" max="4" width="30" bestFit="1" customWidth="1"/>
    <col min="5" max="5" width="10.33203125" bestFit="1" customWidth="1"/>
  </cols>
  <sheetData>
    <row r="1" spans="1:9" ht="21" x14ac:dyDescent="0.4">
      <c r="A1" s="42" t="s">
        <v>856</v>
      </c>
      <c r="B1" s="42"/>
      <c r="D1" t="s">
        <v>852</v>
      </c>
      <c r="E1" s="15">
        <v>45390</v>
      </c>
      <c r="G1" t="s">
        <v>853</v>
      </c>
      <c r="H1" s="44" t="s">
        <v>849</v>
      </c>
      <c r="I1" s="44"/>
    </row>
    <row r="2" spans="1:9" x14ac:dyDescent="0.3">
      <c r="A2" s="43" t="s">
        <v>851</v>
      </c>
      <c r="B2" s="43"/>
    </row>
    <row r="4" spans="1:9" x14ac:dyDescent="0.3">
      <c r="B4" s="25" t="s">
        <v>158</v>
      </c>
      <c r="C4" t="s">
        <v>825</v>
      </c>
    </row>
    <row r="5" spans="1:9" x14ac:dyDescent="0.3">
      <c r="B5" s="25" t="s">
        <v>179</v>
      </c>
      <c r="C5" s="26">
        <v>2</v>
      </c>
    </row>
    <row r="7" spans="1:9" x14ac:dyDescent="0.3">
      <c r="B7" s="25" t="s">
        <v>823</v>
      </c>
      <c r="C7" t="s">
        <v>847</v>
      </c>
      <c r="D7" t="s">
        <v>848</v>
      </c>
    </row>
    <row r="8" spans="1:9" x14ac:dyDescent="0.3">
      <c r="B8" s="27">
        <v>45088</v>
      </c>
      <c r="C8">
        <v>1963.1999999999998</v>
      </c>
      <c r="D8">
        <v>491</v>
      </c>
    </row>
    <row r="9" spans="1:9" x14ac:dyDescent="0.3">
      <c r="B9" s="27">
        <v>45089</v>
      </c>
      <c r="C9">
        <v>316.79999999999927</v>
      </c>
      <c r="D9">
        <v>691.2</v>
      </c>
    </row>
    <row r="10" spans="1:9" x14ac:dyDescent="0.3">
      <c r="B10" s="27">
        <v>45095</v>
      </c>
      <c r="C10">
        <v>675.19999999999891</v>
      </c>
      <c r="D10">
        <v>345.6</v>
      </c>
    </row>
    <row r="11" spans="1:9" x14ac:dyDescent="0.3">
      <c r="B11" s="27">
        <v>45096</v>
      </c>
      <c r="C11">
        <v>486.39999999999964</v>
      </c>
      <c r="D11">
        <v>489.6</v>
      </c>
    </row>
    <row r="12" spans="1:9" x14ac:dyDescent="0.3">
      <c r="B12" s="27">
        <v>45102</v>
      </c>
      <c r="C12">
        <v>-112</v>
      </c>
      <c r="D12">
        <v>201.6</v>
      </c>
    </row>
    <row r="13" spans="1:9" x14ac:dyDescent="0.3">
      <c r="B13" s="27">
        <v>45103</v>
      </c>
      <c r="C13">
        <v>2198.0999999999995</v>
      </c>
      <c r="D13">
        <v>540.1</v>
      </c>
    </row>
    <row r="14" spans="1:9" x14ac:dyDescent="0.3">
      <c r="B14" s="27">
        <v>45109</v>
      </c>
      <c r="C14">
        <v>1139.0999999999995</v>
      </c>
      <c r="D14">
        <v>441.90000000000003</v>
      </c>
    </row>
    <row r="15" spans="1:9" x14ac:dyDescent="0.3">
      <c r="B15" s="27">
        <v>45110</v>
      </c>
      <c r="C15">
        <v>-774.39999999999964</v>
      </c>
      <c r="D15">
        <v>201.6</v>
      </c>
    </row>
    <row r="16" spans="1:9" x14ac:dyDescent="0.3">
      <c r="B16" s="27" t="s">
        <v>824</v>
      </c>
      <c r="C16">
        <v>5892.3999999999969</v>
      </c>
      <c r="D16">
        <v>3402.6</v>
      </c>
    </row>
  </sheetData>
  <mergeCells count="3">
    <mergeCell ref="A1:B1"/>
    <mergeCell ref="H1:I1"/>
    <mergeCell ref="A2:B2"/>
  </mergeCells>
  <hyperlinks>
    <hyperlink ref="A2:B2" location="ReadMeFirst!A1" display="Return to ReadMeFirst" xr:uid="{0561B253-2628-4C68-ABC0-3456BE870276}"/>
  </hyperlinks>
  <pageMargins left="0.7" right="0.7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4F41-9D13-4E60-BC3E-F808586A3435}">
  <dimension ref="A1:U82"/>
  <sheetViews>
    <sheetView workbookViewId="0">
      <selection sqref="A1:B1"/>
    </sheetView>
  </sheetViews>
  <sheetFormatPr defaultRowHeight="14.4" x14ac:dyDescent="0.3"/>
  <cols>
    <col min="2" max="2" width="11" customWidth="1"/>
    <col min="3" max="3" width="16.5546875" customWidth="1"/>
    <col min="4" max="4" width="16.33203125" customWidth="1"/>
    <col min="5" max="5" width="13.109375" customWidth="1"/>
    <col min="7" max="7" width="13.5546875" customWidth="1"/>
    <col min="10" max="10" width="16.109375" customWidth="1"/>
    <col min="11" max="11" width="15.33203125" customWidth="1"/>
    <col min="18" max="18" width="11" customWidth="1"/>
    <col min="19" max="19" width="10.6640625" customWidth="1"/>
    <col min="21" max="21" width="12.33203125" customWidth="1"/>
  </cols>
  <sheetData>
    <row r="1" spans="1:21" ht="21" x14ac:dyDescent="0.4">
      <c r="A1" s="42" t="s">
        <v>57</v>
      </c>
      <c r="B1" s="42"/>
      <c r="D1" t="s">
        <v>852</v>
      </c>
      <c r="E1" s="15">
        <v>45390</v>
      </c>
      <c r="G1" t="s">
        <v>853</v>
      </c>
      <c r="H1" s="44" t="s">
        <v>849</v>
      </c>
      <c r="I1" s="44"/>
    </row>
    <row r="2" spans="1:21" x14ac:dyDescent="0.3">
      <c r="A2" s="43" t="s">
        <v>851</v>
      </c>
      <c r="B2" s="43"/>
    </row>
    <row r="5" spans="1:21" ht="21" x14ac:dyDescent="0.4">
      <c r="A5" t="s">
        <v>62</v>
      </c>
      <c r="G5" s="14" t="str">
        <f>ReadMeFirst!D1&amp;" "&amp;ReadMeFirst!E1</f>
        <v>Data Set L</v>
      </c>
    </row>
    <row r="9" spans="1:21" x14ac:dyDescent="0.3">
      <c r="B9" s="5" t="s">
        <v>63</v>
      </c>
    </row>
    <row r="10" spans="1:21" x14ac:dyDescent="0.3">
      <c r="B10" t="s">
        <v>64</v>
      </c>
      <c r="C10" t="s">
        <v>65</v>
      </c>
      <c r="D10" t="s">
        <v>66</v>
      </c>
    </row>
    <row r="11" spans="1:21" x14ac:dyDescent="0.3">
      <c r="B11">
        <v>55</v>
      </c>
      <c r="C11" t="s">
        <v>67</v>
      </c>
      <c r="D11" t="s">
        <v>68</v>
      </c>
    </row>
    <row r="12" spans="1:21" x14ac:dyDescent="0.3">
      <c r="B12">
        <v>92</v>
      </c>
      <c r="C12" t="s">
        <v>69</v>
      </c>
      <c r="D12" t="s">
        <v>70</v>
      </c>
    </row>
    <row r="13" spans="1:21" x14ac:dyDescent="0.3">
      <c r="Q13" s="5" t="s">
        <v>71</v>
      </c>
    </row>
    <row r="14" spans="1:21" x14ac:dyDescent="0.3">
      <c r="Q14" s="9" t="s">
        <v>72</v>
      </c>
    </row>
    <row r="15" spans="1:21" x14ac:dyDescent="0.3">
      <c r="B15" s="5" t="s">
        <v>73</v>
      </c>
      <c r="K15" s="9" t="s">
        <v>74</v>
      </c>
    </row>
    <row r="16" spans="1:21" s="7" customFormat="1" ht="34.5" customHeight="1" x14ac:dyDescent="0.3">
      <c r="B16" s="7" t="s">
        <v>75</v>
      </c>
      <c r="C16" s="7" t="s">
        <v>76</v>
      </c>
      <c r="D16" s="7" t="s">
        <v>64</v>
      </c>
      <c r="E16" s="7" t="s">
        <v>77</v>
      </c>
      <c r="F16" s="7" t="s">
        <v>78</v>
      </c>
      <c r="G16" s="7" t="s">
        <v>79</v>
      </c>
      <c r="H16" s="7" t="s">
        <v>80</v>
      </c>
      <c r="I16" s="7" t="s">
        <v>81</v>
      </c>
      <c r="J16" s="7" t="s">
        <v>82</v>
      </c>
      <c r="K16" s="7" t="s">
        <v>83</v>
      </c>
      <c r="L16" s="7" t="s">
        <v>84</v>
      </c>
      <c r="M16" s="7" t="s">
        <v>85</v>
      </c>
      <c r="N16" s="7" t="s">
        <v>86</v>
      </c>
      <c r="Q16" t="s">
        <v>87</v>
      </c>
      <c r="R16" s="7" t="s">
        <v>75</v>
      </c>
      <c r="S16" s="7" t="s">
        <v>88</v>
      </c>
      <c r="T16" s="7" t="s">
        <v>64</v>
      </c>
      <c r="U16" s="7" t="s">
        <v>77</v>
      </c>
    </row>
    <row r="17" spans="2:21" x14ac:dyDescent="0.3">
      <c r="B17">
        <v>105</v>
      </c>
      <c r="C17" t="s">
        <v>89</v>
      </c>
      <c r="D17">
        <v>55</v>
      </c>
      <c r="E17">
        <v>3</v>
      </c>
      <c r="F17">
        <v>129</v>
      </c>
      <c r="G17">
        <v>36</v>
      </c>
      <c r="H17">
        <v>184</v>
      </c>
      <c r="I17">
        <v>14</v>
      </c>
      <c r="J17">
        <v>1.1000000000000001</v>
      </c>
      <c r="K17" s="9">
        <f>INT(7/(I17*J17/60))</f>
        <v>27</v>
      </c>
      <c r="L17">
        <f>ROUNDUP(K17/2,0)</f>
        <v>14</v>
      </c>
      <c r="M17">
        <v>0.35</v>
      </c>
      <c r="N17">
        <v>12</v>
      </c>
      <c r="Q17" s="9" t="str">
        <f>R17&amp;"-"&amp;S17</f>
        <v>105-1</v>
      </c>
      <c r="R17">
        <v>105</v>
      </c>
      <c r="S17">
        <v>1</v>
      </c>
      <c r="T17">
        <v>55</v>
      </c>
      <c r="U17" t="s">
        <v>90</v>
      </c>
    </row>
    <row r="18" spans="2:21" x14ac:dyDescent="0.3">
      <c r="B18">
        <v>119</v>
      </c>
      <c r="C18" t="s">
        <v>91</v>
      </c>
      <c r="D18">
        <v>92</v>
      </c>
      <c r="E18">
        <v>6</v>
      </c>
      <c r="F18">
        <v>17.8</v>
      </c>
      <c r="G18">
        <v>11</v>
      </c>
      <c r="H18">
        <v>32</v>
      </c>
      <c r="I18">
        <v>6</v>
      </c>
      <c r="J18">
        <v>0.4</v>
      </c>
      <c r="K18">
        <f>7/(I18*J18/60)</f>
        <v>174.99999999999997</v>
      </c>
      <c r="L18">
        <f t="shared" ref="L18:L19" si="0">ROUNDUP(K18/2,0)</f>
        <v>88</v>
      </c>
      <c r="M18">
        <v>0.2</v>
      </c>
      <c r="N18">
        <v>50</v>
      </c>
      <c r="Q18" t="str">
        <f t="shared" ref="Q18:Q29" si="1">R18&amp;"-"&amp;S18</f>
        <v>105-2</v>
      </c>
      <c r="R18">
        <v>105</v>
      </c>
      <c r="S18">
        <v>2</v>
      </c>
      <c r="T18">
        <v>55</v>
      </c>
      <c r="U18" t="s">
        <v>92</v>
      </c>
    </row>
    <row r="19" spans="2:21" x14ac:dyDescent="0.3">
      <c r="B19">
        <v>201</v>
      </c>
      <c r="C19" t="s">
        <v>93</v>
      </c>
      <c r="D19">
        <v>92</v>
      </c>
      <c r="E19">
        <v>4</v>
      </c>
      <c r="F19">
        <v>32.6</v>
      </c>
      <c r="G19">
        <v>16.5</v>
      </c>
      <c r="H19">
        <v>71</v>
      </c>
      <c r="I19">
        <v>10</v>
      </c>
      <c r="J19">
        <v>0.6</v>
      </c>
      <c r="K19">
        <f>7/(I19*J19/60)</f>
        <v>70</v>
      </c>
      <c r="L19">
        <f t="shared" si="0"/>
        <v>35</v>
      </c>
      <c r="M19">
        <v>0.2</v>
      </c>
      <c r="N19">
        <v>40</v>
      </c>
      <c r="Q19" t="str">
        <f t="shared" si="1"/>
        <v>105-3</v>
      </c>
      <c r="R19">
        <v>105</v>
      </c>
      <c r="S19">
        <v>3</v>
      </c>
      <c r="T19">
        <v>55</v>
      </c>
      <c r="U19" t="s">
        <v>94</v>
      </c>
    </row>
    <row r="20" spans="2:21" x14ac:dyDescent="0.3">
      <c r="Q20" t="str">
        <f t="shared" si="1"/>
        <v>119-1</v>
      </c>
      <c r="R20">
        <v>119</v>
      </c>
      <c r="S20">
        <v>1</v>
      </c>
      <c r="T20">
        <v>92</v>
      </c>
      <c r="U20" t="s">
        <v>95</v>
      </c>
    </row>
    <row r="21" spans="2:21" x14ac:dyDescent="0.3">
      <c r="Q21" t="str">
        <f t="shared" si="1"/>
        <v>119-2</v>
      </c>
      <c r="R21">
        <v>119</v>
      </c>
      <c r="S21">
        <v>2</v>
      </c>
      <c r="T21">
        <v>92</v>
      </c>
      <c r="U21" t="s">
        <v>96</v>
      </c>
    </row>
    <row r="22" spans="2:21" x14ac:dyDescent="0.3">
      <c r="B22" s="5" t="s">
        <v>97</v>
      </c>
      <c r="Q22" t="str">
        <f t="shared" si="1"/>
        <v>119-3</v>
      </c>
      <c r="R22">
        <v>119</v>
      </c>
      <c r="S22">
        <v>3</v>
      </c>
      <c r="T22">
        <v>92</v>
      </c>
      <c r="U22" t="s">
        <v>98</v>
      </c>
    </row>
    <row r="23" spans="2:21" x14ac:dyDescent="0.3">
      <c r="B23" t="s">
        <v>99</v>
      </c>
      <c r="C23" t="s">
        <v>100</v>
      </c>
      <c r="Q23" t="str">
        <f t="shared" si="1"/>
        <v>119-4</v>
      </c>
      <c r="R23">
        <v>119</v>
      </c>
      <c r="S23">
        <v>4</v>
      </c>
      <c r="T23">
        <v>92</v>
      </c>
      <c r="U23" t="s">
        <v>101</v>
      </c>
    </row>
    <row r="24" spans="2:21" x14ac:dyDescent="0.3">
      <c r="B24">
        <v>101</v>
      </c>
      <c r="C24" t="s">
        <v>102</v>
      </c>
      <c r="Q24" t="str">
        <f t="shared" si="1"/>
        <v>119-5</v>
      </c>
      <c r="R24">
        <v>119</v>
      </c>
      <c r="S24">
        <v>5</v>
      </c>
      <c r="T24">
        <v>92</v>
      </c>
      <c r="U24" t="s">
        <v>103</v>
      </c>
    </row>
    <row r="25" spans="2:21" x14ac:dyDescent="0.3">
      <c r="B25">
        <v>102</v>
      </c>
      <c r="C25" t="s">
        <v>104</v>
      </c>
      <c r="Q25" t="str">
        <f t="shared" si="1"/>
        <v>119-6</v>
      </c>
      <c r="R25">
        <v>119</v>
      </c>
      <c r="S25">
        <v>6</v>
      </c>
      <c r="T25">
        <v>92</v>
      </c>
      <c r="U25" t="s">
        <v>105</v>
      </c>
    </row>
    <row r="26" spans="2:21" x14ac:dyDescent="0.3">
      <c r="B26">
        <v>103</v>
      </c>
      <c r="C26" t="s">
        <v>106</v>
      </c>
      <c r="Q26" t="str">
        <f t="shared" si="1"/>
        <v>201-1</v>
      </c>
      <c r="R26">
        <v>201</v>
      </c>
      <c r="S26">
        <v>1</v>
      </c>
      <c r="T26">
        <v>92</v>
      </c>
      <c r="U26" t="s">
        <v>107</v>
      </c>
    </row>
    <row r="27" spans="2:21" x14ac:dyDescent="0.3">
      <c r="Q27" t="str">
        <f t="shared" si="1"/>
        <v>201-2</v>
      </c>
      <c r="R27">
        <v>201</v>
      </c>
      <c r="S27">
        <v>2</v>
      </c>
      <c r="T27">
        <v>92</v>
      </c>
      <c r="U27" t="s">
        <v>108</v>
      </c>
    </row>
    <row r="28" spans="2:21" x14ac:dyDescent="0.3">
      <c r="Q28" t="str">
        <f t="shared" si="1"/>
        <v>201-3</v>
      </c>
      <c r="R28">
        <v>201</v>
      </c>
      <c r="S28">
        <v>3</v>
      </c>
      <c r="T28">
        <v>92</v>
      </c>
      <c r="U28" t="s">
        <v>109</v>
      </c>
    </row>
    <row r="29" spans="2:21" x14ac:dyDescent="0.3">
      <c r="B29" s="5" t="s">
        <v>110</v>
      </c>
      <c r="Q29" t="str">
        <f t="shared" si="1"/>
        <v>201-4</v>
      </c>
      <c r="R29">
        <v>201</v>
      </c>
      <c r="S29">
        <v>4</v>
      </c>
      <c r="T29">
        <v>92</v>
      </c>
      <c r="U29" t="s">
        <v>111</v>
      </c>
    </row>
    <row r="30" spans="2:21" x14ac:dyDescent="0.3">
      <c r="B30" t="s">
        <v>112</v>
      </c>
      <c r="C30" t="s">
        <v>113</v>
      </c>
      <c r="D30" t="s">
        <v>114</v>
      </c>
      <c r="E30" t="s">
        <v>99</v>
      </c>
      <c r="F30" t="s">
        <v>115</v>
      </c>
      <c r="G30" t="s">
        <v>116</v>
      </c>
      <c r="H30" t="s">
        <v>117</v>
      </c>
    </row>
    <row r="31" spans="2:21" x14ac:dyDescent="0.3">
      <c r="B31">
        <v>1</v>
      </c>
      <c r="C31" t="s">
        <v>118</v>
      </c>
      <c r="E31">
        <v>101</v>
      </c>
      <c r="F31" s="10">
        <v>18</v>
      </c>
      <c r="G31" s="11">
        <f>F31*0.35</f>
        <v>6.3</v>
      </c>
      <c r="H31" s="11">
        <f>F31+G31</f>
        <v>24.3</v>
      </c>
    </row>
    <row r="32" spans="2:21" x14ac:dyDescent="0.3">
      <c r="B32">
        <v>2</v>
      </c>
      <c r="C32" t="s">
        <v>119</v>
      </c>
      <c r="D32" t="s">
        <v>120</v>
      </c>
      <c r="E32">
        <v>101</v>
      </c>
      <c r="F32" s="10">
        <v>22</v>
      </c>
      <c r="G32" s="11">
        <f t="shared" ref="G32:G36" si="2">F32*0.35</f>
        <v>7.6999999999999993</v>
      </c>
      <c r="H32" s="11">
        <f t="shared" ref="H32:H36" si="3">F32+G32</f>
        <v>29.7</v>
      </c>
    </row>
    <row r="33" spans="2:8" x14ac:dyDescent="0.3">
      <c r="B33">
        <v>3</v>
      </c>
      <c r="C33" t="s">
        <v>119</v>
      </c>
      <c r="D33" t="s">
        <v>121</v>
      </c>
      <c r="E33">
        <v>101</v>
      </c>
      <c r="F33" s="10">
        <v>24</v>
      </c>
      <c r="G33" s="11">
        <f t="shared" si="2"/>
        <v>8.3999999999999986</v>
      </c>
      <c r="H33" s="11">
        <f t="shared" si="3"/>
        <v>32.4</v>
      </c>
    </row>
    <row r="34" spans="2:8" x14ac:dyDescent="0.3">
      <c r="B34">
        <v>4</v>
      </c>
      <c r="C34" t="s">
        <v>122</v>
      </c>
      <c r="D34" t="s">
        <v>123</v>
      </c>
      <c r="E34">
        <v>101</v>
      </c>
      <c r="F34" s="10">
        <v>26</v>
      </c>
      <c r="G34" s="11">
        <f t="shared" si="2"/>
        <v>9.1</v>
      </c>
      <c r="H34" s="11">
        <f t="shared" si="3"/>
        <v>35.1</v>
      </c>
    </row>
    <row r="35" spans="2:8" x14ac:dyDescent="0.3">
      <c r="B35">
        <v>5</v>
      </c>
      <c r="C35" t="s">
        <v>104</v>
      </c>
      <c r="D35" t="s">
        <v>124</v>
      </c>
      <c r="E35">
        <v>102</v>
      </c>
      <c r="F35" s="10">
        <v>30</v>
      </c>
      <c r="G35" s="11">
        <f t="shared" si="2"/>
        <v>10.5</v>
      </c>
      <c r="H35" s="11">
        <f t="shared" si="3"/>
        <v>40.5</v>
      </c>
    </row>
    <row r="36" spans="2:8" x14ac:dyDescent="0.3">
      <c r="B36">
        <v>6</v>
      </c>
      <c r="C36" t="s">
        <v>106</v>
      </c>
      <c r="E36">
        <v>103</v>
      </c>
      <c r="F36" s="10">
        <v>30</v>
      </c>
      <c r="G36" s="11">
        <f t="shared" si="2"/>
        <v>10.5</v>
      </c>
      <c r="H36" s="11">
        <f t="shared" si="3"/>
        <v>40.5</v>
      </c>
    </row>
    <row r="39" spans="2:8" x14ac:dyDescent="0.3">
      <c r="B39" s="5" t="s">
        <v>125</v>
      </c>
    </row>
    <row r="40" spans="2:8" x14ac:dyDescent="0.3">
      <c r="B40" t="s">
        <v>126</v>
      </c>
      <c r="C40" t="s">
        <v>127</v>
      </c>
      <c r="D40" t="s">
        <v>128</v>
      </c>
      <c r="E40" t="s">
        <v>129</v>
      </c>
    </row>
    <row r="41" spans="2:8" x14ac:dyDescent="0.3">
      <c r="B41">
        <v>1</v>
      </c>
      <c r="C41" t="s">
        <v>130</v>
      </c>
      <c r="D41" t="s">
        <v>131</v>
      </c>
      <c r="E41" s="12">
        <v>0</v>
      </c>
    </row>
    <row r="42" spans="2:8" x14ac:dyDescent="0.3">
      <c r="B42">
        <v>2</v>
      </c>
      <c r="C42" t="s">
        <v>132</v>
      </c>
      <c r="D42" t="s">
        <v>133</v>
      </c>
      <c r="E42" s="12">
        <v>0.1</v>
      </c>
    </row>
    <row r="43" spans="2:8" x14ac:dyDescent="0.3">
      <c r="B43">
        <v>3</v>
      </c>
      <c r="C43" t="s">
        <v>134</v>
      </c>
      <c r="D43" t="s">
        <v>135</v>
      </c>
      <c r="E43" s="12">
        <v>0.35</v>
      </c>
    </row>
    <row r="45" spans="2:8" x14ac:dyDescent="0.3">
      <c r="B45" s="5" t="s">
        <v>136</v>
      </c>
    </row>
    <row r="46" spans="2:8" x14ac:dyDescent="0.3">
      <c r="B46" t="s">
        <v>137</v>
      </c>
      <c r="C46" t="s">
        <v>138</v>
      </c>
    </row>
    <row r="47" spans="2:8" x14ac:dyDescent="0.3">
      <c r="B47" t="s">
        <v>139</v>
      </c>
      <c r="C47" t="s">
        <v>140</v>
      </c>
    </row>
    <row r="48" spans="2:8" x14ac:dyDescent="0.3">
      <c r="B48" t="s">
        <v>141</v>
      </c>
      <c r="C48" t="s">
        <v>142</v>
      </c>
    </row>
    <row r="50" spans="2:9" x14ac:dyDescent="0.3">
      <c r="G50" s="9" t="s">
        <v>143</v>
      </c>
    </row>
    <row r="51" spans="2:9" x14ac:dyDescent="0.3">
      <c r="B51" s="5" t="s">
        <v>144</v>
      </c>
    </row>
    <row r="52" spans="2:9" x14ac:dyDescent="0.3">
      <c r="B52" t="s">
        <v>145</v>
      </c>
      <c r="C52" t="s">
        <v>146</v>
      </c>
      <c r="D52" t="s">
        <v>126</v>
      </c>
      <c r="E52" t="s">
        <v>147</v>
      </c>
      <c r="F52" t="s">
        <v>148</v>
      </c>
      <c r="G52" t="s">
        <v>149</v>
      </c>
      <c r="H52" t="s">
        <v>99</v>
      </c>
      <c r="I52" s="2" t="s">
        <v>150</v>
      </c>
    </row>
    <row r="53" spans="2:9" x14ac:dyDescent="0.3">
      <c r="B53">
        <v>1</v>
      </c>
      <c r="C53" s="13">
        <v>45231</v>
      </c>
      <c r="D53">
        <v>1</v>
      </c>
      <c r="E53" t="s">
        <v>139</v>
      </c>
      <c r="F53" t="s">
        <v>151</v>
      </c>
      <c r="G53" s="9" t="str">
        <f>D53&amp;E53&amp;"-"&amp;H53&amp;"-"&amp;F53</f>
        <v>1A-101-N</v>
      </c>
      <c r="H53">
        <v>101</v>
      </c>
      <c r="I53">
        <v>6</v>
      </c>
    </row>
    <row r="54" spans="2:9" x14ac:dyDescent="0.3">
      <c r="B54">
        <v>1</v>
      </c>
      <c r="C54" s="13">
        <v>45231</v>
      </c>
      <c r="D54">
        <v>1</v>
      </c>
      <c r="E54" t="s">
        <v>139</v>
      </c>
      <c r="F54" t="s">
        <v>152</v>
      </c>
      <c r="G54" t="str">
        <f>D54&amp;E54&amp;"-"&amp;H54&amp;"-"&amp;F54</f>
        <v>1A-101-Y</v>
      </c>
      <c r="H54">
        <v>101</v>
      </c>
      <c r="I54">
        <v>3</v>
      </c>
    </row>
    <row r="55" spans="2:9" x14ac:dyDescent="0.3">
      <c r="B55">
        <v>2</v>
      </c>
      <c r="C55" s="13">
        <v>45232</v>
      </c>
      <c r="D55">
        <v>1</v>
      </c>
      <c r="E55" t="s">
        <v>139</v>
      </c>
      <c r="F55" t="s">
        <v>151</v>
      </c>
      <c r="G55" t="str">
        <f t="shared" ref="G55:G82" si="4">D55&amp;E55&amp;"-"&amp;H55&amp;"-"&amp;F55</f>
        <v>1A-102-N</v>
      </c>
      <c r="H55">
        <v>102</v>
      </c>
      <c r="I55">
        <v>1</v>
      </c>
    </row>
    <row r="56" spans="2:9" x14ac:dyDescent="0.3">
      <c r="B56">
        <v>2</v>
      </c>
      <c r="C56" s="13">
        <v>45232</v>
      </c>
      <c r="D56">
        <v>1</v>
      </c>
      <c r="E56" t="s">
        <v>139</v>
      </c>
      <c r="F56" t="s">
        <v>152</v>
      </c>
      <c r="G56" t="str">
        <f t="shared" si="4"/>
        <v>1A-102-Y</v>
      </c>
      <c r="H56">
        <v>102</v>
      </c>
      <c r="I56">
        <v>0.5</v>
      </c>
    </row>
    <row r="57" spans="2:9" x14ac:dyDescent="0.3">
      <c r="B57">
        <v>3</v>
      </c>
      <c r="C57" s="13">
        <v>45233</v>
      </c>
      <c r="D57">
        <v>1</v>
      </c>
      <c r="E57" t="s">
        <v>139</v>
      </c>
      <c r="F57" t="s">
        <v>151</v>
      </c>
      <c r="G57" t="str">
        <f t="shared" si="4"/>
        <v>1A-103-N</v>
      </c>
      <c r="H57">
        <v>103</v>
      </c>
      <c r="I57">
        <v>1</v>
      </c>
    </row>
    <row r="58" spans="2:9" x14ac:dyDescent="0.3">
      <c r="B58">
        <v>3</v>
      </c>
      <c r="C58" s="13">
        <v>45233</v>
      </c>
      <c r="D58">
        <v>1</v>
      </c>
      <c r="E58" t="s">
        <v>139</v>
      </c>
      <c r="F58" t="s">
        <v>152</v>
      </c>
      <c r="G58" t="str">
        <f t="shared" si="4"/>
        <v>1A-103-Y</v>
      </c>
      <c r="H58">
        <v>103</v>
      </c>
      <c r="I58">
        <v>0.5</v>
      </c>
    </row>
    <row r="59" spans="2:9" x14ac:dyDescent="0.3">
      <c r="B59">
        <v>4</v>
      </c>
      <c r="C59" s="13">
        <v>45234</v>
      </c>
      <c r="D59">
        <v>1</v>
      </c>
      <c r="E59" t="s">
        <v>141</v>
      </c>
      <c r="F59" t="s">
        <v>151</v>
      </c>
      <c r="G59" t="str">
        <f t="shared" si="4"/>
        <v>1B-101-N</v>
      </c>
      <c r="H59">
        <v>101</v>
      </c>
      <c r="I59">
        <v>8</v>
      </c>
    </row>
    <row r="60" spans="2:9" x14ac:dyDescent="0.3">
      <c r="B60">
        <v>4</v>
      </c>
      <c r="C60" s="13">
        <v>45234</v>
      </c>
      <c r="D60">
        <v>1</v>
      </c>
      <c r="E60" t="s">
        <v>141</v>
      </c>
      <c r="F60" t="s">
        <v>152</v>
      </c>
      <c r="G60" t="str">
        <f t="shared" si="4"/>
        <v>1B-101-Y</v>
      </c>
      <c r="H60">
        <v>101</v>
      </c>
      <c r="I60">
        <v>4</v>
      </c>
    </row>
    <row r="61" spans="2:9" x14ac:dyDescent="0.3">
      <c r="B61">
        <v>5</v>
      </c>
      <c r="C61" s="13">
        <v>45235</v>
      </c>
      <c r="D61">
        <v>1</v>
      </c>
      <c r="E61" t="s">
        <v>141</v>
      </c>
      <c r="F61" t="s">
        <v>151</v>
      </c>
      <c r="G61" t="str">
        <f t="shared" si="4"/>
        <v>1B-102-N</v>
      </c>
      <c r="H61">
        <v>102</v>
      </c>
      <c r="I61">
        <v>1</v>
      </c>
    </row>
    <row r="62" spans="2:9" x14ac:dyDescent="0.3">
      <c r="B62">
        <v>5</v>
      </c>
      <c r="C62" s="13">
        <v>45235</v>
      </c>
      <c r="D62">
        <v>1</v>
      </c>
      <c r="E62" t="s">
        <v>141</v>
      </c>
      <c r="F62" t="s">
        <v>152</v>
      </c>
      <c r="G62" t="str">
        <f t="shared" si="4"/>
        <v>1B-102-Y</v>
      </c>
      <c r="H62">
        <v>102</v>
      </c>
      <c r="I62">
        <v>0.5</v>
      </c>
    </row>
    <row r="63" spans="2:9" x14ac:dyDescent="0.3">
      <c r="B63">
        <v>6</v>
      </c>
      <c r="C63" s="13">
        <v>45236</v>
      </c>
      <c r="D63">
        <v>1</v>
      </c>
      <c r="E63" t="s">
        <v>141</v>
      </c>
      <c r="F63" t="s">
        <v>151</v>
      </c>
      <c r="G63" t="str">
        <f t="shared" si="4"/>
        <v>1B-103-N</v>
      </c>
      <c r="H63">
        <v>103</v>
      </c>
      <c r="I63">
        <v>1</v>
      </c>
    </row>
    <row r="64" spans="2:9" x14ac:dyDescent="0.3">
      <c r="B64">
        <v>6</v>
      </c>
      <c r="C64" s="13">
        <v>45236</v>
      </c>
      <c r="D64">
        <v>1</v>
      </c>
      <c r="E64" t="s">
        <v>141</v>
      </c>
      <c r="F64" t="s">
        <v>152</v>
      </c>
      <c r="G64" t="str">
        <f t="shared" si="4"/>
        <v>1B-103-Y</v>
      </c>
      <c r="H64">
        <v>103</v>
      </c>
      <c r="I64">
        <v>0.5</v>
      </c>
    </row>
    <row r="65" spans="2:9" x14ac:dyDescent="0.3">
      <c r="B65">
        <v>7</v>
      </c>
      <c r="C65" s="13">
        <v>45237</v>
      </c>
      <c r="D65">
        <v>2</v>
      </c>
      <c r="E65" t="s">
        <v>139</v>
      </c>
      <c r="F65" t="s">
        <v>151</v>
      </c>
      <c r="G65" t="str">
        <f t="shared" si="4"/>
        <v>2A-101-N</v>
      </c>
      <c r="H65">
        <v>101</v>
      </c>
      <c r="I65">
        <v>5</v>
      </c>
    </row>
    <row r="66" spans="2:9" x14ac:dyDescent="0.3">
      <c r="B66">
        <v>7</v>
      </c>
      <c r="C66" s="13">
        <v>45237</v>
      </c>
      <c r="D66">
        <v>2</v>
      </c>
      <c r="E66" t="s">
        <v>139</v>
      </c>
      <c r="F66" t="s">
        <v>152</v>
      </c>
      <c r="G66" t="str">
        <f t="shared" si="4"/>
        <v>2A-101-Y</v>
      </c>
      <c r="H66">
        <v>101</v>
      </c>
      <c r="I66">
        <v>2</v>
      </c>
    </row>
    <row r="67" spans="2:9" x14ac:dyDescent="0.3">
      <c r="B67">
        <v>8</v>
      </c>
      <c r="C67" s="13">
        <v>45238</v>
      </c>
      <c r="D67">
        <v>2</v>
      </c>
      <c r="E67" t="s">
        <v>139</v>
      </c>
      <c r="F67" t="s">
        <v>151</v>
      </c>
      <c r="G67" t="str">
        <f t="shared" si="4"/>
        <v>2A-102-N</v>
      </c>
      <c r="H67">
        <v>102</v>
      </c>
      <c r="I67">
        <v>1</v>
      </c>
    </row>
    <row r="68" spans="2:9" x14ac:dyDescent="0.3">
      <c r="B68">
        <v>8</v>
      </c>
      <c r="C68" s="13">
        <v>45238</v>
      </c>
      <c r="D68">
        <v>2</v>
      </c>
      <c r="E68" t="s">
        <v>139</v>
      </c>
      <c r="F68" t="s">
        <v>152</v>
      </c>
      <c r="G68" t="str">
        <f t="shared" si="4"/>
        <v>2A-102-Y</v>
      </c>
      <c r="H68">
        <v>102</v>
      </c>
      <c r="I68">
        <v>0.5</v>
      </c>
    </row>
    <row r="69" spans="2:9" x14ac:dyDescent="0.3">
      <c r="B69">
        <v>9</v>
      </c>
      <c r="C69" s="13">
        <v>45239</v>
      </c>
      <c r="D69">
        <v>2</v>
      </c>
      <c r="E69" t="s">
        <v>139</v>
      </c>
      <c r="F69" t="s">
        <v>151</v>
      </c>
      <c r="G69" t="str">
        <f t="shared" si="4"/>
        <v>2A-103-N</v>
      </c>
      <c r="H69">
        <v>103</v>
      </c>
      <c r="I69">
        <v>1</v>
      </c>
    </row>
    <row r="70" spans="2:9" x14ac:dyDescent="0.3">
      <c r="B70">
        <v>9</v>
      </c>
      <c r="C70" s="13">
        <v>45239</v>
      </c>
      <c r="D70">
        <v>2</v>
      </c>
      <c r="E70" t="s">
        <v>139</v>
      </c>
      <c r="F70" t="s">
        <v>152</v>
      </c>
      <c r="G70" t="str">
        <f t="shared" si="4"/>
        <v>2A-103-Y</v>
      </c>
      <c r="H70">
        <v>103</v>
      </c>
      <c r="I70">
        <v>0.5</v>
      </c>
    </row>
    <row r="71" spans="2:9" x14ac:dyDescent="0.3">
      <c r="B71">
        <v>10</v>
      </c>
      <c r="C71" s="13">
        <v>45240</v>
      </c>
      <c r="D71">
        <v>2</v>
      </c>
      <c r="E71" t="s">
        <v>141</v>
      </c>
      <c r="F71" t="s">
        <v>151</v>
      </c>
      <c r="G71" t="str">
        <f t="shared" si="4"/>
        <v>2B-101-N</v>
      </c>
      <c r="H71">
        <v>101</v>
      </c>
      <c r="I71">
        <v>7</v>
      </c>
    </row>
    <row r="72" spans="2:9" x14ac:dyDescent="0.3">
      <c r="B72">
        <v>10</v>
      </c>
      <c r="C72" s="13">
        <v>45240</v>
      </c>
      <c r="D72">
        <v>2</v>
      </c>
      <c r="E72" t="s">
        <v>141</v>
      </c>
      <c r="F72" t="s">
        <v>152</v>
      </c>
      <c r="G72" t="str">
        <f t="shared" si="4"/>
        <v>2B-101-Y</v>
      </c>
      <c r="H72">
        <v>101</v>
      </c>
      <c r="I72">
        <v>3</v>
      </c>
    </row>
    <row r="73" spans="2:9" x14ac:dyDescent="0.3">
      <c r="B73">
        <v>11</v>
      </c>
      <c r="C73" s="13">
        <v>45241</v>
      </c>
      <c r="D73">
        <v>2</v>
      </c>
      <c r="E73" t="s">
        <v>141</v>
      </c>
      <c r="F73" t="s">
        <v>151</v>
      </c>
      <c r="G73" t="str">
        <f t="shared" si="4"/>
        <v>2B-102-N</v>
      </c>
      <c r="H73">
        <v>102</v>
      </c>
      <c r="I73">
        <v>1</v>
      </c>
    </row>
    <row r="74" spans="2:9" x14ac:dyDescent="0.3">
      <c r="B74">
        <v>11</v>
      </c>
      <c r="C74" s="13">
        <v>45241</v>
      </c>
      <c r="D74">
        <v>2</v>
      </c>
      <c r="E74" t="s">
        <v>141</v>
      </c>
      <c r="F74" t="s">
        <v>152</v>
      </c>
      <c r="G74" t="str">
        <f t="shared" si="4"/>
        <v>2B-102-Y</v>
      </c>
      <c r="H74">
        <v>102</v>
      </c>
      <c r="I74">
        <v>0.5</v>
      </c>
    </row>
    <row r="75" spans="2:9" x14ac:dyDescent="0.3">
      <c r="B75">
        <v>12</v>
      </c>
      <c r="C75" s="13">
        <v>45242</v>
      </c>
      <c r="D75">
        <v>2</v>
      </c>
      <c r="E75" t="s">
        <v>141</v>
      </c>
      <c r="F75" t="s">
        <v>151</v>
      </c>
      <c r="G75" t="str">
        <f t="shared" si="4"/>
        <v>2B-103-N</v>
      </c>
      <c r="H75">
        <v>103</v>
      </c>
      <c r="I75">
        <v>1</v>
      </c>
    </row>
    <row r="76" spans="2:9" x14ac:dyDescent="0.3">
      <c r="B76">
        <v>12</v>
      </c>
      <c r="C76" s="13">
        <v>45242</v>
      </c>
      <c r="D76">
        <v>2</v>
      </c>
      <c r="E76" t="s">
        <v>141</v>
      </c>
      <c r="F76" t="s">
        <v>152</v>
      </c>
      <c r="G76" t="str">
        <f t="shared" si="4"/>
        <v>2B-103-Y</v>
      </c>
      <c r="H76">
        <v>103</v>
      </c>
      <c r="I76">
        <v>0.5</v>
      </c>
    </row>
    <row r="77" spans="2:9" x14ac:dyDescent="0.3">
      <c r="B77">
        <v>13</v>
      </c>
      <c r="C77" s="13">
        <v>45243</v>
      </c>
      <c r="D77">
        <v>3</v>
      </c>
      <c r="E77" t="s">
        <v>139</v>
      </c>
      <c r="F77" t="s">
        <v>151</v>
      </c>
      <c r="G77" t="str">
        <f t="shared" si="4"/>
        <v>3A-101-N</v>
      </c>
      <c r="H77">
        <v>101</v>
      </c>
      <c r="I77">
        <v>6</v>
      </c>
    </row>
    <row r="78" spans="2:9" x14ac:dyDescent="0.3">
      <c r="B78">
        <v>14</v>
      </c>
      <c r="C78" s="13">
        <v>45244</v>
      </c>
      <c r="D78">
        <v>3</v>
      </c>
      <c r="E78" t="s">
        <v>139</v>
      </c>
      <c r="F78" t="s">
        <v>151</v>
      </c>
      <c r="G78" t="str">
        <f t="shared" si="4"/>
        <v>3A-102-N</v>
      </c>
      <c r="H78">
        <v>102</v>
      </c>
      <c r="I78">
        <v>1</v>
      </c>
    </row>
    <row r="79" spans="2:9" x14ac:dyDescent="0.3">
      <c r="B79">
        <v>15</v>
      </c>
      <c r="C79" s="13">
        <v>45245</v>
      </c>
      <c r="D79">
        <v>3</v>
      </c>
      <c r="E79" t="s">
        <v>139</v>
      </c>
      <c r="F79" t="s">
        <v>151</v>
      </c>
      <c r="G79" t="str">
        <f t="shared" si="4"/>
        <v>3A-103-N</v>
      </c>
      <c r="H79">
        <v>103</v>
      </c>
      <c r="I79">
        <v>0.5</v>
      </c>
    </row>
    <row r="80" spans="2:9" x14ac:dyDescent="0.3">
      <c r="B80">
        <v>16</v>
      </c>
      <c r="C80" s="13">
        <v>45246</v>
      </c>
      <c r="D80">
        <v>3</v>
      </c>
      <c r="E80" t="s">
        <v>141</v>
      </c>
      <c r="F80" t="s">
        <v>151</v>
      </c>
      <c r="G80" t="str">
        <f t="shared" si="4"/>
        <v>3B-101-N</v>
      </c>
      <c r="H80">
        <v>101</v>
      </c>
      <c r="I80">
        <v>6</v>
      </c>
    </row>
    <row r="81" spans="2:9" x14ac:dyDescent="0.3">
      <c r="B81">
        <v>17</v>
      </c>
      <c r="C81" s="13">
        <v>45247</v>
      </c>
      <c r="D81">
        <v>3</v>
      </c>
      <c r="E81" t="s">
        <v>141</v>
      </c>
      <c r="F81" t="s">
        <v>151</v>
      </c>
      <c r="G81" t="str">
        <f t="shared" si="4"/>
        <v>3B-102-N</v>
      </c>
      <c r="H81">
        <v>102</v>
      </c>
      <c r="I81">
        <v>1</v>
      </c>
    </row>
    <row r="82" spans="2:9" x14ac:dyDescent="0.3">
      <c r="B82">
        <v>18</v>
      </c>
      <c r="C82" s="13">
        <v>45248</v>
      </c>
      <c r="D82">
        <v>3</v>
      </c>
      <c r="E82" t="s">
        <v>141</v>
      </c>
      <c r="F82" t="s">
        <v>151</v>
      </c>
      <c r="G82" t="str">
        <f t="shared" si="4"/>
        <v>3B-103-N</v>
      </c>
      <c r="H82">
        <v>103</v>
      </c>
      <c r="I82">
        <v>0.5</v>
      </c>
    </row>
  </sheetData>
  <mergeCells count="3">
    <mergeCell ref="A1:B1"/>
    <mergeCell ref="A2:B2"/>
    <mergeCell ref="H1:I1"/>
  </mergeCells>
  <hyperlinks>
    <hyperlink ref="A2:B2" location="'Other Lists'!A1" display="Return to ReadMeFirst" xr:uid="{70189AE1-81B9-4D92-90AA-B38279F93B05}"/>
  </hyperlink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A270B-5908-41EF-A718-B4209E4CB9D6}">
  <dimension ref="A1:Y99"/>
  <sheetViews>
    <sheetView tabSelected="1" workbookViewId="0">
      <selection sqref="A1:B1"/>
    </sheetView>
  </sheetViews>
  <sheetFormatPr defaultRowHeight="14.4" x14ac:dyDescent="0.3"/>
  <cols>
    <col min="2" max="2" width="16.21875" customWidth="1"/>
    <col min="3" max="4" width="11.6640625" customWidth="1"/>
    <col min="5" max="5" width="10.33203125" bestFit="1" customWidth="1"/>
    <col min="6" max="6" width="16.6640625" customWidth="1"/>
    <col min="7" max="7" width="10.88671875" customWidth="1"/>
    <col min="8" max="8" width="14.5546875" customWidth="1"/>
    <col min="9" max="9" width="12.5546875" customWidth="1"/>
    <col min="10" max="10" width="13.21875" customWidth="1"/>
    <col min="11" max="11" width="14.5546875" customWidth="1"/>
    <col min="12" max="12" width="12.5546875" customWidth="1"/>
    <col min="13" max="13" width="13.21875" customWidth="1"/>
    <col min="14" max="14" width="14.109375" customWidth="1"/>
    <col min="15" max="15" width="12.5546875" customWidth="1"/>
    <col min="16" max="16" width="13.21875" customWidth="1"/>
    <col min="17" max="17" width="15" customWidth="1"/>
    <col min="18" max="18" width="12.5546875" customWidth="1"/>
    <col min="19" max="19" width="13.21875" customWidth="1"/>
    <col min="20" max="20" width="13.88671875" customWidth="1"/>
    <col min="21" max="21" width="12.5546875" customWidth="1"/>
    <col min="22" max="22" width="13.21875" customWidth="1"/>
    <col min="23" max="23" width="13.5546875" customWidth="1"/>
    <col min="24" max="24" width="12.5546875" customWidth="1"/>
    <col min="25" max="25" width="13.21875" customWidth="1"/>
  </cols>
  <sheetData>
    <row r="1" spans="1:25" ht="21" x14ac:dyDescent="0.4">
      <c r="A1" s="42" t="s">
        <v>60</v>
      </c>
      <c r="B1" s="42"/>
      <c r="D1" t="s">
        <v>852</v>
      </c>
      <c r="E1" s="15">
        <v>45390</v>
      </c>
      <c r="G1" t="s">
        <v>853</v>
      </c>
      <c r="H1" s="44" t="s">
        <v>849</v>
      </c>
      <c r="I1" s="44"/>
    </row>
    <row r="2" spans="1:25" x14ac:dyDescent="0.3">
      <c r="A2" s="44" t="s">
        <v>851</v>
      </c>
      <c r="B2" s="44"/>
    </row>
    <row r="5" spans="1:25" ht="21" x14ac:dyDescent="0.4">
      <c r="A5" t="s">
        <v>173</v>
      </c>
      <c r="H5" s="14" t="str">
        <f>ReadMeFirst!D1&amp;" "&amp;ReadMeFirst!E1</f>
        <v>Data Set L</v>
      </c>
    </row>
    <row r="11" spans="1:25" s="7" customFormat="1" ht="30.75" customHeight="1" x14ac:dyDescent="0.3">
      <c r="B11" t="s">
        <v>174</v>
      </c>
      <c r="C11" s="16" t="s">
        <v>178</v>
      </c>
      <c r="D11" s="16" t="s">
        <v>822</v>
      </c>
      <c r="E11" s="7" t="s">
        <v>179</v>
      </c>
      <c r="F11" s="7" t="s">
        <v>180</v>
      </c>
      <c r="G11" s="7" t="s">
        <v>181</v>
      </c>
      <c r="H11" s="7" t="s">
        <v>191</v>
      </c>
      <c r="I11" s="7" t="s">
        <v>192</v>
      </c>
      <c r="J11" s="7" t="s">
        <v>193</v>
      </c>
      <c r="K11" s="7" t="s">
        <v>194</v>
      </c>
      <c r="L11" s="7" t="s">
        <v>195</v>
      </c>
      <c r="M11" s="7" t="s">
        <v>196</v>
      </c>
      <c r="N11" s="7" t="s">
        <v>197</v>
      </c>
      <c r="O11" s="7" t="s">
        <v>198</v>
      </c>
      <c r="P11" s="7" t="s">
        <v>199</v>
      </c>
      <c r="Q11" s="7" t="s">
        <v>200</v>
      </c>
      <c r="R11" s="7" t="s">
        <v>201</v>
      </c>
      <c r="S11" s="7" t="s">
        <v>202</v>
      </c>
      <c r="T11" s="7" t="s">
        <v>203</v>
      </c>
      <c r="U11" s="7" t="s">
        <v>204</v>
      </c>
      <c r="V11" s="7" t="s">
        <v>205</v>
      </c>
      <c r="W11" s="7" t="s">
        <v>206</v>
      </c>
      <c r="X11" s="7" t="s">
        <v>207</v>
      </c>
      <c r="Y11" s="7" t="s">
        <v>208</v>
      </c>
    </row>
    <row r="12" spans="1:25" hidden="1" x14ac:dyDescent="0.3">
      <c r="B12">
        <v>880</v>
      </c>
      <c r="C12" s="13">
        <v>45083</v>
      </c>
      <c r="D12" s="13">
        <f>WEEKDAY(Table3[[#This Row],[Date]])</f>
        <v>3</v>
      </c>
      <c r="E12">
        <v>1</v>
      </c>
      <c r="F12">
        <v>201</v>
      </c>
      <c r="G12">
        <v>470</v>
      </c>
      <c r="H12" t="s">
        <v>175</v>
      </c>
      <c r="I12">
        <v>0</v>
      </c>
      <c r="J12">
        <v>0</v>
      </c>
      <c r="K12" t="s">
        <v>348</v>
      </c>
      <c r="L12">
        <v>156</v>
      </c>
      <c r="M12">
        <v>149</v>
      </c>
      <c r="N12" t="s">
        <v>349</v>
      </c>
      <c r="O12">
        <v>156</v>
      </c>
      <c r="P12">
        <v>152</v>
      </c>
      <c r="Q12" t="s">
        <v>350</v>
      </c>
      <c r="R12">
        <v>156</v>
      </c>
      <c r="S12">
        <v>151</v>
      </c>
      <c r="T12" t="s">
        <v>175</v>
      </c>
      <c r="U12">
        <v>0</v>
      </c>
      <c r="V12">
        <v>0</v>
      </c>
      <c r="W12" t="s">
        <v>175</v>
      </c>
      <c r="X12">
        <v>0</v>
      </c>
      <c r="Y12">
        <v>0</v>
      </c>
    </row>
    <row r="13" spans="1:25" hidden="1" x14ac:dyDescent="0.3">
      <c r="B13">
        <v>881</v>
      </c>
      <c r="C13" s="13">
        <v>45084</v>
      </c>
      <c r="D13" s="13">
        <f>WEEKDAY(Table3[[#This Row],[Date]])</f>
        <v>4</v>
      </c>
      <c r="E13">
        <v>1</v>
      </c>
      <c r="F13">
        <v>201</v>
      </c>
      <c r="G13">
        <v>378</v>
      </c>
      <c r="H13" t="s">
        <v>351</v>
      </c>
      <c r="I13">
        <v>95</v>
      </c>
      <c r="J13">
        <v>88</v>
      </c>
      <c r="K13" t="s">
        <v>352</v>
      </c>
      <c r="L13">
        <v>98</v>
      </c>
      <c r="M13">
        <v>92</v>
      </c>
      <c r="N13" t="s">
        <v>353</v>
      </c>
      <c r="O13">
        <v>92</v>
      </c>
      <c r="P13">
        <v>85</v>
      </c>
      <c r="Q13" t="s">
        <v>354</v>
      </c>
      <c r="R13">
        <v>93</v>
      </c>
      <c r="S13">
        <v>87</v>
      </c>
      <c r="T13" t="s">
        <v>175</v>
      </c>
      <c r="U13">
        <v>0</v>
      </c>
      <c r="V13">
        <v>0</v>
      </c>
      <c r="W13" t="s">
        <v>175</v>
      </c>
      <c r="X13">
        <v>0</v>
      </c>
      <c r="Y13">
        <v>0</v>
      </c>
    </row>
    <row r="14" spans="1:25" hidden="1" x14ac:dyDescent="0.3">
      <c r="B14">
        <v>882</v>
      </c>
      <c r="C14" s="13">
        <v>45085</v>
      </c>
      <c r="D14" s="13">
        <f>WEEKDAY(Table3[[#This Row],[Date]])</f>
        <v>5</v>
      </c>
      <c r="E14">
        <v>1</v>
      </c>
      <c r="F14">
        <v>119</v>
      </c>
      <c r="G14">
        <v>882</v>
      </c>
      <c r="H14" t="s">
        <v>210</v>
      </c>
      <c r="I14">
        <v>148</v>
      </c>
      <c r="J14">
        <v>136</v>
      </c>
      <c r="K14" t="s">
        <v>211</v>
      </c>
      <c r="L14">
        <v>152</v>
      </c>
      <c r="M14">
        <v>141</v>
      </c>
      <c r="N14" t="s">
        <v>212</v>
      </c>
      <c r="O14">
        <v>147</v>
      </c>
      <c r="P14">
        <v>135</v>
      </c>
      <c r="Q14" t="s">
        <v>213</v>
      </c>
      <c r="R14">
        <v>151</v>
      </c>
      <c r="S14">
        <v>143</v>
      </c>
      <c r="T14" t="s">
        <v>214</v>
      </c>
      <c r="U14">
        <v>147</v>
      </c>
      <c r="V14">
        <v>135</v>
      </c>
      <c r="W14" t="s">
        <v>215</v>
      </c>
      <c r="X14">
        <v>137</v>
      </c>
      <c r="Y14">
        <v>127</v>
      </c>
    </row>
    <row r="15" spans="1:25" hidden="1" x14ac:dyDescent="0.3">
      <c r="B15">
        <v>883</v>
      </c>
      <c r="C15" s="13">
        <v>45086</v>
      </c>
      <c r="D15" s="13">
        <f>WEEKDAY(Table3[[#This Row],[Date]])</f>
        <v>6</v>
      </c>
      <c r="E15">
        <v>1</v>
      </c>
      <c r="F15">
        <v>119</v>
      </c>
      <c r="G15">
        <v>1197</v>
      </c>
      <c r="H15" t="s">
        <v>355</v>
      </c>
      <c r="I15">
        <v>232</v>
      </c>
      <c r="J15">
        <v>215</v>
      </c>
      <c r="K15" t="s">
        <v>175</v>
      </c>
      <c r="L15">
        <v>0</v>
      </c>
      <c r="M15">
        <v>0</v>
      </c>
      <c r="N15" t="s">
        <v>356</v>
      </c>
      <c r="O15">
        <v>246</v>
      </c>
      <c r="P15">
        <v>228</v>
      </c>
      <c r="Q15" t="s">
        <v>357</v>
      </c>
      <c r="R15">
        <v>246</v>
      </c>
      <c r="S15">
        <v>228</v>
      </c>
      <c r="T15" t="s">
        <v>358</v>
      </c>
      <c r="U15">
        <v>246</v>
      </c>
      <c r="V15">
        <v>231</v>
      </c>
      <c r="W15" t="s">
        <v>359</v>
      </c>
      <c r="X15">
        <v>227</v>
      </c>
      <c r="Y15">
        <v>208</v>
      </c>
    </row>
    <row r="16" spans="1:25" hidden="1" x14ac:dyDescent="0.3">
      <c r="B16">
        <v>884</v>
      </c>
      <c r="C16" s="13">
        <v>45087</v>
      </c>
      <c r="D16" s="13">
        <f>WEEKDAY(Table3[[#This Row],[Date]])</f>
        <v>7</v>
      </c>
      <c r="E16">
        <v>1</v>
      </c>
      <c r="F16">
        <v>119</v>
      </c>
      <c r="G16">
        <v>1081</v>
      </c>
      <c r="H16" t="s">
        <v>216</v>
      </c>
      <c r="I16">
        <v>227</v>
      </c>
      <c r="J16">
        <v>224</v>
      </c>
      <c r="K16" t="s">
        <v>217</v>
      </c>
      <c r="L16">
        <v>205</v>
      </c>
      <c r="M16">
        <v>200</v>
      </c>
      <c r="N16" t="s">
        <v>218</v>
      </c>
      <c r="O16">
        <v>218</v>
      </c>
      <c r="P16">
        <v>215</v>
      </c>
      <c r="Q16" t="s">
        <v>219</v>
      </c>
      <c r="R16">
        <v>214</v>
      </c>
      <c r="S16">
        <v>207</v>
      </c>
      <c r="T16" t="s">
        <v>175</v>
      </c>
      <c r="U16">
        <v>0</v>
      </c>
      <c r="V16">
        <v>0</v>
      </c>
      <c r="W16" t="s">
        <v>220</v>
      </c>
      <c r="X16">
        <v>217</v>
      </c>
      <c r="Y16">
        <v>214</v>
      </c>
    </row>
    <row r="17" spans="2:25" hidden="1" x14ac:dyDescent="0.3">
      <c r="B17">
        <v>885</v>
      </c>
      <c r="C17" s="13">
        <v>45088</v>
      </c>
      <c r="D17" s="13">
        <f>WEEKDAY(Table3[[#This Row],[Date]])</f>
        <v>1</v>
      </c>
      <c r="E17">
        <v>1</v>
      </c>
      <c r="F17">
        <v>201</v>
      </c>
      <c r="G17">
        <v>228</v>
      </c>
      <c r="H17" t="s">
        <v>360</v>
      </c>
      <c r="I17">
        <v>55</v>
      </c>
      <c r="J17">
        <v>53</v>
      </c>
      <c r="K17" t="s">
        <v>361</v>
      </c>
      <c r="L17">
        <v>56</v>
      </c>
      <c r="M17">
        <v>53</v>
      </c>
      <c r="N17" t="s">
        <v>362</v>
      </c>
      <c r="O17">
        <v>58</v>
      </c>
      <c r="P17">
        <v>55</v>
      </c>
      <c r="Q17" t="s">
        <v>363</v>
      </c>
      <c r="R17">
        <v>55</v>
      </c>
      <c r="S17">
        <v>53</v>
      </c>
      <c r="T17" t="s">
        <v>175</v>
      </c>
      <c r="U17">
        <v>0</v>
      </c>
      <c r="V17">
        <v>0</v>
      </c>
      <c r="W17" t="s">
        <v>175</v>
      </c>
      <c r="X17">
        <v>0</v>
      </c>
      <c r="Y17">
        <v>0</v>
      </c>
    </row>
    <row r="18" spans="2:25" hidden="1" x14ac:dyDescent="0.3">
      <c r="B18">
        <v>886</v>
      </c>
      <c r="C18" s="13">
        <v>45089</v>
      </c>
      <c r="D18" s="13">
        <f>WEEKDAY(Table3[[#This Row],[Date]])</f>
        <v>2</v>
      </c>
      <c r="E18">
        <v>1</v>
      </c>
      <c r="F18">
        <v>201</v>
      </c>
      <c r="G18">
        <v>207</v>
      </c>
      <c r="H18" t="s">
        <v>221</v>
      </c>
      <c r="I18">
        <v>51</v>
      </c>
      <c r="J18">
        <v>49</v>
      </c>
      <c r="K18" t="s">
        <v>222</v>
      </c>
      <c r="L18">
        <v>53</v>
      </c>
      <c r="M18">
        <v>50</v>
      </c>
      <c r="N18" t="s">
        <v>223</v>
      </c>
      <c r="O18">
        <v>53</v>
      </c>
      <c r="P18">
        <v>50</v>
      </c>
      <c r="Q18" t="s">
        <v>224</v>
      </c>
      <c r="R18">
        <v>53</v>
      </c>
      <c r="S18">
        <v>51</v>
      </c>
      <c r="T18" t="s">
        <v>175</v>
      </c>
      <c r="U18">
        <v>0</v>
      </c>
      <c r="V18">
        <v>0</v>
      </c>
      <c r="W18" t="s">
        <v>175</v>
      </c>
      <c r="X18">
        <v>0</v>
      </c>
      <c r="Y18">
        <v>0</v>
      </c>
    </row>
    <row r="19" spans="2:25" hidden="1" x14ac:dyDescent="0.3">
      <c r="B19">
        <v>887</v>
      </c>
      <c r="C19" s="13">
        <v>45090</v>
      </c>
      <c r="D19" s="13">
        <f>WEEKDAY(Table3[[#This Row],[Date]])</f>
        <v>3</v>
      </c>
      <c r="E19">
        <v>1</v>
      </c>
      <c r="F19">
        <v>119</v>
      </c>
      <c r="G19">
        <v>1081</v>
      </c>
      <c r="H19" t="s">
        <v>364</v>
      </c>
      <c r="I19">
        <v>181</v>
      </c>
      <c r="J19">
        <v>171</v>
      </c>
      <c r="K19" t="s">
        <v>365</v>
      </c>
      <c r="L19">
        <v>189</v>
      </c>
      <c r="M19">
        <v>183</v>
      </c>
      <c r="N19" t="s">
        <v>366</v>
      </c>
      <c r="O19">
        <v>181</v>
      </c>
      <c r="P19">
        <v>171</v>
      </c>
      <c r="Q19" t="s">
        <v>367</v>
      </c>
      <c r="R19">
        <v>180</v>
      </c>
      <c r="S19">
        <v>176</v>
      </c>
      <c r="T19" t="s">
        <v>368</v>
      </c>
      <c r="U19">
        <v>172</v>
      </c>
      <c r="V19">
        <v>166</v>
      </c>
      <c r="W19" t="s">
        <v>369</v>
      </c>
      <c r="X19">
        <v>178</v>
      </c>
      <c r="Y19">
        <v>174</v>
      </c>
    </row>
    <row r="20" spans="2:25" hidden="1" x14ac:dyDescent="0.3">
      <c r="B20">
        <v>888</v>
      </c>
      <c r="C20" s="13">
        <v>45091</v>
      </c>
      <c r="D20" s="13">
        <f>WEEKDAY(Table3[[#This Row],[Date]])</f>
        <v>4</v>
      </c>
      <c r="E20">
        <v>1</v>
      </c>
      <c r="F20">
        <v>119</v>
      </c>
      <c r="G20">
        <v>871</v>
      </c>
      <c r="H20" t="s">
        <v>225</v>
      </c>
      <c r="I20">
        <v>143</v>
      </c>
      <c r="J20">
        <v>137</v>
      </c>
      <c r="K20" t="s">
        <v>226</v>
      </c>
      <c r="L20">
        <v>139</v>
      </c>
      <c r="M20">
        <v>130</v>
      </c>
      <c r="N20" t="s">
        <v>227</v>
      </c>
      <c r="O20">
        <v>140</v>
      </c>
      <c r="P20">
        <v>131</v>
      </c>
      <c r="Q20" t="s">
        <v>228</v>
      </c>
      <c r="R20">
        <v>152</v>
      </c>
      <c r="S20">
        <v>147</v>
      </c>
      <c r="T20" t="s">
        <v>229</v>
      </c>
      <c r="U20">
        <v>139</v>
      </c>
      <c r="V20">
        <v>132</v>
      </c>
      <c r="W20" t="s">
        <v>230</v>
      </c>
      <c r="X20">
        <v>158</v>
      </c>
      <c r="Y20">
        <v>150</v>
      </c>
    </row>
    <row r="21" spans="2:25" hidden="1" x14ac:dyDescent="0.3">
      <c r="B21">
        <v>889</v>
      </c>
      <c r="C21" s="13">
        <v>45092</v>
      </c>
      <c r="D21" s="13">
        <f>WEEKDAY(Table3[[#This Row],[Date]])</f>
        <v>5</v>
      </c>
      <c r="E21">
        <v>1</v>
      </c>
      <c r="F21">
        <v>201</v>
      </c>
      <c r="G21">
        <v>478</v>
      </c>
      <c r="H21" t="s">
        <v>370</v>
      </c>
      <c r="I21">
        <v>154</v>
      </c>
      <c r="J21">
        <v>146</v>
      </c>
      <c r="K21" t="s">
        <v>175</v>
      </c>
      <c r="L21">
        <v>0</v>
      </c>
      <c r="M21">
        <v>0</v>
      </c>
      <c r="N21" t="s">
        <v>371</v>
      </c>
      <c r="O21">
        <v>160</v>
      </c>
      <c r="P21">
        <v>148</v>
      </c>
      <c r="Q21" t="s">
        <v>372</v>
      </c>
      <c r="R21">
        <v>160</v>
      </c>
      <c r="S21">
        <v>148</v>
      </c>
      <c r="T21" t="s">
        <v>175</v>
      </c>
      <c r="U21">
        <v>0</v>
      </c>
      <c r="V21">
        <v>0</v>
      </c>
      <c r="W21" t="s">
        <v>175</v>
      </c>
      <c r="X21">
        <v>0</v>
      </c>
      <c r="Y21">
        <v>0</v>
      </c>
    </row>
    <row r="22" spans="2:25" hidden="1" x14ac:dyDescent="0.3">
      <c r="B22">
        <v>890</v>
      </c>
      <c r="C22" s="13">
        <v>45093</v>
      </c>
      <c r="D22" s="13">
        <f>WEEKDAY(Table3[[#This Row],[Date]])</f>
        <v>6</v>
      </c>
      <c r="E22">
        <v>1</v>
      </c>
      <c r="F22">
        <v>119</v>
      </c>
      <c r="G22">
        <v>1008</v>
      </c>
      <c r="H22" t="s">
        <v>373</v>
      </c>
      <c r="I22">
        <v>169</v>
      </c>
      <c r="J22">
        <v>160</v>
      </c>
      <c r="K22" t="s">
        <v>374</v>
      </c>
      <c r="L22">
        <v>166</v>
      </c>
      <c r="M22">
        <v>161</v>
      </c>
      <c r="N22" t="s">
        <v>375</v>
      </c>
      <c r="O22">
        <v>173</v>
      </c>
      <c r="P22">
        <v>167</v>
      </c>
      <c r="Q22" t="s">
        <v>376</v>
      </c>
      <c r="R22">
        <v>162</v>
      </c>
      <c r="S22">
        <v>152</v>
      </c>
      <c r="T22" t="s">
        <v>377</v>
      </c>
      <c r="U22">
        <v>166</v>
      </c>
      <c r="V22">
        <v>156</v>
      </c>
      <c r="W22" t="s">
        <v>378</v>
      </c>
      <c r="X22">
        <v>172</v>
      </c>
      <c r="Y22">
        <v>166</v>
      </c>
    </row>
    <row r="23" spans="2:25" hidden="1" x14ac:dyDescent="0.3">
      <c r="B23">
        <v>891</v>
      </c>
      <c r="C23" s="13">
        <v>45094</v>
      </c>
      <c r="D23" s="13">
        <f>WEEKDAY(Table3[[#This Row],[Date]])</f>
        <v>7</v>
      </c>
      <c r="E23">
        <v>1</v>
      </c>
      <c r="F23">
        <v>201</v>
      </c>
      <c r="G23">
        <v>411</v>
      </c>
      <c r="H23" t="s">
        <v>379</v>
      </c>
      <c r="I23">
        <v>97</v>
      </c>
      <c r="J23">
        <v>90</v>
      </c>
      <c r="K23" t="s">
        <v>380</v>
      </c>
      <c r="L23">
        <v>104</v>
      </c>
      <c r="M23">
        <v>96</v>
      </c>
      <c r="N23" t="s">
        <v>381</v>
      </c>
      <c r="O23">
        <v>97</v>
      </c>
      <c r="P23">
        <v>90</v>
      </c>
      <c r="Q23" t="s">
        <v>382</v>
      </c>
      <c r="R23">
        <v>100</v>
      </c>
      <c r="S23">
        <v>95</v>
      </c>
      <c r="T23" t="s">
        <v>175</v>
      </c>
      <c r="U23">
        <v>0</v>
      </c>
      <c r="V23">
        <v>0</v>
      </c>
      <c r="W23" t="s">
        <v>175</v>
      </c>
      <c r="X23">
        <v>0</v>
      </c>
      <c r="Y23">
        <v>0</v>
      </c>
    </row>
    <row r="24" spans="2:25" hidden="1" x14ac:dyDescent="0.3">
      <c r="B24">
        <v>892</v>
      </c>
      <c r="C24" s="13">
        <v>45095</v>
      </c>
      <c r="D24" s="13">
        <f>WEEKDAY(Table3[[#This Row],[Date]])</f>
        <v>1</v>
      </c>
      <c r="E24">
        <v>1</v>
      </c>
      <c r="F24">
        <v>119</v>
      </c>
      <c r="G24">
        <v>477</v>
      </c>
      <c r="H24" t="s">
        <v>175</v>
      </c>
      <c r="I24">
        <v>0</v>
      </c>
      <c r="J24">
        <v>0</v>
      </c>
      <c r="K24" t="s">
        <v>231</v>
      </c>
      <c r="L24">
        <v>96</v>
      </c>
      <c r="M24">
        <v>95</v>
      </c>
      <c r="N24" t="s">
        <v>383</v>
      </c>
      <c r="O24">
        <v>98</v>
      </c>
      <c r="P24">
        <v>96</v>
      </c>
      <c r="Q24" t="s">
        <v>232</v>
      </c>
      <c r="R24">
        <v>90</v>
      </c>
      <c r="S24">
        <v>87</v>
      </c>
      <c r="T24" t="s">
        <v>233</v>
      </c>
      <c r="U24">
        <v>93</v>
      </c>
      <c r="V24">
        <v>89</v>
      </c>
      <c r="W24" t="s">
        <v>234</v>
      </c>
      <c r="X24">
        <v>100</v>
      </c>
      <c r="Y24">
        <v>98</v>
      </c>
    </row>
    <row r="25" spans="2:25" hidden="1" x14ac:dyDescent="0.3">
      <c r="B25">
        <v>893</v>
      </c>
      <c r="C25" s="13">
        <v>45096</v>
      </c>
      <c r="D25" s="13">
        <f>WEEKDAY(Table3[[#This Row],[Date]])</f>
        <v>2</v>
      </c>
      <c r="E25">
        <v>1</v>
      </c>
      <c r="F25">
        <v>119</v>
      </c>
      <c r="G25">
        <v>624</v>
      </c>
      <c r="H25" t="s">
        <v>235</v>
      </c>
      <c r="I25">
        <v>104</v>
      </c>
      <c r="J25">
        <v>98</v>
      </c>
      <c r="K25" t="s">
        <v>236</v>
      </c>
      <c r="L25">
        <v>107</v>
      </c>
      <c r="M25">
        <v>99</v>
      </c>
      <c r="N25" t="s">
        <v>237</v>
      </c>
      <c r="O25">
        <v>99</v>
      </c>
      <c r="P25">
        <v>92</v>
      </c>
      <c r="Q25" t="s">
        <v>238</v>
      </c>
      <c r="R25">
        <v>107</v>
      </c>
      <c r="S25">
        <v>100</v>
      </c>
      <c r="T25" t="s">
        <v>239</v>
      </c>
      <c r="U25">
        <v>99</v>
      </c>
      <c r="V25">
        <v>93</v>
      </c>
      <c r="W25" t="s">
        <v>240</v>
      </c>
      <c r="X25">
        <v>108</v>
      </c>
      <c r="Y25">
        <v>102</v>
      </c>
    </row>
    <row r="26" spans="2:25" hidden="1" x14ac:dyDescent="0.3">
      <c r="B26">
        <v>894</v>
      </c>
      <c r="C26" s="13">
        <v>45097</v>
      </c>
      <c r="D26" s="13">
        <f>WEEKDAY(Table3[[#This Row],[Date]])</f>
        <v>3</v>
      </c>
      <c r="E26">
        <v>1</v>
      </c>
      <c r="F26">
        <v>201</v>
      </c>
      <c r="G26">
        <v>445</v>
      </c>
      <c r="H26" t="s">
        <v>175</v>
      </c>
      <c r="I26">
        <v>0</v>
      </c>
      <c r="J26">
        <v>0</v>
      </c>
      <c r="K26" t="s">
        <v>241</v>
      </c>
      <c r="L26">
        <v>142</v>
      </c>
      <c r="M26">
        <v>133</v>
      </c>
      <c r="N26" t="s">
        <v>242</v>
      </c>
      <c r="O26">
        <v>143</v>
      </c>
      <c r="P26">
        <v>130</v>
      </c>
      <c r="Q26" t="s">
        <v>243</v>
      </c>
      <c r="R26">
        <v>151</v>
      </c>
      <c r="S26">
        <v>140</v>
      </c>
      <c r="T26" t="s">
        <v>175</v>
      </c>
      <c r="U26">
        <v>0</v>
      </c>
      <c r="V26">
        <v>0</v>
      </c>
      <c r="W26" t="s">
        <v>175</v>
      </c>
      <c r="X26">
        <v>0</v>
      </c>
      <c r="Y26">
        <v>0</v>
      </c>
    </row>
    <row r="27" spans="2:25" hidden="1" x14ac:dyDescent="0.3">
      <c r="B27">
        <v>895</v>
      </c>
      <c r="C27" s="13">
        <v>45098</v>
      </c>
      <c r="D27" s="13">
        <f>WEEKDAY(Table3[[#This Row],[Date]])</f>
        <v>4</v>
      </c>
      <c r="E27">
        <v>1</v>
      </c>
      <c r="F27">
        <v>119</v>
      </c>
      <c r="G27">
        <v>861</v>
      </c>
      <c r="H27" t="s">
        <v>175</v>
      </c>
      <c r="I27">
        <v>0</v>
      </c>
      <c r="J27">
        <v>0</v>
      </c>
      <c r="K27" t="s">
        <v>384</v>
      </c>
      <c r="L27">
        <v>167</v>
      </c>
      <c r="M27">
        <v>163</v>
      </c>
      <c r="N27" t="s">
        <v>385</v>
      </c>
      <c r="O27">
        <v>168</v>
      </c>
      <c r="P27">
        <v>164</v>
      </c>
      <c r="Q27" t="s">
        <v>386</v>
      </c>
      <c r="R27">
        <v>180</v>
      </c>
      <c r="S27">
        <v>174</v>
      </c>
      <c r="T27" t="s">
        <v>387</v>
      </c>
      <c r="U27">
        <v>172</v>
      </c>
      <c r="V27">
        <v>170</v>
      </c>
      <c r="W27" t="s">
        <v>388</v>
      </c>
      <c r="X27">
        <v>174</v>
      </c>
      <c r="Y27">
        <v>167</v>
      </c>
    </row>
    <row r="28" spans="2:25" hidden="1" x14ac:dyDescent="0.3">
      <c r="B28">
        <v>896</v>
      </c>
      <c r="C28" s="13">
        <v>45099</v>
      </c>
      <c r="D28" s="13">
        <f>WEEKDAY(Table3[[#This Row],[Date]])</f>
        <v>5</v>
      </c>
      <c r="E28">
        <v>1</v>
      </c>
      <c r="F28">
        <v>201</v>
      </c>
      <c r="G28">
        <v>352</v>
      </c>
      <c r="H28" t="s">
        <v>389</v>
      </c>
      <c r="I28">
        <v>84</v>
      </c>
      <c r="J28">
        <v>80</v>
      </c>
      <c r="K28" t="s">
        <v>390</v>
      </c>
      <c r="L28">
        <v>87</v>
      </c>
      <c r="M28">
        <v>84</v>
      </c>
      <c r="N28" t="s">
        <v>391</v>
      </c>
      <c r="O28">
        <v>89</v>
      </c>
      <c r="P28">
        <v>85</v>
      </c>
      <c r="Q28" t="s">
        <v>392</v>
      </c>
      <c r="R28">
        <v>86</v>
      </c>
      <c r="S28">
        <v>82</v>
      </c>
      <c r="T28" t="s">
        <v>175</v>
      </c>
      <c r="U28">
        <v>0</v>
      </c>
      <c r="V28">
        <v>0</v>
      </c>
      <c r="W28" t="s">
        <v>175</v>
      </c>
      <c r="X28">
        <v>0</v>
      </c>
      <c r="Y28">
        <v>0</v>
      </c>
    </row>
    <row r="29" spans="2:25" hidden="1" x14ac:dyDescent="0.3">
      <c r="B29">
        <v>897</v>
      </c>
      <c r="C29" s="13">
        <v>45100</v>
      </c>
      <c r="D29" s="13">
        <f>WEEKDAY(Table3[[#This Row],[Date]])</f>
        <v>6</v>
      </c>
      <c r="E29">
        <v>1</v>
      </c>
      <c r="F29">
        <v>119</v>
      </c>
      <c r="G29">
        <v>1018</v>
      </c>
      <c r="H29" t="s">
        <v>393</v>
      </c>
      <c r="I29">
        <v>199</v>
      </c>
      <c r="J29">
        <v>195</v>
      </c>
      <c r="K29" t="s">
        <v>394</v>
      </c>
      <c r="L29">
        <v>213</v>
      </c>
      <c r="M29">
        <v>206</v>
      </c>
      <c r="N29" t="s">
        <v>175</v>
      </c>
      <c r="O29">
        <v>0</v>
      </c>
      <c r="P29">
        <v>0</v>
      </c>
      <c r="Q29" t="s">
        <v>395</v>
      </c>
      <c r="R29">
        <v>203</v>
      </c>
      <c r="S29">
        <v>196</v>
      </c>
      <c r="T29" t="s">
        <v>396</v>
      </c>
      <c r="U29">
        <v>207</v>
      </c>
      <c r="V29">
        <v>198</v>
      </c>
      <c r="W29" t="s">
        <v>397</v>
      </c>
      <c r="X29">
        <v>196</v>
      </c>
      <c r="Y29">
        <v>188</v>
      </c>
    </row>
    <row r="30" spans="2:25" hidden="1" x14ac:dyDescent="0.3">
      <c r="B30">
        <v>898</v>
      </c>
      <c r="C30" s="13">
        <v>45101</v>
      </c>
      <c r="D30" s="13">
        <f>WEEKDAY(Table3[[#This Row],[Date]])</f>
        <v>7</v>
      </c>
      <c r="E30">
        <v>1</v>
      </c>
      <c r="F30">
        <v>119</v>
      </c>
      <c r="G30">
        <v>1249</v>
      </c>
      <c r="H30" t="s">
        <v>398</v>
      </c>
      <c r="I30">
        <v>204</v>
      </c>
      <c r="J30">
        <v>199</v>
      </c>
      <c r="K30" t="s">
        <v>399</v>
      </c>
      <c r="L30">
        <v>201</v>
      </c>
      <c r="M30">
        <v>194</v>
      </c>
      <c r="N30" t="s">
        <v>400</v>
      </c>
      <c r="O30">
        <v>206</v>
      </c>
      <c r="P30">
        <v>203</v>
      </c>
      <c r="Q30" t="s">
        <v>401</v>
      </c>
      <c r="R30">
        <v>208</v>
      </c>
      <c r="S30">
        <v>203</v>
      </c>
      <c r="T30" t="s">
        <v>402</v>
      </c>
      <c r="U30">
        <v>197</v>
      </c>
      <c r="V30">
        <v>191</v>
      </c>
      <c r="W30" t="s">
        <v>403</v>
      </c>
      <c r="X30">
        <v>233</v>
      </c>
      <c r="Y30">
        <v>223</v>
      </c>
    </row>
    <row r="31" spans="2:25" hidden="1" x14ac:dyDescent="0.3">
      <c r="B31">
        <v>899</v>
      </c>
      <c r="C31" s="13">
        <v>45102</v>
      </c>
      <c r="D31" s="13">
        <f>WEEKDAY(Table3[[#This Row],[Date]])</f>
        <v>1</v>
      </c>
      <c r="E31">
        <v>1</v>
      </c>
      <c r="F31">
        <v>201</v>
      </c>
      <c r="G31">
        <v>172</v>
      </c>
      <c r="H31" t="s">
        <v>404</v>
      </c>
      <c r="I31">
        <v>43</v>
      </c>
      <c r="J31">
        <v>42</v>
      </c>
      <c r="K31" t="s">
        <v>405</v>
      </c>
      <c r="L31">
        <v>45</v>
      </c>
      <c r="M31">
        <v>44</v>
      </c>
      <c r="N31" t="s">
        <v>406</v>
      </c>
      <c r="O31">
        <v>43</v>
      </c>
      <c r="P31">
        <v>42</v>
      </c>
      <c r="Q31" t="s">
        <v>407</v>
      </c>
      <c r="R31">
        <v>41</v>
      </c>
      <c r="S31">
        <v>39</v>
      </c>
      <c r="T31" t="s">
        <v>175</v>
      </c>
      <c r="U31">
        <v>0</v>
      </c>
      <c r="V31">
        <v>0</v>
      </c>
      <c r="W31" t="s">
        <v>175</v>
      </c>
      <c r="X31">
        <v>0</v>
      </c>
      <c r="Y31">
        <v>0</v>
      </c>
    </row>
    <row r="32" spans="2:25" hidden="1" x14ac:dyDescent="0.3">
      <c r="B32">
        <v>900</v>
      </c>
      <c r="C32" s="13">
        <v>45103</v>
      </c>
      <c r="D32" s="13">
        <f>WEEKDAY(Table3[[#This Row],[Date]])</f>
        <v>2</v>
      </c>
      <c r="E32">
        <v>1</v>
      </c>
      <c r="F32">
        <v>119</v>
      </c>
      <c r="G32">
        <v>435</v>
      </c>
      <c r="H32" t="s">
        <v>408</v>
      </c>
      <c r="I32">
        <v>71</v>
      </c>
      <c r="J32">
        <v>64</v>
      </c>
      <c r="K32" t="s">
        <v>409</v>
      </c>
      <c r="L32">
        <v>71</v>
      </c>
      <c r="M32">
        <v>65</v>
      </c>
      <c r="N32" t="s">
        <v>410</v>
      </c>
      <c r="O32">
        <v>73</v>
      </c>
      <c r="P32">
        <v>67</v>
      </c>
      <c r="Q32" t="s">
        <v>411</v>
      </c>
      <c r="R32">
        <v>70</v>
      </c>
      <c r="S32">
        <v>65</v>
      </c>
      <c r="T32" t="s">
        <v>412</v>
      </c>
      <c r="U32">
        <v>71</v>
      </c>
      <c r="V32">
        <v>66</v>
      </c>
      <c r="W32" t="s">
        <v>413</v>
      </c>
      <c r="X32">
        <v>79</v>
      </c>
      <c r="Y32">
        <v>72</v>
      </c>
    </row>
    <row r="33" spans="2:25" hidden="1" x14ac:dyDescent="0.3">
      <c r="B33">
        <v>901</v>
      </c>
      <c r="C33" s="13">
        <v>45104</v>
      </c>
      <c r="D33" s="13">
        <f>WEEKDAY(Table3[[#This Row],[Date]])</f>
        <v>3</v>
      </c>
      <c r="E33">
        <v>1</v>
      </c>
      <c r="F33">
        <v>201</v>
      </c>
      <c r="G33">
        <v>441</v>
      </c>
      <c r="H33" t="s">
        <v>414</v>
      </c>
      <c r="I33">
        <v>108</v>
      </c>
      <c r="J33">
        <v>101</v>
      </c>
      <c r="K33" t="s">
        <v>415</v>
      </c>
      <c r="L33">
        <v>110</v>
      </c>
      <c r="M33">
        <v>105</v>
      </c>
      <c r="N33" t="s">
        <v>416</v>
      </c>
      <c r="O33">
        <v>115</v>
      </c>
      <c r="P33">
        <v>109</v>
      </c>
      <c r="Q33" t="s">
        <v>417</v>
      </c>
      <c r="R33">
        <v>115</v>
      </c>
      <c r="S33">
        <v>110</v>
      </c>
      <c r="T33" t="s">
        <v>175</v>
      </c>
      <c r="U33">
        <v>0</v>
      </c>
      <c r="V33">
        <v>0</v>
      </c>
      <c r="W33" t="s">
        <v>175</v>
      </c>
      <c r="X33">
        <v>0</v>
      </c>
      <c r="Y33">
        <v>0</v>
      </c>
    </row>
    <row r="34" spans="2:25" hidden="1" x14ac:dyDescent="0.3">
      <c r="B34">
        <v>902</v>
      </c>
      <c r="C34" s="13">
        <v>45105</v>
      </c>
      <c r="D34" s="13">
        <f>WEEKDAY(Table3[[#This Row],[Date]])</f>
        <v>4</v>
      </c>
      <c r="E34">
        <v>1</v>
      </c>
      <c r="F34">
        <v>119</v>
      </c>
      <c r="G34">
        <v>1155</v>
      </c>
      <c r="H34" t="s">
        <v>244</v>
      </c>
      <c r="I34">
        <v>200</v>
      </c>
      <c r="J34">
        <v>196</v>
      </c>
      <c r="K34" t="s">
        <v>418</v>
      </c>
      <c r="L34">
        <v>196</v>
      </c>
      <c r="M34">
        <v>188</v>
      </c>
      <c r="N34" t="s">
        <v>245</v>
      </c>
      <c r="O34">
        <v>192</v>
      </c>
      <c r="P34">
        <v>186</v>
      </c>
      <c r="Q34" t="s">
        <v>246</v>
      </c>
      <c r="R34">
        <v>182</v>
      </c>
      <c r="S34">
        <v>178</v>
      </c>
      <c r="T34" t="s">
        <v>247</v>
      </c>
      <c r="U34">
        <v>188</v>
      </c>
      <c r="V34">
        <v>182</v>
      </c>
      <c r="W34" t="s">
        <v>248</v>
      </c>
      <c r="X34">
        <v>197</v>
      </c>
      <c r="Y34">
        <v>187</v>
      </c>
    </row>
    <row r="35" spans="2:25" hidden="1" x14ac:dyDescent="0.3">
      <c r="B35">
        <v>903</v>
      </c>
      <c r="C35" s="13">
        <v>45106</v>
      </c>
      <c r="D35" s="13">
        <f>WEEKDAY(Table3[[#This Row],[Date]])</f>
        <v>5</v>
      </c>
      <c r="E35">
        <v>1</v>
      </c>
      <c r="F35">
        <v>119</v>
      </c>
      <c r="G35">
        <v>987</v>
      </c>
      <c r="H35" t="s">
        <v>419</v>
      </c>
      <c r="I35">
        <v>199</v>
      </c>
      <c r="J35">
        <v>189</v>
      </c>
      <c r="K35" t="s">
        <v>175</v>
      </c>
      <c r="L35">
        <v>0</v>
      </c>
      <c r="M35">
        <v>0</v>
      </c>
      <c r="N35" t="s">
        <v>420</v>
      </c>
      <c r="O35">
        <v>195</v>
      </c>
      <c r="P35">
        <v>187</v>
      </c>
      <c r="Q35" t="s">
        <v>421</v>
      </c>
      <c r="R35">
        <v>193</v>
      </c>
      <c r="S35">
        <v>183</v>
      </c>
      <c r="T35" t="s">
        <v>422</v>
      </c>
      <c r="U35">
        <v>189</v>
      </c>
      <c r="V35">
        <v>175</v>
      </c>
      <c r="W35" t="s">
        <v>423</v>
      </c>
      <c r="X35">
        <v>211</v>
      </c>
      <c r="Y35">
        <v>202</v>
      </c>
    </row>
    <row r="36" spans="2:25" hidden="1" x14ac:dyDescent="0.3">
      <c r="B36">
        <v>904</v>
      </c>
      <c r="C36" s="13">
        <v>45107</v>
      </c>
      <c r="D36" s="13">
        <f>WEEKDAY(Table3[[#This Row],[Date]])</f>
        <v>6</v>
      </c>
      <c r="E36">
        <v>1</v>
      </c>
      <c r="F36">
        <v>201</v>
      </c>
      <c r="G36">
        <v>411</v>
      </c>
      <c r="H36" t="s">
        <v>249</v>
      </c>
      <c r="I36">
        <v>106</v>
      </c>
      <c r="J36">
        <v>100</v>
      </c>
      <c r="K36" t="s">
        <v>250</v>
      </c>
      <c r="L36">
        <v>101</v>
      </c>
      <c r="M36">
        <v>95</v>
      </c>
      <c r="N36" t="s">
        <v>251</v>
      </c>
      <c r="O36">
        <v>99</v>
      </c>
      <c r="P36">
        <v>97</v>
      </c>
      <c r="Q36" t="s">
        <v>252</v>
      </c>
      <c r="R36">
        <v>104</v>
      </c>
      <c r="S36">
        <v>100</v>
      </c>
      <c r="T36" t="s">
        <v>175</v>
      </c>
      <c r="U36">
        <v>0</v>
      </c>
      <c r="V36">
        <v>0</v>
      </c>
      <c r="W36" t="s">
        <v>175</v>
      </c>
      <c r="X36">
        <v>0</v>
      </c>
      <c r="Y36">
        <v>0</v>
      </c>
    </row>
    <row r="37" spans="2:25" hidden="1" x14ac:dyDescent="0.3">
      <c r="B37">
        <v>905</v>
      </c>
      <c r="C37" s="13">
        <v>45108</v>
      </c>
      <c r="D37" s="13">
        <f>WEEKDAY(Table3[[#This Row],[Date]])</f>
        <v>7</v>
      </c>
      <c r="E37">
        <v>1</v>
      </c>
      <c r="F37">
        <v>119</v>
      </c>
      <c r="G37">
        <v>840</v>
      </c>
      <c r="H37" t="s">
        <v>253</v>
      </c>
      <c r="I37">
        <v>166</v>
      </c>
      <c r="J37">
        <v>156</v>
      </c>
      <c r="K37" t="s">
        <v>175</v>
      </c>
      <c r="L37">
        <v>0</v>
      </c>
      <c r="M37">
        <v>0</v>
      </c>
      <c r="N37" t="s">
        <v>254</v>
      </c>
      <c r="O37">
        <v>173</v>
      </c>
      <c r="P37">
        <v>157</v>
      </c>
      <c r="Q37" t="s">
        <v>255</v>
      </c>
      <c r="R37">
        <v>169</v>
      </c>
      <c r="S37">
        <v>157</v>
      </c>
      <c r="T37" t="s">
        <v>256</v>
      </c>
      <c r="U37">
        <v>164</v>
      </c>
      <c r="V37">
        <v>152</v>
      </c>
      <c r="W37" t="s">
        <v>257</v>
      </c>
      <c r="X37">
        <v>168</v>
      </c>
      <c r="Y37">
        <v>154</v>
      </c>
    </row>
    <row r="38" spans="2:25" hidden="1" x14ac:dyDescent="0.3">
      <c r="B38">
        <v>906</v>
      </c>
      <c r="C38" s="13">
        <v>45109</v>
      </c>
      <c r="D38" s="13">
        <f>WEEKDAY(Table3[[#This Row],[Date]])</f>
        <v>1</v>
      </c>
      <c r="E38">
        <v>1</v>
      </c>
      <c r="F38">
        <v>119</v>
      </c>
      <c r="G38">
        <v>462</v>
      </c>
      <c r="H38" t="s">
        <v>258</v>
      </c>
      <c r="I38">
        <v>96</v>
      </c>
      <c r="J38">
        <v>94</v>
      </c>
      <c r="K38" t="s">
        <v>259</v>
      </c>
      <c r="L38">
        <v>97</v>
      </c>
      <c r="M38">
        <v>94</v>
      </c>
      <c r="N38" t="s">
        <v>175</v>
      </c>
      <c r="O38">
        <v>0</v>
      </c>
      <c r="P38">
        <v>0</v>
      </c>
      <c r="Q38" t="s">
        <v>260</v>
      </c>
      <c r="R38">
        <v>89</v>
      </c>
      <c r="S38">
        <v>84</v>
      </c>
      <c r="T38" t="s">
        <v>261</v>
      </c>
      <c r="U38">
        <v>89</v>
      </c>
      <c r="V38">
        <v>85</v>
      </c>
      <c r="W38" t="s">
        <v>262</v>
      </c>
      <c r="X38">
        <v>91</v>
      </c>
      <c r="Y38">
        <v>86</v>
      </c>
    </row>
    <row r="39" spans="2:25" hidden="1" x14ac:dyDescent="0.3">
      <c r="B39">
        <v>907</v>
      </c>
      <c r="C39" s="13">
        <v>45110</v>
      </c>
      <c r="D39" s="13">
        <f>WEEKDAY(Table3[[#This Row],[Date]])</f>
        <v>2</v>
      </c>
      <c r="E39">
        <v>1</v>
      </c>
      <c r="F39">
        <v>119</v>
      </c>
      <c r="G39">
        <v>619</v>
      </c>
      <c r="H39" t="s">
        <v>175</v>
      </c>
      <c r="I39">
        <v>0</v>
      </c>
      <c r="J39">
        <v>0</v>
      </c>
      <c r="K39" t="s">
        <v>263</v>
      </c>
      <c r="L39">
        <v>121</v>
      </c>
      <c r="M39">
        <v>113</v>
      </c>
      <c r="N39" t="s">
        <v>264</v>
      </c>
      <c r="O39">
        <v>127</v>
      </c>
      <c r="P39">
        <v>116</v>
      </c>
      <c r="Q39" t="s">
        <v>265</v>
      </c>
      <c r="R39">
        <v>120</v>
      </c>
      <c r="S39">
        <v>110</v>
      </c>
      <c r="T39" t="s">
        <v>266</v>
      </c>
      <c r="U39">
        <v>123</v>
      </c>
      <c r="V39">
        <v>114</v>
      </c>
      <c r="W39" t="s">
        <v>267</v>
      </c>
      <c r="X39">
        <v>128</v>
      </c>
      <c r="Y39">
        <v>119</v>
      </c>
    </row>
    <row r="40" spans="2:25" hidden="1" x14ac:dyDescent="0.3">
      <c r="B40">
        <v>908</v>
      </c>
      <c r="C40" s="13">
        <v>45111</v>
      </c>
      <c r="D40" s="13">
        <f>WEEKDAY(Table3[[#This Row],[Date]])</f>
        <v>3</v>
      </c>
      <c r="E40">
        <v>1</v>
      </c>
      <c r="F40">
        <v>201</v>
      </c>
      <c r="G40">
        <v>340</v>
      </c>
      <c r="H40" t="s">
        <v>424</v>
      </c>
      <c r="I40">
        <v>82</v>
      </c>
      <c r="J40">
        <v>77</v>
      </c>
      <c r="K40" t="s">
        <v>268</v>
      </c>
      <c r="L40">
        <v>89</v>
      </c>
      <c r="M40">
        <v>82</v>
      </c>
      <c r="N40" t="s">
        <v>269</v>
      </c>
      <c r="O40">
        <v>86</v>
      </c>
      <c r="P40">
        <v>81</v>
      </c>
      <c r="Q40" t="s">
        <v>270</v>
      </c>
      <c r="R40">
        <v>87</v>
      </c>
      <c r="S40">
        <v>81</v>
      </c>
      <c r="T40" t="s">
        <v>175</v>
      </c>
      <c r="U40">
        <v>0</v>
      </c>
      <c r="V40">
        <v>0</v>
      </c>
      <c r="W40" t="s">
        <v>175</v>
      </c>
      <c r="X40">
        <v>0</v>
      </c>
      <c r="Y40">
        <v>0</v>
      </c>
    </row>
    <row r="41" spans="2:25" hidden="1" x14ac:dyDescent="0.3">
      <c r="B41">
        <v>909</v>
      </c>
      <c r="C41" s="13">
        <v>45083</v>
      </c>
      <c r="D41">
        <f>WEEKDAY(Table3[[#This Row],[Date]])</f>
        <v>3</v>
      </c>
      <c r="E41">
        <v>2</v>
      </c>
      <c r="F41">
        <v>201</v>
      </c>
      <c r="G41">
        <v>374</v>
      </c>
      <c r="H41" t="s">
        <v>425</v>
      </c>
      <c r="I41">
        <v>98</v>
      </c>
      <c r="J41">
        <v>92</v>
      </c>
      <c r="K41" t="s">
        <v>426</v>
      </c>
      <c r="L41">
        <v>93</v>
      </c>
      <c r="M41">
        <v>90</v>
      </c>
      <c r="N41" t="s">
        <v>427</v>
      </c>
      <c r="O41">
        <v>91</v>
      </c>
      <c r="P41">
        <v>86</v>
      </c>
      <c r="Q41" t="s">
        <v>428</v>
      </c>
      <c r="R41">
        <v>95</v>
      </c>
      <c r="S41">
        <v>90</v>
      </c>
      <c r="T41" t="s">
        <v>175</v>
      </c>
      <c r="U41">
        <v>0</v>
      </c>
      <c r="V41">
        <v>0</v>
      </c>
      <c r="W41" t="s">
        <v>175</v>
      </c>
      <c r="X41">
        <v>0</v>
      </c>
      <c r="Y41">
        <v>0</v>
      </c>
    </row>
    <row r="42" spans="2:25" hidden="1" x14ac:dyDescent="0.3">
      <c r="B42">
        <v>910</v>
      </c>
      <c r="C42" s="13">
        <v>45084</v>
      </c>
      <c r="D42">
        <f>WEEKDAY(Table3[[#This Row],[Date]])</f>
        <v>4</v>
      </c>
      <c r="E42">
        <v>2</v>
      </c>
      <c r="F42">
        <v>201</v>
      </c>
      <c r="G42">
        <v>322</v>
      </c>
      <c r="H42" t="s">
        <v>429</v>
      </c>
      <c r="I42">
        <v>76</v>
      </c>
      <c r="J42">
        <v>73</v>
      </c>
      <c r="K42" t="s">
        <v>430</v>
      </c>
      <c r="L42">
        <v>77</v>
      </c>
      <c r="M42">
        <v>73</v>
      </c>
      <c r="N42" t="s">
        <v>431</v>
      </c>
      <c r="O42">
        <v>77</v>
      </c>
      <c r="P42">
        <v>73</v>
      </c>
      <c r="Q42" t="s">
        <v>432</v>
      </c>
      <c r="R42">
        <v>79</v>
      </c>
      <c r="S42">
        <v>77</v>
      </c>
      <c r="T42" t="s">
        <v>175</v>
      </c>
      <c r="U42">
        <v>0</v>
      </c>
      <c r="V42">
        <v>0</v>
      </c>
      <c r="W42" t="s">
        <v>175</v>
      </c>
      <c r="X42">
        <v>0</v>
      </c>
      <c r="Y42">
        <v>0</v>
      </c>
    </row>
    <row r="43" spans="2:25" hidden="1" x14ac:dyDescent="0.3">
      <c r="B43">
        <v>911</v>
      </c>
      <c r="C43" s="13">
        <v>45085</v>
      </c>
      <c r="D43">
        <f>WEEKDAY(Table3[[#This Row],[Date]])</f>
        <v>5</v>
      </c>
      <c r="E43">
        <v>2</v>
      </c>
      <c r="F43">
        <v>201</v>
      </c>
      <c r="G43">
        <v>350</v>
      </c>
      <c r="H43" t="s">
        <v>433</v>
      </c>
      <c r="I43">
        <v>84</v>
      </c>
      <c r="J43">
        <v>78</v>
      </c>
      <c r="K43" t="s">
        <v>434</v>
      </c>
      <c r="L43">
        <v>86</v>
      </c>
      <c r="M43">
        <v>80</v>
      </c>
      <c r="N43" t="s">
        <v>435</v>
      </c>
      <c r="O43">
        <v>91</v>
      </c>
      <c r="P43">
        <v>87</v>
      </c>
      <c r="Q43" t="s">
        <v>436</v>
      </c>
      <c r="R43">
        <v>87</v>
      </c>
      <c r="S43">
        <v>83</v>
      </c>
      <c r="T43" t="s">
        <v>175</v>
      </c>
      <c r="U43">
        <v>0</v>
      </c>
      <c r="V43">
        <v>0</v>
      </c>
      <c r="W43" t="s">
        <v>175</v>
      </c>
      <c r="X43">
        <v>0</v>
      </c>
      <c r="Y43">
        <v>0</v>
      </c>
    </row>
    <row r="44" spans="2:25" hidden="1" x14ac:dyDescent="0.3">
      <c r="B44">
        <v>912</v>
      </c>
      <c r="C44" s="13">
        <v>45086</v>
      </c>
      <c r="D44">
        <f>WEEKDAY(Table3[[#This Row],[Date]])</f>
        <v>6</v>
      </c>
      <c r="E44">
        <v>2</v>
      </c>
      <c r="F44">
        <v>201</v>
      </c>
      <c r="G44">
        <v>308</v>
      </c>
      <c r="H44" t="s">
        <v>437</v>
      </c>
      <c r="I44">
        <v>76</v>
      </c>
      <c r="J44">
        <v>73</v>
      </c>
      <c r="K44" t="s">
        <v>438</v>
      </c>
      <c r="L44">
        <v>80</v>
      </c>
      <c r="M44">
        <v>78</v>
      </c>
      <c r="N44" t="s">
        <v>439</v>
      </c>
      <c r="O44">
        <v>77</v>
      </c>
      <c r="P44">
        <v>75</v>
      </c>
      <c r="Q44" t="s">
        <v>440</v>
      </c>
      <c r="R44">
        <v>73</v>
      </c>
      <c r="S44">
        <v>71</v>
      </c>
      <c r="T44" t="s">
        <v>175</v>
      </c>
      <c r="U44">
        <v>0</v>
      </c>
      <c r="V44">
        <v>0</v>
      </c>
      <c r="W44" t="s">
        <v>175</v>
      </c>
      <c r="X44">
        <v>0</v>
      </c>
      <c r="Y44">
        <v>0</v>
      </c>
    </row>
    <row r="45" spans="2:25" hidden="1" x14ac:dyDescent="0.3">
      <c r="B45">
        <v>913</v>
      </c>
      <c r="C45" s="13">
        <v>45087</v>
      </c>
      <c r="D45">
        <f>WEEKDAY(Table3[[#This Row],[Date]])</f>
        <v>7</v>
      </c>
      <c r="E45">
        <v>2</v>
      </c>
      <c r="F45">
        <v>201</v>
      </c>
      <c r="G45">
        <v>416</v>
      </c>
      <c r="H45" t="s">
        <v>441</v>
      </c>
      <c r="I45">
        <v>135</v>
      </c>
      <c r="J45">
        <v>128</v>
      </c>
      <c r="K45" t="s">
        <v>175</v>
      </c>
      <c r="L45">
        <v>0</v>
      </c>
      <c r="M45">
        <v>0</v>
      </c>
      <c r="N45" t="s">
        <v>442</v>
      </c>
      <c r="O45">
        <v>141</v>
      </c>
      <c r="P45">
        <v>131</v>
      </c>
      <c r="Q45" t="s">
        <v>443</v>
      </c>
      <c r="R45">
        <v>137</v>
      </c>
      <c r="S45">
        <v>131</v>
      </c>
      <c r="T45" t="s">
        <v>175</v>
      </c>
      <c r="U45">
        <v>0</v>
      </c>
      <c r="V45">
        <v>0</v>
      </c>
      <c r="W45" t="s">
        <v>175</v>
      </c>
      <c r="X45">
        <v>0</v>
      </c>
      <c r="Y45">
        <v>0</v>
      </c>
    </row>
    <row r="46" spans="2:25" x14ac:dyDescent="0.3">
      <c r="B46">
        <v>914</v>
      </c>
      <c r="C46" s="13">
        <v>45088</v>
      </c>
      <c r="D46">
        <f>WEEKDAY(Table3[[#This Row],[Date]])</f>
        <v>1</v>
      </c>
      <c r="E46">
        <v>2</v>
      </c>
      <c r="F46">
        <v>201</v>
      </c>
      <c r="G46">
        <v>148</v>
      </c>
      <c r="H46" t="s">
        <v>175</v>
      </c>
      <c r="I46">
        <v>0</v>
      </c>
      <c r="J46">
        <v>0</v>
      </c>
      <c r="K46" t="s">
        <v>444</v>
      </c>
      <c r="L46">
        <v>50</v>
      </c>
      <c r="M46">
        <v>46</v>
      </c>
      <c r="N46" t="s">
        <v>445</v>
      </c>
      <c r="O46">
        <v>47</v>
      </c>
      <c r="P46">
        <v>44</v>
      </c>
      <c r="Q46" t="s">
        <v>446</v>
      </c>
      <c r="R46">
        <v>47</v>
      </c>
      <c r="S46">
        <v>42</v>
      </c>
      <c r="T46" t="s">
        <v>175</v>
      </c>
      <c r="U46">
        <v>0</v>
      </c>
      <c r="V46">
        <v>0</v>
      </c>
      <c r="W46" t="s">
        <v>175</v>
      </c>
      <c r="X46">
        <v>0</v>
      </c>
      <c r="Y46">
        <v>0</v>
      </c>
    </row>
    <row r="47" spans="2:25" x14ac:dyDescent="0.3">
      <c r="B47">
        <v>915</v>
      </c>
      <c r="C47" s="13">
        <v>45089</v>
      </c>
      <c r="D47">
        <f>WEEKDAY(Table3[[#This Row],[Date]])</f>
        <v>2</v>
      </c>
      <c r="E47">
        <v>2</v>
      </c>
      <c r="F47">
        <v>119</v>
      </c>
      <c r="G47">
        <v>339</v>
      </c>
      <c r="H47" t="s">
        <v>447</v>
      </c>
      <c r="I47">
        <v>69</v>
      </c>
      <c r="J47">
        <v>64</v>
      </c>
      <c r="K47" t="s">
        <v>175</v>
      </c>
      <c r="L47">
        <v>0</v>
      </c>
      <c r="M47">
        <v>0</v>
      </c>
      <c r="N47" t="s">
        <v>448</v>
      </c>
      <c r="O47">
        <v>70</v>
      </c>
      <c r="P47">
        <v>65</v>
      </c>
      <c r="Q47" t="s">
        <v>449</v>
      </c>
      <c r="R47">
        <v>66</v>
      </c>
      <c r="S47">
        <v>60</v>
      </c>
      <c r="T47" t="s">
        <v>450</v>
      </c>
      <c r="U47">
        <v>71</v>
      </c>
      <c r="V47">
        <v>66</v>
      </c>
      <c r="W47" t="s">
        <v>451</v>
      </c>
      <c r="X47">
        <v>63</v>
      </c>
      <c r="Y47">
        <v>58</v>
      </c>
    </row>
    <row r="48" spans="2:25" hidden="1" x14ac:dyDescent="0.3">
      <c r="B48">
        <v>916</v>
      </c>
      <c r="C48" s="13">
        <v>45090</v>
      </c>
      <c r="D48">
        <f>WEEKDAY(Table3[[#This Row],[Date]])</f>
        <v>3</v>
      </c>
      <c r="E48">
        <v>2</v>
      </c>
      <c r="F48">
        <v>119</v>
      </c>
      <c r="G48">
        <v>840</v>
      </c>
      <c r="H48" t="s">
        <v>452</v>
      </c>
      <c r="I48">
        <v>140</v>
      </c>
      <c r="J48">
        <v>131</v>
      </c>
      <c r="K48" t="s">
        <v>453</v>
      </c>
      <c r="L48">
        <v>138</v>
      </c>
      <c r="M48">
        <v>129</v>
      </c>
      <c r="N48" t="s">
        <v>454</v>
      </c>
      <c r="O48">
        <v>144</v>
      </c>
      <c r="P48">
        <v>135</v>
      </c>
      <c r="Q48" t="s">
        <v>455</v>
      </c>
      <c r="R48">
        <v>135</v>
      </c>
      <c r="S48">
        <v>125</v>
      </c>
      <c r="T48" t="s">
        <v>456</v>
      </c>
      <c r="U48">
        <v>134</v>
      </c>
      <c r="V48">
        <v>124</v>
      </c>
      <c r="W48" t="s">
        <v>457</v>
      </c>
      <c r="X48">
        <v>149</v>
      </c>
      <c r="Y48">
        <v>137</v>
      </c>
    </row>
    <row r="49" spans="2:25" hidden="1" x14ac:dyDescent="0.3">
      <c r="B49">
        <v>917</v>
      </c>
      <c r="C49" s="13">
        <v>45091</v>
      </c>
      <c r="D49">
        <f>WEEKDAY(Table3[[#This Row],[Date]])</f>
        <v>4</v>
      </c>
      <c r="E49">
        <v>2</v>
      </c>
      <c r="F49">
        <v>119</v>
      </c>
      <c r="G49">
        <v>805</v>
      </c>
      <c r="H49" t="s">
        <v>458</v>
      </c>
      <c r="I49">
        <v>134</v>
      </c>
      <c r="J49">
        <v>123</v>
      </c>
      <c r="K49" t="s">
        <v>459</v>
      </c>
      <c r="L49">
        <v>135</v>
      </c>
      <c r="M49">
        <v>124</v>
      </c>
      <c r="N49" t="s">
        <v>460</v>
      </c>
      <c r="O49">
        <v>127</v>
      </c>
      <c r="P49">
        <v>119</v>
      </c>
      <c r="Q49" t="s">
        <v>461</v>
      </c>
      <c r="R49">
        <v>131</v>
      </c>
      <c r="S49">
        <v>124</v>
      </c>
      <c r="T49" t="s">
        <v>462</v>
      </c>
      <c r="U49">
        <v>139</v>
      </c>
      <c r="V49">
        <v>129</v>
      </c>
      <c r="W49" t="s">
        <v>463</v>
      </c>
      <c r="X49">
        <v>139</v>
      </c>
      <c r="Y49">
        <v>127</v>
      </c>
    </row>
    <row r="50" spans="2:25" hidden="1" x14ac:dyDescent="0.3">
      <c r="B50">
        <v>918</v>
      </c>
      <c r="C50" s="13">
        <v>45092</v>
      </c>
      <c r="D50">
        <f>WEEKDAY(Table3[[#This Row],[Date]])</f>
        <v>5</v>
      </c>
      <c r="E50">
        <v>2</v>
      </c>
      <c r="F50">
        <v>119</v>
      </c>
      <c r="G50">
        <v>787</v>
      </c>
      <c r="H50" t="s">
        <v>464</v>
      </c>
      <c r="I50">
        <v>157</v>
      </c>
      <c r="J50">
        <v>153</v>
      </c>
      <c r="K50" t="s">
        <v>175</v>
      </c>
      <c r="L50">
        <v>0</v>
      </c>
      <c r="M50">
        <v>0</v>
      </c>
      <c r="N50" t="s">
        <v>465</v>
      </c>
      <c r="O50">
        <v>160</v>
      </c>
      <c r="P50">
        <v>152</v>
      </c>
      <c r="Q50" t="s">
        <v>466</v>
      </c>
      <c r="R50">
        <v>149</v>
      </c>
      <c r="S50">
        <v>144</v>
      </c>
      <c r="T50" t="s">
        <v>467</v>
      </c>
      <c r="U50">
        <v>151</v>
      </c>
      <c r="V50">
        <v>146</v>
      </c>
      <c r="W50" t="s">
        <v>468</v>
      </c>
      <c r="X50">
        <v>170</v>
      </c>
      <c r="Y50">
        <v>166</v>
      </c>
    </row>
    <row r="51" spans="2:25" hidden="1" x14ac:dyDescent="0.3">
      <c r="B51">
        <v>919</v>
      </c>
      <c r="C51" s="13">
        <v>45093</v>
      </c>
      <c r="D51">
        <f>WEEKDAY(Table3[[#This Row],[Date]])</f>
        <v>6</v>
      </c>
      <c r="E51">
        <v>2</v>
      </c>
      <c r="F51">
        <v>119</v>
      </c>
      <c r="G51">
        <v>796</v>
      </c>
      <c r="H51" t="s">
        <v>469</v>
      </c>
      <c r="I51">
        <v>126</v>
      </c>
      <c r="J51">
        <v>119</v>
      </c>
      <c r="K51" t="s">
        <v>470</v>
      </c>
      <c r="L51">
        <v>126</v>
      </c>
      <c r="M51">
        <v>122</v>
      </c>
      <c r="N51" t="s">
        <v>471</v>
      </c>
      <c r="O51">
        <v>127</v>
      </c>
      <c r="P51">
        <v>121</v>
      </c>
      <c r="Q51" t="s">
        <v>472</v>
      </c>
      <c r="R51">
        <v>127</v>
      </c>
      <c r="S51">
        <v>121</v>
      </c>
      <c r="T51" t="s">
        <v>473</v>
      </c>
      <c r="U51">
        <v>130</v>
      </c>
      <c r="V51">
        <v>124</v>
      </c>
      <c r="W51" t="s">
        <v>474</v>
      </c>
      <c r="X51">
        <v>160</v>
      </c>
      <c r="Y51">
        <v>150</v>
      </c>
    </row>
    <row r="52" spans="2:25" hidden="1" x14ac:dyDescent="0.3">
      <c r="B52">
        <v>920</v>
      </c>
      <c r="C52" s="13">
        <v>45094</v>
      </c>
      <c r="D52">
        <f>WEEKDAY(Table3[[#This Row],[Date]])</f>
        <v>7</v>
      </c>
      <c r="E52">
        <v>2</v>
      </c>
      <c r="F52">
        <v>201</v>
      </c>
      <c r="G52">
        <v>364</v>
      </c>
      <c r="H52" t="s">
        <v>475</v>
      </c>
      <c r="I52">
        <v>86</v>
      </c>
      <c r="J52">
        <v>79</v>
      </c>
      <c r="K52" t="s">
        <v>476</v>
      </c>
      <c r="L52">
        <v>89</v>
      </c>
      <c r="M52">
        <v>83</v>
      </c>
      <c r="N52" t="s">
        <v>477</v>
      </c>
      <c r="O52">
        <v>94</v>
      </c>
      <c r="P52">
        <v>86</v>
      </c>
      <c r="Q52" t="s">
        <v>478</v>
      </c>
      <c r="R52">
        <v>87</v>
      </c>
      <c r="S52">
        <v>80</v>
      </c>
      <c r="T52" t="s">
        <v>175</v>
      </c>
      <c r="U52">
        <v>0</v>
      </c>
      <c r="V52">
        <v>0</v>
      </c>
      <c r="W52" t="s">
        <v>175</v>
      </c>
      <c r="X52">
        <v>0</v>
      </c>
      <c r="Y52">
        <v>0</v>
      </c>
    </row>
    <row r="53" spans="2:25" x14ac:dyDescent="0.3">
      <c r="B53">
        <v>921</v>
      </c>
      <c r="C53" s="13">
        <v>45095</v>
      </c>
      <c r="D53">
        <f>WEEKDAY(Table3[[#This Row],[Date]])</f>
        <v>1</v>
      </c>
      <c r="E53">
        <v>2</v>
      </c>
      <c r="F53">
        <v>119</v>
      </c>
      <c r="G53">
        <v>371</v>
      </c>
      <c r="H53" t="s">
        <v>479</v>
      </c>
      <c r="I53">
        <v>76</v>
      </c>
      <c r="J53">
        <v>74</v>
      </c>
      <c r="K53" t="s">
        <v>480</v>
      </c>
      <c r="L53">
        <v>77</v>
      </c>
      <c r="M53">
        <v>73</v>
      </c>
      <c r="N53" t="s">
        <v>481</v>
      </c>
      <c r="O53">
        <v>71</v>
      </c>
      <c r="P53">
        <v>68</v>
      </c>
      <c r="Q53" t="s">
        <v>482</v>
      </c>
      <c r="R53">
        <v>73</v>
      </c>
      <c r="S53">
        <v>70</v>
      </c>
      <c r="T53" t="s">
        <v>175</v>
      </c>
      <c r="U53">
        <v>0</v>
      </c>
      <c r="V53">
        <v>0</v>
      </c>
      <c r="W53" t="s">
        <v>483</v>
      </c>
      <c r="X53">
        <v>74</v>
      </c>
      <c r="Y53">
        <v>70</v>
      </c>
    </row>
    <row r="54" spans="2:25" x14ac:dyDescent="0.3">
      <c r="B54">
        <v>922</v>
      </c>
      <c r="C54" s="13">
        <v>45096</v>
      </c>
      <c r="D54">
        <f>WEEKDAY(Table3[[#This Row],[Date]])</f>
        <v>2</v>
      </c>
      <c r="E54">
        <v>2</v>
      </c>
      <c r="F54">
        <v>119</v>
      </c>
      <c r="G54">
        <v>322</v>
      </c>
      <c r="H54" t="s">
        <v>484</v>
      </c>
      <c r="I54">
        <v>52</v>
      </c>
      <c r="J54">
        <v>49</v>
      </c>
      <c r="K54" t="s">
        <v>485</v>
      </c>
      <c r="L54">
        <v>52</v>
      </c>
      <c r="M54">
        <v>48</v>
      </c>
      <c r="N54" t="s">
        <v>486</v>
      </c>
      <c r="O54">
        <v>51</v>
      </c>
      <c r="P54">
        <v>48</v>
      </c>
      <c r="Q54" t="s">
        <v>487</v>
      </c>
      <c r="R54">
        <v>51</v>
      </c>
      <c r="S54">
        <v>47</v>
      </c>
      <c r="T54" t="s">
        <v>488</v>
      </c>
      <c r="U54">
        <v>53</v>
      </c>
      <c r="V54">
        <v>50</v>
      </c>
      <c r="W54" t="s">
        <v>489</v>
      </c>
      <c r="X54">
        <v>63</v>
      </c>
      <c r="Y54">
        <v>58</v>
      </c>
    </row>
    <row r="55" spans="2:25" hidden="1" x14ac:dyDescent="0.3">
      <c r="B55">
        <v>923</v>
      </c>
      <c r="C55" s="13">
        <v>45097</v>
      </c>
      <c r="D55">
        <f>WEEKDAY(Table3[[#This Row],[Date]])</f>
        <v>3</v>
      </c>
      <c r="E55">
        <v>2</v>
      </c>
      <c r="F55">
        <v>201</v>
      </c>
      <c r="G55">
        <v>332</v>
      </c>
      <c r="H55" t="s">
        <v>490</v>
      </c>
      <c r="I55">
        <v>80</v>
      </c>
      <c r="J55">
        <v>77</v>
      </c>
      <c r="K55" t="s">
        <v>491</v>
      </c>
      <c r="L55">
        <v>79</v>
      </c>
      <c r="M55">
        <v>78</v>
      </c>
      <c r="N55" t="s">
        <v>492</v>
      </c>
      <c r="O55">
        <v>84</v>
      </c>
      <c r="P55">
        <v>82</v>
      </c>
      <c r="Q55" t="s">
        <v>493</v>
      </c>
      <c r="R55">
        <v>86</v>
      </c>
      <c r="S55">
        <v>85</v>
      </c>
      <c r="T55" t="s">
        <v>175</v>
      </c>
      <c r="U55">
        <v>0</v>
      </c>
      <c r="V55">
        <v>0</v>
      </c>
      <c r="W55" t="s">
        <v>175</v>
      </c>
      <c r="X55">
        <v>0</v>
      </c>
      <c r="Y55">
        <v>0</v>
      </c>
    </row>
    <row r="56" spans="2:25" hidden="1" x14ac:dyDescent="0.3">
      <c r="B56">
        <v>924</v>
      </c>
      <c r="C56" s="13">
        <v>45098</v>
      </c>
      <c r="D56">
        <f>WEEKDAY(Table3[[#This Row],[Date]])</f>
        <v>4</v>
      </c>
      <c r="E56">
        <v>2</v>
      </c>
      <c r="F56">
        <v>201</v>
      </c>
      <c r="G56">
        <v>409</v>
      </c>
      <c r="H56" t="s">
        <v>494</v>
      </c>
      <c r="I56">
        <v>104</v>
      </c>
      <c r="J56">
        <v>99</v>
      </c>
      <c r="K56" t="s">
        <v>495</v>
      </c>
      <c r="L56">
        <v>101</v>
      </c>
      <c r="M56">
        <v>97</v>
      </c>
      <c r="N56" t="s">
        <v>496</v>
      </c>
      <c r="O56">
        <v>101</v>
      </c>
      <c r="P56">
        <v>97</v>
      </c>
      <c r="Q56" t="s">
        <v>497</v>
      </c>
      <c r="R56">
        <v>102</v>
      </c>
      <c r="S56">
        <v>96</v>
      </c>
      <c r="T56" t="s">
        <v>175</v>
      </c>
      <c r="U56">
        <v>0</v>
      </c>
      <c r="V56">
        <v>0</v>
      </c>
      <c r="W56" t="s">
        <v>175</v>
      </c>
      <c r="X56">
        <v>0</v>
      </c>
      <c r="Y56">
        <v>0</v>
      </c>
    </row>
    <row r="57" spans="2:25" hidden="1" x14ac:dyDescent="0.3">
      <c r="B57">
        <v>925</v>
      </c>
      <c r="C57" s="13">
        <v>45099</v>
      </c>
      <c r="D57">
        <f>WEEKDAY(Table3[[#This Row],[Date]])</f>
        <v>5</v>
      </c>
      <c r="E57">
        <v>2</v>
      </c>
      <c r="F57">
        <v>119</v>
      </c>
      <c r="G57">
        <v>735</v>
      </c>
      <c r="H57" t="s">
        <v>498</v>
      </c>
      <c r="I57">
        <v>121</v>
      </c>
      <c r="J57">
        <v>114</v>
      </c>
      <c r="K57" t="s">
        <v>499</v>
      </c>
      <c r="L57">
        <v>127</v>
      </c>
      <c r="M57">
        <v>119</v>
      </c>
      <c r="N57" t="s">
        <v>500</v>
      </c>
      <c r="O57">
        <v>116</v>
      </c>
      <c r="P57">
        <v>109</v>
      </c>
      <c r="Q57" t="s">
        <v>501</v>
      </c>
      <c r="R57">
        <v>126</v>
      </c>
      <c r="S57">
        <v>119</v>
      </c>
      <c r="T57" t="s">
        <v>502</v>
      </c>
      <c r="U57">
        <v>128</v>
      </c>
      <c r="V57">
        <v>122</v>
      </c>
      <c r="W57" t="s">
        <v>503</v>
      </c>
      <c r="X57">
        <v>117</v>
      </c>
      <c r="Y57">
        <v>112</v>
      </c>
    </row>
    <row r="58" spans="2:25" hidden="1" x14ac:dyDescent="0.3">
      <c r="B58">
        <v>926</v>
      </c>
      <c r="C58" s="13">
        <v>45100</v>
      </c>
      <c r="D58">
        <f>WEEKDAY(Table3[[#This Row],[Date]])</f>
        <v>6</v>
      </c>
      <c r="E58">
        <v>2</v>
      </c>
      <c r="F58">
        <v>201</v>
      </c>
      <c r="G58">
        <v>399</v>
      </c>
      <c r="H58" t="s">
        <v>504</v>
      </c>
      <c r="I58">
        <v>103</v>
      </c>
      <c r="J58">
        <v>97</v>
      </c>
      <c r="K58" t="s">
        <v>505</v>
      </c>
      <c r="L58">
        <v>101</v>
      </c>
      <c r="M58">
        <v>96</v>
      </c>
      <c r="N58" t="s">
        <v>506</v>
      </c>
      <c r="O58">
        <v>94</v>
      </c>
      <c r="P58">
        <v>90</v>
      </c>
      <c r="Q58" t="s">
        <v>507</v>
      </c>
      <c r="R58">
        <v>103</v>
      </c>
      <c r="S58">
        <v>97</v>
      </c>
      <c r="T58" t="s">
        <v>175</v>
      </c>
      <c r="U58">
        <v>0</v>
      </c>
      <c r="V58">
        <v>0</v>
      </c>
      <c r="W58" t="s">
        <v>175</v>
      </c>
      <c r="X58">
        <v>0</v>
      </c>
      <c r="Y58">
        <v>0</v>
      </c>
    </row>
    <row r="59" spans="2:25" hidden="1" x14ac:dyDescent="0.3">
      <c r="B59">
        <v>927</v>
      </c>
      <c r="C59" s="13">
        <v>45101</v>
      </c>
      <c r="D59">
        <f>WEEKDAY(Table3[[#This Row],[Date]])</f>
        <v>7</v>
      </c>
      <c r="E59">
        <v>2</v>
      </c>
      <c r="F59">
        <v>201</v>
      </c>
      <c r="G59">
        <v>399</v>
      </c>
      <c r="H59" t="s">
        <v>175</v>
      </c>
      <c r="I59">
        <v>0</v>
      </c>
      <c r="J59">
        <v>0</v>
      </c>
      <c r="K59" t="s">
        <v>508</v>
      </c>
      <c r="L59">
        <v>135</v>
      </c>
      <c r="M59">
        <v>125</v>
      </c>
      <c r="N59" t="s">
        <v>509</v>
      </c>
      <c r="O59">
        <v>131</v>
      </c>
      <c r="P59">
        <v>124</v>
      </c>
      <c r="Q59" t="s">
        <v>510</v>
      </c>
      <c r="R59">
        <v>134</v>
      </c>
      <c r="S59">
        <v>125</v>
      </c>
      <c r="T59" t="s">
        <v>175</v>
      </c>
      <c r="U59">
        <v>0</v>
      </c>
      <c r="V59">
        <v>0</v>
      </c>
      <c r="W59" t="s">
        <v>175</v>
      </c>
      <c r="X59">
        <v>0</v>
      </c>
      <c r="Y59">
        <v>0</v>
      </c>
    </row>
    <row r="60" spans="2:25" x14ac:dyDescent="0.3">
      <c r="B60">
        <v>928</v>
      </c>
      <c r="C60" s="13">
        <v>45102</v>
      </c>
      <c r="D60">
        <f>WEEKDAY(Table3[[#This Row],[Date]])</f>
        <v>1</v>
      </c>
      <c r="E60">
        <v>2</v>
      </c>
      <c r="F60">
        <v>119</v>
      </c>
      <c r="G60">
        <v>385</v>
      </c>
      <c r="H60" t="s">
        <v>511</v>
      </c>
      <c r="I60">
        <v>62</v>
      </c>
      <c r="J60">
        <v>61</v>
      </c>
      <c r="K60" t="s">
        <v>512</v>
      </c>
      <c r="L60">
        <v>65</v>
      </c>
      <c r="M60">
        <v>64</v>
      </c>
      <c r="N60" t="s">
        <v>513</v>
      </c>
      <c r="O60">
        <v>61</v>
      </c>
      <c r="P60">
        <v>58</v>
      </c>
      <c r="Q60" t="s">
        <v>514</v>
      </c>
      <c r="R60">
        <v>64</v>
      </c>
      <c r="S60">
        <v>61</v>
      </c>
      <c r="T60" t="s">
        <v>515</v>
      </c>
      <c r="U60">
        <v>64</v>
      </c>
      <c r="V60">
        <v>62</v>
      </c>
      <c r="W60" t="s">
        <v>516</v>
      </c>
      <c r="X60">
        <v>69</v>
      </c>
      <c r="Y60">
        <v>66</v>
      </c>
    </row>
    <row r="61" spans="2:25" x14ac:dyDescent="0.3">
      <c r="B61">
        <v>929</v>
      </c>
      <c r="C61" s="13">
        <v>45103</v>
      </c>
      <c r="D61">
        <f>WEEKDAY(Table3[[#This Row],[Date]])</f>
        <v>2</v>
      </c>
      <c r="E61">
        <v>2</v>
      </c>
      <c r="F61">
        <v>201</v>
      </c>
      <c r="G61">
        <v>149</v>
      </c>
      <c r="H61" t="s">
        <v>517</v>
      </c>
      <c r="I61">
        <v>37</v>
      </c>
      <c r="J61">
        <v>34</v>
      </c>
      <c r="K61" t="s">
        <v>518</v>
      </c>
      <c r="L61">
        <v>35</v>
      </c>
      <c r="M61">
        <v>31</v>
      </c>
      <c r="N61" t="s">
        <v>519</v>
      </c>
      <c r="O61">
        <v>38</v>
      </c>
      <c r="P61">
        <v>35</v>
      </c>
      <c r="Q61" t="s">
        <v>520</v>
      </c>
      <c r="R61">
        <v>36</v>
      </c>
      <c r="S61">
        <v>33</v>
      </c>
      <c r="T61" t="s">
        <v>175</v>
      </c>
      <c r="U61">
        <v>0</v>
      </c>
      <c r="V61">
        <v>0</v>
      </c>
      <c r="W61" t="s">
        <v>175</v>
      </c>
      <c r="X61">
        <v>0</v>
      </c>
      <c r="Y61">
        <v>0</v>
      </c>
    </row>
    <row r="62" spans="2:25" hidden="1" x14ac:dyDescent="0.3">
      <c r="B62">
        <v>930</v>
      </c>
      <c r="C62" s="13">
        <v>45104</v>
      </c>
      <c r="D62">
        <f>WEEKDAY(Table3[[#This Row],[Date]])</f>
        <v>3</v>
      </c>
      <c r="E62">
        <v>2</v>
      </c>
      <c r="F62">
        <v>201</v>
      </c>
      <c r="G62">
        <v>367</v>
      </c>
      <c r="H62" t="s">
        <v>521</v>
      </c>
      <c r="I62">
        <v>92</v>
      </c>
      <c r="J62">
        <v>85</v>
      </c>
      <c r="K62" t="s">
        <v>522</v>
      </c>
      <c r="L62">
        <v>89</v>
      </c>
      <c r="M62">
        <v>80</v>
      </c>
      <c r="N62" t="s">
        <v>523</v>
      </c>
      <c r="O62">
        <v>90</v>
      </c>
      <c r="P62">
        <v>82</v>
      </c>
      <c r="Q62" t="s">
        <v>524</v>
      </c>
      <c r="R62">
        <v>93</v>
      </c>
      <c r="S62">
        <v>84</v>
      </c>
      <c r="T62" t="s">
        <v>175</v>
      </c>
      <c r="U62">
        <v>0</v>
      </c>
      <c r="V62">
        <v>0</v>
      </c>
      <c r="W62" t="s">
        <v>175</v>
      </c>
      <c r="X62">
        <v>0</v>
      </c>
      <c r="Y62">
        <v>0</v>
      </c>
    </row>
    <row r="63" spans="2:25" hidden="1" x14ac:dyDescent="0.3">
      <c r="B63">
        <v>931</v>
      </c>
      <c r="C63" s="13">
        <v>45105</v>
      </c>
      <c r="D63">
        <f>WEEKDAY(Table3[[#This Row],[Date]])</f>
        <v>4</v>
      </c>
      <c r="E63">
        <v>2</v>
      </c>
      <c r="F63">
        <v>119</v>
      </c>
      <c r="G63">
        <v>901</v>
      </c>
      <c r="H63" t="s">
        <v>525</v>
      </c>
      <c r="I63">
        <v>142</v>
      </c>
      <c r="J63">
        <v>140</v>
      </c>
      <c r="K63" t="s">
        <v>526</v>
      </c>
      <c r="L63">
        <v>148</v>
      </c>
      <c r="M63">
        <v>146</v>
      </c>
      <c r="N63" t="s">
        <v>527</v>
      </c>
      <c r="O63">
        <v>142</v>
      </c>
      <c r="P63">
        <v>139</v>
      </c>
      <c r="Q63" t="s">
        <v>528</v>
      </c>
      <c r="R63">
        <v>151</v>
      </c>
      <c r="S63">
        <v>149</v>
      </c>
      <c r="T63" t="s">
        <v>529</v>
      </c>
      <c r="U63">
        <v>147</v>
      </c>
      <c r="V63">
        <v>141</v>
      </c>
      <c r="W63" t="s">
        <v>530</v>
      </c>
      <c r="X63">
        <v>171</v>
      </c>
      <c r="Y63">
        <v>167</v>
      </c>
    </row>
    <row r="64" spans="2:25" hidden="1" x14ac:dyDescent="0.3">
      <c r="B64">
        <v>932</v>
      </c>
      <c r="C64" s="13">
        <v>45106</v>
      </c>
      <c r="D64">
        <f>WEEKDAY(Table3[[#This Row],[Date]])</f>
        <v>5</v>
      </c>
      <c r="E64">
        <v>2</v>
      </c>
      <c r="F64">
        <v>201</v>
      </c>
      <c r="G64">
        <v>395</v>
      </c>
      <c r="H64" t="s">
        <v>531</v>
      </c>
      <c r="I64">
        <v>99</v>
      </c>
      <c r="J64">
        <v>94</v>
      </c>
      <c r="K64" t="s">
        <v>532</v>
      </c>
      <c r="L64">
        <v>100</v>
      </c>
      <c r="M64">
        <v>95</v>
      </c>
      <c r="N64" t="s">
        <v>533</v>
      </c>
      <c r="O64">
        <v>98</v>
      </c>
      <c r="P64">
        <v>91</v>
      </c>
      <c r="Q64" t="s">
        <v>534</v>
      </c>
      <c r="R64">
        <v>102</v>
      </c>
      <c r="S64">
        <v>96</v>
      </c>
      <c r="T64" t="s">
        <v>175</v>
      </c>
      <c r="U64">
        <v>0</v>
      </c>
      <c r="V64">
        <v>0</v>
      </c>
      <c r="W64" t="s">
        <v>175</v>
      </c>
      <c r="X64">
        <v>0</v>
      </c>
      <c r="Y64">
        <v>0</v>
      </c>
    </row>
    <row r="65" spans="2:25" hidden="1" x14ac:dyDescent="0.3">
      <c r="B65">
        <v>933</v>
      </c>
      <c r="C65" s="13">
        <v>45107</v>
      </c>
      <c r="D65">
        <f>WEEKDAY(Table3[[#This Row],[Date]])</f>
        <v>6</v>
      </c>
      <c r="E65">
        <v>2</v>
      </c>
      <c r="F65">
        <v>119</v>
      </c>
      <c r="G65">
        <v>778</v>
      </c>
      <c r="H65" t="s">
        <v>535</v>
      </c>
      <c r="I65">
        <v>134</v>
      </c>
      <c r="J65">
        <v>131</v>
      </c>
      <c r="K65" t="s">
        <v>536</v>
      </c>
      <c r="L65">
        <v>133</v>
      </c>
      <c r="M65">
        <v>126</v>
      </c>
      <c r="N65" t="s">
        <v>537</v>
      </c>
      <c r="O65">
        <v>127</v>
      </c>
      <c r="P65">
        <v>123</v>
      </c>
      <c r="Q65" t="s">
        <v>538</v>
      </c>
      <c r="R65">
        <v>125</v>
      </c>
      <c r="S65">
        <v>121</v>
      </c>
      <c r="T65" t="s">
        <v>539</v>
      </c>
      <c r="U65">
        <v>134</v>
      </c>
      <c r="V65">
        <v>131</v>
      </c>
      <c r="W65" t="s">
        <v>540</v>
      </c>
      <c r="X65">
        <v>125</v>
      </c>
      <c r="Y65">
        <v>121</v>
      </c>
    </row>
    <row r="66" spans="2:25" hidden="1" x14ac:dyDescent="0.3">
      <c r="B66">
        <v>934</v>
      </c>
      <c r="C66" s="13">
        <v>45108</v>
      </c>
      <c r="D66">
        <f>WEEKDAY(Table3[[#This Row],[Date]])</f>
        <v>7</v>
      </c>
      <c r="E66">
        <v>2</v>
      </c>
      <c r="F66">
        <v>201</v>
      </c>
      <c r="G66">
        <v>399</v>
      </c>
      <c r="H66" t="s">
        <v>541</v>
      </c>
      <c r="I66">
        <v>100</v>
      </c>
      <c r="J66">
        <v>92</v>
      </c>
      <c r="K66" t="s">
        <v>542</v>
      </c>
      <c r="L66">
        <v>101</v>
      </c>
      <c r="M66">
        <v>93</v>
      </c>
      <c r="N66" t="s">
        <v>543</v>
      </c>
      <c r="O66">
        <v>99</v>
      </c>
      <c r="P66">
        <v>91</v>
      </c>
      <c r="Q66" t="s">
        <v>544</v>
      </c>
      <c r="R66">
        <v>94</v>
      </c>
      <c r="S66">
        <v>89</v>
      </c>
      <c r="T66" t="s">
        <v>175</v>
      </c>
      <c r="U66">
        <v>0</v>
      </c>
      <c r="V66">
        <v>0</v>
      </c>
      <c r="W66" t="s">
        <v>175</v>
      </c>
      <c r="X66">
        <v>0</v>
      </c>
      <c r="Y66">
        <v>0</v>
      </c>
    </row>
    <row r="67" spans="2:25" x14ac:dyDescent="0.3">
      <c r="B67">
        <v>935</v>
      </c>
      <c r="C67" s="13">
        <v>45109</v>
      </c>
      <c r="D67">
        <f>WEEKDAY(Table3[[#This Row],[Date]])</f>
        <v>1</v>
      </c>
      <c r="E67">
        <v>2</v>
      </c>
      <c r="F67">
        <v>201</v>
      </c>
      <c r="G67">
        <v>159</v>
      </c>
      <c r="H67" t="s">
        <v>545</v>
      </c>
      <c r="I67">
        <v>53</v>
      </c>
      <c r="J67">
        <v>48</v>
      </c>
      <c r="K67" t="s">
        <v>546</v>
      </c>
      <c r="L67">
        <v>55</v>
      </c>
      <c r="M67">
        <v>51</v>
      </c>
      <c r="N67" t="s">
        <v>175</v>
      </c>
      <c r="O67">
        <v>0</v>
      </c>
      <c r="P67">
        <v>0</v>
      </c>
      <c r="Q67" t="s">
        <v>547</v>
      </c>
      <c r="R67">
        <v>51</v>
      </c>
      <c r="S67">
        <v>46</v>
      </c>
      <c r="T67" t="s">
        <v>175</v>
      </c>
      <c r="U67">
        <v>0</v>
      </c>
      <c r="V67">
        <v>0</v>
      </c>
      <c r="W67" t="s">
        <v>175</v>
      </c>
      <c r="X67">
        <v>0</v>
      </c>
      <c r="Y67">
        <v>0</v>
      </c>
    </row>
    <row r="68" spans="2:25" x14ac:dyDescent="0.3">
      <c r="B68">
        <v>936</v>
      </c>
      <c r="C68" s="13">
        <v>45110</v>
      </c>
      <c r="D68">
        <f>WEEKDAY(Table3[[#This Row],[Date]])</f>
        <v>2</v>
      </c>
      <c r="E68">
        <v>2</v>
      </c>
      <c r="F68">
        <v>119</v>
      </c>
      <c r="G68">
        <v>388</v>
      </c>
      <c r="H68" t="s">
        <v>548</v>
      </c>
      <c r="I68">
        <v>79</v>
      </c>
      <c r="J68">
        <v>78</v>
      </c>
      <c r="K68" t="s">
        <v>549</v>
      </c>
      <c r="L68">
        <v>80</v>
      </c>
      <c r="M68">
        <v>77</v>
      </c>
      <c r="N68" t="s">
        <v>175</v>
      </c>
      <c r="O68">
        <v>0</v>
      </c>
      <c r="P68">
        <v>0</v>
      </c>
      <c r="Q68" t="s">
        <v>550</v>
      </c>
      <c r="R68">
        <v>77</v>
      </c>
      <c r="S68">
        <v>74</v>
      </c>
      <c r="T68" t="s">
        <v>551</v>
      </c>
      <c r="U68">
        <v>73</v>
      </c>
      <c r="V68">
        <v>70</v>
      </c>
      <c r="W68" t="s">
        <v>552</v>
      </c>
      <c r="X68">
        <v>79</v>
      </c>
      <c r="Y68">
        <v>77</v>
      </c>
    </row>
    <row r="69" spans="2:25" hidden="1" x14ac:dyDescent="0.3">
      <c r="B69">
        <v>937</v>
      </c>
      <c r="C69" s="13">
        <v>45111</v>
      </c>
      <c r="D69">
        <f>WEEKDAY(Table3[[#This Row],[Date]])</f>
        <v>3</v>
      </c>
      <c r="E69">
        <v>2</v>
      </c>
      <c r="F69">
        <v>119</v>
      </c>
      <c r="G69">
        <v>953</v>
      </c>
      <c r="H69" t="s">
        <v>175</v>
      </c>
      <c r="I69">
        <v>0</v>
      </c>
      <c r="J69">
        <v>0</v>
      </c>
      <c r="K69" t="s">
        <v>553</v>
      </c>
      <c r="L69">
        <v>194</v>
      </c>
      <c r="M69">
        <v>178</v>
      </c>
      <c r="N69" t="s">
        <v>554</v>
      </c>
      <c r="O69">
        <v>200</v>
      </c>
      <c r="P69">
        <v>184</v>
      </c>
      <c r="Q69" t="s">
        <v>555</v>
      </c>
      <c r="R69">
        <v>181</v>
      </c>
      <c r="S69">
        <v>170</v>
      </c>
      <c r="T69" t="s">
        <v>556</v>
      </c>
      <c r="U69">
        <v>196</v>
      </c>
      <c r="V69">
        <v>182</v>
      </c>
      <c r="W69" t="s">
        <v>557</v>
      </c>
      <c r="X69">
        <v>182</v>
      </c>
      <c r="Y69">
        <v>167</v>
      </c>
    </row>
    <row r="70" spans="2:25" hidden="1" x14ac:dyDescent="0.3">
      <c r="B70">
        <v>938</v>
      </c>
      <c r="C70" s="13">
        <v>45083</v>
      </c>
      <c r="D70" s="13">
        <f>WEEKDAY(Table3[[#This Row],[Date]])</f>
        <v>3</v>
      </c>
      <c r="E70">
        <v>3</v>
      </c>
      <c r="F70">
        <v>119</v>
      </c>
      <c r="G70">
        <v>651</v>
      </c>
      <c r="H70" t="s">
        <v>558</v>
      </c>
      <c r="I70">
        <v>113</v>
      </c>
      <c r="J70">
        <v>107</v>
      </c>
      <c r="K70" t="s">
        <v>559</v>
      </c>
      <c r="L70">
        <v>110</v>
      </c>
      <c r="M70">
        <v>104</v>
      </c>
      <c r="N70" t="s">
        <v>560</v>
      </c>
      <c r="O70">
        <v>108</v>
      </c>
      <c r="P70">
        <v>103</v>
      </c>
      <c r="Q70" t="s">
        <v>561</v>
      </c>
      <c r="R70">
        <v>113</v>
      </c>
      <c r="S70">
        <v>106</v>
      </c>
      <c r="T70" t="s">
        <v>562</v>
      </c>
      <c r="U70">
        <v>110</v>
      </c>
      <c r="V70">
        <v>105</v>
      </c>
      <c r="W70" t="s">
        <v>563</v>
      </c>
      <c r="X70">
        <v>97</v>
      </c>
      <c r="Y70">
        <v>93</v>
      </c>
    </row>
    <row r="71" spans="2:25" hidden="1" x14ac:dyDescent="0.3">
      <c r="B71">
        <v>939</v>
      </c>
      <c r="C71" s="13">
        <v>45084</v>
      </c>
      <c r="D71" s="13">
        <f>WEEKDAY(Table3[[#This Row],[Date]])</f>
        <v>4</v>
      </c>
      <c r="E71">
        <v>3</v>
      </c>
      <c r="F71">
        <v>201</v>
      </c>
      <c r="G71">
        <v>336</v>
      </c>
      <c r="H71" t="s">
        <v>564</v>
      </c>
      <c r="I71">
        <v>112</v>
      </c>
      <c r="J71">
        <v>104</v>
      </c>
      <c r="K71" t="s">
        <v>565</v>
      </c>
      <c r="L71">
        <v>110</v>
      </c>
      <c r="M71">
        <v>101</v>
      </c>
      <c r="N71" t="s">
        <v>175</v>
      </c>
      <c r="O71">
        <v>0</v>
      </c>
      <c r="P71">
        <v>0</v>
      </c>
      <c r="Q71" t="s">
        <v>566</v>
      </c>
      <c r="R71">
        <v>112</v>
      </c>
      <c r="S71">
        <v>103</v>
      </c>
      <c r="T71" t="s">
        <v>175</v>
      </c>
      <c r="U71">
        <v>0</v>
      </c>
      <c r="V71">
        <v>0</v>
      </c>
      <c r="W71" t="s">
        <v>175</v>
      </c>
      <c r="X71">
        <v>0</v>
      </c>
      <c r="Y71">
        <v>0</v>
      </c>
    </row>
    <row r="72" spans="2:25" hidden="1" x14ac:dyDescent="0.3">
      <c r="B72">
        <v>940</v>
      </c>
      <c r="C72" s="13">
        <v>45085</v>
      </c>
      <c r="D72" s="13">
        <f>WEEKDAY(Table3[[#This Row],[Date]])</f>
        <v>5</v>
      </c>
      <c r="E72">
        <v>3</v>
      </c>
      <c r="F72">
        <v>201</v>
      </c>
      <c r="G72">
        <v>289</v>
      </c>
      <c r="H72" t="s">
        <v>175</v>
      </c>
      <c r="I72">
        <v>0</v>
      </c>
      <c r="J72">
        <v>0</v>
      </c>
      <c r="K72" t="s">
        <v>567</v>
      </c>
      <c r="L72">
        <v>92</v>
      </c>
      <c r="M72">
        <v>88</v>
      </c>
      <c r="N72" t="s">
        <v>568</v>
      </c>
      <c r="O72">
        <v>99</v>
      </c>
      <c r="P72">
        <v>97</v>
      </c>
      <c r="Q72" t="s">
        <v>569</v>
      </c>
      <c r="R72">
        <v>98</v>
      </c>
      <c r="S72">
        <v>97</v>
      </c>
      <c r="T72" t="s">
        <v>175</v>
      </c>
      <c r="U72">
        <v>0</v>
      </c>
      <c r="V72">
        <v>0</v>
      </c>
      <c r="W72" t="s">
        <v>175</v>
      </c>
      <c r="X72">
        <v>0</v>
      </c>
      <c r="Y72">
        <v>0</v>
      </c>
    </row>
    <row r="73" spans="2:25" hidden="1" x14ac:dyDescent="0.3">
      <c r="B73">
        <v>941</v>
      </c>
      <c r="C73" s="13">
        <v>45086</v>
      </c>
      <c r="D73" s="13">
        <f>WEEKDAY(Table3[[#This Row],[Date]])</f>
        <v>6</v>
      </c>
      <c r="E73">
        <v>3</v>
      </c>
      <c r="F73">
        <v>201</v>
      </c>
      <c r="G73">
        <v>264</v>
      </c>
      <c r="H73" t="s">
        <v>570</v>
      </c>
      <c r="I73">
        <v>64</v>
      </c>
      <c r="J73">
        <v>60</v>
      </c>
      <c r="K73" t="s">
        <v>571</v>
      </c>
      <c r="L73">
        <v>64</v>
      </c>
      <c r="M73">
        <v>60</v>
      </c>
      <c r="N73" t="s">
        <v>572</v>
      </c>
      <c r="O73">
        <v>63</v>
      </c>
      <c r="P73">
        <v>59</v>
      </c>
      <c r="Q73" t="s">
        <v>573</v>
      </c>
      <c r="R73">
        <v>66</v>
      </c>
      <c r="S73">
        <v>64</v>
      </c>
      <c r="T73" t="s">
        <v>175</v>
      </c>
      <c r="U73">
        <v>0</v>
      </c>
      <c r="V73">
        <v>0</v>
      </c>
      <c r="W73" t="s">
        <v>175</v>
      </c>
      <c r="X73">
        <v>0</v>
      </c>
      <c r="Y73">
        <v>0</v>
      </c>
    </row>
    <row r="74" spans="2:25" hidden="1" x14ac:dyDescent="0.3">
      <c r="B74">
        <v>942</v>
      </c>
      <c r="C74" s="13">
        <v>45087</v>
      </c>
      <c r="D74" s="13">
        <f>WEEKDAY(Table3[[#This Row],[Date]])</f>
        <v>7</v>
      </c>
      <c r="E74">
        <v>3</v>
      </c>
      <c r="F74">
        <v>119</v>
      </c>
      <c r="G74">
        <v>903</v>
      </c>
      <c r="H74" t="s">
        <v>574</v>
      </c>
      <c r="I74">
        <v>145</v>
      </c>
      <c r="J74">
        <v>134</v>
      </c>
      <c r="K74" t="s">
        <v>575</v>
      </c>
      <c r="L74">
        <v>150</v>
      </c>
      <c r="M74">
        <v>139</v>
      </c>
      <c r="N74" t="s">
        <v>576</v>
      </c>
      <c r="O74">
        <v>145</v>
      </c>
      <c r="P74">
        <v>133</v>
      </c>
      <c r="Q74" t="s">
        <v>577</v>
      </c>
      <c r="R74">
        <v>153</v>
      </c>
      <c r="S74">
        <v>143</v>
      </c>
      <c r="T74" t="s">
        <v>578</v>
      </c>
      <c r="U74">
        <v>142</v>
      </c>
      <c r="V74">
        <v>130</v>
      </c>
      <c r="W74" t="s">
        <v>579</v>
      </c>
      <c r="X74">
        <v>168</v>
      </c>
      <c r="Y74">
        <v>154</v>
      </c>
    </row>
    <row r="75" spans="2:25" hidden="1" x14ac:dyDescent="0.3">
      <c r="B75">
        <v>943</v>
      </c>
      <c r="C75" s="13">
        <v>45088</v>
      </c>
      <c r="D75" s="13">
        <f>WEEKDAY(Table3[[#This Row],[Date]])</f>
        <v>1</v>
      </c>
      <c r="E75">
        <v>3</v>
      </c>
      <c r="F75">
        <v>119</v>
      </c>
      <c r="G75">
        <v>0</v>
      </c>
      <c r="H75" t="s">
        <v>175</v>
      </c>
      <c r="I75">
        <v>0</v>
      </c>
      <c r="J75">
        <v>0</v>
      </c>
      <c r="K75" t="s">
        <v>175</v>
      </c>
      <c r="L75">
        <v>0</v>
      </c>
      <c r="M75">
        <v>0</v>
      </c>
      <c r="N75" t="s">
        <v>175</v>
      </c>
      <c r="O75">
        <v>0</v>
      </c>
      <c r="P75">
        <v>0</v>
      </c>
      <c r="Q75" t="s">
        <v>175</v>
      </c>
      <c r="R75">
        <v>0</v>
      </c>
      <c r="S75">
        <v>0</v>
      </c>
      <c r="T75" t="s">
        <v>175</v>
      </c>
      <c r="U75">
        <v>0</v>
      </c>
      <c r="V75">
        <v>0</v>
      </c>
      <c r="W75" t="s">
        <v>175</v>
      </c>
      <c r="X75">
        <v>0</v>
      </c>
      <c r="Y75">
        <v>0</v>
      </c>
    </row>
    <row r="76" spans="2:25" hidden="1" x14ac:dyDescent="0.3">
      <c r="B76">
        <v>944</v>
      </c>
      <c r="C76" s="13">
        <v>45089</v>
      </c>
      <c r="D76" s="13">
        <f>WEEKDAY(Table3[[#This Row],[Date]])</f>
        <v>2</v>
      </c>
      <c r="E76">
        <v>3</v>
      </c>
      <c r="F76">
        <v>201</v>
      </c>
      <c r="G76">
        <v>0</v>
      </c>
      <c r="H76" t="s">
        <v>175</v>
      </c>
      <c r="I76">
        <v>0</v>
      </c>
      <c r="J76">
        <v>0</v>
      </c>
      <c r="K76" t="s">
        <v>175</v>
      </c>
      <c r="L76">
        <v>0</v>
      </c>
      <c r="M76">
        <v>0</v>
      </c>
      <c r="N76" t="s">
        <v>175</v>
      </c>
      <c r="O76">
        <v>0</v>
      </c>
      <c r="P76">
        <v>0</v>
      </c>
      <c r="Q76" t="s">
        <v>175</v>
      </c>
      <c r="R76">
        <v>0</v>
      </c>
      <c r="S76">
        <v>0</v>
      </c>
      <c r="T76" t="s">
        <v>175</v>
      </c>
      <c r="U76">
        <v>0</v>
      </c>
      <c r="V76">
        <v>0</v>
      </c>
      <c r="W76" t="s">
        <v>175</v>
      </c>
      <c r="X76">
        <v>0</v>
      </c>
      <c r="Y76">
        <v>0</v>
      </c>
    </row>
    <row r="77" spans="2:25" hidden="1" x14ac:dyDescent="0.3">
      <c r="B77">
        <v>945</v>
      </c>
      <c r="C77" s="13">
        <v>45090</v>
      </c>
      <c r="D77" s="13">
        <f>WEEKDAY(Table3[[#This Row],[Date]])</f>
        <v>3</v>
      </c>
      <c r="E77">
        <v>3</v>
      </c>
      <c r="F77">
        <v>119</v>
      </c>
      <c r="G77">
        <v>546</v>
      </c>
      <c r="H77" t="s">
        <v>175</v>
      </c>
      <c r="I77">
        <v>0</v>
      </c>
      <c r="J77">
        <v>0</v>
      </c>
      <c r="K77" t="s">
        <v>580</v>
      </c>
      <c r="L77">
        <v>113</v>
      </c>
      <c r="M77">
        <v>108</v>
      </c>
      <c r="N77" t="s">
        <v>581</v>
      </c>
      <c r="O77">
        <v>113</v>
      </c>
      <c r="P77">
        <v>107</v>
      </c>
      <c r="Q77" t="s">
        <v>582</v>
      </c>
      <c r="R77">
        <v>110</v>
      </c>
      <c r="S77">
        <v>104</v>
      </c>
      <c r="T77" t="s">
        <v>583</v>
      </c>
      <c r="U77">
        <v>110</v>
      </c>
      <c r="V77">
        <v>105</v>
      </c>
      <c r="W77" t="s">
        <v>584</v>
      </c>
      <c r="X77">
        <v>100</v>
      </c>
      <c r="Y77">
        <v>94</v>
      </c>
    </row>
    <row r="78" spans="2:25" hidden="1" x14ac:dyDescent="0.3">
      <c r="B78">
        <v>946</v>
      </c>
      <c r="C78" s="13">
        <v>45091</v>
      </c>
      <c r="D78" s="13">
        <f>WEEKDAY(Table3[[#This Row],[Date]])</f>
        <v>4</v>
      </c>
      <c r="E78">
        <v>3</v>
      </c>
      <c r="F78">
        <v>119</v>
      </c>
      <c r="G78">
        <v>619</v>
      </c>
      <c r="H78" t="s">
        <v>585</v>
      </c>
      <c r="I78">
        <v>127</v>
      </c>
      <c r="J78">
        <v>121</v>
      </c>
      <c r="K78" t="s">
        <v>175</v>
      </c>
      <c r="L78">
        <v>0</v>
      </c>
      <c r="M78">
        <v>0</v>
      </c>
      <c r="N78" t="s">
        <v>586</v>
      </c>
      <c r="O78">
        <v>128</v>
      </c>
      <c r="P78">
        <v>122</v>
      </c>
      <c r="Q78" t="s">
        <v>587</v>
      </c>
      <c r="R78">
        <v>127</v>
      </c>
      <c r="S78">
        <v>120</v>
      </c>
      <c r="T78" t="s">
        <v>588</v>
      </c>
      <c r="U78">
        <v>117</v>
      </c>
      <c r="V78">
        <v>108</v>
      </c>
      <c r="W78" t="s">
        <v>589</v>
      </c>
      <c r="X78">
        <v>120</v>
      </c>
      <c r="Y78">
        <v>112</v>
      </c>
    </row>
    <row r="79" spans="2:25" hidden="1" x14ac:dyDescent="0.3">
      <c r="B79">
        <v>947</v>
      </c>
      <c r="C79" s="13">
        <v>45092</v>
      </c>
      <c r="D79" s="13">
        <f>WEEKDAY(Table3[[#This Row],[Date]])</f>
        <v>5</v>
      </c>
      <c r="E79">
        <v>3</v>
      </c>
      <c r="F79">
        <v>201</v>
      </c>
      <c r="G79">
        <v>344</v>
      </c>
      <c r="H79" t="s">
        <v>175</v>
      </c>
      <c r="I79">
        <v>0</v>
      </c>
      <c r="J79">
        <v>0</v>
      </c>
      <c r="K79" t="s">
        <v>590</v>
      </c>
      <c r="L79">
        <v>118</v>
      </c>
      <c r="M79">
        <v>112</v>
      </c>
      <c r="N79" t="s">
        <v>591</v>
      </c>
      <c r="O79">
        <v>120</v>
      </c>
      <c r="P79">
        <v>111</v>
      </c>
      <c r="Q79" t="s">
        <v>592</v>
      </c>
      <c r="R79">
        <v>113</v>
      </c>
      <c r="S79">
        <v>107</v>
      </c>
      <c r="T79" t="s">
        <v>175</v>
      </c>
      <c r="U79">
        <v>0</v>
      </c>
      <c r="V79">
        <v>0</v>
      </c>
      <c r="W79" t="s">
        <v>175</v>
      </c>
      <c r="X79">
        <v>0</v>
      </c>
      <c r="Y79">
        <v>0</v>
      </c>
    </row>
    <row r="80" spans="2:25" hidden="1" x14ac:dyDescent="0.3">
      <c r="B80">
        <v>948</v>
      </c>
      <c r="C80" s="13">
        <v>45093</v>
      </c>
      <c r="D80" s="13">
        <f>WEEKDAY(Table3[[#This Row],[Date]])</f>
        <v>6</v>
      </c>
      <c r="E80">
        <v>3</v>
      </c>
      <c r="F80">
        <v>201</v>
      </c>
      <c r="G80">
        <v>260</v>
      </c>
      <c r="H80" t="s">
        <v>593</v>
      </c>
      <c r="I80">
        <v>65</v>
      </c>
      <c r="J80">
        <v>60</v>
      </c>
      <c r="K80" t="s">
        <v>594</v>
      </c>
      <c r="L80">
        <v>62</v>
      </c>
      <c r="M80">
        <v>57</v>
      </c>
      <c r="N80" t="s">
        <v>595</v>
      </c>
      <c r="O80">
        <v>62</v>
      </c>
      <c r="P80">
        <v>57</v>
      </c>
      <c r="Q80" t="s">
        <v>596</v>
      </c>
      <c r="R80">
        <v>66</v>
      </c>
      <c r="S80">
        <v>61</v>
      </c>
      <c r="T80" t="s">
        <v>175</v>
      </c>
      <c r="U80">
        <v>0</v>
      </c>
      <c r="V80">
        <v>0</v>
      </c>
      <c r="W80" t="s">
        <v>175</v>
      </c>
      <c r="X80">
        <v>0</v>
      </c>
      <c r="Y80">
        <v>0</v>
      </c>
    </row>
    <row r="81" spans="2:25" hidden="1" x14ac:dyDescent="0.3">
      <c r="B81">
        <v>949</v>
      </c>
      <c r="C81" s="13">
        <v>45094</v>
      </c>
      <c r="D81" s="13">
        <f>WEEKDAY(Table3[[#This Row],[Date]])</f>
        <v>7</v>
      </c>
      <c r="E81">
        <v>3</v>
      </c>
      <c r="F81">
        <v>119</v>
      </c>
      <c r="G81">
        <v>714</v>
      </c>
      <c r="H81" t="s">
        <v>597</v>
      </c>
      <c r="I81">
        <v>119</v>
      </c>
      <c r="J81">
        <v>115</v>
      </c>
      <c r="K81" t="s">
        <v>598</v>
      </c>
      <c r="L81">
        <v>123</v>
      </c>
      <c r="M81">
        <v>120</v>
      </c>
      <c r="N81" t="s">
        <v>599</v>
      </c>
      <c r="O81">
        <v>116</v>
      </c>
      <c r="P81">
        <v>112</v>
      </c>
      <c r="Q81" t="s">
        <v>600</v>
      </c>
      <c r="R81">
        <v>119</v>
      </c>
      <c r="S81">
        <v>117</v>
      </c>
      <c r="T81" t="s">
        <v>601</v>
      </c>
      <c r="U81">
        <v>120</v>
      </c>
      <c r="V81">
        <v>115</v>
      </c>
      <c r="W81" t="s">
        <v>602</v>
      </c>
      <c r="X81">
        <v>117</v>
      </c>
      <c r="Y81">
        <v>112</v>
      </c>
    </row>
    <row r="82" spans="2:25" hidden="1" x14ac:dyDescent="0.3">
      <c r="B82">
        <v>950</v>
      </c>
      <c r="C82" s="13">
        <v>45095</v>
      </c>
      <c r="D82" s="13">
        <f>WEEKDAY(Table3[[#This Row],[Date]])</f>
        <v>1</v>
      </c>
      <c r="E82">
        <v>3</v>
      </c>
      <c r="F82">
        <v>201</v>
      </c>
      <c r="G82">
        <v>0</v>
      </c>
      <c r="H82" t="s">
        <v>175</v>
      </c>
      <c r="I82">
        <v>0</v>
      </c>
      <c r="J82">
        <v>0</v>
      </c>
      <c r="K82" t="s">
        <v>175</v>
      </c>
      <c r="L82">
        <v>0</v>
      </c>
      <c r="M82">
        <v>0</v>
      </c>
      <c r="N82" t="s">
        <v>175</v>
      </c>
      <c r="O82">
        <v>0</v>
      </c>
      <c r="P82">
        <v>0</v>
      </c>
      <c r="Q82" t="s">
        <v>175</v>
      </c>
      <c r="R82">
        <v>0</v>
      </c>
      <c r="S82">
        <v>0</v>
      </c>
      <c r="T82" t="s">
        <v>175</v>
      </c>
      <c r="U82">
        <v>0</v>
      </c>
      <c r="V82">
        <v>0</v>
      </c>
      <c r="W82" t="s">
        <v>175</v>
      </c>
      <c r="X82">
        <v>0</v>
      </c>
      <c r="Y82">
        <v>0</v>
      </c>
    </row>
    <row r="83" spans="2:25" hidden="1" x14ac:dyDescent="0.3">
      <c r="B83">
        <v>951</v>
      </c>
      <c r="C83" s="13">
        <v>45096</v>
      </c>
      <c r="D83" s="13">
        <f>WEEKDAY(Table3[[#This Row],[Date]])</f>
        <v>2</v>
      </c>
      <c r="E83">
        <v>3</v>
      </c>
      <c r="F83">
        <v>201</v>
      </c>
      <c r="G83">
        <v>0</v>
      </c>
      <c r="H83" t="s">
        <v>175</v>
      </c>
      <c r="I83">
        <v>0</v>
      </c>
      <c r="J83">
        <v>0</v>
      </c>
      <c r="K83" t="s">
        <v>175</v>
      </c>
      <c r="L83">
        <v>0</v>
      </c>
      <c r="M83">
        <v>0</v>
      </c>
      <c r="N83" t="s">
        <v>175</v>
      </c>
      <c r="O83">
        <v>0</v>
      </c>
      <c r="P83">
        <v>0</v>
      </c>
      <c r="Q83" t="s">
        <v>175</v>
      </c>
      <c r="R83">
        <v>0</v>
      </c>
      <c r="S83">
        <v>0</v>
      </c>
      <c r="T83" t="s">
        <v>175</v>
      </c>
      <c r="U83">
        <v>0</v>
      </c>
      <c r="V83">
        <v>0</v>
      </c>
      <c r="W83" t="s">
        <v>175</v>
      </c>
      <c r="X83">
        <v>0</v>
      </c>
      <c r="Y83">
        <v>0</v>
      </c>
    </row>
    <row r="84" spans="2:25" hidden="1" x14ac:dyDescent="0.3">
      <c r="B84">
        <v>952</v>
      </c>
      <c r="C84" s="13">
        <v>45097</v>
      </c>
      <c r="D84" s="13">
        <f>WEEKDAY(Table3[[#This Row],[Date]])</f>
        <v>3</v>
      </c>
      <c r="E84">
        <v>3</v>
      </c>
      <c r="F84">
        <v>119</v>
      </c>
      <c r="G84">
        <v>840</v>
      </c>
      <c r="H84" t="s">
        <v>603</v>
      </c>
      <c r="I84">
        <v>176</v>
      </c>
      <c r="J84">
        <v>170</v>
      </c>
      <c r="K84" t="s">
        <v>604</v>
      </c>
      <c r="L84">
        <v>173</v>
      </c>
      <c r="M84">
        <v>171</v>
      </c>
      <c r="N84" t="s">
        <v>605</v>
      </c>
      <c r="O84">
        <v>169</v>
      </c>
      <c r="P84">
        <v>167</v>
      </c>
      <c r="Q84" t="s">
        <v>606</v>
      </c>
      <c r="R84">
        <v>161</v>
      </c>
      <c r="S84">
        <v>156</v>
      </c>
      <c r="T84" t="s">
        <v>175</v>
      </c>
      <c r="U84">
        <v>0</v>
      </c>
      <c r="V84">
        <v>0</v>
      </c>
      <c r="W84" t="s">
        <v>607</v>
      </c>
      <c r="X84">
        <v>161</v>
      </c>
      <c r="Y84">
        <v>157</v>
      </c>
    </row>
    <row r="85" spans="2:25" hidden="1" x14ac:dyDescent="0.3">
      <c r="B85">
        <v>953</v>
      </c>
      <c r="C85" s="13">
        <v>45098</v>
      </c>
      <c r="D85" s="13">
        <f>WEEKDAY(Table3[[#This Row],[Date]])</f>
        <v>4</v>
      </c>
      <c r="E85">
        <v>3</v>
      </c>
      <c r="F85">
        <v>119</v>
      </c>
      <c r="G85">
        <v>556</v>
      </c>
      <c r="H85" t="s">
        <v>608</v>
      </c>
      <c r="I85">
        <v>91</v>
      </c>
      <c r="J85">
        <v>84</v>
      </c>
      <c r="K85" t="s">
        <v>609</v>
      </c>
      <c r="L85">
        <v>88</v>
      </c>
      <c r="M85">
        <v>82</v>
      </c>
      <c r="N85" t="s">
        <v>610</v>
      </c>
      <c r="O85">
        <v>97</v>
      </c>
      <c r="P85">
        <v>91</v>
      </c>
      <c r="Q85" t="s">
        <v>611</v>
      </c>
      <c r="R85">
        <v>91</v>
      </c>
      <c r="S85">
        <v>85</v>
      </c>
      <c r="T85" t="s">
        <v>612</v>
      </c>
      <c r="U85">
        <v>93</v>
      </c>
      <c r="V85">
        <v>86</v>
      </c>
      <c r="W85" t="s">
        <v>613</v>
      </c>
      <c r="X85">
        <v>96</v>
      </c>
      <c r="Y85">
        <v>88</v>
      </c>
    </row>
    <row r="86" spans="2:25" hidden="1" x14ac:dyDescent="0.3">
      <c r="B86">
        <v>954</v>
      </c>
      <c r="C86" s="13">
        <v>45099</v>
      </c>
      <c r="D86" s="13">
        <f>WEEKDAY(Table3[[#This Row],[Date]])</f>
        <v>5</v>
      </c>
      <c r="E86">
        <v>3</v>
      </c>
      <c r="F86">
        <v>201</v>
      </c>
      <c r="G86">
        <v>373</v>
      </c>
      <c r="H86" t="s">
        <v>614</v>
      </c>
      <c r="I86">
        <v>121</v>
      </c>
      <c r="J86">
        <v>119</v>
      </c>
      <c r="K86" t="s">
        <v>175</v>
      </c>
      <c r="L86">
        <v>0</v>
      </c>
      <c r="M86">
        <v>0</v>
      </c>
      <c r="N86" t="s">
        <v>615</v>
      </c>
      <c r="O86">
        <v>130</v>
      </c>
      <c r="P86">
        <v>126</v>
      </c>
      <c r="Q86" t="s">
        <v>616</v>
      </c>
      <c r="R86">
        <v>120</v>
      </c>
      <c r="S86">
        <v>116</v>
      </c>
      <c r="T86" t="s">
        <v>175</v>
      </c>
      <c r="U86">
        <v>0</v>
      </c>
      <c r="V86">
        <v>0</v>
      </c>
      <c r="W86" t="s">
        <v>175</v>
      </c>
      <c r="X86">
        <v>0</v>
      </c>
      <c r="Y86">
        <v>0</v>
      </c>
    </row>
    <row r="87" spans="2:25" hidden="1" x14ac:dyDescent="0.3">
      <c r="B87">
        <v>955</v>
      </c>
      <c r="C87" s="13">
        <v>45100</v>
      </c>
      <c r="D87" s="13">
        <f>WEEKDAY(Table3[[#This Row],[Date]])</f>
        <v>6</v>
      </c>
      <c r="E87">
        <v>3</v>
      </c>
      <c r="F87">
        <v>201</v>
      </c>
      <c r="G87">
        <v>369</v>
      </c>
      <c r="H87" t="s">
        <v>617</v>
      </c>
      <c r="I87">
        <v>95</v>
      </c>
      <c r="J87">
        <v>91</v>
      </c>
      <c r="K87" t="s">
        <v>618</v>
      </c>
      <c r="L87">
        <v>94</v>
      </c>
      <c r="M87">
        <v>89</v>
      </c>
      <c r="N87" t="s">
        <v>619</v>
      </c>
      <c r="O87">
        <v>94</v>
      </c>
      <c r="P87">
        <v>90</v>
      </c>
      <c r="Q87" t="s">
        <v>620</v>
      </c>
      <c r="R87">
        <v>95</v>
      </c>
      <c r="S87">
        <v>91</v>
      </c>
      <c r="T87" t="s">
        <v>175</v>
      </c>
      <c r="U87">
        <v>0</v>
      </c>
      <c r="V87">
        <v>0</v>
      </c>
      <c r="W87" t="s">
        <v>175</v>
      </c>
      <c r="X87">
        <v>0</v>
      </c>
      <c r="Y87">
        <v>0</v>
      </c>
    </row>
    <row r="88" spans="2:25" hidden="1" x14ac:dyDescent="0.3">
      <c r="B88">
        <v>956</v>
      </c>
      <c r="C88" s="13">
        <v>45101</v>
      </c>
      <c r="D88" s="13">
        <f>WEEKDAY(Table3[[#This Row],[Date]])</f>
        <v>7</v>
      </c>
      <c r="E88">
        <v>3</v>
      </c>
      <c r="F88">
        <v>119</v>
      </c>
      <c r="G88">
        <v>766</v>
      </c>
      <c r="H88" t="s">
        <v>621</v>
      </c>
      <c r="I88">
        <v>159</v>
      </c>
      <c r="J88">
        <v>154</v>
      </c>
      <c r="K88" t="s">
        <v>622</v>
      </c>
      <c r="L88">
        <v>159</v>
      </c>
      <c r="M88">
        <v>152</v>
      </c>
      <c r="N88" t="s">
        <v>623</v>
      </c>
      <c r="O88">
        <v>145</v>
      </c>
      <c r="P88">
        <v>140</v>
      </c>
      <c r="Q88" t="s">
        <v>624</v>
      </c>
      <c r="R88">
        <v>150</v>
      </c>
      <c r="S88">
        <v>147</v>
      </c>
      <c r="T88" t="s">
        <v>175</v>
      </c>
      <c r="U88">
        <v>0</v>
      </c>
      <c r="V88">
        <v>0</v>
      </c>
      <c r="W88" t="s">
        <v>625</v>
      </c>
      <c r="X88">
        <v>153</v>
      </c>
      <c r="Y88">
        <v>151</v>
      </c>
    </row>
    <row r="89" spans="2:25" hidden="1" x14ac:dyDescent="0.3">
      <c r="B89">
        <v>957</v>
      </c>
      <c r="C89" s="13">
        <v>45102</v>
      </c>
      <c r="D89" s="13">
        <f>WEEKDAY(Table3[[#This Row],[Date]])</f>
        <v>1</v>
      </c>
      <c r="E89">
        <v>3</v>
      </c>
      <c r="F89">
        <v>201</v>
      </c>
      <c r="G89">
        <v>0</v>
      </c>
      <c r="H89" t="s">
        <v>175</v>
      </c>
      <c r="I89">
        <v>0</v>
      </c>
      <c r="J89">
        <v>0</v>
      </c>
      <c r="K89" t="s">
        <v>175</v>
      </c>
      <c r="L89">
        <v>0</v>
      </c>
      <c r="M89">
        <v>0</v>
      </c>
      <c r="N89" t="s">
        <v>175</v>
      </c>
      <c r="O89">
        <v>0</v>
      </c>
      <c r="P89">
        <v>0</v>
      </c>
      <c r="Q89" t="s">
        <v>175</v>
      </c>
      <c r="R89">
        <v>0</v>
      </c>
      <c r="S89">
        <v>0</v>
      </c>
      <c r="T89" t="s">
        <v>175</v>
      </c>
      <c r="U89">
        <v>0</v>
      </c>
      <c r="V89">
        <v>0</v>
      </c>
      <c r="W89" t="s">
        <v>175</v>
      </c>
      <c r="X89">
        <v>0</v>
      </c>
      <c r="Y89">
        <v>0</v>
      </c>
    </row>
    <row r="90" spans="2:25" hidden="1" x14ac:dyDescent="0.3">
      <c r="B90">
        <v>958</v>
      </c>
      <c r="C90" s="13">
        <v>45103</v>
      </c>
      <c r="D90" s="13">
        <f>WEEKDAY(Table3[[#This Row],[Date]])</f>
        <v>2</v>
      </c>
      <c r="E90">
        <v>3</v>
      </c>
      <c r="F90">
        <v>201</v>
      </c>
      <c r="G90">
        <v>0</v>
      </c>
      <c r="H90" t="s">
        <v>175</v>
      </c>
      <c r="I90">
        <v>0</v>
      </c>
      <c r="J90">
        <v>0</v>
      </c>
      <c r="K90" t="s">
        <v>175</v>
      </c>
      <c r="L90">
        <v>0</v>
      </c>
      <c r="M90">
        <v>0</v>
      </c>
      <c r="N90" t="s">
        <v>175</v>
      </c>
      <c r="O90">
        <v>0</v>
      </c>
      <c r="P90">
        <v>0</v>
      </c>
      <c r="Q90" t="s">
        <v>175</v>
      </c>
      <c r="R90">
        <v>0</v>
      </c>
      <c r="S90">
        <v>0</v>
      </c>
      <c r="T90" t="s">
        <v>175</v>
      </c>
      <c r="U90">
        <v>0</v>
      </c>
      <c r="V90">
        <v>0</v>
      </c>
      <c r="W90" t="s">
        <v>175</v>
      </c>
      <c r="X90">
        <v>0</v>
      </c>
      <c r="Y90">
        <v>0</v>
      </c>
    </row>
    <row r="91" spans="2:25" hidden="1" x14ac:dyDescent="0.3">
      <c r="B91">
        <v>959</v>
      </c>
      <c r="C91" s="13">
        <v>45104</v>
      </c>
      <c r="D91" s="13">
        <f>WEEKDAY(Table3[[#This Row],[Date]])</f>
        <v>3</v>
      </c>
      <c r="E91">
        <v>3</v>
      </c>
      <c r="F91">
        <v>119</v>
      </c>
      <c r="G91">
        <v>819</v>
      </c>
      <c r="H91" t="s">
        <v>626</v>
      </c>
      <c r="I91">
        <v>157</v>
      </c>
      <c r="J91">
        <v>149</v>
      </c>
      <c r="K91" t="s">
        <v>175</v>
      </c>
      <c r="L91">
        <v>0</v>
      </c>
      <c r="M91">
        <v>0</v>
      </c>
      <c r="N91" t="s">
        <v>627</v>
      </c>
      <c r="O91">
        <v>157</v>
      </c>
      <c r="P91">
        <v>150</v>
      </c>
      <c r="Q91" t="s">
        <v>628</v>
      </c>
      <c r="R91">
        <v>155</v>
      </c>
      <c r="S91">
        <v>150</v>
      </c>
      <c r="T91" t="s">
        <v>629</v>
      </c>
      <c r="U91">
        <v>158</v>
      </c>
      <c r="V91">
        <v>148</v>
      </c>
      <c r="W91" t="s">
        <v>630</v>
      </c>
      <c r="X91">
        <v>192</v>
      </c>
      <c r="Y91">
        <v>182</v>
      </c>
    </row>
    <row r="92" spans="2:25" hidden="1" x14ac:dyDescent="0.3">
      <c r="B92">
        <v>960</v>
      </c>
      <c r="C92" s="13">
        <v>45105</v>
      </c>
      <c r="D92" s="13">
        <f>WEEKDAY(Table3[[#This Row],[Date]])</f>
        <v>4</v>
      </c>
      <c r="E92">
        <v>3</v>
      </c>
      <c r="F92">
        <v>201</v>
      </c>
      <c r="G92">
        <v>247</v>
      </c>
      <c r="H92" t="s">
        <v>631</v>
      </c>
      <c r="I92">
        <v>58</v>
      </c>
      <c r="J92">
        <v>55</v>
      </c>
      <c r="K92" t="s">
        <v>632</v>
      </c>
      <c r="L92">
        <v>63</v>
      </c>
      <c r="M92">
        <v>61</v>
      </c>
      <c r="N92" t="s">
        <v>633</v>
      </c>
      <c r="O92">
        <v>62</v>
      </c>
      <c r="P92">
        <v>60</v>
      </c>
      <c r="Q92" t="s">
        <v>634</v>
      </c>
      <c r="R92">
        <v>61</v>
      </c>
      <c r="S92">
        <v>58</v>
      </c>
      <c r="T92" t="s">
        <v>175</v>
      </c>
      <c r="U92">
        <v>0</v>
      </c>
      <c r="V92">
        <v>0</v>
      </c>
      <c r="W92" t="s">
        <v>175</v>
      </c>
      <c r="X92">
        <v>0</v>
      </c>
      <c r="Y92">
        <v>0</v>
      </c>
    </row>
    <row r="93" spans="2:25" hidden="1" x14ac:dyDescent="0.3">
      <c r="B93">
        <v>961</v>
      </c>
      <c r="C93" s="13">
        <v>45106</v>
      </c>
      <c r="D93" s="13">
        <f>WEEKDAY(Table3[[#This Row],[Date]])</f>
        <v>5</v>
      </c>
      <c r="E93">
        <v>3</v>
      </c>
      <c r="F93">
        <v>119</v>
      </c>
      <c r="G93">
        <v>934</v>
      </c>
      <c r="H93" t="s">
        <v>635</v>
      </c>
      <c r="I93">
        <v>155</v>
      </c>
      <c r="J93">
        <v>145</v>
      </c>
      <c r="K93" t="s">
        <v>636</v>
      </c>
      <c r="L93">
        <v>147</v>
      </c>
      <c r="M93">
        <v>139</v>
      </c>
      <c r="N93" t="s">
        <v>637</v>
      </c>
      <c r="O93">
        <v>160</v>
      </c>
      <c r="P93">
        <v>152</v>
      </c>
      <c r="Q93" t="s">
        <v>638</v>
      </c>
      <c r="R93">
        <v>160</v>
      </c>
      <c r="S93">
        <v>150</v>
      </c>
      <c r="T93" t="s">
        <v>639</v>
      </c>
      <c r="U93">
        <v>160</v>
      </c>
      <c r="V93">
        <v>152</v>
      </c>
      <c r="W93" t="s">
        <v>640</v>
      </c>
      <c r="X93">
        <v>152</v>
      </c>
      <c r="Y93">
        <v>142</v>
      </c>
    </row>
    <row r="94" spans="2:25" hidden="1" x14ac:dyDescent="0.3">
      <c r="B94">
        <v>962</v>
      </c>
      <c r="C94" s="13">
        <v>45107</v>
      </c>
      <c r="D94" s="13">
        <f>WEEKDAY(Table3[[#This Row],[Date]])</f>
        <v>6</v>
      </c>
      <c r="E94">
        <v>3</v>
      </c>
      <c r="F94">
        <v>119</v>
      </c>
      <c r="G94">
        <v>598</v>
      </c>
      <c r="H94" t="s">
        <v>175</v>
      </c>
      <c r="I94">
        <v>0</v>
      </c>
      <c r="J94">
        <v>0</v>
      </c>
      <c r="K94" t="s">
        <v>641</v>
      </c>
      <c r="L94">
        <v>121</v>
      </c>
      <c r="M94">
        <v>112</v>
      </c>
      <c r="N94" t="s">
        <v>642</v>
      </c>
      <c r="O94">
        <v>117</v>
      </c>
      <c r="P94">
        <v>109</v>
      </c>
      <c r="Q94" t="s">
        <v>643</v>
      </c>
      <c r="R94">
        <v>119</v>
      </c>
      <c r="S94">
        <v>111</v>
      </c>
      <c r="T94" t="s">
        <v>644</v>
      </c>
      <c r="U94">
        <v>113</v>
      </c>
      <c r="V94">
        <v>107</v>
      </c>
      <c r="W94" t="s">
        <v>645</v>
      </c>
      <c r="X94">
        <v>128</v>
      </c>
      <c r="Y94">
        <v>121</v>
      </c>
    </row>
    <row r="95" spans="2:25" hidden="1" x14ac:dyDescent="0.3">
      <c r="B95">
        <v>963</v>
      </c>
      <c r="C95" s="13">
        <v>45108</v>
      </c>
      <c r="D95" s="13">
        <f>WEEKDAY(Table3[[#This Row],[Date]])</f>
        <v>7</v>
      </c>
      <c r="E95">
        <v>3</v>
      </c>
      <c r="F95">
        <v>201</v>
      </c>
      <c r="G95">
        <v>260</v>
      </c>
      <c r="H95" t="s">
        <v>646</v>
      </c>
      <c r="I95">
        <v>66</v>
      </c>
      <c r="J95">
        <v>60</v>
      </c>
      <c r="K95" t="s">
        <v>647</v>
      </c>
      <c r="L95">
        <v>64</v>
      </c>
      <c r="M95">
        <v>60</v>
      </c>
      <c r="N95" t="s">
        <v>648</v>
      </c>
      <c r="O95">
        <v>65</v>
      </c>
      <c r="P95">
        <v>60</v>
      </c>
      <c r="Q95" t="s">
        <v>649</v>
      </c>
      <c r="R95">
        <v>65</v>
      </c>
      <c r="S95">
        <v>61</v>
      </c>
      <c r="T95" t="s">
        <v>175</v>
      </c>
      <c r="U95">
        <v>0</v>
      </c>
      <c r="V95">
        <v>0</v>
      </c>
      <c r="W95" t="s">
        <v>175</v>
      </c>
      <c r="X95">
        <v>0</v>
      </c>
      <c r="Y95">
        <v>0</v>
      </c>
    </row>
    <row r="96" spans="2:25" hidden="1" x14ac:dyDescent="0.3">
      <c r="B96">
        <v>964</v>
      </c>
      <c r="C96" s="13">
        <v>45109</v>
      </c>
      <c r="D96" s="13">
        <f>WEEKDAY(Table3[[#This Row],[Date]])</f>
        <v>1</v>
      </c>
      <c r="E96">
        <v>3</v>
      </c>
      <c r="F96">
        <v>119</v>
      </c>
      <c r="G96">
        <v>0</v>
      </c>
      <c r="H96" t="s">
        <v>175</v>
      </c>
      <c r="I96">
        <v>0</v>
      </c>
      <c r="J96">
        <v>0</v>
      </c>
      <c r="K96" t="s">
        <v>175</v>
      </c>
      <c r="L96">
        <v>0</v>
      </c>
      <c r="M96">
        <v>0</v>
      </c>
      <c r="N96" t="s">
        <v>175</v>
      </c>
      <c r="O96">
        <v>0</v>
      </c>
      <c r="P96">
        <v>0</v>
      </c>
      <c r="Q96" t="s">
        <v>175</v>
      </c>
      <c r="R96">
        <v>0</v>
      </c>
      <c r="S96">
        <v>0</v>
      </c>
      <c r="T96" t="s">
        <v>175</v>
      </c>
      <c r="U96">
        <v>0</v>
      </c>
      <c r="V96">
        <v>0</v>
      </c>
      <c r="W96" t="s">
        <v>175</v>
      </c>
      <c r="X96">
        <v>0</v>
      </c>
      <c r="Y96">
        <v>0</v>
      </c>
    </row>
    <row r="97" spans="2:25" hidden="1" x14ac:dyDescent="0.3">
      <c r="B97">
        <v>965</v>
      </c>
      <c r="C97" s="13">
        <v>45110</v>
      </c>
      <c r="D97" s="13">
        <f>WEEKDAY(Table3[[#This Row],[Date]])</f>
        <v>2</v>
      </c>
      <c r="E97">
        <v>3</v>
      </c>
      <c r="F97">
        <v>201</v>
      </c>
      <c r="G97">
        <v>0</v>
      </c>
      <c r="H97" t="s">
        <v>175</v>
      </c>
      <c r="I97">
        <v>0</v>
      </c>
      <c r="J97">
        <v>0</v>
      </c>
      <c r="K97" t="s">
        <v>175</v>
      </c>
      <c r="L97">
        <v>0</v>
      </c>
      <c r="M97">
        <v>0</v>
      </c>
      <c r="N97" t="s">
        <v>175</v>
      </c>
      <c r="O97">
        <v>0</v>
      </c>
      <c r="P97">
        <v>0</v>
      </c>
      <c r="Q97" t="s">
        <v>175</v>
      </c>
      <c r="R97">
        <v>0</v>
      </c>
      <c r="S97">
        <v>0</v>
      </c>
      <c r="T97" t="s">
        <v>175</v>
      </c>
      <c r="U97">
        <v>0</v>
      </c>
      <c r="V97">
        <v>0</v>
      </c>
      <c r="W97" t="s">
        <v>175</v>
      </c>
      <c r="X97">
        <v>0</v>
      </c>
      <c r="Y97">
        <v>0</v>
      </c>
    </row>
    <row r="98" spans="2:25" hidden="1" x14ac:dyDescent="0.3">
      <c r="B98">
        <v>966</v>
      </c>
      <c r="C98" s="13">
        <v>45111</v>
      </c>
      <c r="D98" s="13">
        <f>WEEKDAY(Table3[[#This Row],[Date]])</f>
        <v>3</v>
      </c>
      <c r="E98">
        <v>3</v>
      </c>
      <c r="F98">
        <v>201</v>
      </c>
      <c r="G98">
        <v>344</v>
      </c>
      <c r="H98" t="s">
        <v>650</v>
      </c>
      <c r="I98">
        <v>86</v>
      </c>
      <c r="J98">
        <v>79</v>
      </c>
      <c r="K98" t="s">
        <v>651</v>
      </c>
      <c r="L98">
        <v>82</v>
      </c>
      <c r="M98">
        <v>77</v>
      </c>
      <c r="N98" t="s">
        <v>652</v>
      </c>
      <c r="O98">
        <v>81</v>
      </c>
      <c r="P98">
        <v>76</v>
      </c>
      <c r="Q98" t="s">
        <v>653</v>
      </c>
      <c r="R98">
        <v>86</v>
      </c>
      <c r="S98">
        <v>80</v>
      </c>
      <c r="T98" t="s">
        <v>175</v>
      </c>
      <c r="U98">
        <v>0</v>
      </c>
      <c r="V98">
        <v>0</v>
      </c>
      <c r="W98" t="s">
        <v>175</v>
      </c>
      <c r="X98">
        <v>0</v>
      </c>
      <c r="Y98">
        <v>0</v>
      </c>
    </row>
    <row r="99" spans="2:25" x14ac:dyDescent="0.3">
      <c r="C99" s="13"/>
      <c r="D99" s="13"/>
    </row>
  </sheetData>
  <mergeCells count="3">
    <mergeCell ref="A1:B1"/>
    <mergeCell ref="H1:I1"/>
    <mergeCell ref="A2:B2"/>
  </mergeCells>
  <pageMargins left="0.7" right="0.7" top="0.75" bottom="0.75" header="0.3" footer="0.3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D17D8-E962-4303-8461-33633F6378BD}">
  <dimension ref="A1:P98"/>
  <sheetViews>
    <sheetView workbookViewId="0">
      <selection sqref="A1:B1"/>
    </sheetView>
  </sheetViews>
  <sheetFormatPr defaultRowHeight="14.4" x14ac:dyDescent="0.3"/>
  <cols>
    <col min="2" max="2" width="16.109375" customWidth="1"/>
    <col min="3" max="3" width="10.44140625" bestFit="1" customWidth="1"/>
    <col min="4" max="4" width="10.44140625" customWidth="1"/>
    <col min="6" max="6" width="16.6640625" customWidth="1"/>
    <col min="7" max="7" width="10.88671875" customWidth="1"/>
    <col min="8" max="8" width="14.109375" customWidth="1"/>
    <col min="9" max="9" width="12.5546875" customWidth="1"/>
    <col min="10" max="10" width="13.21875" customWidth="1"/>
    <col min="11" max="11" width="14.33203125" customWidth="1"/>
    <col min="12" max="12" width="12.5546875" customWidth="1"/>
    <col min="13" max="13" width="13.21875" customWidth="1"/>
    <col min="14" max="14" width="14" customWidth="1"/>
    <col min="15" max="15" width="12.5546875" customWidth="1"/>
    <col min="16" max="16" width="13.21875" customWidth="1"/>
  </cols>
  <sheetData>
    <row r="1" spans="1:16" ht="21" x14ac:dyDescent="0.4">
      <c r="A1" s="42" t="s">
        <v>61</v>
      </c>
      <c r="B1" s="42"/>
      <c r="D1" t="s">
        <v>852</v>
      </c>
      <c r="E1" s="15">
        <v>45390</v>
      </c>
      <c r="G1" t="s">
        <v>853</v>
      </c>
      <c r="H1" s="44" t="s">
        <v>849</v>
      </c>
      <c r="I1" s="44"/>
    </row>
    <row r="2" spans="1:16" x14ac:dyDescent="0.3">
      <c r="A2" s="44" t="s">
        <v>851</v>
      </c>
      <c r="B2" s="44"/>
    </row>
    <row r="5" spans="1:16" ht="21" x14ac:dyDescent="0.4">
      <c r="A5" t="s">
        <v>176</v>
      </c>
      <c r="H5" s="14" t="str">
        <f>ReadMeFirst!D1&amp;" "&amp;ReadMeFirst!E1</f>
        <v>Data Set L</v>
      </c>
    </row>
    <row r="11" spans="1:16" s="7" customFormat="1" ht="28.8" x14ac:dyDescent="0.3">
      <c r="B11" t="s">
        <v>177</v>
      </c>
      <c r="C11" s="7" t="s">
        <v>178</v>
      </c>
      <c r="D11" s="7" t="s">
        <v>822</v>
      </c>
      <c r="E11" s="7" t="s">
        <v>179</v>
      </c>
      <c r="F11" s="7" t="s">
        <v>180</v>
      </c>
      <c r="G11" s="7" t="s">
        <v>181</v>
      </c>
      <c r="H11" s="7" t="s">
        <v>191</v>
      </c>
      <c r="I11" s="7" t="s">
        <v>192</v>
      </c>
      <c r="J11" s="7" t="s">
        <v>193</v>
      </c>
      <c r="K11" s="7" t="s">
        <v>194</v>
      </c>
      <c r="L11" s="7" t="s">
        <v>195</v>
      </c>
      <c r="M11" s="7" t="s">
        <v>196</v>
      </c>
      <c r="N11" s="7" t="s">
        <v>197</v>
      </c>
      <c r="O11" s="7" t="s">
        <v>198</v>
      </c>
      <c r="P11" s="7" t="s">
        <v>199</v>
      </c>
    </row>
    <row r="12" spans="1:16" x14ac:dyDescent="0.3">
      <c r="B12">
        <v>870</v>
      </c>
      <c r="C12" s="15">
        <v>45083</v>
      </c>
      <c r="D12">
        <f>WEEKDAY(Table4[[#This Row],[Date]])</f>
        <v>3</v>
      </c>
      <c r="E12">
        <v>1</v>
      </c>
      <c r="F12">
        <v>105</v>
      </c>
      <c r="G12">
        <v>211</v>
      </c>
      <c r="H12" t="s">
        <v>271</v>
      </c>
      <c r="I12">
        <v>66</v>
      </c>
      <c r="J12">
        <v>64</v>
      </c>
      <c r="K12" t="s">
        <v>272</v>
      </c>
      <c r="L12">
        <v>72</v>
      </c>
      <c r="M12">
        <v>69</v>
      </c>
      <c r="N12" t="s">
        <v>273</v>
      </c>
      <c r="O12">
        <v>73</v>
      </c>
      <c r="P12">
        <v>70</v>
      </c>
    </row>
    <row r="13" spans="1:16" x14ac:dyDescent="0.3">
      <c r="B13">
        <v>871</v>
      </c>
      <c r="C13" s="15">
        <v>45084</v>
      </c>
      <c r="D13">
        <f>WEEKDAY(Table4[[#This Row],[Date]])</f>
        <v>4</v>
      </c>
      <c r="E13">
        <v>1</v>
      </c>
      <c r="F13">
        <v>105</v>
      </c>
      <c r="G13">
        <v>235</v>
      </c>
      <c r="H13" t="s">
        <v>175</v>
      </c>
      <c r="I13">
        <v>0</v>
      </c>
      <c r="J13">
        <v>0</v>
      </c>
      <c r="K13" t="s">
        <v>274</v>
      </c>
      <c r="L13">
        <v>111</v>
      </c>
      <c r="M13">
        <v>104</v>
      </c>
      <c r="N13" t="s">
        <v>275</v>
      </c>
      <c r="O13">
        <v>124</v>
      </c>
      <c r="P13">
        <v>117</v>
      </c>
    </row>
    <row r="14" spans="1:16" x14ac:dyDescent="0.3">
      <c r="B14">
        <v>872</v>
      </c>
      <c r="C14" s="15">
        <v>45085</v>
      </c>
      <c r="D14">
        <f>WEEKDAY(Table4[[#This Row],[Date]])</f>
        <v>5</v>
      </c>
      <c r="E14">
        <v>1</v>
      </c>
      <c r="F14">
        <v>105</v>
      </c>
      <c r="G14">
        <v>174</v>
      </c>
      <c r="H14" t="s">
        <v>276</v>
      </c>
      <c r="I14">
        <v>57</v>
      </c>
      <c r="J14">
        <v>53</v>
      </c>
      <c r="K14" t="s">
        <v>277</v>
      </c>
      <c r="L14">
        <v>56</v>
      </c>
      <c r="M14">
        <v>52</v>
      </c>
      <c r="N14" t="s">
        <v>278</v>
      </c>
      <c r="O14">
        <v>61</v>
      </c>
      <c r="P14">
        <v>56</v>
      </c>
    </row>
    <row r="15" spans="1:16" x14ac:dyDescent="0.3">
      <c r="B15">
        <v>873</v>
      </c>
      <c r="C15" s="15">
        <v>45086</v>
      </c>
      <c r="D15">
        <f>WEEKDAY(Table4[[#This Row],[Date]])</f>
        <v>6</v>
      </c>
      <c r="E15">
        <v>1</v>
      </c>
      <c r="F15">
        <v>105</v>
      </c>
      <c r="G15">
        <v>259</v>
      </c>
      <c r="H15" t="s">
        <v>279</v>
      </c>
      <c r="I15">
        <v>88</v>
      </c>
      <c r="J15">
        <v>83</v>
      </c>
      <c r="K15" t="s">
        <v>280</v>
      </c>
      <c r="L15">
        <v>84</v>
      </c>
      <c r="M15">
        <v>78</v>
      </c>
      <c r="N15" t="s">
        <v>281</v>
      </c>
      <c r="O15">
        <v>87</v>
      </c>
      <c r="P15">
        <v>84</v>
      </c>
    </row>
    <row r="16" spans="1:16" x14ac:dyDescent="0.3">
      <c r="B16">
        <v>874</v>
      </c>
      <c r="C16" s="15">
        <v>45087</v>
      </c>
      <c r="D16">
        <f>WEEKDAY(Table4[[#This Row],[Date]])</f>
        <v>7</v>
      </c>
      <c r="E16">
        <v>1</v>
      </c>
      <c r="F16">
        <v>105</v>
      </c>
      <c r="G16">
        <v>209</v>
      </c>
      <c r="H16" t="s">
        <v>282</v>
      </c>
      <c r="I16">
        <v>68</v>
      </c>
      <c r="J16">
        <v>65</v>
      </c>
      <c r="K16" t="s">
        <v>283</v>
      </c>
      <c r="L16">
        <v>68</v>
      </c>
      <c r="M16">
        <v>64</v>
      </c>
      <c r="N16" t="s">
        <v>284</v>
      </c>
      <c r="O16">
        <v>73</v>
      </c>
      <c r="P16">
        <v>68</v>
      </c>
    </row>
    <row r="17" spans="2:16" x14ac:dyDescent="0.3">
      <c r="B17">
        <v>875</v>
      </c>
      <c r="C17" s="15">
        <v>45088</v>
      </c>
      <c r="D17">
        <f>WEEKDAY(Table4[[#This Row],[Date]])</f>
        <v>1</v>
      </c>
      <c r="E17">
        <v>1</v>
      </c>
      <c r="F17">
        <v>105</v>
      </c>
      <c r="G17">
        <v>120</v>
      </c>
      <c r="H17" t="s">
        <v>285</v>
      </c>
      <c r="I17">
        <v>63</v>
      </c>
      <c r="J17">
        <v>61</v>
      </c>
      <c r="K17" t="s">
        <v>175</v>
      </c>
      <c r="L17">
        <v>0</v>
      </c>
      <c r="M17">
        <v>0</v>
      </c>
      <c r="N17" t="s">
        <v>286</v>
      </c>
      <c r="O17">
        <v>57</v>
      </c>
      <c r="P17">
        <v>54</v>
      </c>
    </row>
    <row r="18" spans="2:16" x14ac:dyDescent="0.3">
      <c r="B18">
        <v>876</v>
      </c>
      <c r="C18" s="15">
        <v>45089</v>
      </c>
      <c r="D18">
        <f>WEEKDAY(Table4[[#This Row],[Date]])</f>
        <v>2</v>
      </c>
      <c r="E18">
        <v>1</v>
      </c>
      <c r="F18">
        <v>105</v>
      </c>
      <c r="G18">
        <v>101</v>
      </c>
      <c r="H18" t="s">
        <v>287</v>
      </c>
      <c r="I18">
        <v>35</v>
      </c>
      <c r="J18">
        <v>32</v>
      </c>
      <c r="K18" t="s">
        <v>288</v>
      </c>
      <c r="L18">
        <v>33</v>
      </c>
      <c r="M18">
        <v>31</v>
      </c>
      <c r="N18" t="s">
        <v>289</v>
      </c>
      <c r="O18">
        <v>33</v>
      </c>
      <c r="P18">
        <v>31</v>
      </c>
    </row>
    <row r="19" spans="2:16" x14ac:dyDescent="0.3">
      <c r="B19">
        <v>877</v>
      </c>
      <c r="C19" s="15">
        <v>45090</v>
      </c>
      <c r="D19">
        <f>WEEKDAY(Table4[[#This Row],[Date]])</f>
        <v>3</v>
      </c>
      <c r="E19">
        <v>1</v>
      </c>
      <c r="F19">
        <v>105</v>
      </c>
      <c r="G19">
        <v>248</v>
      </c>
      <c r="H19" t="s">
        <v>290</v>
      </c>
      <c r="I19">
        <v>80</v>
      </c>
      <c r="J19">
        <v>77</v>
      </c>
      <c r="K19" t="s">
        <v>291</v>
      </c>
      <c r="L19">
        <v>80</v>
      </c>
      <c r="M19">
        <v>78</v>
      </c>
      <c r="N19" t="s">
        <v>292</v>
      </c>
      <c r="O19">
        <v>88</v>
      </c>
      <c r="P19">
        <v>85</v>
      </c>
    </row>
    <row r="20" spans="2:16" x14ac:dyDescent="0.3">
      <c r="B20">
        <v>878</v>
      </c>
      <c r="C20" s="15">
        <v>45091</v>
      </c>
      <c r="D20">
        <f>WEEKDAY(Table4[[#This Row],[Date]])</f>
        <v>4</v>
      </c>
      <c r="E20">
        <v>1</v>
      </c>
      <c r="F20">
        <v>105</v>
      </c>
      <c r="G20">
        <v>224</v>
      </c>
      <c r="H20" t="s">
        <v>654</v>
      </c>
      <c r="I20">
        <v>71</v>
      </c>
      <c r="J20">
        <v>68</v>
      </c>
      <c r="K20" t="s">
        <v>293</v>
      </c>
      <c r="L20">
        <v>78</v>
      </c>
      <c r="M20">
        <v>74</v>
      </c>
      <c r="N20" t="s">
        <v>294</v>
      </c>
      <c r="O20">
        <v>75</v>
      </c>
      <c r="P20">
        <v>71</v>
      </c>
    </row>
    <row r="21" spans="2:16" x14ac:dyDescent="0.3">
      <c r="B21">
        <v>879</v>
      </c>
      <c r="C21" s="15">
        <v>45092</v>
      </c>
      <c r="D21">
        <f>WEEKDAY(Table4[[#This Row],[Date]])</f>
        <v>5</v>
      </c>
      <c r="E21">
        <v>1</v>
      </c>
      <c r="F21">
        <v>105</v>
      </c>
      <c r="G21">
        <v>226</v>
      </c>
      <c r="H21" t="s">
        <v>295</v>
      </c>
      <c r="I21">
        <v>74</v>
      </c>
      <c r="J21">
        <v>68</v>
      </c>
      <c r="K21" t="s">
        <v>296</v>
      </c>
      <c r="L21">
        <v>73</v>
      </c>
      <c r="M21">
        <v>66</v>
      </c>
      <c r="N21" t="s">
        <v>297</v>
      </c>
      <c r="O21">
        <v>79</v>
      </c>
      <c r="P21">
        <v>74</v>
      </c>
    </row>
    <row r="22" spans="2:16" x14ac:dyDescent="0.3">
      <c r="B22">
        <v>880</v>
      </c>
      <c r="C22" s="15">
        <v>45093</v>
      </c>
      <c r="D22">
        <f>WEEKDAY(Table4[[#This Row],[Date]])</f>
        <v>6</v>
      </c>
      <c r="E22">
        <v>1</v>
      </c>
      <c r="F22">
        <v>105</v>
      </c>
      <c r="G22">
        <v>226</v>
      </c>
      <c r="H22" t="s">
        <v>298</v>
      </c>
      <c r="I22">
        <v>73</v>
      </c>
      <c r="J22">
        <v>68</v>
      </c>
      <c r="K22" t="s">
        <v>299</v>
      </c>
      <c r="L22">
        <v>73</v>
      </c>
      <c r="M22">
        <v>68</v>
      </c>
      <c r="N22" t="s">
        <v>300</v>
      </c>
      <c r="O22">
        <v>80</v>
      </c>
      <c r="P22">
        <v>75</v>
      </c>
    </row>
    <row r="23" spans="2:16" x14ac:dyDescent="0.3">
      <c r="B23">
        <v>881</v>
      </c>
      <c r="C23" s="15">
        <v>45094</v>
      </c>
      <c r="D23">
        <f>WEEKDAY(Table4[[#This Row],[Date]])</f>
        <v>7</v>
      </c>
      <c r="E23">
        <v>1</v>
      </c>
      <c r="F23">
        <v>105</v>
      </c>
      <c r="G23">
        <v>218</v>
      </c>
      <c r="H23" t="s">
        <v>301</v>
      </c>
      <c r="I23">
        <v>75</v>
      </c>
      <c r="J23">
        <v>72</v>
      </c>
      <c r="K23" t="s">
        <v>302</v>
      </c>
      <c r="L23">
        <v>74</v>
      </c>
      <c r="M23">
        <v>71</v>
      </c>
      <c r="N23" t="s">
        <v>303</v>
      </c>
      <c r="O23">
        <v>69</v>
      </c>
      <c r="P23">
        <v>66</v>
      </c>
    </row>
    <row r="24" spans="2:16" x14ac:dyDescent="0.3">
      <c r="B24">
        <v>882</v>
      </c>
      <c r="C24" s="15">
        <v>45095</v>
      </c>
      <c r="D24">
        <f>WEEKDAY(Table4[[#This Row],[Date]])</f>
        <v>1</v>
      </c>
      <c r="E24">
        <v>1</v>
      </c>
      <c r="F24">
        <v>105</v>
      </c>
      <c r="G24">
        <v>87</v>
      </c>
      <c r="H24" t="s">
        <v>304</v>
      </c>
      <c r="I24">
        <v>41</v>
      </c>
      <c r="J24">
        <v>37</v>
      </c>
      <c r="K24" t="s">
        <v>175</v>
      </c>
      <c r="L24">
        <v>0</v>
      </c>
      <c r="M24">
        <v>0</v>
      </c>
      <c r="N24" t="s">
        <v>305</v>
      </c>
      <c r="O24">
        <v>46</v>
      </c>
      <c r="P24">
        <v>43</v>
      </c>
    </row>
    <row r="25" spans="2:16" x14ac:dyDescent="0.3">
      <c r="B25">
        <v>883</v>
      </c>
      <c r="C25" s="15">
        <v>45096</v>
      </c>
      <c r="D25">
        <f>WEEKDAY(Table4[[#This Row],[Date]])</f>
        <v>2</v>
      </c>
      <c r="E25">
        <v>1</v>
      </c>
      <c r="F25">
        <v>105</v>
      </c>
      <c r="G25">
        <v>124</v>
      </c>
      <c r="H25" t="s">
        <v>306</v>
      </c>
      <c r="I25">
        <v>59</v>
      </c>
      <c r="J25">
        <v>56</v>
      </c>
      <c r="K25" t="s">
        <v>175</v>
      </c>
      <c r="L25">
        <v>0</v>
      </c>
      <c r="M25">
        <v>0</v>
      </c>
      <c r="N25" t="s">
        <v>307</v>
      </c>
      <c r="O25">
        <v>65</v>
      </c>
      <c r="P25">
        <v>63</v>
      </c>
    </row>
    <row r="26" spans="2:16" x14ac:dyDescent="0.3">
      <c r="B26">
        <v>884</v>
      </c>
      <c r="C26" s="15">
        <v>45097</v>
      </c>
      <c r="D26">
        <f>WEEKDAY(Table4[[#This Row],[Date]])</f>
        <v>3</v>
      </c>
      <c r="E26">
        <v>1</v>
      </c>
      <c r="F26">
        <v>105</v>
      </c>
      <c r="G26">
        <v>209</v>
      </c>
      <c r="H26" t="s">
        <v>308</v>
      </c>
      <c r="I26">
        <v>67</v>
      </c>
      <c r="J26">
        <v>64</v>
      </c>
      <c r="K26" t="s">
        <v>655</v>
      </c>
      <c r="L26">
        <v>68</v>
      </c>
      <c r="M26">
        <v>65</v>
      </c>
      <c r="N26" t="s">
        <v>309</v>
      </c>
      <c r="O26">
        <v>74</v>
      </c>
      <c r="P26">
        <v>69</v>
      </c>
    </row>
    <row r="27" spans="2:16" x14ac:dyDescent="0.3">
      <c r="B27">
        <v>885</v>
      </c>
      <c r="C27" s="15">
        <v>45098</v>
      </c>
      <c r="D27">
        <f>WEEKDAY(Table4[[#This Row],[Date]])</f>
        <v>4</v>
      </c>
      <c r="E27">
        <v>1</v>
      </c>
      <c r="F27">
        <v>105</v>
      </c>
      <c r="G27">
        <v>187</v>
      </c>
      <c r="H27" t="s">
        <v>175</v>
      </c>
      <c r="I27">
        <v>0</v>
      </c>
      <c r="J27">
        <v>0</v>
      </c>
      <c r="K27" t="s">
        <v>310</v>
      </c>
      <c r="L27">
        <v>97</v>
      </c>
      <c r="M27">
        <v>91</v>
      </c>
      <c r="N27" t="s">
        <v>311</v>
      </c>
      <c r="O27">
        <v>90</v>
      </c>
      <c r="P27">
        <v>85</v>
      </c>
    </row>
    <row r="28" spans="2:16" x14ac:dyDescent="0.3">
      <c r="B28">
        <v>886</v>
      </c>
      <c r="C28" s="15">
        <v>45099</v>
      </c>
      <c r="D28">
        <f>WEEKDAY(Table4[[#This Row],[Date]])</f>
        <v>5</v>
      </c>
      <c r="E28">
        <v>1</v>
      </c>
      <c r="F28">
        <v>105</v>
      </c>
      <c r="G28">
        <v>211</v>
      </c>
      <c r="H28" t="s">
        <v>312</v>
      </c>
      <c r="I28">
        <v>67</v>
      </c>
      <c r="J28">
        <v>61</v>
      </c>
      <c r="K28" t="s">
        <v>313</v>
      </c>
      <c r="L28">
        <v>71</v>
      </c>
      <c r="M28">
        <v>65</v>
      </c>
      <c r="N28" t="s">
        <v>314</v>
      </c>
      <c r="O28">
        <v>73</v>
      </c>
      <c r="P28">
        <v>66</v>
      </c>
    </row>
    <row r="29" spans="2:16" x14ac:dyDescent="0.3">
      <c r="B29">
        <v>887</v>
      </c>
      <c r="C29" s="15">
        <v>45100</v>
      </c>
      <c r="D29">
        <f>WEEKDAY(Table4[[#This Row],[Date]])</f>
        <v>6</v>
      </c>
      <c r="E29">
        <v>1</v>
      </c>
      <c r="F29">
        <v>105</v>
      </c>
      <c r="G29">
        <v>177</v>
      </c>
      <c r="H29" t="s">
        <v>315</v>
      </c>
      <c r="I29">
        <v>56</v>
      </c>
      <c r="J29">
        <v>54</v>
      </c>
      <c r="K29" t="s">
        <v>316</v>
      </c>
      <c r="L29">
        <v>56</v>
      </c>
      <c r="M29">
        <v>53</v>
      </c>
      <c r="N29" t="s">
        <v>317</v>
      </c>
      <c r="O29">
        <v>65</v>
      </c>
      <c r="P29">
        <v>61</v>
      </c>
    </row>
    <row r="30" spans="2:16" x14ac:dyDescent="0.3">
      <c r="B30">
        <v>888</v>
      </c>
      <c r="C30" s="15">
        <v>45101</v>
      </c>
      <c r="D30">
        <f>WEEKDAY(Table4[[#This Row],[Date]])</f>
        <v>7</v>
      </c>
      <c r="E30">
        <v>1</v>
      </c>
      <c r="F30">
        <v>105</v>
      </c>
      <c r="G30">
        <v>250</v>
      </c>
      <c r="H30" t="s">
        <v>318</v>
      </c>
      <c r="I30">
        <v>82</v>
      </c>
      <c r="J30">
        <v>75</v>
      </c>
      <c r="K30" t="s">
        <v>319</v>
      </c>
      <c r="L30">
        <v>79</v>
      </c>
      <c r="M30">
        <v>73</v>
      </c>
      <c r="N30" t="s">
        <v>320</v>
      </c>
      <c r="O30">
        <v>89</v>
      </c>
      <c r="P30">
        <v>81</v>
      </c>
    </row>
    <row r="31" spans="2:16" x14ac:dyDescent="0.3">
      <c r="B31">
        <v>889</v>
      </c>
      <c r="C31" s="15">
        <v>45102</v>
      </c>
      <c r="D31">
        <f>WEEKDAY(Table4[[#This Row],[Date]])</f>
        <v>1</v>
      </c>
      <c r="E31">
        <v>1</v>
      </c>
      <c r="F31">
        <v>105</v>
      </c>
      <c r="G31">
        <v>117</v>
      </c>
      <c r="H31" t="s">
        <v>321</v>
      </c>
      <c r="I31">
        <v>40</v>
      </c>
      <c r="J31">
        <v>38</v>
      </c>
      <c r="K31" t="s">
        <v>322</v>
      </c>
      <c r="L31">
        <v>39</v>
      </c>
      <c r="M31">
        <v>37</v>
      </c>
      <c r="N31" t="s">
        <v>323</v>
      </c>
      <c r="O31">
        <v>38</v>
      </c>
      <c r="P31">
        <v>36</v>
      </c>
    </row>
    <row r="32" spans="2:16" x14ac:dyDescent="0.3">
      <c r="B32">
        <v>890</v>
      </c>
      <c r="C32" s="15">
        <v>45103</v>
      </c>
      <c r="D32">
        <f>WEEKDAY(Table4[[#This Row],[Date]])</f>
        <v>2</v>
      </c>
      <c r="E32">
        <v>1</v>
      </c>
      <c r="F32">
        <v>105</v>
      </c>
      <c r="G32">
        <v>102</v>
      </c>
      <c r="H32" t="s">
        <v>324</v>
      </c>
      <c r="I32">
        <v>34</v>
      </c>
      <c r="J32">
        <v>32</v>
      </c>
      <c r="K32" t="s">
        <v>325</v>
      </c>
      <c r="L32">
        <v>34</v>
      </c>
      <c r="M32">
        <v>32</v>
      </c>
      <c r="N32" t="s">
        <v>326</v>
      </c>
      <c r="O32">
        <v>34</v>
      </c>
      <c r="P32">
        <v>32</v>
      </c>
    </row>
    <row r="33" spans="2:16" x14ac:dyDescent="0.3">
      <c r="B33">
        <v>891</v>
      </c>
      <c r="C33" s="15">
        <v>45104</v>
      </c>
      <c r="D33">
        <f>WEEKDAY(Table4[[#This Row],[Date]])</f>
        <v>3</v>
      </c>
      <c r="E33">
        <v>1</v>
      </c>
      <c r="F33">
        <v>105</v>
      </c>
      <c r="G33">
        <v>259</v>
      </c>
      <c r="H33" t="s">
        <v>327</v>
      </c>
      <c r="I33">
        <v>89</v>
      </c>
      <c r="J33">
        <v>87</v>
      </c>
      <c r="K33" t="s">
        <v>328</v>
      </c>
      <c r="L33">
        <v>82</v>
      </c>
      <c r="M33">
        <v>78</v>
      </c>
      <c r="N33" t="s">
        <v>329</v>
      </c>
      <c r="O33">
        <v>88</v>
      </c>
      <c r="P33">
        <v>87</v>
      </c>
    </row>
    <row r="34" spans="2:16" x14ac:dyDescent="0.3">
      <c r="B34">
        <v>892</v>
      </c>
      <c r="C34" s="15">
        <v>45105</v>
      </c>
      <c r="D34">
        <f>WEEKDAY(Table4[[#This Row],[Date]])</f>
        <v>4</v>
      </c>
      <c r="E34">
        <v>1</v>
      </c>
      <c r="F34">
        <v>105</v>
      </c>
      <c r="G34">
        <v>228</v>
      </c>
      <c r="H34" t="s">
        <v>330</v>
      </c>
      <c r="I34">
        <v>117</v>
      </c>
      <c r="J34">
        <v>113</v>
      </c>
      <c r="K34" t="s">
        <v>175</v>
      </c>
      <c r="L34">
        <v>0</v>
      </c>
      <c r="M34">
        <v>0</v>
      </c>
      <c r="N34" t="s">
        <v>331</v>
      </c>
      <c r="O34">
        <v>111</v>
      </c>
      <c r="P34">
        <v>106</v>
      </c>
    </row>
    <row r="35" spans="2:16" x14ac:dyDescent="0.3">
      <c r="B35">
        <v>893</v>
      </c>
      <c r="C35" s="15">
        <v>45106</v>
      </c>
      <c r="D35">
        <f>WEEKDAY(Table4[[#This Row],[Date]])</f>
        <v>5</v>
      </c>
      <c r="E35">
        <v>1</v>
      </c>
      <c r="F35">
        <v>105</v>
      </c>
      <c r="G35">
        <v>187</v>
      </c>
      <c r="H35" t="s">
        <v>656</v>
      </c>
      <c r="I35">
        <v>64</v>
      </c>
      <c r="J35">
        <v>61</v>
      </c>
      <c r="K35" t="s">
        <v>332</v>
      </c>
      <c r="L35">
        <v>62</v>
      </c>
      <c r="M35">
        <v>58</v>
      </c>
      <c r="N35" t="s">
        <v>333</v>
      </c>
      <c r="O35">
        <v>61</v>
      </c>
      <c r="P35">
        <v>59</v>
      </c>
    </row>
    <row r="36" spans="2:16" x14ac:dyDescent="0.3">
      <c r="B36">
        <v>894</v>
      </c>
      <c r="C36" s="15">
        <v>45107</v>
      </c>
      <c r="D36">
        <f>WEEKDAY(Table4[[#This Row],[Date]])</f>
        <v>6</v>
      </c>
      <c r="E36">
        <v>1</v>
      </c>
      <c r="F36">
        <v>105</v>
      </c>
      <c r="G36">
        <v>179</v>
      </c>
      <c r="H36" t="s">
        <v>657</v>
      </c>
      <c r="I36">
        <v>57</v>
      </c>
      <c r="J36">
        <v>55</v>
      </c>
      <c r="K36" t="s">
        <v>334</v>
      </c>
      <c r="L36">
        <v>56</v>
      </c>
      <c r="M36">
        <v>53</v>
      </c>
      <c r="N36" t="s">
        <v>335</v>
      </c>
      <c r="O36">
        <v>66</v>
      </c>
      <c r="P36">
        <v>64</v>
      </c>
    </row>
    <row r="37" spans="2:16" x14ac:dyDescent="0.3">
      <c r="B37">
        <v>895</v>
      </c>
      <c r="C37" s="15">
        <v>45108</v>
      </c>
      <c r="D37">
        <f>WEEKDAY(Table4[[#This Row],[Date]])</f>
        <v>7</v>
      </c>
      <c r="E37">
        <v>1</v>
      </c>
      <c r="F37">
        <v>105</v>
      </c>
      <c r="G37">
        <v>246</v>
      </c>
      <c r="H37" t="s">
        <v>336</v>
      </c>
      <c r="I37">
        <v>82</v>
      </c>
      <c r="J37">
        <v>77</v>
      </c>
      <c r="K37" t="s">
        <v>337</v>
      </c>
      <c r="L37">
        <v>79</v>
      </c>
      <c r="M37">
        <v>74</v>
      </c>
      <c r="N37" t="s">
        <v>338</v>
      </c>
      <c r="O37">
        <v>85</v>
      </c>
      <c r="P37">
        <v>79</v>
      </c>
    </row>
    <row r="38" spans="2:16" x14ac:dyDescent="0.3">
      <c r="B38">
        <v>896</v>
      </c>
      <c r="C38" s="15">
        <v>45109</v>
      </c>
      <c r="D38">
        <f>WEEKDAY(Table4[[#This Row],[Date]])</f>
        <v>1</v>
      </c>
      <c r="E38">
        <v>1</v>
      </c>
      <c r="F38">
        <v>105</v>
      </c>
      <c r="G38">
        <v>113</v>
      </c>
      <c r="H38" t="s">
        <v>339</v>
      </c>
      <c r="I38">
        <v>39</v>
      </c>
      <c r="J38">
        <v>37</v>
      </c>
      <c r="K38" t="s">
        <v>340</v>
      </c>
      <c r="L38">
        <v>38</v>
      </c>
      <c r="M38">
        <v>36</v>
      </c>
      <c r="N38" t="s">
        <v>341</v>
      </c>
      <c r="O38">
        <v>36</v>
      </c>
      <c r="P38">
        <v>34</v>
      </c>
    </row>
    <row r="39" spans="2:16" x14ac:dyDescent="0.3">
      <c r="B39">
        <v>897</v>
      </c>
      <c r="C39" s="15">
        <v>45110</v>
      </c>
      <c r="D39">
        <f>WEEKDAY(Table4[[#This Row],[Date]])</f>
        <v>2</v>
      </c>
      <c r="E39">
        <v>1</v>
      </c>
      <c r="F39">
        <v>105</v>
      </c>
      <c r="G39">
        <v>88</v>
      </c>
      <c r="H39" t="s">
        <v>342</v>
      </c>
      <c r="I39">
        <v>30</v>
      </c>
      <c r="J39">
        <v>28</v>
      </c>
      <c r="K39" t="s">
        <v>343</v>
      </c>
      <c r="L39">
        <v>30</v>
      </c>
      <c r="M39">
        <v>28</v>
      </c>
      <c r="N39" t="s">
        <v>344</v>
      </c>
      <c r="O39">
        <v>28</v>
      </c>
      <c r="P39">
        <v>26</v>
      </c>
    </row>
    <row r="40" spans="2:16" x14ac:dyDescent="0.3">
      <c r="B40">
        <v>898</v>
      </c>
      <c r="C40" s="15">
        <v>45111</v>
      </c>
      <c r="D40">
        <f>WEEKDAY(Table4[[#This Row],[Date]])</f>
        <v>3</v>
      </c>
      <c r="E40">
        <v>1</v>
      </c>
      <c r="F40">
        <v>105</v>
      </c>
      <c r="G40">
        <v>213</v>
      </c>
      <c r="H40" t="s">
        <v>345</v>
      </c>
      <c r="I40">
        <v>73</v>
      </c>
      <c r="J40">
        <v>68</v>
      </c>
      <c r="K40" t="s">
        <v>346</v>
      </c>
      <c r="L40">
        <v>68</v>
      </c>
      <c r="M40">
        <v>65</v>
      </c>
      <c r="N40" t="s">
        <v>347</v>
      </c>
      <c r="O40">
        <v>72</v>
      </c>
      <c r="P40">
        <v>69</v>
      </c>
    </row>
    <row r="41" spans="2:16" x14ac:dyDescent="0.3">
      <c r="B41">
        <v>899</v>
      </c>
      <c r="C41" s="15">
        <v>45083</v>
      </c>
      <c r="D41">
        <f>WEEKDAY(Table4[[#This Row],[Date]])</f>
        <v>3</v>
      </c>
      <c r="E41">
        <v>2</v>
      </c>
      <c r="F41">
        <v>105</v>
      </c>
      <c r="G41">
        <v>211</v>
      </c>
      <c r="H41" t="s">
        <v>658</v>
      </c>
      <c r="I41">
        <v>68</v>
      </c>
      <c r="J41">
        <v>65</v>
      </c>
      <c r="K41" t="s">
        <v>659</v>
      </c>
      <c r="L41">
        <v>71</v>
      </c>
      <c r="M41">
        <v>68</v>
      </c>
      <c r="N41" t="s">
        <v>660</v>
      </c>
      <c r="O41">
        <v>72</v>
      </c>
      <c r="P41">
        <v>69</v>
      </c>
    </row>
    <row r="42" spans="2:16" x14ac:dyDescent="0.3">
      <c r="B42">
        <v>900</v>
      </c>
      <c r="C42" s="15">
        <v>45084</v>
      </c>
      <c r="D42">
        <f>WEEKDAY(Table4[[#This Row],[Date]])</f>
        <v>4</v>
      </c>
      <c r="E42">
        <v>2</v>
      </c>
      <c r="F42">
        <v>105</v>
      </c>
      <c r="G42">
        <v>162</v>
      </c>
      <c r="H42" t="s">
        <v>661</v>
      </c>
      <c r="I42">
        <v>51</v>
      </c>
      <c r="J42">
        <v>47</v>
      </c>
      <c r="K42" t="s">
        <v>662</v>
      </c>
      <c r="L42">
        <v>52</v>
      </c>
      <c r="M42">
        <v>47</v>
      </c>
      <c r="N42" t="s">
        <v>663</v>
      </c>
      <c r="O42">
        <v>59</v>
      </c>
      <c r="P42">
        <v>55</v>
      </c>
    </row>
    <row r="43" spans="2:16" x14ac:dyDescent="0.3">
      <c r="B43">
        <v>901</v>
      </c>
      <c r="C43" s="15">
        <v>45085</v>
      </c>
      <c r="D43">
        <f>WEEKDAY(Table4[[#This Row],[Date]])</f>
        <v>5</v>
      </c>
      <c r="E43">
        <v>2</v>
      </c>
      <c r="F43">
        <v>105</v>
      </c>
      <c r="G43">
        <v>154</v>
      </c>
      <c r="H43" t="s">
        <v>664</v>
      </c>
      <c r="I43">
        <v>52</v>
      </c>
      <c r="J43">
        <v>50</v>
      </c>
      <c r="K43" t="s">
        <v>665</v>
      </c>
      <c r="L43">
        <v>52</v>
      </c>
      <c r="M43">
        <v>50</v>
      </c>
      <c r="N43" t="s">
        <v>666</v>
      </c>
      <c r="O43">
        <v>50</v>
      </c>
      <c r="P43">
        <v>49</v>
      </c>
    </row>
    <row r="44" spans="2:16" x14ac:dyDescent="0.3">
      <c r="B44">
        <v>902</v>
      </c>
      <c r="C44" s="15">
        <v>45086</v>
      </c>
      <c r="D44">
        <f>WEEKDAY(Table4[[#This Row],[Date]])</f>
        <v>6</v>
      </c>
      <c r="E44">
        <v>2</v>
      </c>
      <c r="F44">
        <v>105</v>
      </c>
      <c r="G44">
        <v>181</v>
      </c>
      <c r="H44" t="s">
        <v>667</v>
      </c>
      <c r="I44">
        <v>59</v>
      </c>
      <c r="J44">
        <v>55</v>
      </c>
      <c r="K44" t="s">
        <v>668</v>
      </c>
      <c r="L44">
        <v>59</v>
      </c>
      <c r="M44">
        <v>56</v>
      </c>
      <c r="N44" t="s">
        <v>669</v>
      </c>
      <c r="O44">
        <v>63</v>
      </c>
      <c r="P44">
        <v>61</v>
      </c>
    </row>
    <row r="45" spans="2:16" x14ac:dyDescent="0.3">
      <c r="B45">
        <v>903</v>
      </c>
      <c r="C45" s="15">
        <v>45087</v>
      </c>
      <c r="D45">
        <f>WEEKDAY(Table4[[#This Row],[Date]])</f>
        <v>7</v>
      </c>
      <c r="E45">
        <v>2</v>
      </c>
      <c r="F45">
        <v>105</v>
      </c>
      <c r="G45">
        <v>158</v>
      </c>
      <c r="H45" t="s">
        <v>670</v>
      </c>
      <c r="I45">
        <v>78</v>
      </c>
      <c r="J45">
        <v>75</v>
      </c>
      <c r="K45" t="s">
        <v>175</v>
      </c>
      <c r="L45">
        <v>0</v>
      </c>
      <c r="M45">
        <v>0</v>
      </c>
      <c r="N45" t="s">
        <v>671</v>
      </c>
      <c r="O45">
        <v>80</v>
      </c>
      <c r="P45">
        <v>75</v>
      </c>
    </row>
    <row r="46" spans="2:16" x14ac:dyDescent="0.3">
      <c r="B46">
        <v>904</v>
      </c>
      <c r="C46" s="15">
        <v>45088</v>
      </c>
      <c r="D46">
        <f>WEEKDAY(Table4[[#This Row],[Date]])</f>
        <v>1</v>
      </c>
      <c r="E46">
        <v>2</v>
      </c>
      <c r="F46">
        <v>105</v>
      </c>
      <c r="G46">
        <v>76</v>
      </c>
      <c r="H46" t="s">
        <v>672</v>
      </c>
      <c r="I46">
        <v>24</v>
      </c>
      <c r="J46">
        <v>23</v>
      </c>
      <c r="K46" t="s">
        <v>673</v>
      </c>
      <c r="L46">
        <v>25</v>
      </c>
      <c r="M46">
        <v>23</v>
      </c>
      <c r="N46" t="s">
        <v>674</v>
      </c>
      <c r="O46">
        <v>27</v>
      </c>
      <c r="P46">
        <v>25</v>
      </c>
    </row>
    <row r="47" spans="2:16" x14ac:dyDescent="0.3">
      <c r="B47">
        <v>905</v>
      </c>
      <c r="C47" s="15">
        <v>45089</v>
      </c>
      <c r="D47">
        <f>WEEKDAY(Table4[[#This Row],[Date]])</f>
        <v>2</v>
      </c>
      <c r="E47">
        <v>2</v>
      </c>
      <c r="F47">
        <v>105</v>
      </c>
      <c r="G47">
        <v>69</v>
      </c>
      <c r="H47" t="s">
        <v>175</v>
      </c>
      <c r="I47">
        <v>0</v>
      </c>
      <c r="J47">
        <v>0</v>
      </c>
      <c r="K47" t="s">
        <v>675</v>
      </c>
      <c r="L47">
        <v>34</v>
      </c>
      <c r="M47">
        <v>31</v>
      </c>
      <c r="N47" t="s">
        <v>676</v>
      </c>
      <c r="O47">
        <v>35</v>
      </c>
      <c r="P47">
        <v>33</v>
      </c>
    </row>
    <row r="48" spans="2:16" x14ac:dyDescent="0.3">
      <c r="B48">
        <v>906</v>
      </c>
      <c r="C48" s="15">
        <v>45090</v>
      </c>
      <c r="D48">
        <f>WEEKDAY(Table4[[#This Row],[Date]])</f>
        <v>3</v>
      </c>
      <c r="E48">
        <v>2</v>
      </c>
      <c r="F48">
        <v>105</v>
      </c>
      <c r="G48">
        <v>166</v>
      </c>
      <c r="H48" t="s">
        <v>175</v>
      </c>
      <c r="I48">
        <v>0</v>
      </c>
      <c r="J48">
        <v>0</v>
      </c>
      <c r="K48" t="s">
        <v>677</v>
      </c>
      <c r="L48">
        <v>80</v>
      </c>
      <c r="M48">
        <v>72</v>
      </c>
      <c r="N48" t="s">
        <v>678</v>
      </c>
      <c r="O48">
        <v>86</v>
      </c>
      <c r="P48">
        <v>78</v>
      </c>
    </row>
    <row r="49" spans="2:16" x14ac:dyDescent="0.3">
      <c r="B49">
        <v>907</v>
      </c>
      <c r="C49" s="15">
        <v>45091</v>
      </c>
      <c r="D49">
        <f>WEEKDAY(Table4[[#This Row],[Date]])</f>
        <v>4</v>
      </c>
      <c r="E49">
        <v>2</v>
      </c>
      <c r="F49">
        <v>105</v>
      </c>
      <c r="G49">
        <v>156</v>
      </c>
      <c r="H49" t="s">
        <v>679</v>
      </c>
      <c r="I49">
        <v>54</v>
      </c>
      <c r="J49">
        <v>51</v>
      </c>
      <c r="K49" t="s">
        <v>680</v>
      </c>
      <c r="L49">
        <v>52</v>
      </c>
      <c r="M49">
        <v>49</v>
      </c>
      <c r="N49" t="s">
        <v>681</v>
      </c>
      <c r="O49">
        <v>50</v>
      </c>
      <c r="P49">
        <v>48</v>
      </c>
    </row>
    <row r="50" spans="2:16" x14ac:dyDescent="0.3">
      <c r="B50">
        <v>908</v>
      </c>
      <c r="C50" s="15">
        <v>45092</v>
      </c>
      <c r="D50">
        <f>WEEKDAY(Table4[[#This Row],[Date]])</f>
        <v>5</v>
      </c>
      <c r="E50">
        <v>2</v>
      </c>
      <c r="F50">
        <v>105</v>
      </c>
      <c r="G50">
        <v>190</v>
      </c>
      <c r="H50" t="s">
        <v>682</v>
      </c>
      <c r="I50">
        <v>60</v>
      </c>
      <c r="J50">
        <v>56</v>
      </c>
      <c r="K50" t="s">
        <v>683</v>
      </c>
      <c r="L50">
        <v>64</v>
      </c>
      <c r="M50">
        <v>58</v>
      </c>
      <c r="N50" t="s">
        <v>684</v>
      </c>
      <c r="O50">
        <v>66</v>
      </c>
      <c r="P50">
        <v>60</v>
      </c>
    </row>
    <row r="51" spans="2:16" x14ac:dyDescent="0.3">
      <c r="B51">
        <v>909</v>
      </c>
      <c r="C51" s="15">
        <v>45093</v>
      </c>
      <c r="D51">
        <f>WEEKDAY(Table4[[#This Row],[Date]])</f>
        <v>6</v>
      </c>
      <c r="E51">
        <v>2</v>
      </c>
      <c r="F51">
        <v>105</v>
      </c>
      <c r="G51">
        <v>185</v>
      </c>
      <c r="H51" t="s">
        <v>685</v>
      </c>
      <c r="I51">
        <v>61</v>
      </c>
      <c r="J51">
        <v>59</v>
      </c>
      <c r="K51" t="s">
        <v>686</v>
      </c>
      <c r="L51">
        <v>59</v>
      </c>
      <c r="M51">
        <v>56</v>
      </c>
      <c r="N51" t="s">
        <v>687</v>
      </c>
      <c r="O51">
        <v>65</v>
      </c>
      <c r="P51">
        <v>63</v>
      </c>
    </row>
    <row r="52" spans="2:16" x14ac:dyDescent="0.3">
      <c r="B52">
        <v>910</v>
      </c>
      <c r="C52" s="15">
        <v>45094</v>
      </c>
      <c r="D52">
        <f>WEEKDAY(Table4[[#This Row],[Date]])</f>
        <v>7</v>
      </c>
      <c r="E52">
        <v>2</v>
      </c>
      <c r="F52">
        <v>105</v>
      </c>
      <c r="G52">
        <v>181</v>
      </c>
      <c r="H52" t="s">
        <v>688</v>
      </c>
      <c r="I52">
        <v>62</v>
      </c>
      <c r="J52">
        <v>56</v>
      </c>
      <c r="K52" t="s">
        <v>689</v>
      </c>
      <c r="L52">
        <v>63</v>
      </c>
      <c r="M52">
        <v>59</v>
      </c>
      <c r="N52" t="s">
        <v>690</v>
      </c>
      <c r="O52">
        <v>56</v>
      </c>
      <c r="P52">
        <v>50</v>
      </c>
    </row>
    <row r="53" spans="2:16" x14ac:dyDescent="0.3">
      <c r="B53">
        <v>911</v>
      </c>
      <c r="C53" s="15">
        <v>45095</v>
      </c>
      <c r="D53">
        <f>WEEKDAY(Table4[[#This Row],[Date]])</f>
        <v>1</v>
      </c>
      <c r="E53">
        <v>2</v>
      </c>
      <c r="F53">
        <v>105</v>
      </c>
      <c r="G53">
        <v>93</v>
      </c>
      <c r="H53" t="s">
        <v>691</v>
      </c>
      <c r="I53">
        <v>29</v>
      </c>
      <c r="J53">
        <v>27</v>
      </c>
      <c r="K53" t="s">
        <v>692</v>
      </c>
      <c r="L53">
        <v>32</v>
      </c>
      <c r="M53">
        <v>30</v>
      </c>
      <c r="N53" t="s">
        <v>693</v>
      </c>
      <c r="O53">
        <v>32</v>
      </c>
      <c r="P53">
        <v>30</v>
      </c>
    </row>
    <row r="54" spans="2:16" x14ac:dyDescent="0.3">
      <c r="B54">
        <v>912</v>
      </c>
      <c r="C54" s="15">
        <v>45096</v>
      </c>
      <c r="D54">
        <f>WEEKDAY(Table4[[#This Row],[Date]])</f>
        <v>2</v>
      </c>
      <c r="E54">
        <v>2</v>
      </c>
      <c r="F54">
        <v>105</v>
      </c>
      <c r="G54">
        <v>92</v>
      </c>
      <c r="H54" t="s">
        <v>694</v>
      </c>
      <c r="I54">
        <v>30</v>
      </c>
      <c r="J54">
        <v>29</v>
      </c>
      <c r="K54" t="s">
        <v>695</v>
      </c>
      <c r="L54">
        <v>31</v>
      </c>
      <c r="M54">
        <v>30</v>
      </c>
      <c r="N54" t="s">
        <v>696</v>
      </c>
      <c r="O54">
        <v>31</v>
      </c>
      <c r="P54">
        <v>30</v>
      </c>
    </row>
    <row r="55" spans="2:16" x14ac:dyDescent="0.3">
      <c r="B55">
        <v>913</v>
      </c>
      <c r="C55" s="15">
        <v>45097</v>
      </c>
      <c r="D55">
        <f>WEEKDAY(Table4[[#This Row],[Date]])</f>
        <v>3</v>
      </c>
      <c r="E55">
        <v>2</v>
      </c>
      <c r="F55">
        <v>105</v>
      </c>
      <c r="G55">
        <v>204</v>
      </c>
      <c r="H55" t="s">
        <v>697</v>
      </c>
      <c r="I55">
        <v>71</v>
      </c>
      <c r="J55">
        <v>68</v>
      </c>
      <c r="K55" t="s">
        <v>698</v>
      </c>
      <c r="L55">
        <v>70</v>
      </c>
      <c r="M55">
        <v>67</v>
      </c>
      <c r="N55" t="s">
        <v>699</v>
      </c>
      <c r="O55">
        <v>63</v>
      </c>
      <c r="P55">
        <v>60</v>
      </c>
    </row>
    <row r="56" spans="2:16" x14ac:dyDescent="0.3">
      <c r="B56">
        <v>914</v>
      </c>
      <c r="C56" s="15">
        <v>45098</v>
      </c>
      <c r="D56">
        <f>WEEKDAY(Table4[[#This Row],[Date]])</f>
        <v>4</v>
      </c>
      <c r="E56">
        <v>2</v>
      </c>
      <c r="F56">
        <v>105</v>
      </c>
      <c r="G56">
        <v>158</v>
      </c>
      <c r="H56" t="s">
        <v>700</v>
      </c>
      <c r="I56">
        <v>80</v>
      </c>
      <c r="J56">
        <v>73</v>
      </c>
      <c r="K56" t="s">
        <v>175</v>
      </c>
      <c r="L56">
        <v>0</v>
      </c>
      <c r="M56">
        <v>0</v>
      </c>
      <c r="N56" t="s">
        <v>701</v>
      </c>
      <c r="O56">
        <v>78</v>
      </c>
      <c r="P56">
        <v>74</v>
      </c>
    </row>
    <row r="57" spans="2:16" x14ac:dyDescent="0.3">
      <c r="B57">
        <v>915</v>
      </c>
      <c r="C57" s="15">
        <v>45099</v>
      </c>
      <c r="D57">
        <f>WEEKDAY(Table4[[#This Row],[Date]])</f>
        <v>5</v>
      </c>
      <c r="E57">
        <v>2</v>
      </c>
      <c r="F57">
        <v>105</v>
      </c>
      <c r="G57">
        <v>175</v>
      </c>
      <c r="H57" t="s">
        <v>702</v>
      </c>
      <c r="I57">
        <v>61</v>
      </c>
      <c r="J57">
        <v>56</v>
      </c>
      <c r="K57" t="s">
        <v>703</v>
      </c>
      <c r="L57">
        <v>58</v>
      </c>
      <c r="M57">
        <v>55</v>
      </c>
      <c r="N57" t="s">
        <v>704</v>
      </c>
      <c r="O57">
        <v>56</v>
      </c>
      <c r="P57">
        <v>52</v>
      </c>
    </row>
    <row r="58" spans="2:16" x14ac:dyDescent="0.3">
      <c r="B58">
        <v>916</v>
      </c>
      <c r="C58" s="15">
        <v>45100</v>
      </c>
      <c r="D58">
        <f>WEEKDAY(Table4[[#This Row],[Date]])</f>
        <v>6</v>
      </c>
      <c r="E58">
        <v>2</v>
      </c>
      <c r="F58">
        <v>105</v>
      </c>
      <c r="G58">
        <v>204</v>
      </c>
      <c r="H58" t="s">
        <v>705</v>
      </c>
      <c r="I58">
        <v>64</v>
      </c>
      <c r="J58">
        <v>63</v>
      </c>
      <c r="K58" t="s">
        <v>706</v>
      </c>
      <c r="L58">
        <v>65</v>
      </c>
      <c r="M58">
        <v>63</v>
      </c>
      <c r="N58" t="s">
        <v>707</v>
      </c>
      <c r="O58">
        <v>75</v>
      </c>
      <c r="P58">
        <v>72</v>
      </c>
    </row>
    <row r="59" spans="2:16" x14ac:dyDescent="0.3">
      <c r="B59">
        <v>917</v>
      </c>
      <c r="C59" s="15">
        <v>45101</v>
      </c>
      <c r="D59">
        <f>WEEKDAY(Table4[[#This Row],[Date]])</f>
        <v>7</v>
      </c>
      <c r="E59">
        <v>2</v>
      </c>
      <c r="F59">
        <v>105</v>
      </c>
      <c r="G59">
        <v>166</v>
      </c>
      <c r="H59" t="s">
        <v>708</v>
      </c>
      <c r="I59">
        <v>54</v>
      </c>
      <c r="J59">
        <v>52</v>
      </c>
      <c r="K59" t="s">
        <v>709</v>
      </c>
      <c r="L59">
        <v>56</v>
      </c>
      <c r="M59">
        <v>54</v>
      </c>
      <c r="N59" t="s">
        <v>710</v>
      </c>
      <c r="O59">
        <v>56</v>
      </c>
      <c r="P59">
        <v>53</v>
      </c>
    </row>
    <row r="60" spans="2:16" x14ac:dyDescent="0.3">
      <c r="B60">
        <v>918</v>
      </c>
      <c r="C60" s="15">
        <v>45102</v>
      </c>
      <c r="D60">
        <f>WEEKDAY(Table4[[#This Row],[Date]])</f>
        <v>1</v>
      </c>
      <c r="E60">
        <v>2</v>
      </c>
      <c r="F60">
        <v>105</v>
      </c>
      <c r="G60">
        <v>76</v>
      </c>
      <c r="H60" t="s">
        <v>711</v>
      </c>
      <c r="I60">
        <v>25</v>
      </c>
      <c r="J60">
        <v>24</v>
      </c>
      <c r="K60" t="s">
        <v>712</v>
      </c>
      <c r="L60">
        <v>25</v>
      </c>
      <c r="M60">
        <v>24</v>
      </c>
      <c r="N60" t="s">
        <v>713</v>
      </c>
      <c r="O60">
        <v>26</v>
      </c>
      <c r="P60">
        <v>24</v>
      </c>
    </row>
    <row r="61" spans="2:16" x14ac:dyDescent="0.3">
      <c r="B61">
        <v>919</v>
      </c>
      <c r="C61" s="15">
        <v>45103</v>
      </c>
      <c r="D61">
        <f>WEEKDAY(Table4[[#This Row],[Date]])</f>
        <v>2</v>
      </c>
      <c r="E61">
        <v>2</v>
      </c>
      <c r="F61">
        <v>105</v>
      </c>
      <c r="G61">
        <v>93</v>
      </c>
      <c r="H61" t="s">
        <v>175</v>
      </c>
      <c r="I61">
        <v>0</v>
      </c>
      <c r="J61">
        <v>0</v>
      </c>
      <c r="K61" t="s">
        <v>714</v>
      </c>
      <c r="L61">
        <v>47</v>
      </c>
      <c r="M61">
        <v>43</v>
      </c>
      <c r="N61" t="s">
        <v>715</v>
      </c>
      <c r="O61">
        <v>46</v>
      </c>
      <c r="P61">
        <v>42</v>
      </c>
    </row>
    <row r="62" spans="2:16" x14ac:dyDescent="0.3">
      <c r="B62">
        <v>920</v>
      </c>
      <c r="C62" s="15">
        <v>45104</v>
      </c>
      <c r="D62">
        <f>WEEKDAY(Table4[[#This Row],[Date]])</f>
        <v>3</v>
      </c>
      <c r="E62">
        <v>2</v>
      </c>
      <c r="F62">
        <v>105</v>
      </c>
      <c r="G62">
        <v>179</v>
      </c>
      <c r="H62" t="s">
        <v>716</v>
      </c>
      <c r="I62">
        <v>59</v>
      </c>
      <c r="J62">
        <v>56</v>
      </c>
      <c r="K62" t="s">
        <v>717</v>
      </c>
      <c r="L62">
        <v>58</v>
      </c>
      <c r="M62">
        <v>53</v>
      </c>
      <c r="N62" t="s">
        <v>718</v>
      </c>
      <c r="O62">
        <v>62</v>
      </c>
      <c r="P62">
        <v>57</v>
      </c>
    </row>
    <row r="63" spans="2:16" x14ac:dyDescent="0.3">
      <c r="B63">
        <v>921</v>
      </c>
      <c r="C63" s="15">
        <v>45105</v>
      </c>
      <c r="D63">
        <f>WEEKDAY(Table4[[#This Row],[Date]])</f>
        <v>4</v>
      </c>
      <c r="E63">
        <v>2</v>
      </c>
      <c r="F63">
        <v>105</v>
      </c>
      <c r="G63">
        <v>202</v>
      </c>
      <c r="H63" t="s">
        <v>719</v>
      </c>
      <c r="I63">
        <v>70</v>
      </c>
      <c r="J63">
        <v>65</v>
      </c>
      <c r="K63" t="s">
        <v>720</v>
      </c>
      <c r="L63">
        <v>63</v>
      </c>
      <c r="M63">
        <v>57</v>
      </c>
      <c r="N63" t="s">
        <v>721</v>
      </c>
      <c r="O63">
        <v>69</v>
      </c>
      <c r="P63">
        <v>64</v>
      </c>
    </row>
    <row r="64" spans="2:16" x14ac:dyDescent="0.3">
      <c r="B64">
        <v>922</v>
      </c>
      <c r="C64" s="15">
        <v>45106</v>
      </c>
      <c r="D64">
        <f>WEEKDAY(Table4[[#This Row],[Date]])</f>
        <v>5</v>
      </c>
      <c r="E64">
        <v>2</v>
      </c>
      <c r="F64">
        <v>105</v>
      </c>
      <c r="G64">
        <v>206</v>
      </c>
      <c r="H64" t="s">
        <v>722</v>
      </c>
      <c r="I64">
        <v>72</v>
      </c>
      <c r="J64">
        <v>66</v>
      </c>
      <c r="K64" t="s">
        <v>723</v>
      </c>
      <c r="L64">
        <v>66</v>
      </c>
      <c r="M64">
        <v>62</v>
      </c>
      <c r="N64" t="s">
        <v>724</v>
      </c>
      <c r="O64">
        <v>68</v>
      </c>
      <c r="P64">
        <v>63</v>
      </c>
    </row>
    <row r="65" spans="2:16" x14ac:dyDescent="0.3">
      <c r="B65">
        <v>923</v>
      </c>
      <c r="C65" s="15">
        <v>45107</v>
      </c>
      <c r="D65">
        <f>WEEKDAY(Table4[[#This Row],[Date]])</f>
        <v>6</v>
      </c>
      <c r="E65">
        <v>2</v>
      </c>
      <c r="F65">
        <v>105</v>
      </c>
      <c r="G65">
        <v>160</v>
      </c>
      <c r="H65" t="s">
        <v>725</v>
      </c>
      <c r="I65">
        <v>54</v>
      </c>
      <c r="J65">
        <v>51</v>
      </c>
      <c r="K65" t="s">
        <v>726</v>
      </c>
      <c r="L65">
        <v>51</v>
      </c>
      <c r="M65">
        <v>49</v>
      </c>
      <c r="N65" t="s">
        <v>727</v>
      </c>
      <c r="O65">
        <v>55</v>
      </c>
      <c r="P65">
        <v>52</v>
      </c>
    </row>
    <row r="66" spans="2:16" x14ac:dyDescent="0.3">
      <c r="B66">
        <v>924</v>
      </c>
      <c r="C66" s="15">
        <v>45108</v>
      </c>
      <c r="D66">
        <f>WEEKDAY(Table4[[#This Row],[Date]])</f>
        <v>7</v>
      </c>
      <c r="E66">
        <v>2</v>
      </c>
      <c r="F66">
        <v>105</v>
      </c>
      <c r="G66">
        <v>223</v>
      </c>
      <c r="H66" t="s">
        <v>728</v>
      </c>
      <c r="I66">
        <v>75</v>
      </c>
      <c r="J66">
        <v>71</v>
      </c>
      <c r="K66" t="s">
        <v>729</v>
      </c>
      <c r="L66">
        <v>71</v>
      </c>
      <c r="M66">
        <v>66</v>
      </c>
      <c r="N66" t="s">
        <v>730</v>
      </c>
      <c r="O66">
        <v>77</v>
      </c>
      <c r="P66">
        <v>72</v>
      </c>
    </row>
    <row r="67" spans="2:16" x14ac:dyDescent="0.3">
      <c r="B67">
        <v>925</v>
      </c>
      <c r="C67" s="15">
        <v>45109</v>
      </c>
      <c r="D67">
        <f>WEEKDAY(Table4[[#This Row],[Date]])</f>
        <v>1</v>
      </c>
      <c r="E67">
        <v>2</v>
      </c>
      <c r="F67">
        <v>105</v>
      </c>
      <c r="G67">
        <v>81</v>
      </c>
      <c r="H67" t="s">
        <v>731</v>
      </c>
      <c r="I67">
        <v>26</v>
      </c>
      <c r="J67">
        <v>25</v>
      </c>
      <c r="K67" t="s">
        <v>732</v>
      </c>
      <c r="L67">
        <v>28</v>
      </c>
      <c r="M67">
        <v>27</v>
      </c>
      <c r="N67" t="s">
        <v>733</v>
      </c>
      <c r="O67">
        <v>27</v>
      </c>
      <c r="P67">
        <v>26</v>
      </c>
    </row>
    <row r="68" spans="2:16" x14ac:dyDescent="0.3">
      <c r="B68">
        <v>926</v>
      </c>
      <c r="C68" s="15">
        <v>45110</v>
      </c>
      <c r="D68">
        <f>WEEKDAY(Table4[[#This Row],[Date]])</f>
        <v>2</v>
      </c>
      <c r="E68">
        <v>2</v>
      </c>
      <c r="F68">
        <v>105</v>
      </c>
      <c r="G68">
        <v>92</v>
      </c>
      <c r="H68" t="s">
        <v>734</v>
      </c>
      <c r="I68">
        <v>30</v>
      </c>
      <c r="J68">
        <v>28</v>
      </c>
      <c r="K68" t="s">
        <v>735</v>
      </c>
      <c r="L68">
        <v>30</v>
      </c>
      <c r="M68">
        <v>27</v>
      </c>
      <c r="N68" t="s">
        <v>736</v>
      </c>
      <c r="O68">
        <v>32</v>
      </c>
      <c r="P68">
        <v>29</v>
      </c>
    </row>
    <row r="69" spans="2:16" x14ac:dyDescent="0.3">
      <c r="B69">
        <v>927</v>
      </c>
      <c r="C69" s="15">
        <v>45111</v>
      </c>
      <c r="D69">
        <f>WEEKDAY(Table4[[#This Row],[Date]])</f>
        <v>3</v>
      </c>
      <c r="E69">
        <v>2</v>
      </c>
      <c r="F69">
        <v>105</v>
      </c>
      <c r="G69">
        <v>196</v>
      </c>
      <c r="H69" t="s">
        <v>737</v>
      </c>
      <c r="I69">
        <v>64</v>
      </c>
      <c r="J69">
        <v>62</v>
      </c>
      <c r="K69" t="s">
        <v>738</v>
      </c>
      <c r="L69">
        <v>62</v>
      </c>
      <c r="M69">
        <v>60</v>
      </c>
      <c r="N69" t="s">
        <v>739</v>
      </c>
      <c r="O69">
        <v>70</v>
      </c>
      <c r="P69">
        <v>67</v>
      </c>
    </row>
    <row r="70" spans="2:16" x14ac:dyDescent="0.3">
      <c r="B70">
        <v>928</v>
      </c>
      <c r="C70" s="15">
        <v>45083</v>
      </c>
      <c r="D70">
        <f>WEEKDAY(Table4[[#This Row],[Date]])</f>
        <v>3</v>
      </c>
      <c r="E70">
        <v>3</v>
      </c>
      <c r="F70">
        <v>105</v>
      </c>
      <c r="G70">
        <v>194</v>
      </c>
      <c r="H70" t="s">
        <v>740</v>
      </c>
      <c r="I70">
        <v>65</v>
      </c>
      <c r="J70">
        <v>63</v>
      </c>
      <c r="K70" t="s">
        <v>741</v>
      </c>
      <c r="L70">
        <v>65</v>
      </c>
      <c r="M70">
        <v>63</v>
      </c>
      <c r="N70" t="s">
        <v>742</v>
      </c>
      <c r="O70">
        <v>64</v>
      </c>
      <c r="P70">
        <v>60</v>
      </c>
    </row>
    <row r="71" spans="2:16" x14ac:dyDescent="0.3">
      <c r="B71">
        <v>929</v>
      </c>
      <c r="C71" s="15">
        <v>45084</v>
      </c>
      <c r="D71">
        <f>WEEKDAY(Table4[[#This Row],[Date]])</f>
        <v>4</v>
      </c>
      <c r="E71">
        <v>3</v>
      </c>
      <c r="F71">
        <v>105</v>
      </c>
      <c r="G71">
        <v>173</v>
      </c>
      <c r="H71" t="s">
        <v>743</v>
      </c>
      <c r="I71">
        <v>56</v>
      </c>
      <c r="J71">
        <v>54</v>
      </c>
      <c r="K71" t="s">
        <v>744</v>
      </c>
      <c r="L71">
        <v>59</v>
      </c>
      <c r="M71">
        <v>55</v>
      </c>
      <c r="N71" t="s">
        <v>745</v>
      </c>
      <c r="O71">
        <v>58</v>
      </c>
      <c r="P71">
        <v>54</v>
      </c>
    </row>
    <row r="72" spans="2:16" x14ac:dyDescent="0.3">
      <c r="B72">
        <v>930</v>
      </c>
      <c r="C72" s="15">
        <v>45085</v>
      </c>
      <c r="D72">
        <f>WEEKDAY(Table4[[#This Row],[Date]])</f>
        <v>5</v>
      </c>
      <c r="E72">
        <v>3</v>
      </c>
      <c r="F72">
        <v>105</v>
      </c>
      <c r="G72">
        <v>189</v>
      </c>
      <c r="H72" t="s">
        <v>746</v>
      </c>
      <c r="I72">
        <v>61</v>
      </c>
      <c r="J72">
        <v>57</v>
      </c>
      <c r="K72" t="s">
        <v>747</v>
      </c>
      <c r="L72">
        <v>66</v>
      </c>
      <c r="M72">
        <v>62</v>
      </c>
      <c r="N72" t="s">
        <v>748</v>
      </c>
      <c r="O72">
        <v>62</v>
      </c>
      <c r="P72">
        <v>58</v>
      </c>
    </row>
    <row r="73" spans="2:16" x14ac:dyDescent="0.3">
      <c r="B73">
        <v>931</v>
      </c>
      <c r="C73" s="15">
        <v>45086</v>
      </c>
      <c r="D73">
        <f>WEEKDAY(Table4[[#This Row],[Date]])</f>
        <v>6</v>
      </c>
      <c r="E73">
        <v>3</v>
      </c>
      <c r="F73">
        <v>105</v>
      </c>
      <c r="G73">
        <v>186</v>
      </c>
      <c r="H73" t="s">
        <v>749</v>
      </c>
      <c r="I73">
        <v>63</v>
      </c>
      <c r="J73">
        <v>59</v>
      </c>
      <c r="K73" t="s">
        <v>750</v>
      </c>
      <c r="L73">
        <v>62</v>
      </c>
      <c r="M73">
        <v>58</v>
      </c>
      <c r="N73" t="s">
        <v>751</v>
      </c>
      <c r="O73">
        <v>61</v>
      </c>
      <c r="P73">
        <v>56</v>
      </c>
    </row>
    <row r="74" spans="2:16" x14ac:dyDescent="0.3">
      <c r="B74">
        <v>932</v>
      </c>
      <c r="C74" s="15">
        <v>45087</v>
      </c>
      <c r="D74">
        <f>WEEKDAY(Table4[[#This Row],[Date]])</f>
        <v>7</v>
      </c>
      <c r="E74">
        <v>3</v>
      </c>
      <c r="F74">
        <v>105</v>
      </c>
      <c r="G74">
        <v>149</v>
      </c>
      <c r="H74" t="s">
        <v>752</v>
      </c>
      <c r="I74">
        <v>50</v>
      </c>
      <c r="J74">
        <v>47</v>
      </c>
      <c r="K74" t="s">
        <v>753</v>
      </c>
      <c r="L74">
        <v>48</v>
      </c>
      <c r="M74">
        <v>45</v>
      </c>
      <c r="N74" t="s">
        <v>754</v>
      </c>
      <c r="O74">
        <v>51</v>
      </c>
      <c r="P74">
        <v>47</v>
      </c>
    </row>
    <row r="75" spans="2:16" x14ac:dyDescent="0.3">
      <c r="B75">
        <v>933</v>
      </c>
      <c r="C75" s="15">
        <v>45088</v>
      </c>
      <c r="D75">
        <f>WEEKDAY(Table4[[#This Row],[Date]])</f>
        <v>1</v>
      </c>
      <c r="E75">
        <v>3</v>
      </c>
      <c r="F75">
        <v>105</v>
      </c>
      <c r="G75">
        <v>0</v>
      </c>
      <c r="H75" t="s">
        <v>175</v>
      </c>
      <c r="I75">
        <v>0</v>
      </c>
      <c r="J75">
        <v>0</v>
      </c>
      <c r="K75" t="s">
        <v>175</v>
      </c>
      <c r="L75">
        <v>0</v>
      </c>
      <c r="M75">
        <v>0</v>
      </c>
      <c r="N75" t="s">
        <v>175</v>
      </c>
      <c r="O75">
        <v>0</v>
      </c>
      <c r="P75">
        <v>0</v>
      </c>
    </row>
    <row r="76" spans="2:16" x14ac:dyDescent="0.3">
      <c r="B76">
        <v>934</v>
      </c>
      <c r="C76" s="15">
        <v>45089</v>
      </c>
      <c r="D76">
        <f>WEEKDAY(Table4[[#This Row],[Date]])</f>
        <v>2</v>
      </c>
      <c r="E76">
        <v>3</v>
      </c>
      <c r="F76">
        <v>105</v>
      </c>
      <c r="G76">
        <v>0</v>
      </c>
      <c r="H76" t="s">
        <v>175</v>
      </c>
      <c r="I76">
        <v>0</v>
      </c>
      <c r="J76">
        <v>0</v>
      </c>
      <c r="K76" t="s">
        <v>175</v>
      </c>
      <c r="L76">
        <v>0</v>
      </c>
      <c r="M76">
        <v>0</v>
      </c>
      <c r="N76" t="s">
        <v>175</v>
      </c>
      <c r="O76">
        <v>0</v>
      </c>
      <c r="P76">
        <v>0</v>
      </c>
    </row>
    <row r="77" spans="2:16" x14ac:dyDescent="0.3">
      <c r="B77">
        <v>935</v>
      </c>
      <c r="C77" s="15">
        <v>45090</v>
      </c>
      <c r="D77">
        <f>WEEKDAY(Table4[[#This Row],[Date]])</f>
        <v>3</v>
      </c>
      <c r="E77">
        <v>3</v>
      </c>
      <c r="F77">
        <v>105</v>
      </c>
      <c r="G77">
        <v>160</v>
      </c>
      <c r="H77" t="s">
        <v>755</v>
      </c>
      <c r="I77">
        <v>51</v>
      </c>
      <c r="J77">
        <v>49</v>
      </c>
      <c r="K77" t="s">
        <v>756</v>
      </c>
      <c r="L77">
        <v>53</v>
      </c>
      <c r="M77">
        <v>52</v>
      </c>
      <c r="N77" t="s">
        <v>757</v>
      </c>
      <c r="O77">
        <v>56</v>
      </c>
      <c r="P77">
        <v>54</v>
      </c>
    </row>
    <row r="78" spans="2:16" x14ac:dyDescent="0.3">
      <c r="B78">
        <v>936</v>
      </c>
      <c r="C78" s="15">
        <v>45091</v>
      </c>
      <c r="D78">
        <f>WEEKDAY(Table4[[#This Row],[Date]])</f>
        <v>4</v>
      </c>
      <c r="E78">
        <v>3</v>
      </c>
      <c r="F78">
        <v>105</v>
      </c>
      <c r="G78">
        <v>174</v>
      </c>
      <c r="H78" t="s">
        <v>758</v>
      </c>
      <c r="I78">
        <v>55</v>
      </c>
      <c r="J78">
        <v>50</v>
      </c>
      <c r="K78" t="s">
        <v>759</v>
      </c>
      <c r="L78">
        <v>59</v>
      </c>
      <c r="M78">
        <v>55</v>
      </c>
      <c r="N78" t="s">
        <v>760</v>
      </c>
      <c r="O78">
        <v>60</v>
      </c>
      <c r="P78">
        <v>55</v>
      </c>
    </row>
    <row r="79" spans="2:16" x14ac:dyDescent="0.3">
      <c r="B79">
        <v>937</v>
      </c>
      <c r="C79" s="15">
        <v>45092</v>
      </c>
      <c r="D79">
        <f>WEEKDAY(Table4[[#This Row],[Date]])</f>
        <v>5</v>
      </c>
      <c r="E79">
        <v>3</v>
      </c>
      <c r="F79">
        <v>105</v>
      </c>
      <c r="G79">
        <v>191</v>
      </c>
      <c r="H79" t="s">
        <v>761</v>
      </c>
      <c r="I79">
        <v>95</v>
      </c>
      <c r="J79">
        <v>92</v>
      </c>
      <c r="K79" t="s">
        <v>175</v>
      </c>
      <c r="L79">
        <v>0</v>
      </c>
      <c r="M79">
        <v>0</v>
      </c>
      <c r="N79" t="s">
        <v>762</v>
      </c>
      <c r="O79">
        <v>96</v>
      </c>
      <c r="P79">
        <v>92</v>
      </c>
    </row>
    <row r="80" spans="2:16" x14ac:dyDescent="0.3">
      <c r="B80">
        <v>938</v>
      </c>
      <c r="C80" s="15">
        <v>45093</v>
      </c>
      <c r="D80">
        <f>WEEKDAY(Table4[[#This Row],[Date]])</f>
        <v>6</v>
      </c>
      <c r="E80">
        <v>3</v>
      </c>
      <c r="F80">
        <v>105</v>
      </c>
      <c r="G80">
        <v>187</v>
      </c>
      <c r="H80" t="s">
        <v>763</v>
      </c>
      <c r="I80">
        <v>65</v>
      </c>
      <c r="J80">
        <v>59</v>
      </c>
      <c r="K80" t="s">
        <v>764</v>
      </c>
      <c r="L80">
        <v>59</v>
      </c>
      <c r="M80">
        <v>54</v>
      </c>
      <c r="N80" t="s">
        <v>765</v>
      </c>
      <c r="O80">
        <v>63</v>
      </c>
      <c r="P80">
        <v>58</v>
      </c>
    </row>
    <row r="81" spans="2:16" x14ac:dyDescent="0.3">
      <c r="B81">
        <v>939</v>
      </c>
      <c r="C81" s="15">
        <v>45094</v>
      </c>
      <c r="D81">
        <f>WEEKDAY(Table4[[#This Row],[Date]])</f>
        <v>7</v>
      </c>
      <c r="E81">
        <v>3</v>
      </c>
      <c r="F81">
        <v>105</v>
      </c>
      <c r="G81">
        <v>173</v>
      </c>
      <c r="H81" t="s">
        <v>766</v>
      </c>
      <c r="I81">
        <v>59</v>
      </c>
      <c r="J81">
        <v>55</v>
      </c>
      <c r="K81" t="s">
        <v>767</v>
      </c>
      <c r="L81">
        <v>55</v>
      </c>
      <c r="M81">
        <v>53</v>
      </c>
      <c r="N81" t="s">
        <v>768</v>
      </c>
      <c r="O81">
        <v>59</v>
      </c>
      <c r="P81">
        <v>57</v>
      </c>
    </row>
    <row r="82" spans="2:16" x14ac:dyDescent="0.3">
      <c r="B82">
        <v>940</v>
      </c>
      <c r="C82" s="15">
        <v>45095</v>
      </c>
      <c r="D82">
        <f>WEEKDAY(Table4[[#This Row],[Date]])</f>
        <v>1</v>
      </c>
      <c r="E82">
        <v>3</v>
      </c>
      <c r="F82">
        <v>105</v>
      </c>
      <c r="G82">
        <v>0</v>
      </c>
      <c r="H82" t="s">
        <v>175</v>
      </c>
      <c r="I82">
        <v>0</v>
      </c>
      <c r="J82">
        <v>0</v>
      </c>
      <c r="K82" t="s">
        <v>175</v>
      </c>
      <c r="L82">
        <v>0</v>
      </c>
      <c r="M82">
        <v>0</v>
      </c>
      <c r="N82" t="s">
        <v>175</v>
      </c>
      <c r="O82">
        <v>0</v>
      </c>
      <c r="P82">
        <v>0</v>
      </c>
    </row>
    <row r="83" spans="2:16" x14ac:dyDescent="0.3">
      <c r="B83">
        <v>941</v>
      </c>
      <c r="C83" s="15">
        <v>45096</v>
      </c>
      <c r="D83">
        <f>WEEKDAY(Table4[[#This Row],[Date]])</f>
        <v>2</v>
      </c>
      <c r="E83">
        <v>3</v>
      </c>
      <c r="F83">
        <v>105</v>
      </c>
      <c r="G83">
        <v>0</v>
      </c>
      <c r="H83" t="s">
        <v>175</v>
      </c>
      <c r="I83">
        <v>0</v>
      </c>
      <c r="J83">
        <v>0</v>
      </c>
      <c r="K83" t="s">
        <v>175</v>
      </c>
      <c r="L83">
        <v>0</v>
      </c>
      <c r="M83">
        <v>0</v>
      </c>
      <c r="N83" t="s">
        <v>175</v>
      </c>
      <c r="O83">
        <v>0</v>
      </c>
      <c r="P83">
        <v>0</v>
      </c>
    </row>
    <row r="84" spans="2:16" x14ac:dyDescent="0.3">
      <c r="B84">
        <v>942</v>
      </c>
      <c r="C84" s="15">
        <v>45097</v>
      </c>
      <c r="D84">
        <f>WEEKDAY(Table4[[#This Row],[Date]])</f>
        <v>3</v>
      </c>
      <c r="E84">
        <v>3</v>
      </c>
      <c r="F84">
        <v>105</v>
      </c>
      <c r="G84">
        <v>134</v>
      </c>
      <c r="H84" t="s">
        <v>175</v>
      </c>
      <c r="I84">
        <v>0</v>
      </c>
      <c r="J84">
        <v>0</v>
      </c>
      <c r="K84" t="s">
        <v>769</v>
      </c>
      <c r="L84">
        <v>70</v>
      </c>
      <c r="M84">
        <v>67</v>
      </c>
      <c r="N84" t="s">
        <v>770</v>
      </c>
      <c r="O84">
        <v>64</v>
      </c>
      <c r="P84">
        <v>60</v>
      </c>
    </row>
    <row r="85" spans="2:16" x14ac:dyDescent="0.3">
      <c r="B85">
        <v>943</v>
      </c>
      <c r="C85" s="15">
        <v>45098</v>
      </c>
      <c r="D85">
        <f>WEEKDAY(Table4[[#This Row],[Date]])</f>
        <v>4</v>
      </c>
      <c r="E85">
        <v>3</v>
      </c>
      <c r="F85">
        <v>105</v>
      </c>
      <c r="G85">
        <v>150</v>
      </c>
      <c r="H85" t="s">
        <v>771</v>
      </c>
      <c r="I85">
        <v>51</v>
      </c>
      <c r="J85">
        <v>47</v>
      </c>
      <c r="K85" t="s">
        <v>772</v>
      </c>
      <c r="L85">
        <v>52</v>
      </c>
      <c r="M85">
        <v>49</v>
      </c>
      <c r="N85" t="s">
        <v>773</v>
      </c>
      <c r="O85">
        <v>47</v>
      </c>
      <c r="P85">
        <v>45</v>
      </c>
    </row>
    <row r="86" spans="2:16" x14ac:dyDescent="0.3">
      <c r="B86">
        <v>944</v>
      </c>
      <c r="C86" s="15">
        <v>45099</v>
      </c>
      <c r="D86">
        <f>WEEKDAY(Table4[[#This Row],[Date]])</f>
        <v>5</v>
      </c>
      <c r="E86">
        <v>3</v>
      </c>
      <c r="F86">
        <v>105</v>
      </c>
      <c r="G86">
        <v>186</v>
      </c>
      <c r="H86" t="s">
        <v>774</v>
      </c>
      <c r="I86">
        <v>62</v>
      </c>
      <c r="J86">
        <v>57</v>
      </c>
      <c r="K86" t="s">
        <v>775</v>
      </c>
      <c r="L86">
        <v>65</v>
      </c>
      <c r="M86">
        <v>61</v>
      </c>
      <c r="N86" t="s">
        <v>776</v>
      </c>
      <c r="O86">
        <v>59</v>
      </c>
      <c r="P86">
        <v>53</v>
      </c>
    </row>
    <row r="87" spans="2:16" x14ac:dyDescent="0.3">
      <c r="B87">
        <v>945</v>
      </c>
      <c r="C87" s="15">
        <v>45100</v>
      </c>
      <c r="D87">
        <f>WEEKDAY(Table4[[#This Row],[Date]])</f>
        <v>6</v>
      </c>
      <c r="E87">
        <v>3</v>
      </c>
      <c r="F87">
        <v>105</v>
      </c>
      <c r="G87">
        <v>179</v>
      </c>
      <c r="H87" t="s">
        <v>777</v>
      </c>
      <c r="I87">
        <v>56</v>
      </c>
      <c r="J87">
        <v>54</v>
      </c>
      <c r="K87" t="s">
        <v>778</v>
      </c>
      <c r="L87">
        <v>58</v>
      </c>
      <c r="M87">
        <v>56</v>
      </c>
      <c r="N87" t="s">
        <v>779</v>
      </c>
      <c r="O87">
        <v>65</v>
      </c>
      <c r="P87">
        <v>63</v>
      </c>
    </row>
    <row r="88" spans="2:16" x14ac:dyDescent="0.3">
      <c r="B88">
        <v>946</v>
      </c>
      <c r="C88" s="15">
        <v>45101</v>
      </c>
      <c r="D88">
        <f>WEEKDAY(Table4[[#This Row],[Date]])</f>
        <v>7</v>
      </c>
      <c r="E88">
        <v>3</v>
      </c>
      <c r="F88">
        <v>105</v>
      </c>
      <c r="G88">
        <v>179</v>
      </c>
      <c r="H88" t="s">
        <v>780</v>
      </c>
      <c r="I88">
        <v>57</v>
      </c>
      <c r="J88">
        <v>53</v>
      </c>
      <c r="K88" t="s">
        <v>781</v>
      </c>
      <c r="L88">
        <v>60</v>
      </c>
      <c r="M88">
        <v>54</v>
      </c>
      <c r="N88" t="s">
        <v>782</v>
      </c>
      <c r="O88">
        <v>62</v>
      </c>
      <c r="P88">
        <v>56</v>
      </c>
    </row>
    <row r="89" spans="2:16" x14ac:dyDescent="0.3">
      <c r="B89">
        <v>947</v>
      </c>
      <c r="C89" s="15">
        <v>45102</v>
      </c>
      <c r="D89">
        <f>WEEKDAY(Table4[[#This Row],[Date]])</f>
        <v>1</v>
      </c>
      <c r="E89">
        <v>3</v>
      </c>
      <c r="F89">
        <v>105</v>
      </c>
      <c r="G89">
        <v>0</v>
      </c>
      <c r="H89" t="s">
        <v>175</v>
      </c>
      <c r="I89">
        <v>0</v>
      </c>
      <c r="J89">
        <v>0</v>
      </c>
      <c r="K89" t="s">
        <v>175</v>
      </c>
      <c r="L89">
        <v>0</v>
      </c>
      <c r="M89">
        <v>0</v>
      </c>
      <c r="N89" t="s">
        <v>175</v>
      </c>
      <c r="O89">
        <v>0</v>
      </c>
      <c r="P89">
        <v>0</v>
      </c>
    </row>
    <row r="90" spans="2:16" x14ac:dyDescent="0.3">
      <c r="B90">
        <v>948</v>
      </c>
      <c r="C90" s="15">
        <v>45103</v>
      </c>
      <c r="D90">
        <f>WEEKDAY(Table4[[#This Row],[Date]])</f>
        <v>2</v>
      </c>
      <c r="E90">
        <v>3</v>
      </c>
      <c r="F90">
        <v>105</v>
      </c>
      <c r="G90">
        <v>0</v>
      </c>
      <c r="H90" t="s">
        <v>175</v>
      </c>
      <c r="I90">
        <v>0</v>
      </c>
      <c r="J90">
        <v>0</v>
      </c>
      <c r="K90" t="s">
        <v>175</v>
      </c>
      <c r="L90">
        <v>0</v>
      </c>
      <c r="M90">
        <v>0</v>
      </c>
      <c r="N90" t="s">
        <v>175</v>
      </c>
      <c r="O90">
        <v>0</v>
      </c>
      <c r="P90">
        <v>0</v>
      </c>
    </row>
    <row r="91" spans="2:16" x14ac:dyDescent="0.3">
      <c r="B91">
        <v>949</v>
      </c>
      <c r="C91" s="15">
        <v>45104</v>
      </c>
      <c r="D91">
        <f>WEEKDAY(Table4[[#This Row],[Date]])</f>
        <v>3</v>
      </c>
      <c r="E91">
        <v>3</v>
      </c>
      <c r="F91">
        <v>105</v>
      </c>
      <c r="G91">
        <v>142</v>
      </c>
      <c r="H91" t="s">
        <v>783</v>
      </c>
      <c r="I91">
        <v>47</v>
      </c>
      <c r="J91">
        <v>43</v>
      </c>
      <c r="K91" t="s">
        <v>784</v>
      </c>
      <c r="L91">
        <v>46</v>
      </c>
      <c r="M91">
        <v>43</v>
      </c>
      <c r="N91" t="s">
        <v>785</v>
      </c>
      <c r="O91">
        <v>49</v>
      </c>
      <c r="P91">
        <v>45</v>
      </c>
    </row>
    <row r="92" spans="2:16" x14ac:dyDescent="0.3">
      <c r="B92">
        <v>950</v>
      </c>
      <c r="C92" s="15">
        <v>45105</v>
      </c>
      <c r="D92">
        <f>WEEKDAY(Table4[[#This Row],[Date]])</f>
        <v>4</v>
      </c>
      <c r="E92">
        <v>3</v>
      </c>
      <c r="F92">
        <v>105</v>
      </c>
      <c r="G92">
        <v>139</v>
      </c>
      <c r="H92" t="s">
        <v>786</v>
      </c>
      <c r="I92">
        <v>44</v>
      </c>
      <c r="J92">
        <v>42</v>
      </c>
      <c r="K92" t="s">
        <v>787</v>
      </c>
      <c r="L92">
        <v>44</v>
      </c>
      <c r="M92">
        <v>41</v>
      </c>
      <c r="N92" t="s">
        <v>788</v>
      </c>
      <c r="O92">
        <v>51</v>
      </c>
      <c r="P92">
        <v>47</v>
      </c>
    </row>
    <row r="93" spans="2:16" x14ac:dyDescent="0.3">
      <c r="B93">
        <v>951</v>
      </c>
      <c r="C93" s="15">
        <v>45106</v>
      </c>
      <c r="D93">
        <f>WEEKDAY(Table4[[#This Row],[Date]])</f>
        <v>5</v>
      </c>
      <c r="E93">
        <v>3</v>
      </c>
      <c r="F93">
        <v>105</v>
      </c>
      <c r="G93">
        <v>140</v>
      </c>
      <c r="H93" t="s">
        <v>789</v>
      </c>
      <c r="I93">
        <v>48</v>
      </c>
      <c r="J93">
        <v>44</v>
      </c>
      <c r="K93" t="s">
        <v>790</v>
      </c>
      <c r="L93">
        <v>48</v>
      </c>
      <c r="M93">
        <v>44</v>
      </c>
      <c r="N93" t="s">
        <v>791</v>
      </c>
      <c r="O93">
        <v>44</v>
      </c>
      <c r="P93">
        <v>40</v>
      </c>
    </row>
    <row r="94" spans="2:16" x14ac:dyDescent="0.3">
      <c r="B94">
        <v>952</v>
      </c>
      <c r="C94" s="15">
        <v>45107</v>
      </c>
      <c r="D94">
        <f>WEEKDAY(Table4[[#This Row],[Date]])</f>
        <v>6</v>
      </c>
      <c r="E94">
        <v>3</v>
      </c>
      <c r="F94">
        <v>105</v>
      </c>
      <c r="G94">
        <v>178</v>
      </c>
      <c r="H94" t="s">
        <v>792</v>
      </c>
      <c r="I94">
        <v>58</v>
      </c>
      <c r="J94">
        <v>53</v>
      </c>
      <c r="K94" t="s">
        <v>793</v>
      </c>
      <c r="L94">
        <v>59</v>
      </c>
      <c r="M94">
        <v>55</v>
      </c>
      <c r="N94" t="s">
        <v>794</v>
      </c>
      <c r="O94">
        <v>61</v>
      </c>
      <c r="P94">
        <v>56</v>
      </c>
    </row>
    <row r="95" spans="2:16" x14ac:dyDescent="0.3">
      <c r="B95">
        <v>953</v>
      </c>
      <c r="C95" s="15">
        <v>45108</v>
      </c>
      <c r="D95">
        <f>WEEKDAY(Table4[[#This Row],[Date]])</f>
        <v>7</v>
      </c>
      <c r="E95">
        <v>3</v>
      </c>
      <c r="F95">
        <v>105</v>
      </c>
      <c r="G95">
        <v>145</v>
      </c>
      <c r="H95" t="s">
        <v>795</v>
      </c>
      <c r="I95">
        <v>46</v>
      </c>
      <c r="J95">
        <v>42</v>
      </c>
      <c r="K95" t="s">
        <v>796</v>
      </c>
      <c r="L95">
        <v>49</v>
      </c>
      <c r="M95">
        <v>46</v>
      </c>
      <c r="N95" t="s">
        <v>797</v>
      </c>
      <c r="O95">
        <v>50</v>
      </c>
      <c r="P95">
        <v>46</v>
      </c>
    </row>
    <row r="96" spans="2:16" x14ac:dyDescent="0.3">
      <c r="B96">
        <v>954</v>
      </c>
      <c r="C96" s="15">
        <v>45109</v>
      </c>
      <c r="D96">
        <f>WEEKDAY(Table4[[#This Row],[Date]])</f>
        <v>1</v>
      </c>
      <c r="E96">
        <v>3</v>
      </c>
      <c r="F96">
        <v>105</v>
      </c>
      <c r="G96">
        <v>0</v>
      </c>
      <c r="H96" t="s">
        <v>175</v>
      </c>
      <c r="I96">
        <v>0</v>
      </c>
      <c r="J96">
        <v>0</v>
      </c>
      <c r="K96" t="s">
        <v>175</v>
      </c>
      <c r="L96">
        <v>0</v>
      </c>
      <c r="M96">
        <v>0</v>
      </c>
      <c r="N96" t="s">
        <v>175</v>
      </c>
      <c r="O96">
        <v>0</v>
      </c>
      <c r="P96">
        <v>0</v>
      </c>
    </row>
    <row r="97" spans="2:16" x14ac:dyDescent="0.3">
      <c r="B97">
        <v>955</v>
      </c>
      <c r="C97" s="15">
        <v>45110</v>
      </c>
      <c r="D97">
        <f>WEEKDAY(Table4[[#This Row],[Date]])</f>
        <v>2</v>
      </c>
      <c r="E97">
        <v>3</v>
      </c>
      <c r="F97">
        <v>105</v>
      </c>
      <c r="G97">
        <v>0</v>
      </c>
      <c r="H97" t="s">
        <v>175</v>
      </c>
      <c r="I97">
        <v>0</v>
      </c>
      <c r="J97">
        <v>0</v>
      </c>
      <c r="K97" t="s">
        <v>175</v>
      </c>
      <c r="L97">
        <v>0</v>
      </c>
      <c r="M97">
        <v>0</v>
      </c>
      <c r="N97" t="s">
        <v>175</v>
      </c>
      <c r="O97">
        <v>0</v>
      </c>
      <c r="P97">
        <v>0</v>
      </c>
    </row>
    <row r="98" spans="2:16" x14ac:dyDescent="0.3">
      <c r="B98">
        <v>956</v>
      </c>
      <c r="C98" s="15">
        <v>45111</v>
      </c>
      <c r="D98">
        <f>WEEKDAY(Table4[[#This Row],[Date]])</f>
        <v>3</v>
      </c>
      <c r="E98">
        <v>3</v>
      </c>
      <c r="F98">
        <v>105</v>
      </c>
      <c r="G98">
        <v>178</v>
      </c>
      <c r="H98" t="s">
        <v>798</v>
      </c>
      <c r="I98">
        <v>89</v>
      </c>
      <c r="J98">
        <v>81</v>
      </c>
      <c r="K98" t="s">
        <v>175</v>
      </c>
      <c r="L98">
        <v>0</v>
      </c>
      <c r="M98">
        <v>0</v>
      </c>
      <c r="N98" t="s">
        <v>799</v>
      </c>
      <c r="O98">
        <v>89</v>
      </c>
      <c r="P98">
        <v>80</v>
      </c>
    </row>
  </sheetData>
  <mergeCells count="3">
    <mergeCell ref="A1:B1"/>
    <mergeCell ref="H1:I1"/>
    <mergeCell ref="A2:B2"/>
  </mergeCells>
  <pageMargins left="0.7" right="0.7" top="0.75" bottom="0.75" header="0.3" footer="0.3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0F51-C044-4893-AD49-6046A1F3378C}">
  <dimension ref="A1:BF98"/>
  <sheetViews>
    <sheetView zoomScale="80" zoomScaleNormal="80" workbookViewId="0">
      <pane xSplit="5" ySplit="11" topLeftCell="F46" activePane="bottomRight" state="frozen"/>
      <selection pane="topRight" activeCell="F1" sqref="F1"/>
      <selection pane="bottomLeft" activeCell="A8" sqref="A8"/>
      <selection pane="bottomRight" activeCell="F46" sqref="F46"/>
    </sheetView>
  </sheetViews>
  <sheetFormatPr defaultRowHeight="14.4" x14ac:dyDescent="0.3"/>
  <cols>
    <col min="1" max="1" width="12.21875" customWidth="1"/>
    <col min="2" max="2" width="15" bestFit="1" customWidth="1"/>
    <col min="3" max="3" width="12.77734375" bestFit="1" customWidth="1"/>
    <col min="4" max="4" width="13.88671875" bestFit="1" customWidth="1"/>
    <col min="5" max="5" width="10.33203125" bestFit="1" customWidth="1"/>
    <col min="6" max="6" width="12.33203125" customWidth="1"/>
    <col min="7" max="7" width="10.21875" customWidth="1"/>
    <col min="8" max="8" width="11.44140625" customWidth="1"/>
    <col min="9" max="9" width="11.88671875" customWidth="1"/>
    <col min="10" max="10" width="12" customWidth="1"/>
    <col min="11" max="11" width="10.44140625" bestFit="1" customWidth="1"/>
    <col min="12" max="12" width="11.6640625" customWidth="1"/>
    <col min="13" max="13" width="13" customWidth="1"/>
    <col min="14" max="14" width="8" customWidth="1"/>
    <col min="15" max="15" width="8.109375" customWidth="1"/>
    <col min="16" max="16" width="9.21875" customWidth="1"/>
    <col min="17" max="17" width="13.21875" customWidth="1"/>
    <col min="18" max="18" width="23.6640625" customWidth="1"/>
    <col min="19" max="19" width="28.77734375" customWidth="1"/>
    <col min="20" max="20" width="13.33203125" customWidth="1"/>
    <col min="21" max="21" width="30.33203125" customWidth="1"/>
    <col min="22" max="22" width="11.88671875" bestFit="1" customWidth="1"/>
    <col min="23" max="23" width="10" bestFit="1" customWidth="1"/>
    <col min="24" max="24" width="9.5546875" bestFit="1" customWidth="1"/>
    <col min="25" max="25" width="13.77734375" customWidth="1"/>
    <col min="26" max="26" width="14.44140625" customWidth="1"/>
    <col min="27" max="27" width="16.33203125" customWidth="1"/>
    <col min="28" max="28" width="13.77734375" customWidth="1"/>
    <col min="29" max="29" width="14.88671875" customWidth="1"/>
    <col min="30" max="30" width="14.21875" customWidth="1"/>
    <col min="31" max="31" width="13.5546875" hidden="1" customWidth="1"/>
    <col min="32" max="32" width="11.77734375" hidden="1" customWidth="1"/>
    <col min="33" max="33" width="14.44140625" hidden="1" customWidth="1"/>
    <col min="34" max="35" width="14.109375" hidden="1" customWidth="1"/>
    <col min="36" max="36" width="11.44140625" hidden="1" customWidth="1"/>
    <col min="37" max="37" width="12.77734375" hidden="1" customWidth="1"/>
    <col min="38" max="38" width="13.77734375" hidden="1" customWidth="1"/>
    <col min="39" max="40" width="11.33203125" hidden="1" customWidth="1"/>
    <col min="41" max="41" width="13.33203125" hidden="1" customWidth="1"/>
    <col min="42" max="42" width="9.33203125" hidden="1" customWidth="1"/>
    <col min="43" max="44" width="13.88671875" hidden="1" customWidth="1"/>
    <col min="45" max="45" width="12" hidden="1" customWidth="1"/>
    <col min="46" max="46" width="11.5546875" hidden="1" customWidth="1"/>
    <col min="47" max="47" width="10.6640625" hidden="1" customWidth="1"/>
    <col min="48" max="48" width="13.44140625" hidden="1" customWidth="1"/>
    <col min="49" max="49" width="13" hidden="1" customWidth="1"/>
    <col min="50" max="50" width="12.109375" hidden="1" customWidth="1"/>
    <col min="51" max="51" width="16.5546875" hidden="1" customWidth="1"/>
    <col min="52" max="52" width="26.5546875" hidden="1" customWidth="1"/>
    <col min="53" max="53" width="0" hidden="1" customWidth="1"/>
    <col min="54" max="54" width="5.5546875" hidden="1" customWidth="1"/>
    <col min="55" max="55" width="0" hidden="1" customWidth="1"/>
    <col min="56" max="56" width="6.33203125" hidden="1" customWidth="1"/>
    <col min="57" max="57" width="0" hidden="1" customWidth="1"/>
    <col min="58" max="58" width="8.109375" hidden="1" customWidth="1"/>
  </cols>
  <sheetData>
    <row r="1" spans="1:58" ht="21" x14ac:dyDescent="0.4">
      <c r="A1" s="42" t="s">
        <v>58</v>
      </c>
      <c r="B1" s="42"/>
      <c r="D1" t="s">
        <v>852</v>
      </c>
      <c r="E1" s="15">
        <v>45390</v>
      </c>
      <c r="G1" t="s">
        <v>853</v>
      </c>
      <c r="H1" s="44" t="s">
        <v>849</v>
      </c>
      <c r="I1" s="44"/>
    </row>
    <row r="2" spans="1:58" x14ac:dyDescent="0.3">
      <c r="A2" s="45" t="s">
        <v>851</v>
      </c>
      <c r="B2" s="45"/>
    </row>
    <row r="5" spans="1:58" ht="21" x14ac:dyDescent="0.4">
      <c r="A5" t="s">
        <v>154</v>
      </c>
      <c r="G5" s="14" t="str">
        <f>ReadMeFirst!D1&amp;" "&amp;ReadMeFirst!E1</f>
        <v>Data Set L</v>
      </c>
    </row>
    <row r="10" spans="1:58" ht="86.4" x14ac:dyDescent="0.3">
      <c r="D10" s="39" t="s">
        <v>870</v>
      </c>
      <c r="F10" t="s">
        <v>155</v>
      </c>
      <c r="J10" s="37" t="s">
        <v>871</v>
      </c>
      <c r="P10" s="38" t="s">
        <v>872</v>
      </c>
      <c r="Q10" s="39" t="s">
        <v>873</v>
      </c>
      <c r="R10" s="39" t="s">
        <v>874</v>
      </c>
      <c r="S10" s="41" t="s">
        <v>875</v>
      </c>
      <c r="T10" s="39" t="s">
        <v>876</v>
      </c>
      <c r="U10" s="39" t="s">
        <v>877</v>
      </c>
      <c r="Y10" s="39" t="s">
        <v>878</v>
      </c>
      <c r="Z10" s="39" t="s">
        <v>880</v>
      </c>
      <c r="AA10" s="39" t="s">
        <v>881</v>
      </c>
      <c r="AB10" s="39" t="s">
        <v>879</v>
      </c>
      <c r="AC10" s="39" t="s">
        <v>882</v>
      </c>
      <c r="AD10" s="39" t="s">
        <v>883</v>
      </c>
      <c r="AE10" s="17" t="s">
        <v>156</v>
      </c>
    </row>
    <row r="11" spans="1:58" s="7" customFormat="1" ht="43.2" x14ac:dyDescent="0.3">
      <c r="B11" s="18" t="s">
        <v>157</v>
      </c>
      <c r="C11" s="18" t="s">
        <v>178</v>
      </c>
      <c r="D11" s="19" t="s">
        <v>158</v>
      </c>
      <c r="E11" s="18" t="s">
        <v>179</v>
      </c>
      <c r="F11" s="18" t="s">
        <v>180</v>
      </c>
      <c r="G11" s="18" t="s">
        <v>181</v>
      </c>
      <c r="H11" s="18" t="s">
        <v>182</v>
      </c>
      <c r="I11" s="18" t="s">
        <v>183</v>
      </c>
      <c r="J11" s="19" t="s">
        <v>800</v>
      </c>
      <c r="K11" s="18" t="s">
        <v>184</v>
      </c>
      <c r="L11" s="18" t="s">
        <v>185</v>
      </c>
      <c r="M11" s="18" t="s">
        <v>186</v>
      </c>
      <c r="N11" s="18" t="s">
        <v>187</v>
      </c>
      <c r="O11" s="18" t="s">
        <v>819</v>
      </c>
      <c r="P11" s="19" t="s">
        <v>159</v>
      </c>
      <c r="Q11" s="19" t="s">
        <v>160</v>
      </c>
      <c r="R11" s="19" t="s">
        <v>161</v>
      </c>
      <c r="S11" s="19" t="s">
        <v>162</v>
      </c>
      <c r="T11" s="19" t="s">
        <v>163</v>
      </c>
      <c r="U11" s="19" t="s">
        <v>164</v>
      </c>
      <c r="V11" s="18" t="s">
        <v>188</v>
      </c>
      <c r="W11" s="18" t="s">
        <v>118</v>
      </c>
      <c r="X11" s="18" t="s">
        <v>122</v>
      </c>
      <c r="Y11" s="19" t="s">
        <v>119</v>
      </c>
      <c r="Z11" s="19" t="s">
        <v>165</v>
      </c>
      <c r="AA11" s="19" t="s">
        <v>166</v>
      </c>
      <c r="AB11" s="19" t="s">
        <v>167</v>
      </c>
      <c r="AC11" s="19" t="s">
        <v>168</v>
      </c>
      <c r="AD11" s="19" t="s">
        <v>169</v>
      </c>
      <c r="AE11" s="18" t="s">
        <v>189</v>
      </c>
      <c r="AF11" s="18" t="s">
        <v>801</v>
      </c>
      <c r="AG11" s="18" t="s">
        <v>802</v>
      </c>
      <c r="AH11" s="18" t="s">
        <v>803</v>
      </c>
      <c r="AI11" s="19" t="s">
        <v>820</v>
      </c>
      <c r="AJ11" s="18" t="s">
        <v>804</v>
      </c>
      <c r="AK11" s="18" t="s">
        <v>805</v>
      </c>
      <c r="AL11" s="18" t="s">
        <v>806</v>
      </c>
      <c r="AM11" s="18" t="s">
        <v>807</v>
      </c>
      <c r="AN11" s="19" t="s">
        <v>821</v>
      </c>
      <c r="AO11" s="19" t="s">
        <v>170</v>
      </c>
      <c r="AP11" s="19" t="s">
        <v>808</v>
      </c>
      <c r="AQ11" s="18" t="s">
        <v>809</v>
      </c>
      <c r="AR11" s="18" t="s">
        <v>810</v>
      </c>
      <c r="AS11" s="18" t="s">
        <v>811</v>
      </c>
      <c r="AT11" s="18" t="s">
        <v>812</v>
      </c>
      <c r="AU11" s="19" t="s">
        <v>813</v>
      </c>
      <c r="AV11" s="18" t="s">
        <v>814</v>
      </c>
      <c r="AW11" s="18" t="s">
        <v>815</v>
      </c>
      <c r="AX11" s="18" t="s">
        <v>816</v>
      </c>
      <c r="AY11" s="18" t="s">
        <v>817</v>
      </c>
      <c r="AZ11" s="18" t="s">
        <v>818</v>
      </c>
      <c r="BA11" s="20"/>
      <c r="BB11" s="20" t="s">
        <v>104</v>
      </c>
      <c r="BC11" s="20" t="s">
        <v>190</v>
      </c>
      <c r="BD11" s="20" t="s">
        <v>171</v>
      </c>
      <c r="BE11" s="20" t="str">
        <f>BC11&amp; " $"</f>
        <v>Shipper/Receiver/Porter $</v>
      </c>
      <c r="BF11" s="20" t="s">
        <v>172</v>
      </c>
    </row>
    <row r="12" spans="1:58" hidden="1" x14ac:dyDescent="0.3">
      <c r="B12" s="21">
        <v>890</v>
      </c>
      <c r="C12" s="22">
        <v>45083</v>
      </c>
      <c r="D12" s="21">
        <f>WEEKDAY(Table2[[#This Row],[Date]])</f>
        <v>3</v>
      </c>
      <c r="E12" s="21">
        <v>1</v>
      </c>
      <c r="F12" s="21">
        <v>201</v>
      </c>
      <c r="G12" s="21">
        <v>470</v>
      </c>
      <c r="H12" s="21">
        <v>420</v>
      </c>
      <c r="I12" s="21">
        <v>0</v>
      </c>
      <c r="J12" s="21">
        <f>SUM(H12+I12)</f>
        <v>420</v>
      </c>
      <c r="K12" s="21">
        <v>420</v>
      </c>
      <c r="L12" s="21">
        <v>50</v>
      </c>
      <c r="M12" s="21">
        <v>0</v>
      </c>
      <c r="N12" s="21">
        <v>411</v>
      </c>
      <c r="O12" s="21">
        <f>Table2[[#This Row],[Total Inspected]]-Table2[[#This Row],[Inspect Pass]]</f>
        <v>9</v>
      </c>
      <c r="P12" s="21">
        <f>G12-J12</f>
        <v>50</v>
      </c>
      <c r="Q12" s="23">
        <f>(Table2[[#This Row],[Inspect Pass]]/Table2[[#This Row],[Total Inspected]])</f>
        <v>0.97857142857142854</v>
      </c>
      <c r="R12" s="24">
        <f>Table2[[#This Row],[Inspect Pass]]*VLOOKUP(Table2[[#This Row],[LineA-ProdType]],'Other Lists'!$B$17:$H$19,7,FALSE)</f>
        <v>29181</v>
      </c>
      <c r="S12" s="24">
        <f>Table2[[#This Row],[Received]]*((VLOOKUP(Table2[[#This Row],[LineA-ProdType]],'Other Lists'!$B$16:$G$19,5,FALSE)+(VLOOKUP(Table2[[#This Row],[LineA-ProdType]],'Other Lists'!$B$16:$G$19,6,FALSE))))</f>
        <v>23077</v>
      </c>
      <c r="T12" s="24">
        <f>Table2[[#This Row],[Possible Supplier Income]]-Table2[[#This Row],[Supplier Cost of Parts]]</f>
        <v>6104</v>
      </c>
      <c r="U12" s="24">
        <f>Table2[[#This Row],[Inspect Not Pass]]*((VLOOKUP(Table2[[#This Row],[LineA-ProdType]],'Other Lists'!$B$17:$G$19,5,FALSE)+VLOOKUP(Table2[[#This Row],[LineA-ProdType]],'Other Lists'!$B$17:$G$19,6,FALSE)))</f>
        <v>441.90000000000003</v>
      </c>
      <c r="V12" s="21">
        <v>6</v>
      </c>
      <c r="W12" s="21">
        <v>0</v>
      </c>
      <c r="X12" s="21">
        <v>3</v>
      </c>
      <c r="Y12" s="21">
        <f>Table2[[#This Row],[Inspectors]]-Table2[[#This Row],[Training]]-Table2[[#This Row],[Regular]]</f>
        <v>3</v>
      </c>
      <c r="Z12" s="24">
        <f>VLOOKUP(Table2[[#This Row],[Shift]],'Other Lists'!$B$31:$H$36,7,FALSE)*8*Table2[[#This Row],[Training]]</f>
        <v>0</v>
      </c>
      <c r="AA12" s="24">
        <f>VLOOKUP(Table2[[#This Row],[Shift]],'Other Lists'!$B$31:$H$36,7,FALSE)*8*Table2[[#This Row],[Regular]]</f>
        <v>583.20000000000005</v>
      </c>
      <c r="AB12" s="24">
        <f>VLOOKUP(Table2[[#This Row],[Shift]],'Other Lists'!$B$31:$H$36,7,FALSE)*8*Table2[[#This Row],[Casual]]</f>
        <v>583.20000000000005</v>
      </c>
      <c r="AC12" s="24">
        <f>SUM(Table2[[#This Row],[Training $]:[Casual $]])</f>
        <v>1166.4000000000001</v>
      </c>
      <c r="AD12" s="24">
        <f>Table2[[#This Row],[Total Line A $]]/Table2[[#This Row],[Total Inspected]]</f>
        <v>2.7771428571428576</v>
      </c>
      <c r="AE12" s="21">
        <v>105</v>
      </c>
      <c r="AF12" s="21">
        <v>211</v>
      </c>
      <c r="AG12" s="21">
        <v>185</v>
      </c>
      <c r="AH12" s="21">
        <v>0</v>
      </c>
      <c r="AI12" s="21">
        <f>Table2[[#This Row],[Received Inspected3]]+Table2[[#This Row],[Leftover Inspected4]]</f>
        <v>185</v>
      </c>
      <c r="AJ12" s="21">
        <v>216</v>
      </c>
      <c r="AK12" s="21">
        <v>26</v>
      </c>
      <c r="AL12" s="21">
        <v>0</v>
      </c>
      <c r="AM12" s="21">
        <v>177</v>
      </c>
      <c r="AN12" s="21">
        <f>Table2[[#This Row],[Total Inspected2]]-Table2[[#This Row],[Inspect Pass8]]</f>
        <v>8</v>
      </c>
      <c r="AO12" s="21">
        <f>Table2[[#This Row],[Received2]]-Table2[[#This Row],[Total Inspected2]]</f>
        <v>26</v>
      </c>
      <c r="AP12" s="23">
        <f>Table2[[#This Row],[Inspect Pass8]]/Table2[[#This Row],[Received2]]</f>
        <v>0.83886255924170616</v>
      </c>
      <c r="AQ12" s="21">
        <v>8</v>
      </c>
      <c r="AR12" s="21">
        <v>7</v>
      </c>
      <c r="AS12" s="21">
        <v>0</v>
      </c>
      <c r="AT12" s="21">
        <v>3</v>
      </c>
      <c r="AU12" s="21">
        <f>Table2[[#This Row],[Inspectors11]]-Table2[[#This Row],[Training12]]-Table2[[#This Row],[Regular13]]</f>
        <v>4</v>
      </c>
      <c r="AV12" s="21"/>
      <c r="AW12" s="21"/>
      <c r="AX12" s="21"/>
      <c r="AY12" s="21"/>
      <c r="AZ12" s="21"/>
      <c r="BA12" s="21"/>
      <c r="BB12" s="21">
        <v>2</v>
      </c>
      <c r="BC12" s="21">
        <v>2</v>
      </c>
      <c r="BD12" s="21"/>
      <c r="BE12" s="21"/>
      <c r="BF12" s="21"/>
    </row>
    <row r="13" spans="1:58" hidden="1" x14ac:dyDescent="0.3">
      <c r="B13" s="21">
        <v>891</v>
      </c>
      <c r="C13" s="22">
        <v>45084</v>
      </c>
      <c r="D13" s="21">
        <f>WEEKDAY(Table2[[#This Row],[Date]])</f>
        <v>4</v>
      </c>
      <c r="E13" s="21">
        <v>1</v>
      </c>
      <c r="F13" s="21">
        <v>201</v>
      </c>
      <c r="G13" s="21">
        <v>378</v>
      </c>
      <c r="H13" s="21">
        <v>378</v>
      </c>
      <c r="I13" s="21">
        <v>0</v>
      </c>
      <c r="J13" s="21">
        <f t="shared" ref="J13:J76" si="0">SUM(H13+I13)</f>
        <v>378</v>
      </c>
      <c r="K13" s="21">
        <v>420</v>
      </c>
      <c r="L13" s="21">
        <v>0</v>
      </c>
      <c r="M13" s="21">
        <v>0</v>
      </c>
      <c r="N13" s="21">
        <v>351</v>
      </c>
      <c r="O13" s="21">
        <f>Table2[[#This Row],[Total Inspected]]-Table2[[#This Row],[Inspect Pass]]</f>
        <v>27</v>
      </c>
      <c r="P13" s="21">
        <f t="shared" ref="P13:P76" si="1">G13-J13</f>
        <v>0</v>
      </c>
      <c r="Q13" s="23">
        <f>(Table2[[#This Row],[Inspect Pass]]/Table2[[#This Row],[Total Inspected]])</f>
        <v>0.9285714285714286</v>
      </c>
      <c r="R13" s="24">
        <f>Table2[[#This Row],[Inspect Pass]]*VLOOKUP(Table2[[#This Row],[LineA-ProdType]],'Other Lists'!$B$17:$H$19,7,FALSE)</f>
        <v>24921</v>
      </c>
      <c r="S13" s="24">
        <f>Table2[[#This Row],[Received]]*((VLOOKUP(Table2[[#This Row],[LineA-ProdType]],'Other Lists'!$B$16:$G$19,5,FALSE)+(VLOOKUP(Table2[[#This Row],[LineA-ProdType]],'Other Lists'!$B$16:$G$19,6,FALSE))))</f>
        <v>18559.8</v>
      </c>
      <c r="T13" s="24">
        <f>Table2[[#This Row],[Possible Supplier Income]]-Table2[[#This Row],[Supplier Cost of Parts]]</f>
        <v>6361.2000000000007</v>
      </c>
      <c r="U13" s="24">
        <f>Table2[[#This Row],[Inspect Not Pass]]*((VLOOKUP(Table2[[#This Row],[LineA-ProdType]],'Other Lists'!$B$17:$G$19,5,FALSE)+VLOOKUP(Table2[[#This Row],[LineA-ProdType]],'Other Lists'!$B$17:$G$19,6,FALSE)))</f>
        <v>1325.7</v>
      </c>
      <c r="V13" s="21">
        <v>6</v>
      </c>
      <c r="W13" s="21">
        <v>0</v>
      </c>
      <c r="X13" s="21">
        <v>4</v>
      </c>
      <c r="Y13" s="21">
        <f>Table2[[#This Row],[Inspectors]]-Table2[[#This Row],[Training]]-Table2[[#This Row],[Regular]]</f>
        <v>2</v>
      </c>
      <c r="Z13" s="24">
        <f>VLOOKUP(Table2[[#This Row],[Shift]],'Other Lists'!$B$31:$H$36,7,FALSE)*8*Table2[[#This Row],[Training]]</f>
        <v>0</v>
      </c>
      <c r="AA13" s="24">
        <f>VLOOKUP(Table2[[#This Row],[Shift]],'Other Lists'!$B$31:$H$36,7,FALSE)*8*Table2[[#This Row],[Regular]]</f>
        <v>777.6</v>
      </c>
      <c r="AB13" s="24">
        <f>VLOOKUP(Table2[[#This Row],[Shift]],'Other Lists'!$B$31:$H$36,7,FALSE)*8*Table2[[#This Row],[Casual]]</f>
        <v>388.8</v>
      </c>
      <c r="AC13" s="24">
        <f>SUM(Table2[[#This Row],[Training $]:[Casual $]])</f>
        <v>1166.4000000000001</v>
      </c>
      <c r="AD13" s="24">
        <f>Table2[[#This Row],[Total Line A $]]/Table2[[#This Row],[Total Inspected]]</f>
        <v>3.0857142857142859</v>
      </c>
      <c r="AE13" s="21">
        <v>105</v>
      </c>
      <c r="AF13" s="21">
        <v>235</v>
      </c>
      <c r="AG13" s="21">
        <v>226</v>
      </c>
      <c r="AH13" s="21">
        <v>0</v>
      </c>
      <c r="AI13" s="21">
        <f>Table2[[#This Row],[Received Inspected3]]+Table2[[#This Row],[Leftover Inspected4]]</f>
        <v>226</v>
      </c>
      <c r="AJ13" s="21">
        <v>216</v>
      </c>
      <c r="AK13" s="21">
        <v>9</v>
      </c>
      <c r="AL13" s="21">
        <v>0</v>
      </c>
      <c r="AM13" s="21">
        <v>212</v>
      </c>
      <c r="AN13" s="21">
        <f>Table2[[#This Row],[Total Inspected2]]-Table2[[#This Row],[Inspect Pass8]]</f>
        <v>14</v>
      </c>
      <c r="AO13" s="21">
        <f>Table2[[#This Row],[Received2]]-Table2[[#This Row],[Total Inspected2]]</f>
        <v>9</v>
      </c>
      <c r="AP13" s="23">
        <f>Table2[[#This Row],[Inspect Pass8]]/Table2[[#This Row],[Received2]]</f>
        <v>0.90212765957446805</v>
      </c>
      <c r="AQ13" s="21">
        <v>8</v>
      </c>
      <c r="AR13" s="21">
        <v>8</v>
      </c>
      <c r="AS13" s="21">
        <v>0</v>
      </c>
      <c r="AT13" s="21">
        <v>3</v>
      </c>
      <c r="AU13" s="21">
        <f>Table2[[#This Row],[Inspectors11]]-Table2[[#This Row],[Training12]]-Table2[[#This Row],[Regular13]]</f>
        <v>5</v>
      </c>
      <c r="AV13" s="21"/>
      <c r="AW13" s="21"/>
      <c r="AX13" s="21"/>
      <c r="AY13" s="21"/>
      <c r="AZ13" s="21"/>
      <c r="BA13" s="21"/>
      <c r="BB13" s="21">
        <v>2</v>
      </c>
      <c r="BC13" s="21">
        <v>2</v>
      </c>
      <c r="BD13" s="21"/>
      <c r="BE13" s="21"/>
      <c r="BF13" s="21"/>
    </row>
    <row r="14" spans="1:58" hidden="1" x14ac:dyDescent="0.3">
      <c r="B14" s="21">
        <v>892</v>
      </c>
      <c r="C14" s="22">
        <v>45085</v>
      </c>
      <c r="D14" s="21">
        <f>WEEKDAY(Table2[[#This Row],[Date]])</f>
        <v>5</v>
      </c>
      <c r="E14" s="21">
        <v>1</v>
      </c>
      <c r="F14" s="21">
        <v>119</v>
      </c>
      <c r="G14" s="21">
        <v>882</v>
      </c>
      <c r="H14" s="21">
        <v>882</v>
      </c>
      <c r="I14" s="21">
        <v>0</v>
      </c>
      <c r="J14" s="21">
        <f t="shared" si="0"/>
        <v>882</v>
      </c>
      <c r="K14" s="21">
        <v>1049.9999999999998</v>
      </c>
      <c r="L14" s="21">
        <v>0</v>
      </c>
      <c r="M14" s="21">
        <v>0</v>
      </c>
      <c r="N14" s="21">
        <v>829</v>
      </c>
      <c r="O14" s="21">
        <f>Table2[[#This Row],[Total Inspected]]-Table2[[#This Row],[Inspect Pass]]</f>
        <v>53</v>
      </c>
      <c r="P14" s="21">
        <f t="shared" si="1"/>
        <v>0</v>
      </c>
      <c r="Q14" s="23">
        <f>(Table2[[#This Row],[Inspect Pass]]/Table2[[#This Row],[Total Inspected]])</f>
        <v>0.9399092970521542</v>
      </c>
      <c r="R14" s="24">
        <f>Table2[[#This Row],[Inspect Pass]]*VLOOKUP(Table2[[#This Row],[LineA-ProdType]],'Other Lists'!$B$17:$H$19,7,FALSE)</f>
        <v>26528</v>
      </c>
      <c r="S14" s="24">
        <f>Table2[[#This Row],[Received]]*((VLOOKUP(Table2[[#This Row],[LineA-ProdType]],'Other Lists'!$B$16:$G$19,5,FALSE)+(VLOOKUP(Table2[[#This Row],[LineA-ProdType]],'Other Lists'!$B$16:$G$19,6,FALSE))))</f>
        <v>25401.600000000002</v>
      </c>
      <c r="T14" s="24">
        <f>Table2[[#This Row],[Possible Supplier Income]]-Table2[[#This Row],[Supplier Cost of Parts]]</f>
        <v>1126.3999999999978</v>
      </c>
      <c r="U14" s="24">
        <f>Table2[[#This Row],[Inspect Not Pass]]*((VLOOKUP(Table2[[#This Row],[LineA-ProdType]],'Other Lists'!$B$17:$G$19,5,FALSE)+VLOOKUP(Table2[[#This Row],[LineA-ProdType]],'Other Lists'!$B$17:$G$19,6,FALSE)))</f>
        <v>1526.4</v>
      </c>
      <c r="V14" s="21">
        <v>6</v>
      </c>
      <c r="W14" s="21">
        <v>0</v>
      </c>
      <c r="X14" s="21">
        <v>3</v>
      </c>
      <c r="Y14" s="21">
        <f>Table2[[#This Row],[Inspectors]]-Table2[[#This Row],[Training]]-Table2[[#This Row],[Regular]]</f>
        <v>3</v>
      </c>
      <c r="Z14" s="24">
        <f>VLOOKUP(Table2[[#This Row],[Shift]],'Other Lists'!$B$31:$H$36,7,FALSE)*8*Table2[[#This Row],[Training]]</f>
        <v>0</v>
      </c>
      <c r="AA14" s="24">
        <f>VLOOKUP(Table2[[#This Row],[Shift]],'Other Lists'!$B$31:$H$36,7,FALSE)*8*Table2[[#This Row],[Regular]]</f>
        <v>583.20000000000005</v>
      </c>
      <c r="AB14" s="24">
        <f>VLOOKUP(Table2[[#This Row],[Shift]],'Other Lists'!$B$31:$H$36,7,FALSE)*8*Table2[[#This Row],[Casual]]</f>
        <v>583.20000000000005</v>
      </c>
      <c r="AC14" s="24">
        <f>SUM(Table2[[#This Row],[Training $]:[Casual $]])</f>
        <v>1166.4000000000001</v>
      </c>
      <c r="AD14" s="24">
        <f>Table2[[#This Row],[Total Line A $]]/Table2[[#This Row],[Total Inspected]]</f>
        <v>1.3224489795918368</v>
      </c>
      <c r="AE14" s="21">
        <v>105</v>
      </c>
      <c r="AF14" s="21">
        <v>174</v>
      </c>
      <c r="AG14" s="21">
        <v>174</v>
      </c>
      <c r="AH14" s="21">
        <v>0</v>
      </c>
      <c r="AI14" s="21">
        <f>Table2[[#This Row],[Received Inspected3]]+Table2[[#This Row],[Leftover Inspected4]]</f>
        <v>174</v>
      </c>
      <c r="AJ14" s="21">
        <v>216</v>
      </c>
      <c r="AK14" s="21">
        <v>0</v>
      </c>
      <c r="AL14" s="21">
        <v>0</v>
      </c>
      <c r="AM14" s="21">
        <v>161</v>
      </c>
      <c r="AN14" s="21">
        <f>Table2[[#This Row],[Total Inspected2]]-Table2[[#This Row],[Inspect Pass8]]</f>
        <v>13</v>
      </c>
      <c r="AO14" s="21">
        <f>Table2[[#This Row],[Received2]]-Table2[[#This Row],[Total Inspected2]]</f>
        <v>0</v>
      </c>
      <c r="AP14" s="23">
        <f>Table2[[#This Row],[Inspect Pass8]]/Table2[[#This Row],[Received2]]</f>
        <v>0.92528735632183912</v>
      </c>
      <c r="AQ14" s="21">
        <v>8</v>
      </c>
      <c r="AR14" s="21">
        <v>8</v>
      </c>
      <c r="AS14" s="21">
        <v>0</v>
      </c>
      <c r="AT14" s="21">
        <v>3</v>
      </c>
      <c r="AU14" s="21">
        <f>Table2[[#This Row],[Inspectors11]]-Table2[[#This Row],[Training12]]-Table2[[#This Row],[Regular13]]</f>
        <v>5</v>
      </c>
      <c r="AV14" s="21"/>
      <c r="AW14" s="21"/>
      <c r="AX14" s="21"/>
      <c r="AY14" s="21"/>
      <c r="AZ14" s="21"/>
      <c r="BA14" s="21"/>
      <c r="BB14" s="21">
        <v>2</v>
      </c>
      <c r="BC14" s="21">
        <v>2</v>
      </c>
      <c r="BD14" s="21"/>
      <c r="BE14" s="21"/>
      <c r="BF14" s="21"/>
    </row>
    <row r="15" spans="1:58" hidden="1" x14ac:dyDescent="0.3">
      <c r="B15" s="21">
        <v>893</v>
      </c>
      <c r="C15" s="22">
        <v>45086</v>
      </c>
      <c r="D15" s="21">
        <f>WEEKDAY(Table2[[#This Row],[Date]])</f>
        <v>6</v>
      </c>
      <c r="E15" s="21">
        <v>1</v>
      </c>
      <c r="F15" s="21">
        <v>119</v>
      </c>
      <c r="G15" s="21">
        <v>1197</v>
      </c>
      <c r="H15" s="21">
        <v>955</v>
      </c>
      <c r="I15" s="21">
        <v>0</v>
      </c>
      <c r="J15" s="21">
        <f t="shared" si="0"/>
        <v>955</v>
      </c>
      <c r="K15" s="21">
        <v>1049.9999999999998</v>
      </c>
      <c r="L15" s="21">
        <v>242</v>
      </c>
      <c r="M15" s="21">
        <v>0</v>
      </c>
      <c r="N15" s="21">
        <v>888</v>
      </c>
      <c r="O15" s="21">
        <f>Table2[[#This Row],[Total Inspected]]-Table2[[#This Row],[Inspect Pass]]</f>
        <v>67</v>
      </c>
      <c r="P15" s="21">
        <f t="shared" si="1"/>
        <v>242</v>
      </c>
      <c r="Q15" s="23">
        <f>(Table2[[#This Row],[Inspect Pass]]/Table2[[#This Row],[Total Inspected]])</f>
        <v>0.92984293193717282</v>
      </c>
      <c r="R15" s="24">
        <f>Table2[[#This Row],[Inspect Pass]]*VLOOKUP(Table2[[#This Row],[LineA-ProdType]],'Other Lists'!$B$17:$H$19,7,FALSE)</f>
        <v>28416</v>
      </c>
      <c r="S15" s="24">
        <f>Table2[[#This Row],[Received]]*((VLOOKUP(Table2[[#This Row],[LineA-ProdType]],'Other Lists'!$B$16:$G$19,5,FALSE)+(VLOOKUP(Table2[[#This Row],[LineA-ProdType]],'Other Lists'!$B$16:$G$19,6,FALSE))))</f>
        <v>34473.599999999999</v>
      </c>
      <c r="T15" s="24">
        <f>Table2[[#This Row],[Possible Supplier Income]]-Table2[[#This Row],[Supplier Cost of Parts]]</f>
        <v>-6057.5999999999985</v>
      </c>
      <c r="U15" s="24">
        <f>Table2[[#This Row],[Inspect Not Pass]]*((VLOOKUP(Table2[[#This Row],[LineA-ProdType]],'Other Lists'!$B$17:$G$19,5,FALSE)+VLOOKUP(Table2[[#This Row],[LineA-ProdType]],'Other Lists'!$B$17:$G$19,6,FALSE)))</f>
        <v>1929.6000000000001</v>
      </c>
      <c r="V15" s="21">
        <v>6</v>
      </c>
      <c r="W15" s="21">
        <v>1</v>
      </c>
      <c r="X15" s="21">
        <v>4</v>
      </c>
      <c r="Y15" s="21">
        <f>Table2[[#This Row],[Inspectors]]-Table2[[#This Row],[Training]]-Table2[[#This Row],[Regular]]</f>
        <v>1</v>
      </c>
      <c r="Z15" s="24">
        <f>VLOOKUP(Table2[[#This Row],[Shift]],'Other Lists'!$B$31:$H$36,7,FALSE)*8*Table2[[#This Row],[Training]]</f>
        <v>194.4</v>
      </c>
      <c r="AA15" s="24">
        <f>VLOOKUP(Table2[[#This Row],[Shift]],'Other Lists'!$B$31:$H$36,7,FALSE)*8*Table2[[#This Row],[Regular]]</f>
        <v>777.6</v>
      </c>
      <c r="AB15" s="24">
        <f>VLOOKUP(Table2[[#This Row],[Shift]],'Other Lists'!$B$31:$H$36,7,FALSE)*8*Table2[[#This Row],[Casual]]</f>
        <v>194.4</v>
      </c>
      <c r="AC15" s="24">
        <f>SUM(Table2[[#This Row],[Training $]:[Casual $]])</f>
        <v>1166.4000000000001</v>
      </c>
      <c r="AD15" s="24">
        <f>Table2[[#This Row],[Total Line A $]]/Table2[[#This Row],[Total Inspected]]</f>
        <v>1.2213612565445027</v>
      </c>
      <c r="AE15" s="21">
        <v>105</v>
      </c>
      <c r="AF15" s="21">
        <v>259</v>
      </c>
      <c r="AG15" s="21">
        <v>209</v>
      </c>
      <c r="AH15" s="21">
        <v>0</v>
      </c>
      <c r="AI15" s="21">
        <f>Table2[[#This Row],[Received Inspected3]]+Table2[[#This Row],[Leftover Inspected4]]</f>
        <v>209</v>
      </c>
      <c r="AJ15" s="21">
        <v>216</v>
      </c>
      <c r="AK15" s="21">
        <v>50</v>
      </c>
      <c r="AL15" s="21">
        <v>0</v>
      </c>
      <c r="AM15" s="21">
        <v>200</v>
      </c>
      <c r="AN15" s="21">
        <f>Table2[[#This Row],[Total Inspected2]]-Table2[[#This Row],[Inspect Pass8]]</f>
        <v>9</v>
      </c>
      <c r="AO15" s="21">
        <f>Table2[[#This Row],[Received2]]-Table2[[#This Row],[Total Inspected2]]</f>
        <v>50</v>
      </c>
      <c r="AP15" s="23">
        <f>Table2[[#This Row],[Inspect Pass8]]/Table2[[#This Row],[Received2]]</f>
        <v>0.77220077220077221</v>
      </c>
      <c r="AQ15" s="21">
        <v>8</v>
      </c>
      <c r="AR15" s="21">
        <v>8</v>
      </c>
      <c r="AS15" s="21">
        <v>0</v>
      </c>
      <c r="AT15" s="21">
        <v>3</v>
      </c>
      <c r="AU15" s="21">
        <f>Table2[[#This Row],[Inspectors11]]-Table2[[#This Row],[Training12]]-Table2[[#This Row],[Regular13]]</f>
        <v>5</v>
      </c>
      <c r="AV15" s="21"/>
      <c r="AW15" s="21"/>
      <c r="AX15" s="21"/>
      <c r="AY15" s="21"/>
      <c r="AZ15" s="21"/>
      <c r="BA15" s="21"/>
      <c r="BB15" s="21">
        <v>2</v>
      </c>
      <c r="BC15" s="21">
        <v>2</v>
      </c>
      <c r="BD15" s="21"/>
      <c r="BE15" s="21"/>
      <c r="BF15" s="21"/>
    </row>
    <row r="16" spans="1:58" hidden="1" x14ac:dyDescent="0.3">
      <c r="B16" s="21">
        <v>894</v>
      </c>
      <c r="C16" s="22">
        <v>45087</v>
      </c>
      <c r="D16" s="21">
        <f>WEEKDAY(Table2[[#This Row],[Date]])</f>
        <v>7</v>
      </c>
      <c r="E16" s="21">
        <v>1</v>
      </c>
      <c r="F16" s="21">
        <v>119</v>
      </c>
      <c r="G16" s="21">
        <v>1081</v>
      </c>
      <c r="H16" s="21">
        <v>1081</v>
      </c>
      <c r="I16" s="21">
        <v>0</v>
      </c>
      <c r="J16" s="21">
        <f t="shared" si="0"/>
        <v>1081</v>
      </c>
      <c r="K16" s="21">
        <v>1049.9999999999998</v>
      </c>
      <c r="L16" s="21">
        <v>0</v>
      </c>
      <c r="M16" s="21">
        <v>0</v>
      </c>
      <c r="N16" s="21">
        <v>1059</v>
      </c>
      <c r="O16" s="21">
        <f>Table2[[#This Row],[Total Inspected]]-Table2[[#This Row],[Inspect Pass]]</f>
        <v>22</v>
      </c>
      <c r="P16" s="21">
        <f t="shared" si="1"/>
        <v>0</v>
      </c>
      <c r="Q16" s="23">
        <f>(Table2[[#This Row],[Inspect Pass]]/Table2[[#This Row],[Total Inspected]])</f>
        <v>0.97964847363552265</v>
      </c>
      <c r="R16" s="24">
        <f>Table2[[#This Row],[Inspect Pass]]*VLOOKUP(Table2[[#This Row],[LineA-ProdType]],'Other Lists'!$B$17:$H$19,7,FALSE)</f>
        <v>33888</v>
      </c>
      <c r="S16" s="24">
        <f>Table2[[#This Row],[Received]]*((VLOOKUP(Table2[[#This Row],[LineA-ProdType]],'Other Lists'!$B$16:$G$19,5,FALSE)+(VLOOKUP(Table2[[#This Row],[LineA-ProdType]],'Other Lists'!$B$16:$G$19,6,FALSE))))</f>
        <v>31132.799999999999</v>
      </c>
      <c r="T16" s="24">
        <f>Table2[[#This Row],[Possible Supplier Income]]-Table2[[#This Row],[Supplier Cost of Parts]]</f>
        <v>2755.2000000000007</v>
      </c>
      <c r="U16" s="24">
        <f>Table2[[#This Row],[Inspect Not Pass]]*((VLOOKUP(Table2[[#This Row],[LineA-ProdType]],'Other Lists'!$B$17:$G$19,5,FALSE)+VLOOKUP(Table2[[#This Row],[LineA-ProdType]],'Other Lists'!$B$17:$G$19,6,FALSE)))</f>
        <v>633.6</v>
      </c>
      <c r="V16" s="21">
        <v>6</v>
      </c>
      <c r="W16" s="21">
        <v>0</v>
      </c>
      <c r="X16" s="21">
        <v>4</v>
      </c>
      <c r="Y16" s="21">
        <f>Table2[[#This Row],[Inspectors]]-Table2[[#This Row],[Training]]-Table2[[#This Row],[Regular]]</f>
        <v>2</v>
      </c>
      <c r="Z16" s="24">
        <f>VLOOKUP(Table2[[#This Row],[Shift]],'Other Lists'!$B$31:$H$36,7,FALSE)*8*Table2[[#This Row],[Training]]</f>
        <v>0</v>
      </c>
      <c r="AA16" s="24">
        <f>VLOOKUP(Table2[[#This Row],[Shift]],'Other Lists'!$B$31:$H$36,7,FALSE)*8*Table2[[#This Row],[Regular]]</f>
        <v>777.6</v>
      </c>
      <c r="AB16" s="24">
        <f>VLOOKUP(Table2[[#This Row],[Shift]],'Other Lists'!$B$31:$H$36,7,FALSE)*8*Table2[[#This Row],[Casual]]</f>
        <v>388.8</v>
      </c>
      <c r="AC16" s="24">
        <f>SUM(Table2[[#This Row],[Training $]:[Casual $]])</f>
        <v>1166.4000000000001</v>
      </c>
      <c r="AD16" s="24">
        <f>Table2[[#This Row],[Total Line A $]]/Table2[[#This Row],[Total Inspected]]</f>
        <v>1.0790009250693804</v>
      </c>
      <c r="AE16" s="21">
        <v>105</v>
      </c>
      <c r="AF16" s="21">
        <v>209</v>
      </c>
      <c r="AG16" s="21">
        <v>209</v>
      </c>
      <c r="AH16" s="21">
        <v>0</v>
      </c>
      <c r="AI16" s="21">
        <f>Table2[[#This Row],[Received Inspected3]]+Table2[[#This Row],[Leftover Inspected4]]</f>
        <v>209</v>
      </c>
      <c r="AJ16" s="21">
        <v>216</v>
      </c>
      <c r="AK16" s="21">
        <v>0</v>
      </c>
      <c r="AL16" s="21">
        <v>0</v>
      </c>
      <c r="AM16" s="21">
        <v>198</v>
      </c>
      <c r="AN16" s="21">
        <f>Table2[[#This Row],[Total Inspected2]]-Table2[[#This Row],[Inspect Pass8]]</f>
        <v>11</v>
      </c>
      <c r="AO16" s="21">
        <f>Table2[[#This Row],[Received2]]-Table2[[#This Row],[Total Inspected2]]</f>
        <v>0</v>
      </c>
      <c r="AP16" s="23">
        <f>Table2[[#This Row],[Inspect Pass8]]/Table2[[#This Row],[Received2]]</f>
        <v>0.94736842105263153</v>
      </c>
      <c r="AQ16" s="21">
        <v>8</v>
      </c>
      <c r="AR16" s="21">
        <v>8</v>
      </c>
      <c r="AS16" s="21">
        <v>0</v>
      </c>
      <c r="AT16" s="21">
        <v>4</v>
      </c>
      <c r="AU16" s="21">
        <f>Table2[[#This Row],[Inspectors11]]-Table2[[#This Row],[Training12]]-Table2[[#This Row],[Regular13]]</f>
        <v>4</v>
      </c>
      <c r="AV16" s="21"/>
      <c r="AW16" s="21"/>
      <c r="AX16" s="21"/>
      <c r="AY16" s="21"/>
      <c r="AZ16" s="21"/>
      <c r="BA16" s="21"/>
      <c r="BB16" s="21">
        <v>2</v>
      </c>
      <c r="BC16" s="21">
        <v>2</v>
      </c>
      <c r="BD16" s="21"/>
      <c r="BE16" s="21"/>
      <c r="BF16" s="21"/>
    </row>
    <row r="17" spans="2:58" hidden="1" x14ac:dyDescent="0.3">
      <c r="B17" s="21">
        <v>895</v>
      </c>
      <c r="C17" s="22">
        <v>45088</v>
      </c>
      <c r="D17" s="21">
        <f>WEEKDAY(Table2[[#This Row],[Date]])</f>
        <v>1</v>
      </c>
      <c r="E17" s="21">
        <v>1</v>
      </c>
      <c r="F17" s="21">
        <v>201</v>
      </c>
      <c r="G17" s="21">
        <v>228</v>
      </c>
      <c r="H17" s="21">
        <v>210</v>
      </c>
      <c r="I17" s="21">
        <v>0</v>
      </c>
      <c r="J17" s="21">
        <f t="shared" si="0"/>
        <v>210</v>
      </c>
      <c r="K17" s="21">
        <v>210</v>
      </c>
      <c r="L17" s="21">
        <v>18</v>
      </c>
      <c r="M17" s="21">
        <v>0</v>
      </c>
      <c r="N17" s="21">
        <v>203</v>
      </c>
      <c r="O17" s="21">
        <f>Table2[[#This Row],[Total Inspected]]-Table2[[#This Row],[Inspect Pass]]</f>
        <v>7</v>
      </c>
      <c r="P17" s="21">
        <f t="shared" si="1"/>
        <v>18</v>
      </c>
      <c r="Q17" s="23">
        <f>(Table2[[#This Row],[Inspect Pass]]/Table2[[#This Row],[Total Inspected]])</f>
        <v>0.96666666666666667</v>
      </c>
      <c r="R17" s="24">
        <f>Table2[[#This Row],[Inspect Pass]]*VLOOKUP(Table2[[#This Row],[LineA-ProdType]],'Other Lists'!$B$17:$H$19,7,FALSE)</f>
        <v>14413</v>
      </c>
      <c r="S17" s="24">
        <f>Table2[[#This Row],[Received]]*((VLOOKUP(Table2[[#This Row],[LineA-ProdType]],'Other Lists'!$B$16:$G$19,5,FALSE)+(VLOOKUP(Table2[[#This Row],[LineA-ProdType]],'Other Lists'!$B$16:$G$19,6,FALSE))))</f>
        <v>11194.800000000001</v>
      </c>
      <c r="T17" s="24">
        <f>Table2[[#This Row],[Possible Supplier Income]]-Table2[[#This Row],[Supplier Cost of Parts]]</f>
        <v>3218.1999999999989</v>
      </c>
      <c r="U17" s="24">
        <f>Table2[[#This Row],[Inspect Not Pass]]*((VLOOKUP(Table2[[#This Row],[LineA-ProdType]],'Other Lists'!$B$17:$G$19,5,FALSE)+VLOOKUP(Table2[[#This Row],[LineA-ProdType]],'Other Lists'!$B$17:$G$19,6,FALSE)))</f>
        <v>343.7</v>
      </c>
      <c r="V17" s="21">
        <v>3</v>
      </c>
      <c r="W17" s="21">
        <v>0</v>
      </c>
      <c r="X17" s="21">
        <v>2</v>
      </c>
      <c r="Y17" s="21">
        <f>Table2[[#This Row],[Inspectors]]-Table2[[#This Row],[Training]]-Table2[[#This Row],[Regular]]</f>
        <v>1</v>
      </c>
      <c r="Z17" s="24">
        <f>VLOOKUP(Table2[[#This Row],[Shift]],'Other Lists'!$B$31:$H$36,7,FALSE)*8*Table2[[#This Row],[Training]]</f>
        <v>0</v>
      </c>
      <c r="AA17" s="24">
        <f>VLOOKUP(Table2[[#This Row],[Shift]],'Other Lists'!$B$31:$H$36,7,FALSE)*8*Table2[[#This Row],[Regular]]</f>
        <v>388.8</v>
      </c>
      <c r="AB17" s="24">
        <f>VLOOKUP(Table2[[#This Row],[Shift]],'Other Lists'!$B$31:$H$36,7,FALSE)*8*Table2[[#This Row],[Casual]]</f>
        <v>194.4</v>
      </c>
      <c r="AC17" s="24">
        <f>SUM(Table2[[#This Row],[Training $]:[Casual $]])</f>
        <v>583.20000000000005</v>
      </c>
      <c r="AD17" s="24">
        <f>Table2[[#This Row],[Total Line A $]]/Table2[[#This Row],[Total Inspected]]</f>
        <v>2.7771428571428576</v>
      </c>
      <c r="AE17" s="21">
        <v>105</v>
      </c>
      <c r="AF17" s="21">
        <v>120</v>
      </c>
      <c r="AG17" s="21">
        <v>108</v>
      </c>
      <c r="AH17" s="21">
        <v>0</v>
      </c>
      <c r="AI17" s="21">
        <f>Table2[[#This Row],[Received Inspected3]]+Table2[[#This Row],[Leftover Inspected4]]</f>
        <v>108</v>
      </c>
      <c r="AJ17" s="21">
        <v>108</v>
      </c>
      <c r="AK17" s="21">
        <v>12</v>
      </c>
      <c r="AL17" s="21">
        <v>0</v>
      </c>
      <c r="AM17" s="21">
        <v>103</v>
      </c>
      <c r="AN17" s="21">
        <f>Table2[[#This Row],[Total Inspected2]]-Table2[[#This Row],[Inspect Pass8]]</f>
        <v>5</v>
      </c>
      <c r="AO17" s="21">
        <f>Table2[[#This Row],[Received2]]-Table2[[#This Row],[Total Inspected2]]</f>
        <v>12</v>
      </c>
      <c r="AP17" s="23">
        <f>Table2[[#This Row],[Inspect Pass8]]/Table2[[#This Row],[Received2]]</f>
        <v>0.85833333333333328</v>
      </c>
      <c r="AQ17" s="21">
        <v>4</v>
      </c>
      <c r="AR17" s="21">
        <v>4</v>
      </c>
      <c r="AS17" s="21">
        <v>0</v>
      </c>
      <c r="AT17" s="21">
        <v>2</v>
      </c>
      <c r="AU17" s="21">
        <f>Table2[[#This Row],[Inspectors11]]-Table2[[#This Row],[Training12]]-Table2[[#This Row],[Regular13]]</f>
        <v>2</v>
      </c>
      <c r="AV17" s="21"/>
      <c r="AW17" s="21"/>
      <c r="AX17" s="21"/>
      <c r="AY17" s="21"/>
      <c r="AZ17" s="21"/>
      <c r="BA17" s="21"/>
      <c r="BB17" s="21">
        <v>1</v>
      </c>
      <c r="BC17" s="21">
        <v>1</v>
      </c>
      <c r="BD17" s="21"/>
      <c r="BE17" s="21"/>
      <c r="BF17" s="21"/>
    </row>
    <row r="18" spans="2:58" hidden="1" x14ac:dyDescent="0.3">
      <c r="B18" s="21">
        <v>896</v>
      </c>
      <c r="C18" s="22">
        <v>45089</v>
      </c>
      <c r="D18" s="21">
        <f>WEEKDAY(Table2[[#This Row],[Date]])</f>
        <v>2</v>
      </c>
      <c r="E18" s="21">
        <v>1</v>
      </c>
      <c r="F18" s="21">
        <v>201</v>
      </c>
      <c r="G18" s="21">
        <v>207</v>
      </c>
      <c r="H18" s="21">
        <v>201</v>
      </c>
      <c r="I18" s="21">
        <v>0</v>
      </c>
      <c r="J18" s="21">
        <f t="shared" si="0"/>
        <v>201</v>
      </c>
      <c r="K18" s="21">
        <v>210</v>
      </c>
      <c r="L18" s="21">
        <v>6</v>
      </c>
      <c r="M18" s="21">
        <v>0</v>
      </c>
      <c r="N18" s="21">
        <v>194</v>
      </c>
      <c r="O18" s="21">
        <f>Table2[[#This Row],[Total Inspected]]-Table2[[#This Row],[Inspect Pass]]</f>
        <v>7</v>
      </c>
      <c r="P18" s="21">
        <f t="shared" si="1"/>
        <v>6</v>
      </c>
      <c r="Q18" s="23">
        <f>(Table2[[#This Row],[Inspect Pass]]/Table2[[#This Row],[Total Inspected]])</f>
        <v>0.96517412935323388</v>
      </c>
      <c r="R18" s="24">
        <f>Table2[[#This Row],[Inspect Pass]]*VLOOKUP(Table2[[#This Row],[LineA-ProdType]],'Other Lists'!$B$17:$H$19,7,FALSE)</f>
        <v>13774</v>
      </c>
      <c r="S18" s="24">
        <f>Table2[[#This Row],[Received]]*((VLOOKUP(Table2[[#This Row],[LineA-ProdType]],'Other Lists'!$B$16:$G$19,5,FALSE)+(VLOOKUP(Table2[[#This Row],[LineA-ProdType]],'Other Lists'!$B$16:$G$19,6,FALSE))))</f>
        <v>10163.700000000001</v>
      </c>
      <c r="T18" s="24">
        <f>Table2[[#This Row],[Possible Supplier Income]]-Table2[[#This Row],[Supplier Cost of Parts]]</f>
        <v>3610.2999999999993</v>
      </c>
      <c r="U18" s="24">
        <f>Table2[[#This Row],[Inspect Not Pass]]*((VLOOKUP(Table2[[#This Row],[LineA-ProdType]],'Other Lists'!$B$17:$G$19,5,FALSE)+VLOOKUP(Table2[[#This Row],[LineA-ProdType]],'Other Lists'!$B$17:$G$19,6,FALSE)))</f>
        <v>343.7</v>
      </c>
      <c r="V18" s="21">
        <v>3</v>
      </c>
      <c r="W18" s="21">
        <v>0</v>
      </c>
      <c r="X18" s="21">
        <v>2</v>
      </c>
      <c r="Y18" s="21">
        <f>Table2[[#This Row],[Inspectors]]-Table2[[#This Row],[Training]]-Table2[[#This Row],[Regular]]</f>
        <v>1</v>
      </c>
      <c r="Z18" s="24">
        <f>VLOOKUP(Table2[[#This Row],[Shift]],'Other Lists'!$B$31:$H$36,7,FALSE)*8*Table2[[#This Row],[Training]]</f>
        <v>0</v>
      </c>
      <c r="AA18" s="24">
        <f>VLOOKUP(Table2[[#This Row],[Shift]],'Other Lists'!$B$31:$H$36,7,FALSE)*8*Table2[[#This Row],[Regular]]</f>
        <v>388.8</v>
      </c>
      <c r="AB18" s="24">
        <f>VLOOKUP(Table2[[#This Row],[Shift]],'Other Lists'!$B$31:$H$36,7,FALSE)*8*Table2[[#This Row],[Casual]]</f>
        <v>194.4</v>
      </c>
      <c r="AC18" s="24">
        <f>SUM(Table2[[#This Row],[Training $]:[Casual $]])</f>
        <v>583.20000000000005</v>
      </c>
      <c r="AD18" s="24">
        <f>Table2[[#This Row],[Total Line A $]]/Table2[[#This Row],[Total Inspected]]</f>
        <v>2.901492537313433</v>
      </c>
      <c r="AE18" s="21">
        <v>105</v>
      </c>
      <c r="AF18" s="21">
        <v>101</v>
      </c>
      <c r="AG18" s="21">
        <v>101</v>
      </c>
      <c r="AH18" s="21">
        <v>0</v>
      </c>
      <c r="AI18" s="21">
        <f>Table2[[#This Row],[Received Inspected3]]+Table2[[#This Row],[Leftover Inspected4]]</f>
        <v>101</v>
      </c>
      <c r="AJ18" s="21">
        <v>108</v>
      </c>
      <c r="AK18" s="21">
        <v>0</v>
      </c>
      <c r="AL18" s="21">
        <v>0</v>
      </c>
      <c r="AM18" s="21">
        <v>96</v>
      </c>
      <c r="AN18" s="21">
        <f>Table2[[#This Row],[Total Inspected2]]-Table2[[#This Row],[Inspect Pass8]]</f>
        <v>5</v>
      </c>
      <c r="AO18" s="21">
        <f>Table2[[#This Row],[Received2]]-Table2[[#This Row],[Total Inspected2]]</f>
        <v>0</v>
      </c>
      <c r="AP18" s="23">
        <f>Table2[[#This Row],[Inspect Pass8]]/Table2[[#This Row],[Received2]]</f>
        <v>0.95049504950495045</v>
      </c>
      <c r="AQ18" s="21">
        <v>4</v>
      </c>
      <c r="AR18" s="21">
        <v>4</v>
      </c>
      <c r="AS18" s="21">
        <v>0</v>
      </c>
      <c r="AT18" s="21">
        <v>2</v>
      </c>
      <c r="AU18" s="21">
        <f>Table2[[#This Row],[Inspectors11]]-Table2[[#This Row],[Training12]]-Table2[[#This Row],[Regular13]]</f>
        <v>2</v>
      </c>
      <c r="AV18" s="21"/>
      <c r="AW18" s="21"/>
      <c r="AX18" s="21"/>
      <c r="AY18" s="21"/>
      <c r="AZ18" s="21"/>
      <c r="BA18" s="21"/>
      <c r="BB18" s="21">
        <v>1</v>
      </c>
      <c r="BC18" s="21">
        <v>1</v>
      </c>
      <c r="BD18" s="21"/>
      <c r="BE18" s="21"/>
      <c r="BF18" s="21"/>
    </row>
    <row r="19" spans="2:58" hidden="1" x14ac:dyDescent="0.3">
      <c r="B19" s="21">
        <v>897</v>
      </c>
      <c r="C19" s="22">
        <v>45090</v>
      </c>
      <c r="D19" s="21">
        <f>WEEKDAY(Table2[[#This Row],[Date]])</f>
        <v>3</v>
      </c>
      <c r="E19" s="21">
        <v>1</v>
      </c>
      <c r="F19" s="21">
        <v>119</v>
      </c>
      <c r="G19" s="21">
        <v>1081</v>
      </c>
      <c r="H19" s="21">
        <v>1050</v>
      </c>
      <c r="I19" s="21">
        <v>0</v>
      </c>
      <c r="J19" s="21">
        <f t="shared" si="0"/>
        <v>1050</v>
      </c>
      <c r="K19" s="21">
        <v>1049.9999999999998</v>
      </c>
      <c r="L19" s="21">
        <v>31</v>
      </c>
      <c r="M19" s="21">
        <v>0</v>
      </c>
      <c r="N19" s="21">
        <v>1018</v>
      </c>
      <c r="O19" s="21">
        <f>Table2[[#This Row],[Total Inspected]]-Table2[[#This Row],[Inspect Pass]]</f>
        <v>32</v>
      </c>
      <c r="P19" s="21">
        <f t="shared" si="1"/>
        <v>31</v>
      </c>
      <c r="Q19" s="23">
        <f>(Table2[[#This Row],[Inspect Pass]]/Table2[[#This Row],[Total Inspected]])</f>
        <v>0.96952380952380957</v>
      </c>
      <c r="R19" s="24">
        <f>Table2[[#This Row],[Inspect Pass]]*VLOOKUP(Table2[[#This Row],[LineA-ProdType]],'Other Lists'!$B$17:$H$19,7,FALSE)</f>
        <v>32576</v>
      </c>
      <c r="S19" s="24">
        <f>Table2[[#This Row],[Received]]*((VLOOKUP(Table2[[#This Row],[LineA-ProdType]],'Other Lists'!$B$16:$G$19,5,FALSE)+(VLOOKUP(Table2[[#This Row],[LineA-ProdType]],'Other Lists'!$B$16:$G$19,6,FALSE))))</f>
        <v>31132.799999999999</v>
      </c>
      <c r="T19" s="24">
        <f>Table2[[#This Row],[Possible Supplier Income]]-Table2[[#This Row],[Supplier Cost of Parts]]</f>
        <v>1443.2000000000007</v>
      </c>
      <c r="U19" s="24">
        <f>Table2[[#This Row],[Inspect Not Pass]]*((VLOOKUP(Table2[[#This Row],[LineA-ProdType]],'Other Lists'!$B$17:$G$19,5,FALSE)+VLOOKUP(Table2[[#This Row],[LineA-ProdType]],'Other Lists'!$B$17:$G$19,6,FALSE)))</f>
        <v>921.6</v>
      </c>
      <c r="V19" s="21">
        <v>6</v>
      </c>
      <c r="W19" s="21">
        <v>0</v>
      </c>
      <c r="X19" s="21">
        <v>3</v>
      </c>
      <c r="Y19" s="21">
        <f>Table2[[#This Row],[Inspectors]]-Table2[[#This Row],[Training]]-Table2[[#This Row],[Regular]]</f>
        <v>3</v>
      </c>
      <c r="Z19" s="24">
        <f>VLOOKUP(Table2[[#This Row],[Shift]],'Other Lists'!$B$31:$H$36,7,FALSE)*8*Table2[[#This Row],[Training]]</f>
        <v>0</v>
      </c>
      <c r="AA19" s="24">
        <f>VLOOKUP(Table2[[#This Row],[Shift]],'Other Lists'!$B$31:$H$36,7,FALSE)*8*Table2[[#This Row],[Regular]]</f>
        <v>583.20000000000005</v>
      </c>
      <c r="AB19" s="24">
        <f>VLOOKUP(Table2[[#This Row],[Shift]],'Other Lists'!$B$31:$H$36,7,FALSE)*8*Table2[[#This Row],[Casual]]</f>
        <v>583.20000000000005</v>
      </c>
      <c r="AC19" s="24">
        <f>SUM(Table2[[#This Row],[Training $]:[Casual $]])</f>
        <v>1166.4000000000001</v>
      </c>
      <c r="AD19" s="24">
        <f>Table2[[#This Row],[Total Line A $]]/Table2[[#This Row],[Total Inspected]]</f>
        <v>1.110857142857143</v>
      </c>
      <c r="AE19" s="21">
        <v>105</v>
      </c>
      <c r="AF19" s="21">
        <v>248</v>
      </c>
      <c r="AG19" s="21">
        <v>220</v>
      </c>
      <c r="AH19" s="21">
        <v>0</v>
      </c>
      <c r="AI19" s="21">
        <f>Table2[[#This Row],[Received Inspected3]]+Table2[[#This Row],[Leftover Inspected4]]</f>
        <v>220</v>
      </c>
      <c r="AJ19" s="21">
        <v>216</v>
      </c>
      <c r="AK19" s="21">
        <v>28</v>
      </c>
      <c r="AL19" s="21">
        <v>0</v>
      </c>
      <c r="AM19" s="21">
        <v>215</v>
      </c>
      <c r="AN19" s="21">
        <f>Table2[[#This Row],[Total Inspected2]]-Table2[[#This Row],[Inspect Pass8]]</f>
        <v>5</v>
      </c>
      <c r="AO19" s="21">
        <f>Table2[[#This Row],[Received2]]-Table2[[#This Row],[Total Inspected2]]</f>
        <v>28</v>
      </c>
      <c r="AP19" s="23">
        <f>Table2[[#This Row],[Inspect Pass8]]/Table2[[#This Row],[Received2]]</f>
        <v>0.86693548387096775</v>
      </c>
      <c r="AQ19" s="21">
        <v>8</v>
      </c>
      <c r="AR19" s="21">
        <v>8</v>
      </c>
      <c r="AS19" s="21">
        <v>0</v>
      </c>
      <c r="AT19" s="21">
        <v>4</v>
      </c>
      <c r="AU19" s="21">
        <f>Table2[[#This Row],[Inspectors11]]-Table2[[#This Row],[Training12]]-Table2[[#This Row],[Regular13]]</f>
        <v>4</v>
      </c>
      <c r="AV19" s="21"/>
      <c r="AW19" s="21"/>
      <c r="AX19" s="21"/>
      <c r="AY19" s="21"/>
      <c r="AZ19" s="21"/>
      <c r="BA19" s="21"/>
      <c r="BB19" s="21">
        <v>2</v>
      </c>
      <c r="BC19" s="21">
        <v>2</v>
      </c>
      <c r="BD19" s="21"/>
      <c r="BE19" s="21"/>
      <c r="BF19" s="21"/>
    </row>
    <row r="20" spans="2:58" hidden="1" x14ac:dyDescent="0.3">
      <c r="B20" s="21">
        <v>898</v>
      </c>
      <c r="C20" s="22">
        <v>45091</v>
      </c>
      <c r="D20" s="21">
        <f>WEEKDAY(Table2[[#This Row],[Date]])</f>
        <v>4</v>
      </c>
      <c r="E20" s="21">
        <v>1</v>
      </c>
      <c r="F20" s="21">
        <v>119</v>
      </c>
      <c r="G20" s="21">
        <v>871</v>
      </c>
      <c r="H20" s="21">
        <v>871</v>
      </c>
      <c r="I20" s="21">
        <v>0</v>
      </c>
      <c r="J20" s="21">
        <f t="shared" si="0"/>
        <v>871</v>
      </c>
      <c r="K20" s="21">
        <v>1049.9999999999998</v>
      </c>
      <c r="L20" s="21">
        <v>0</v>
      </c>
      <c r="M20" s="21">
        <v>0</v>
      </c>
      <c r="N20" s="21">
        <v>836</v>
      </c>
      <c r="O20" s="21">
        <f>Table2[[#This Row],[Total Inspected]]-Table2[[#This Row],[Inspect Pass]]</f>
        <v>35</v>
      </c>
      <c r="P20" s="21">
        <f t="shared" si="1"/>
        <v>0</v>
      </c>
      <c r="Q20" s="23">
        <f>(Table2[[#This Row],[Inspect Pass]]/Table2[[#This Row],[Total Inspected]])</f>
        <v>0.95981630309988519</v>
      </c>
      <c r="R20" s="24">
        <f>Table2[[#This Row],[Inspect Pass]]*VLOOKUP(Table2[[#This Row],[LineA-ProdType]],'Other Lists'!$B$17:$H$19,7,FALSE)</f>
        <v>26752</v>
      </c>
      <c r="S20" s="24">
        <f>Table2[[#This Row],[Received]]*((VLOOKUP(Table2[[#This Row],[LineA-ProdType]],'Other Lists'!$B$16:$G$19,5,FALSE)+(VLOOKUP(Table2[[#This Row],[LineA-ProdType]],'Other Lists'!$B$16:$G$19,6,FALSE))))</f>
        <v>25084.799999999999</v>
      </c>
      <c r="T20" s="24">
        <f>Table2[[#This Row],[Possible Supplier Income]]-Table2[[#This Row],[Supplier Cost of Parts]]</f>
        <v>1667.2000000000007</v>
      </c>
      <c r="U20" s="24">
        <f>Table2[[#This Row],[Inspect Not Pass]]*((VLOOKUP(Table2[[#This Row],[LineA-ProdType]],'Other Lists'!$B$17:$G$19,5,FALSE)+VLOOKUP(Table2[[#This Row],[LineA-ProdType]],'Other Lists'!$B$17:$G$19,6,FALSE)))</f>
        <v>1008</v>
      </c>
      <c r="V20" s="21">
        <v>6</v>
      </c>
      <c r="W20" s="21">
        <v>0</v>
      </c>
      <c r="X20" s="21">
        <v>4</v>
      </c>
      <c r="Y20" s="21">
        <f>Table2[[#This Row],[Inspectors]]-Table2[[#This Row],[Training]]-Table2[[#This Row],[Regular]]</f>
        <v>2</v>
      </c>
      <c r="Z20" s="24">
        <f>VLOOKUP(Table2[[#This Row],[Shift]],'Other Lists'!$B$31:$H$36,7,FALSE)*8*Table2[[#This Row],[Training]]</f>
        <v>0</v>
      </c>
      <c r="AA20" s="24">
        <f>VLOOKUP(Table2[[#This Row],[Shift]],'Other Lists'!$B$31:$H$36,7,FALSE)*8*Table2[[#This Row],[Regular]]</f>
        <v>777.6</v>
      </c>
      <c r="AB20" s="24">
        <f>VLOOKUP(Table2[[#This Row],[Shift]],'Other Lists'!$B$31:$H$36,7,FALSE)*8*Table2[[#This Row],[Casual]]</f>
        <v>388.8</v>
      </c>
      <c r="AC20" s="24">
        <f>SUM(Table2[[#This Row],[Training $]:[Casual $]])</f>
        <v>1166.4000000000001</v>
      </c>
      <c r="AD20" s="24">
        <f>Table2[[#This Row],[Total Line A $]]/Table2[[#This Row],[Total Inspected]]</f>
        <v>1.3391504018369691</v>
      </c>
      <c r="AE20" s="21">
        <v>105</v>
      </c>
      <c r="AF20" s="21">
        <v>224</v>
      </c>
      <c r="AG20" s="21">
        <v>224</v>
      </c>
      <c r="AH20" s="21">
        <v>0</v>
      </c>
      <c r="AI20" s="21">
        <f>Table2[[#This Row],[Received Inspected3]]+Table2[[#This Row],[Leftover Inspected4]]</f>
        <v>224</v>
      </c>
      <c r="AJ20" s="21">
        <v>216</v>
      </c>
      <c r="AK20" s="21">
        <v>0</v>
      </c>
      <c r="AL20" s="21">
        <v>0</v>
      </c>
      <c r="AM20" s="21">
        <v>215</v>
      </c>
      <c r="AN20" s="21">
        <f>Table2[[#This Row],[Total Inspected2]]-Table2[[#This Row],[Inspect Pass8]]</f>
        <v>9</v>
      </c>
      <c r="AO20" s="21">
        <f>Table2[[#This Row],[Received2]]-Table2[[#This Row],[Total Inspected2]]</f>
        <v>0</v>
      </c>
      <c r="AP20" s="23">
        <f>Table2[[#This Row],[Inspect Pass8]]/Table2[[#This Row],[Received2]]</f>
        <v>0.9598214285714286</v>
      </c>
      <c r="AQ20" s="21">
        <v>8</v>
      </c>
      <c r="AR20" s="21">
        <v>8</v>
      </c>
      <c r="AS20" s="21">
        <v>0</v>
      </c>
      <c r="AT20" s="21">
        <v>4</v>
      </c>
      <c r="AU20" s="21">
        <f>Table2[[#This Row],[Inspectors11]]-Table2[[#This Row],[Training12]]-Table2[[#This Row],[Regular13]]</f>
        <v>4</v>
      </c>
      <c r="AV20" s="21"/>
      <c r="AW20" s="21"/>
      <c r="AX20" s="21"/>
      <c r="AY20" s="21"/>
      <c r="AZ20" s="21"/>
      <c r="BA20" s="21"/>
      <c r="BB20" s="21">
        <v>2</v>
      </c>
      <c r="BC20" s="21">
        <v>2</v>
      </c>
      <c r="BD20" s="21"/>
      <c r="BE20" s="21"/>
      <c r="BF20" s="21"/>
    </row>
    <row r="21" spans="2:58" hidden="1" x14ac:dyDescent="0.3">
      <c r="B21" s="21">
        <v>899</v>
      </c>
      <c r="C21" s="22">
        <v>45092</v>
      </c>
      <c r="D21" s="21">
        <f>WEEKDAY(Table2[[#This Row],[Date]])</f>
        <v>5</v>
      </c>
      <c r="E21" s="21">
        <v>1</v>
      </c>
      <c r="F21" s="21">
        <v>201</v>
      </c>
      <c r="G21" s="21">
        <v>478</v>
      </c>
      <c r="H21" s="21">
        <v>403</v>
      </c>
      <c r="I21" s="21">
        <v>0</v>
      </c>
      <c r="J21" s="21">
        <f t="shared" si="0"/>
        <v>403</v>
      </c>
      <c r="K21" s="21">
        <v>420</v>
      </c>
      <c r="L21" s="21">
        <v>75</v>
      </c>
      <c r="M21" s="21">
        <v>0</v>
      </c>
      <c r="N21" s="21">
        <v>382</v>
      </c>
      <c r="O21" s="21">
        <f>Table2[[#This Row],[Total Inspected]]-Table2[[#This Row],[Inspect Pass]]</f>
        <v>21</v>
      </c>
      <c r="P21" s="21">
        <f t="shared" si="1"/>
        <v>75</v>
      </c>
      <c r="Q21" s="23">
        <f>(Table2[[#This Row],[Inspect Pass]]/Table2[[#This Row],[Total Inspected]])</f>
        <v>0.94789081885856075</v>
      </c>
      <c r="R21" s="24">
        <f>Table2[[#This Row],[Inspect Pass]]*VLOOKUP(Table2[[#This Row],[LineA-ProdType]],'Other Lists'!$B$17:$H$19,7,FALSE)</f>
        <v>27122</v>
      </c>
      <c r="S21" s="24">
        <f>Table2[[#This Row],[Received]]*((VLOOKUP(Table2[[#This Row],[LineA-ProdType]],'Other Lists'!$B$16:$G$19,5,FALSE)+(VLOOKUP(Table2[[#This Row],[LineA-ProdType]],'Other Lists'!$B$16:$G$19,6,FALSE))))</f>
        <v>23469.8</v>
      </c>
      <c r="T21" s="24">
        <f>Table2[[#This Row],[Possible Supplier Income]]-Table2[[#This Row],[Supplier Cost of Parts]]</f>
        <v>3652.2000000000007</v>
      </c>
      <c r="U21" s="24">
        <f>Table2[[#This Row],[Inspect Not Pass]]*((VLOOKUP(Table2[[#This Row],[LineA-ProdType]],'Other Lists'!$B$17:$G$19,5,FALSE)+VLOOKUP(Table2[[#This Row],[LineA-ProdType]],'Other Lists'!$B$17:$G$19,6,FALSE)))</f>
        <v>1031.1000000000001</v>
      </c>
      <c r="V21" s="21">
        <v>6</v>
      </c>
      <c r="W21" s="21">
        <v>0</v>
      </c>
      <c r="X21" s="21">
        <v>4</v>
      </c>
      <c r="Y21" s="21">
        <f>Table2[[#This Row],[Inspectors]]-Table2[[#This Row],[Training]]-Table2[[#This Row],[Regular]]</f>
        <v>2</v>
      </c>
      <c r="Z21" s="24">
        <f>VLOOKUP(Table2[[#This Row],[Shift]],'Other Lists'!$B$31:$H$36,7,FALSE)*8*Table2[[#This Row],[Training]]</f>
        <v>0</v>
      </c>
      <c r="AA21" s="24">
        <f>VLOOKUP(Table2[[#This Row],[Shift]],'Other Lists'!$B$31:$H$36,7,FALSE)*8*Table2[[#This Row],[Regular]]</f>
        <v>777.6</v>
      </c>
      <c r="AB21" s="24">
        <f>VLOOKUP(Table2[[#This Row],[Shift]],'Other Lists'!$B$31:$H$36,7,FALSE)*8*Table2[[#This Row],[Casual]]</f>
        <v>388.8</v>
      </c>
      <c r="AC21" s="24">
        <f>SUM(Table2[[#This Row],[Training $]:[Casual $]])</f>
        <v>1166.4000000000001</v>
      </c>
      <c r="AD21" s="24">
        <f>Table2[[#This Row],[Total Line A $]]/Table2[[#This Row],[Total Inspected]]</f>
        <v>2.8942928039702234</v>
      </c>
      <c r="AE21" s="21">
        <v>105</v>
      </c>
      <c r="AF21" s="21">
        <v>226</v>
      </c>
      <c r="AG21" s="21">
        <v>207</v>
      </c>
      <c r="AH21" s="21">
        <v>0</v>
      </c>
      <c r="AI21" s="21">
        <f>Table2[[#This Row],[Received Inspected3]]+Table2[[#This Row],[Leftover Inspected4]]</f>
        <v>207</v>
      </c>
      <c r="AJ21" s="21">
        <v>216</v>
      </c>
      <c r="AK21" s="21">
        <v>19</v>
      </c>
      <c r="AL21" s="21">
        <v>0</v>
      </c>
      <c r="AM21" s="21">
        <v>192</v>
      </c>
      <c r="AN21" s="21">
        <f>Table2[[#This Row],[Total Inspected2]]-Table2[[#This Row],[Inspect Pass8]]</f>
        <v>15</v>
      </c>
      <c r="AO21" s="21">
        <f>Table2[[#This Row],[Received2]]-Table2[[#This Row],[Total Inspected2]]</f>
        <v>19</v>
      </c>
      <c r="AP21" s="23">
        <f>Table2[[#This Row],[Inspect Pass8]]/Table2[[#This Row],[Received2]]</f>
        <v>0.84955752212389379</v>
      </c>
      <c r="AQ21" s="21">
        <v>8</v>
      </c>
      <c r="AR21" s="21">
        <v>8</v>
      </c>
      <c r="AS21" s="21">
        <v>0</v>
      </c>
      <c r="AT21" s="21">
        <v>3</v>
      </c>
      <c r="AU21" s="21">
        <f>Table2[[#This Row],[Inspectors11]]-Table2[[#This Row],[Training12]]-Table2[[#This Row],[Regular13]]</f>
        <v>5</v>
      </c>
      <c r="AV21" s="21"/>
      <c r="AW21" s="21"/>
      <c r="AX21" s="21"/>
      <c r="AY21" s="21"/>
      <c r="AZ21" s="21"/>
      <c r="BA21" s="21"/>
      <c r="BB21" s="21">
        <v>2</v>
      </c>
      <c r="BC21" s="21">
        <v>2</v>
      </c>
      <c r="BD21" s="21"/>
      <c r="BE21" s="21"/>
      <c r="BF21" s="21"/>
    </row>
    <row r="22" spans="2:58" hidden="1" x14ac:dyDescent="0.3">
      <c r="B22" s="21">
        <v>900</v>
      </c>
      <c r="C22" s="22">
        <v>45093</v>
      </c>
      <c r="D22" s="21">
        <f>WEEKDAY(Table2[[#This Row],[Date]])</f>
        <v>6</v>
      </c>
      <c r="E22" s="21">
        <v>1</v>
      </c>
      <c r="F22" s="21">
        <v>119</v>
      </c>
      <c r="G22" s="21">
        <v>1008</v>
      </c>
      <c r="H22" s="21">
        <v>857</v>
      </c>
      <c r="I22" s="21">
        <v>0</v>
      </c>
      <c r="J22" s="21">
        <f t="shared" si="0"/>
        <v>857</v>
      </c>
      <c r="K22" s="21">
        <v>1049.9999999999998</v>
      </c>
      <c r="L22" s="21">
        <v>151</v>
      </c>
      <c r="M22" s="21">
        <v>0</v>
      </c>
      <c r="N22" s="21">
        <v>822</v>
      </c>
      <c r="O22" s="21">
        <f>Table2[[#This Row],[Total Inspected]]-Table2[[#This Row],[Inspect Pass]]</f>
        <v>35</v>
      </c>
      <c r="P22" s="21">
        <f t="shared" si="1"/>
        <v>151</v>
      </c>
      <c r="Q22" s="23">
        <f>(Table2[[#This Row],[Inspect Pass]]/Table2[[#This Row],[Total Inspected]])</f>
        <v>0.95915985997666275</v>
      </c>
      <c r="R22" s="24">
        <f>Table2[[#This Row],[Inspect Pass]]*VLOOKUP(Table2[[#This Row],[LineA-ProdType]],'Other Lists'!$B$17:$H$19,7,FALSE)</f>
        <v>26304</v>
      </c>
      <c r="S22" s="24">
        <f>Table2[[#This Row],[Received]]*((VLOOKUP(Table2[[#This Row],[LineA-ProdType]],'Other Lists'!$B$16:$G$19,5,FALSE)+(VLOOKUP(Table2[[#This Row],[LineA-ProdType]],'Other Lists'!$B$16:$G$19,6,FALSE))))</f>
        <v>29030.400000000001</v>
      </c>
      <c r="T22" s="24">
        <f>Table2[[#This Row],[Possible Supplier Income]]-Table2[[#This Row],[Supplier Cost of Parts]]</f>
        <v>-2726.4000000000015</v>
      </c>
      <c r="U22" s="24">
        <f>Table2[[#This Row],[Inspect Not Pass]]*((VLOOKUP(Table2[[#This Row],[LineA-ProdType]],'Other Lists'!$B$17:$G$19,5,FALSE)+VLOOKUP(Table2[[#This Row],[LineA-ProdType]],'Other Lists'!$B$17:$G$19,6,FALSE)))</f>
        <v>1008</v>
      </c>
      <c r="V22" s="21">
        <v>5</v>
      </c>
      <c r="W22" s="21">
        <v>0</v>
      </c>
      <c r="X22" s="21">
        <v>3</v>
      </c>
      <c r="Y22" s="21">
        <f>Table2[[#This Row],[Inspectors]]-Table2[[#This Row],[Training]]-Table2[[#This Row],[Regular]]</f>
        <v>2</v>
      </c>
      <c r="Z22" s="24">
        <f>VLOOKUP(Table2[[#This Row],[Shift]],'Other Lists'!$B$31:$H$36,7,FALSE)*8*Table2[[#This Row],[Training]]</f>
        <v>0</v>
      </c>
      <c r="AA22" s="24">
        <f>VLOOKUP(Table2[[#This Row],[Shift]],'Other Lists'!$B$31:$H$36,7,FALSE)*8*Table2[[#This Row],[Regular]]</f>
        <v>583.20000000000005</v>
      </c>
      <c r="AB22" s="24">
        <f>VLOOKUP(Table2[[#This Row],[Shift]],'Other Lists'!$B$31:$H$36,7,FALSE)*8*Table2[[#This Row],[Casual]]</f>
        <v>388.8</v>
      </c>
      <c r="AC22" s="24">
        <f>SUM(Table2[[#This Row],[Training $]:[Casual $]])</f>
        <v>972</v>
      </c>
      <c r="AD22" s="24">
        <f>Table2[[#This Row],[Total Line A $]]/Table2[[#This Row],[Total Inspected]]</f>
        <v>1.134189031505251</v>
      </c>
      <c r="AE22" s="21">
        <v>105</v>
      </c>
      <c r="AF22" s="21">
        <v>226</v>
      </c>
      <c r="AG22" s="21">
        <v>211</v>
      </c>
      <c r="AH22" s="21">
        <v>0</v>
      </c>
      <c r="AI22" s="21">
        <f>Table2[[#This Row],[Received Inspected3]]+Table2[[#This Row],[Leftover Inspected4]]</f>
        <v>211</v>
      </c>
      <c r="AJ22" s="21">
        <v>216</v>
      </c>
      <c r="AK22" s="21">
        <v>15</v>
      </c>
      <c r="AL22" s="21">
        <v>0</v>
      </c>
      <c r="AM22" s="21">
        <v>196</v>
      </c>
      <c r="AN22" s="21">
        <f>Table2[[#This Row],[Total Inspected2]]-Table2[[#This Row],[Inspect Pass8]]</f>
        <v>15</v>
      </c>
      <c r="AO22" s="21">
        <f>Table2[[#This Row],[Received2]]-Table2[[#This Row],[Total Inspected2]]</f>
        <v>15</v>
      </c>
      <c r="AP22" s="23">
        <f>Table2[[#This Row],[Inspect Pass8]]/Table2[[#This Row],[Received2]]</f>
        <v>0.86725663716814161</v>
      </c>
      <c r="AQ22" s="21">
        <v>8</v>
      </c>
      <c r="AR22" s="21">
        <v>8</v>
      </c>
      <c r="AS22" s="21">
        <v>1</v>
      </c>
      <c r="AT22" s="21">
        <v>3</v>
      </c>
      <c r="AU22" s="21">
        <f>Table2[[#This Row],[Inspectors11]]-Table2[[#This Row],[Training12]]-Table2[[#This Row],[Regular13]]</f>
        <v>4</v>
      </c>
      <c r="AV22" s="21"/>
      <c r="AW22" s="21"/>
      <c r="AX22" s="21"/>
      <c r="AY22" s="21"/>
      <c r="AZ22" s="21"/>
      <c r="BA22" s="21"/>
      <c r="BB22" s="21">
        <v>2</v>
      </c>
      <c r="BC22" s="21">
        <v>2</v>
      </c>
      <c r="BD22" s="21"/>
      <c r="BE22" s="21"/>
      <c r="BF22" s="21"/>
    </row>
    <row r="23" spans="2:58" hidden="1" x14ac:dyDescent="0.3">
      <c r="B23" s="21">
        <v>901</v>
      </c>
      <c r="C23" s="22">
        <v>45094</v>
      </c>
      <c r="D23" s="21">
        <f>WEEKDAY(Table2[[#This Row],[Date]])</f>
        <v>7</v>
      </c>
      <c r="E23" s="21">
        <v>1</v>
      </c>
      <c r="F23" s="21">
        <v>201</v>
      </c>
      <c r="G23" s="21">
        <v>411</v>
      </c>
      <c r="H23" s="21">
        <v>350</v>
      </c>
      <c r="I23" s="21">
        <v>0</v>
      </c>
      <c r="J23" s="21">
        <f t="shared" si="0"/>
        <v>350</v>
      </c>
      <c r="K23" s="21">
        <v>420</v>
      </c>
      <c r="L23" s="21">
        <v>61</v>
      </c>
      <c r="M23" s="21">
        <v>0</v>
      </c>
      <c r="N23" s="21">
        <v>329</v>
      </c>
      <c r="O23" s="21">
        <f>Table2[[#This Row],[Total Inspected]]-Table2[[#This Row],[Inspect Pass]]</f>
        <v>21</v>
      </c>
      <c r="P23" s="21">
        <f t="shared" si="1"/>
        <v>61</v>
      </c>
      <c r="Q23" s="23">
        <f>(Table2[[#This Row],[Inspect Pass]]/Table2[[#This Row],[Total Inspected]])</f>
        <v>0.94</v>
      </c>
      <c r="R23" s="24">
        <f>Table2[[#This Row],[Inspect Pass]]*VLOOKUP(Table2[[#This Row],[LineA-ProdType]],'Other Lists'!$B$17:$H$19,7,FALSE)</f>
        <v>23359</v>
      </c>
      <c r="S23" s="24">
        <f>Table2[[#This Row],[Received]]*((VLOOKUP(Table2[[#This Row],[LineA-ProdType]],'Other Lists'!$B$16:$G$19,5,FALSE)+(VLOOKUP(Table2[[#This Row],[LineA-ProdType]],'Other Lists'!$B$16:$G$19,6,FALSE))))</f>
        <v>20180.100000000002</v>
      </c>
      <c r="T23" s="24">
        <f>Table2[[#This Row],[Possible Supplier Income]]-Table2[[#This Row],[Supplier Cost of Parts]]</f>
        <v>3178.8999999999978</v>
      </c>
      <c r="U23" s="24">
        <f>Table2[[#This Row],[Inspect Not Pass]]*((VLOOKUP(Table2[[#This Row],[LineA-ProdType]],'Other Lists'!$B$17:$G$19,5,FALSE)+VLOOKUP(Table2[[#This Row],[LineA-ProdType]],'Other Lists'!$B$17:$G$19,6,FALSE)))</f>
        <v>1031.1000000000001</v>
      </c>
      <c r="V23" s="21">
        <v>5</v>
      </c>
      <c r="W23" s="21">
        <v>0</v>
      </c>
      <c r="X23" s="21">
        <v>4</v>
      </c>
      <c r="Y23" s="21">
        <f>Table2[[#This Row],[Inspectors]]-Table2[[#This Row],[Training]]-Table2[[#This Row],[Regular]]</f>
        <v>1</v>
      </c>
      <c r="Z23" s="24">
        <f>VLOOKUP(Table2[[#This Row],[Shift]],'Other Lists'!$B$31:$H$36,7,FALSE)*8*Table2[[#This Row],[Training]]</f>
        <v>0</v>
      </c>
      <c r="AA23" s="24">
        <f>VLOOKUP(Table2[[#This Row],[Shift]],'Other Lists'!$B$31:$H$36,7,FALSE)*8*Table2[[#This Row],[Regular]]</f>
        <v>777.6</v>
      </c>
      <c r="AB23" s="24">
        <f>VLOOKUP(Table2[[#This Row],[Shift]],'Other Lists'!$B$31:$H$36,7,FALSE)*8*Table2[[#This Row],[Casual]]</f>
        <v>194.4</v>
      </c>
      <c r="AC23" s="24">
        <f>SUM(Table2[[#This Row],[Training $]:[Casual $]])</f>
        <v>972</v>
      </c>
      <c r="AD23" s="24">
        <f>Table2[[#This Row],[Total Line A $]]/Table2[[#This Row],[Total Inspected]]</f>
        <v>2.7771428571428571</v>
      </c>
      <c r="AE23" s="21">
        <v>105</v>
      </c>
      <c r="AF23" s="21">
        <v>218</v>
      </c>
      <c r="AG23" s="21">
        <v>209</v>
      </c>
      <c r="AH23" s="21">
        <v>0</v>
      </c>
      <c r="AI23" s="21">
        <f>Table2[[#This Row],[Received Inspected3]]+Table2[[#This Row],[Leftover Inspected4]]</f>
        <v>209</v>
      </c>
      <c r="AJ23" s="21">
        <v>216</v>
      </c>
      <c r="AK23" s="21">
        <v>9</v>
      </c>
      <c r="AL23" s="21">
        <v>0</v>
      </c>
      <c r="AM23" s="21">
        <v>204</v>
      </c>
      <c r="AN23" s="21">
        <f>Table2[[#This Row],[Total Inspected2]]-Table2[[#This Row],[Inspect Pass8]]</f>
        <v>5</v>
      </c>
      <c r="AO23" s="21">
        <f>Table2[[#This Row],[Received2]]-Table2[[#This Row],[Total Inspected2]]</f>
        <v>9</v>
      </c>
      <c r="AP23" s="23">
        <f>Table2[[#This Row],[Inspect Pass8]]/Table2[[#This Row],[Received2]]</f>
        <v>0.93577981651376152</v>
      </c>
      <c r="AQ23" s="21">
        <v>8</v>
      </c>
      <c r="AR23" s="21">
        <v>8</v>
      </c>
      <c r="AS23" s="21">
        <v>0</v>
      </c>
      <c r="AT23" s="21">
        <v>3</v>
      </c>
      <c r="AU23" s="21">
        <f>Table2[[#This Row],[Inspectors11]]-Table2[[#This Row],[Training12]]-Table2[[#This Row],[Regular13]]</f>
        <v>5</v>
      </c>
      <c r="AV23" s="21"/>
      <c r="AW23" s="21"/>
      <c r="AX23" s="21"/>
      <c r="AY23" s="21"/>
      <c r="AZ23" s="21"/>
      <c r="BA23" s="21"/>
      <c r="BB23" s="21">
        <v>2</v>
      </c>
      <c r="BC23" s="21">
        <v>2</v>
      </c>
      <c r="BD23" s="21"/>
      <c r="BE23" s="21"/>
      <c r="BF23" s="21"/>
    </row>
    <row r="24" spans="2:58" hidden="1" x14ac:dyDescent="0.3">
      <c r="B24" s="21">
        <v>902</v>
      </c>
      <c r="C24" s="22">
        <v>45095</v>
      </c>
      <c r="D24" s="21">
        <f>WEEKDAY(Table2[[#This Row],[Date]])</f>
        <v>1</v>
      </c>
      <c r="E24" s="21">
        <v>1</v>
      </c>
      <c r="F24" s="21">
        <v>119</v>
      </c>
      <c r="G24" s="21">
        <v>477</v>
      </c>
      <c r="H24" s="21">
        <v>477</v>
      </c>
      <c r="I24" s="21">
        <v>0</v>
      </c>
      <c r="J24" s="21">
        <f t="shared" si="0"/>
        <v>477</v>
      </c>
      <c r="K24" s="21">
        <v>524.99999999999989</v>
      </c>
      <c r="L24" s="21">
        <v>0</v>
      </c>
      <c r="M24" s="21">
        <v>0</v>
      </c>
      <c r="N24" s="21">
        <v>467</v>
      </c>
      <c r="O24" s="21">
        <f>Table2[[#This Row],[Total Inspected]]-Table2[[#This Row],[Inspect Pass]]</f>
        <v>10</v>
      </c>
      <c r="P24" s="21">
        <f t="shared" si="1"/>
        <v>0</v>
      </c>
      <c r="Q24" s="23">
        <f>(Table2[[#This Row],[Inspect Pass]]/Table2[[#This Row],[Total Inspected]])</f>
        <v>0.97903563941299787</v>
      </c>
      <c r="R24" s="24">
        <f>Table2[[#This Row],[Inspect Pass]]*VLOOKUP(Table2[[#This Row],[LineA-ProdType]],'Other Lists'!$B$17:$H$19,7,FALSE)</f>
        <v>14944</v>
      </c>
      <c r="S24" s="24">
        <f>Table2[[#This Row],[Received]]*((VLOOKUP(Table2[[#This Row],[LineA-ProdType]],'Other Lists'!$B$16:$G$19,5,FALSE)+(VLOOKUP(Table2[[#This Row],[LineA-ProdType]],'Other Lists'!$B$16:$G$19,6,FALSE))))</f>
        <v>13737.6</v>
      </c>
      <c r="T24" s="24">
        <f>Table2[[#This Row],[Possible Supplier Income]]-Table2[[#This Row],[Supplier Cost of Parts]]</f>
        <v>1206.3999999999996</v>
      </c>
      <c r="U24" s="24">
        <f>Table2[[#This Row],[Inspect Not Pass]]*((VLOOKUP(Table2[[#This Row],[LineA-ProdType]],'Other Lists'!$B$17:$G$19,5,FALSE)+VLOOKUP(Table2[[#This Row],[LineA-ProdType]],'Other Lists'!$B$17:$G$19,6,FALSE)))</f>
        <v>288</v>
      </c>
      <c r="V24" s="21">
        <v>3</v>
      </c>
      <c r="W24" s="21">
        <v>0</v>
      </c>
      <c r="X24" s="21">
        <v>2</v>
      </c>
      <c r="Y24" s="21">
        <f>Table2[[#This Row],[Inspectors]]-Table2[[#This Row],[Training]]-Table2[[#This Row],[Regular]]</f>
        <v>1</v>
      </c>
      <c r="Z24" s="24">
        <f>VLOOKUP(Table2[[#This Row],[Shift]],'Other Lists'!$B$31:$H$36,7,FALSE)*8*Table2[[#This Row],[Training]]</f>
        <v>0</v>
      </c>
      <c r="AA24" s="24">
        <f>VLOOKUP(Table2[[#This Row],[Shift]],'Other Lists'!$B$31:$H$36,7,FALSE)*8*Table2[[#This Row],[Regular]]</f>
        <v>388.8</v>
      </c>
      <c r="AB24" s="24">
        <f>VLOOKUP(Table2[[#This Row],[Shift]],'Other Lists'!$B$31:$H$36,7,FALSE)*8*Table2[[#This Row],[Casual]]</f>
        <v>194.4</v>
      </c>
      <c r="AC24" s="24">
        <f>SUM(Table2[[#This Row],[Training $]:[Casual $]])</f>
        <v>583.20000000000005</v>
      </c>
      <c r="AD24" s="24">
        <f>Table2[[#This Row],[Total Line A $]]/Table2[[#This Row],[Total Inspected]]</f>
        <v>1.2226415094339624</v>
      </c>
      <c r="AE24" s="21">
        <v>105</v>
      </c>
      <c r="AF24" s="21">
        <v>87</v>
      </c>
      <c r="AG24" s="21">
        <v>87</v>
      </c>
      <c r="AH24" s="21">
        <v>0</v>
      </c>
      <c r="AI24" s="21">
        <f>Table2[[#This Row],[Received Inspected3]]+Table2[[#This Row],[Leftover Inspected4]]</f>
        <v>87</v>
      </c>
      <c r="AJ24" s="21">
        <v>108</v>
      </c>
      <c r="AK24" s="21">
        <v>0</v>
      </c>
      <c r="AL24" s="21">
        <v>0</v>
      </c>
      <c r="AM24" s="21">
        <v>80</v>
      </c>
      <c r="AN24" s="21">
        <f>Table2[[#This Row],[Total Inspected2]]-Table2[[#This Row],[Inspect Pass8]]</f>
        <v>7</v>
      </c>
      <c r="AO24" s="21">
        <f>Table2[[#This Row],[Received2]]-Table2[[#This Row],[Total Inspected2]]</f>
        <v>0</v>
      </c>
      <c r="AP24" s="23">
        <f>Table2[[#This Row],[Inspect Pass8]]/Table2[[#This Row],[Received2]]</f>
        <v>0.91954022988505746</v>
      </c>
      <c r="AQ24" s="21">
        <v>4</v>
      </c>
      <c r="AR24" s="21">
        <v>4</v>
      </c>
      <c r="AS24" s="21">
        <v>0</v>
      </c>
      <c r="AT24" s="21">
        <v>2</v>
      </c>
      <c r="AU24" s="21">
        <f>Table2[[#This Row],[Inspectors11]]-Table2[[#This Row],[Training12]]-Table2[[#This Row],[Regular13]]</f>
        <v>2</v>
      </c>
      <c r="AV24" s="21"/>
      <c r="AW24" s="21"/>
      <c r="AX24" s="21"/>
      <c r="AY24" s="21"/>
      <c r="AZ24" s="21"/>
      <c r="BA24" s="21"/>
      <c r="BB24" s="21">
        <v>1</v>
      </c>
      <c r="BC24" s="21">
        <v>1</v>
      </c>
      <c r="BD24" s="21"/>
      <c r="BE24" s="21"/>
      <c r="BF24" s="21"/>
    </row>
    <row r="25" spans="2:58" hidden="1" x14ac:dyDescent="0.3">
      <c r="B25" s="21">
        <v>903</v>
      </c>
      <c r="C25" s="22">
        <v>45096</v>
      </c>
      <c r="D25" s="21">
        <f>WEEKDAY(Table2[[#This Row],[Date]])</f>
        <v>2</v>
      </c>
      <c r="E25" s="21">
        <v>1</v>
      </c>
      <c r="F25" s="21">
        <v>119</v>
      </c>
      <c r="G25" s="21">
        <v>624</v>
      </c>
      <c r="H25" s="21">
        <v>509</v>
      </c>
      <c r="I25" s="21">
        <v>0</v>
      </c>
      <c r="J25" s="21">
        <f t="shared" si="0"/>
        <v>509</v>
      </c>
      <c r="K25" s="21">
        <v>524.99999999999989</v>
      </c>
      <c r="L25" s="21">
        <v>115</v>
      </c>
      <c r="M25" s="21">
        <v>0</v>
      </c>
      <c r="N25" s="21">
        <v>483</v>
      </c>
      <c r="O25" s="21">
        <f>Table2[[#This Row],[Total Inspected]]-Table2[[#This Row],[Inspect Pass]]</f>
        <v>26</v>
      </c>
      <c r="P25" s="21">
        <f t="shared" si="1"/>
        <v>115</v>
      </c>
      <c r="Q25" s="23">
        <f>(Table2[[#This Row],[Inspect Pass]]/Table2[[#This Row],[Total Inspected]])</f>
        <v>0.94891944990176813</v>
      </c>
      <c r="R25" s="24">
        <f>Table2[[#This Row],[Inspect Pass]]*VLOOKUP(Table2[[#This Row],[LineA-ProdType]],'Other Lists'!$B$17:$H$19,7,FALSE)</f>
        <v>15456</v>
      </c>
      <c r="S25" s="24">
        <f>Table2[[#This Row],[Received]]*((VLOOKUP(Table2[[#This Row],[LineA-ProdType]],'Other Lists'!$B$16:$G$19,5,FALSE)+(VLOOKUP(Table2[[#This Row],[LineA-ProdType]],'Other Lists'!$B$16:$G$19,6,FALSE))))</f>
        <v>17971.2</v>
      </c>
      <c r="T25" s="24">
        <f>Table2[[#This Row],[Possible Supplier Income]]-Table2[[#This Row],[Supplier Cost of Parts]]</f>
        <v>-2515.2000000000007</v>
      </c>
      <c r="U25" s="24">
        <f>Table2[[#This Row],[Inspect Not Pass]]*((VLOOKUP(Table2[[#This Row],[LineA-ProdType]],'Other Lists'!$B$17:$G$19,5,FALSE)+VLOOKUP(Table2[[#This Row],[LineA-ProdType]],'Other Lists'!$B$17:$G$19,6,FALSE)))</f>
        <v>748.80000000000007</v>
      </c>
      <c r="V25" s="21">
        <v>3</v>
      </c>
      <c r="W25" s="21">
        <v>0</v>
      </c>
      <c r="X25" s="21">
        <v>2</v>
      </c>
      <c r="Y25" s="21">
        <f>Table2[[#This Row],[Inspectors]]-Table2[[#This Row],[Training]]-Table2[[#This Row],[Regular]]</f>
        <v>1</v>
      </c>
      <c r="Z25" s="24">
        <f>VLOOKUP(Table2[[#This Row],[Shift]],'Other Lists'!$B$31:$H$36,7,FALSE)*8*Table2[[#This Row],[Training]]</f>
        <v>0</v>
      </c>
      <c r="AA25" s="24">
        <f>VLOOKUP(Table2[[#This Row],[Shift]],'Other Lists'!$B$31:$H$36,7,FALSE)*8*Table2[[#This Row],[Regular]]</f>
        <v>388.8</v>
      </c>
      <c r="AB25" s="24">
        <f>VLOOKUP(Table2[[#This Row],[Shift]],'Other Lists'!$B$31:$H$36,7,FALSE)*8*Table2[[#This Row],[Casual]]</f>
        <v>194.4</v>
      </c>
      <c r="AC25" s="24">
        <f>SUM(Table2[[#This Row],[Training $]:[Casual $]])</f>
        <v>583.20000000000005</v>
      </c>
      <c r="AD25" s="24">
        <f>Table2[[#This Row],[Total Line A $]]/Table2[[#This Row],[Total Inspected]]</f>
        <v>1.1457760314341847</v>
      </c>
      <c r="AE25" s="21">
        <v>105</v>
      </c>
      <c r="AF25" s="21">
        <v>124</v>
      </c>
      <c r="AG25" s="21">
        <v>108</v>
      </c>
      <c r="AH25" s="21">
        <v>0</v>
      </c>
      <c r="AI25" s="21">
        <f>Table2[[#This Row],[Received Inspected3]]+Table2[[#This Row],[Leftover Inspected4]]</f>
        <v>108</v>
      </c>
      <c r="AJ25" s="21">
        <v>108</v>
      </c>
      <c r="AK25" s="21">
        <v>16</v>
      </c>
      <c r="AL25" s="21">
        <v>0</v>
      </c>
      <c r="AM25" s="21">
        <v>104</v>
      </c>
      <c r="AN25" s="21">
        <f>Table2[[#This Row],[Total Inspected2]]-Table2[[#This Row],[Inspect Pass8]]</f>
        <v>4</v>
      </c>
      <c r="AO25" s="21">
        <f>Table2[[#This Row],[Received2]]-Table2[[#This Row],[Total Inspected2]]</f>
        <v>16</v>
      </c>
      <c r="AP25" s="23">
        <f>Table2[[#This Row],[Inspect Pass8]]/Table2[[#This Row],[Received2]]</f>
        <v>0.83870967741935487</v>
      </c>
      <c r="AQ25" s="21">
        <v>4</v>
      </c>
      <c r="AR25" s="21">
        <v>4</v>
      </c>
      <c r="AS25" s="21">
        <v>0</v>
      </c>
      <c r="AT25" s="21">
        <v>2</v>
      </c>
      <c r="AU25" s="21">
        <f>Table2[[#This Row],[Inspectors11]]-Table2[[#This Row],[Training12]]-Table2[[#This Row],[Regular13]]</f>
        <v>2</v>
      </c>
      <c r="AV25" s="21"/>
      <c r="AW25" s="21"/>
      <c r="AX25" s="21"/>
      <c r="AY25" s="21"/>
      <c r="AZ25" s="21"/>
      <c r="BA25" s="21"/>
      <c r="BB25" s="21">
        <v>1</v>
      </c>
      <c r="BC25" s="21">
        <v>1</v>
      </c>
      <c r="BD25" s="21"/>
      <c r="BE25" s="21"/>
      <c r="BF25" s="21"/>
    </row>
    <row r="26" spans="2:58" hidden="1" x14ac:dyDescent="0.3">
      <c r="B26" s="21">
        <v>904</v>
      </c>
      <c r="C26" s="22">
        <v>45097</v>
      </c>
      <c r="D26" s="21">
        <f>WEEKDAY(Table2[[#This Row],[Date]])</f>
        <v>3</v>
      </c>
      <c r="E26" s="21">
        <v>1</v>
      </c>
      <c r="F26" s="21">
        <v>201</v>
      </c>
      <c r="G26" s="21">
        <v>445</v>
      </c>
      <c r="H26" s="21">
        <v>432</v>
      </c>
      <c r="I26" s="21">
        <v>0</v>
      </c>
      <c r="J26" s="21">
        <f t="shared" si="0"/>
        <v>432</v>
      </c>
      <c r="K26" s="21">
        <v>420</v>
      </c>
      <c r="L26" s="21">
        <v>13</v>
      </c>
      <c r="M26" s="21">
        <v>0</v>
      </c>
      <c r="N26" s="21">
        <v>401</v>
      </c>
      <c r="O26" s="21">
        <f>Table2[[#This Row],[Total Inspected]]-Table2[[#This Row],[Inspect Pass]]</f>
        <v>31</v>
      </c>
      <c r="P26" s="21">
        <f t="shared" si="1"/>
        <v>13</v>
      </c>
      <c r="Q26" s="23">
        <f>(Table2[[#This Row],[Inspect Pass]]/Table2[[#This Row],[Total Inspected]])</f>
        <v>0.9282407407407407</v>
      </c>
      <c r="R26" s="24">
        <f>Table2[[#This Row],[Inspect Pass]]*VLOOKUP(Table2[[#This Row],[LineA-ProdType]],'Other Lists'!$B$17:$H$19,7,FALSE)</f>
        <v>28471</v>
      </c>
      <c r="S26" s="24">
        <f>Table2[[#This Row],[Received]]*((VLOOKUP(Table2[[#This Row],[LineA-ProdType]],'Other Lists'!$B$16:$G$19,5,FALSE)+(VLOOKUP(Table2[[#This Row],[LineA-ProdType]],'Other Lists'!$B$16:$G$19,6,FALSE))))</f>
        <v>21849.5</v>
      </c>
      <c r="T26" s="24">
        <f>Table2[[#This Row],[Possible Supplier Income]]-Table2[[#This Row],[Supplier Cost of Parts]]</f>
        <v>6621.5</v>
      </c>
      <c r="U26" s="24">
        <f>Table2[[#This Row],[Inspect Not Pass]]*((VLOOKUP(Table2[[#This Row],[LineA-ProdType]],'Other Lists'!$B$17:$G$19,5,FALSE)+VLOOKUP(Table2[[#This Row],[LineA-ProdType]],'Other Lists'!$B$17:$G$19,6,FALSE)))</f>
        <v>1522.1000000000001</v>
      </c>
      <c r="V26" s="21">
        <v>6</v>
      </c>
      <c r="W26" s="21">
        <v>0</v>
      </c>
      <c r="X26" s="21">
        <v>4</v>
      </c>
      <c r="Y26" s="21">
        <f>Table2[[#This Row],[Inspectors]]-Table2[[#This Row],[Training]]-Table2[[#This Row],[Regular]]</f>
        <v>2</v>
      </c>
      <c r="Z26" s="24">
        <f>VLOOKUP(Table2[[#This Row],[Shift]],'Other Lists'!$B$31:$H$36,7,FALSE)*8*Table2[[#This Row],[Training]]</f>
        <v>0</v>
      </c>
      <c r="AA26" s="24">
        <f>VLOOKUP(Table2[[#This Row],[Shift]],'Other Lists'!$B$31:$H$36,7,FALSE)*8*Table2[[#This Row],[Regular]]</f>
        <v>777.6</v>
      </c>
      <c r="AB26" s="24">
        <f>VLOOKUP(Table2[[#This Row],[Shift]],'Other Lists'!$B$31:$H$36,7,FALSE)*8*Table2[[#This Row],[Casual]]</f>
        <v>388.8</v>
      </c>
      <c r="AC26" s="24">
        <f>SUM(Table2[[#This Row],[Training $]:[Casual $]])</f>
        <v>1166.4000000000001</v>
      </c>
      <c r="AD26" s="24">
        <f>Table2[[#This Row],[Total Line A $]]/Table2[[#This Row],[Total Inspected]]</f>
        <v>2.7</v>
      </c>
      <c r="AE26" s="21">
        <v>105</v>
      </c>
      <c r="AF26" s="21">
        <v>209</v>
      </c>
      <c r="AG26" s="21">
        <v>205</v>
      </c>
      <c r="AH26" s="21">
        <v>0</v>
      </c>
      <c r="AI26" s="21">
        <f>Table2[[#This Row],[Received Inspected3]]+Table2[[#This Row],[Leftover Inspected4]]</f>
        <v>205</v>
      </c>
      <c r="AJ26" s="21">
        <v>216</v>
      </c>
      <c r="AK26" s="21">
        <v>4</v>
      </c>
      <c r="AL26" s="21">
        <v>0</v>
      </c>
      <c r="AM26" s="21">
        <v>196</v>
      </c>
      <c r="AN26" s="21">
        <f>Table2[[#This Row],[Total Inspected2]]-Table2[[#This Row],[Inspect Pass8]]</f>
        <v>9</v>
      </c>
      <c r="AO26" s="21">
        <f>Table2[[#This Row],[Received2]]-Table2[[#This Row],[Total Inspected2]]</f>
        <v>4</v>
      </c>
      <c r="AP26" s="23">
        <f>Table2[[#This Row],[Inspect Pass8]]/Table2[[#This Row],[Received2]]</f>
        <v>0.93779904306220097</v>
      </c>
      <c r="AQ26" s="21">
        <v>8</v>
      </c>
      <c r="AR26" s="21">
        <v>8</v>
      </c>
      <c r="AS26" s="21">
        <v>1</v>
      </c>
      <c r="AT26" s="21">
        <v>3</v>
      </c>
      <c r="AU26" s="21">
        <f>Table2[[#This Row],[Inspectors11]]-Table2[[#This Row],[Training12]]-Table2[[#This Row],[Regular13]]</f>
        <v>4</v>
      </c>
      <c r="AV26" s="21"/>
      <c r="AW26" s="21"/>
      <c r="AX26" s="21"/>
      <c r="AY26" s="21"/>
      <c r="AZ26" s="21"/>
      <c r="BA26" s="21"/>
      <c r="BB26" s="21">
        <v>2</v>
      </c>
      <c r="BC26" s="21">
        <v>2</v>
      </c>
      <c r="BD26" s="21"/>
      <c r="BE26" s="21"/>
      <c r="BF26" s="21"/>
    </row>
    <row r="27" spans="2:58" hidden="1" x14ac:dyDescent="0.3">
      <c r="B27" s="21">
        <v>905</v>
      </c>
      <c r="C27" s="22">
        <v>45098</v>
      </c>
      <c r="D27" s="21">
        <f>WEEKDAY(Table2[[#This Row],[Date]])</f>
        <v>4</v>
      </c>
      <c r="E27" s="21">
        <v>1</v>
      </c>
      <c r="F27" s="21">
        <v>119</v>
      </c>
      <c r="G27" s="21">
        <v>861</v>
      </c>
      <c r="H27" s="21">
        <v>861</v>
      </c>
      <c r="I27" s="21">
        <v>0</v>
      </c>
      <c r="J27" s="21">
        <f t="shared" si="0"/>
        <v>861</v>
      </c>
      <c r="K27" s="21">
        <v>1049.9999999999998</v>
      </c>
      <c r="L27" s="21">
        <v>0</v>
      </c>
      <c r="M27" s="21">
        <v>0</v>
      </c>
      <c r="N27" s="21">
        <v>843</v>
      </c>
      <c r="O27" s="21">
        <f>Table2[[#This Row],[Total Inspected]]-Table2[[#This Row],[Inspect Pass]]</f>
        <v>18</v>
      </c>
      <c r="P27" s="21">
        <f t="shared" si="1"/>
        <v>0</v>
      </c>
      <c r="Q27" s="23">
        <f>(Table2[[#This Row],[Inspect Pass]]/Table2[[#This Row],[Total Inspected]])</f>
        <v>0.97909407665505221</v>
      </c>
      <c r="R27" s="24">
        <f>Table2[[#This Row],[Inspect Pass]]*VLOOKUP(Table2[[#This Row],[LineA-ProdType]],'Other Lists'!$B$17:$H$19,7,FALSE)</f>
        <v>26976</v>
      </c>
      <c r="S27" s="24">
        <f>Table2[[#This Row],[Received]]*((VLOOKUP(Table2[[#This Row],[LineA-ProdType]],'Other Lists'!$B$16:$G$19,5,FALSE)+(VLOOKUP(Table2[[#This Row],[LineA-ProdType]],'Other Lists'!$B$16:$G$19,6,FALSE))))</f>
        <v>24796.799999999999</v>
      </c>
      <c r="T27" s="24">
        <f>Table2[[#This Row],[Possible Supplier Income]]-Table2[[#This Row],[Supplier Cost of Parts]]</f>
        <v>2179.2000000000007</v>
      </c>
      <c r="U27" s="24">
        <f>Table2[[#This Row],[Inspect Not Pass]]*((VLOOKUP(Table2[[#This Row],[LineA-ProdType]],'Other Lists'!$B$17:$G$19,5,FALSE)+VLOOKUP(Table2[[#This Row],[LineA-ProdType]],'Other Lists'!$B$17:$G$19,6,FALSE)))</f>
        <v>518.4</v>
      </c>
      <c r="V27" s="21">
        <v>6</v>
      </c>
      <c r="W27" s="21">
        <v>0</v>
      </c>
      <c r="X27" s="21">
        <v>3</v>
      </c>
      <c r="Y27" s="21">
        <f>Table2[[#This Row],[Inspectors]]-Table2[[#This Row],[Training]]-Table2[[#This Row],[Regular]]</f>
        <v>3</v>
      </c>
      <c r="Z27" s="24">
        <f>VLOOKUP(Table2[[#This Row],[Shift]],'Other Lists'!$B$31:$H$36,7,FALSE)*8*Table2[[#This Row],[Training]]</f>
        <v>0</v>
      </c>
      <c r="AA27" s="24">
        <f>VLOOKUP(Table2[[#This Row],[Shift]],'Other Lists'!$B$31:$H$36,7,FALSE)*8*Table2[[#This Row],[Regular]]</f>
        <v>583.20000000000005</v>
      </c>
      <c r="AB27" s="24">
        <f>VLOOKUP(Table2[[#This Row],[Shift]],'Other Lists'!$B$31:$H$36,7,FALSE)*8*Table2[[#This Row],[Casual]]</f>
        <v>583.20000000000005</v>
      </c>
      <c r="AC27" s="24">
        <f>SUM(Table2[[#This Row],[Training $]:[Casual $]])</f>
        <v>1166.4000000000001</v>
      </c>
      <c r="AD27" s="24">
        <f>Table2[[#This Row],[Total Line A $]]/Table2[[#This Row],[Total Inspected]]</f>
        <v>1.3547038327526133</v>
      </c>
      <c r="AE27" s="21">
        <v>105</v>
      </c>
      <c r="AF27" s="21">
        <v>187</v>
      </c>
      <c r="AG27" s="21">
        <v>187</v>
      </c>
      <c r="AH27" s="21">
        <v>0</v>
      </c>
      <c r="AI27" s="21">
        <f>Table2[[#This Row],[Received Inspected3]]+Table2[[#This Row],[Leftover Inspected4]]</f>
        <v>187</v>
      </c>
      <c r="AJ27" s="21">
        <v>216</v>
      </c>
      <c r="AK27" s="21">
        <v>0</v>
      </c>
      <c r="AL27" s="21">
        <v>0</v>
      </c>
      <c r="AM27" s="21">
        <v>177</v>
      </c>
      <c r="AN27" s="21">
        <f>Table2[[#This Row],[Total Inspected2]]-Table2[[#This Row],[Inspect Pass8]]</f>
        <v>10</v>
      </c>
      <c r="AO27" s="21">
        <f>Table2[[#This Row],[Received2]]-Table2[[#This Row],[Total Inspected2]]</f>
        <v>0</v>
      </c>
      <c r="AP27" s="23">
        <f>Table2[[#This Row],[Inspect Pass8]]/Table2[[#This Row],[Received2]]</f>
        <v>0.946524064171123</v>
      </c>
      <c r="AQ27" s="21">
        <v>8</v>
      </c>
      <c r="AR27" s="21">
        <v>8</v>
      </c>
      <c r="AS27" s="21">
        <v>0</v>
      </c>
      <c r="AT27" s="21">
        <v>4</v>
      </c>
      <c r="AU27" s="21">
        <f>Table2[[#This Row],[Inspectors11]]-Table2[[#This Row],[Training12]]-Table2[[#This Row],[Regular13]]</f>
        <v>4</v>
      </c>
      <c r="AV27" s="21"/>
      <c r="AW27" s="21"/>
      <c r="AX27" s="21"/>
      <c r="AY27" s="21"/>
      <c r="AZ27" s="21"/>
      <c r="BA27" s="21"/>
      <c r="BB27" s="21">
        <v>2</v>
      </c>
      <c r="BC27" s="21">
        <v>2</v>
      </c>
      <c r="BD27" s="21"/>
      <c r="BE27" s="21"/>
      <c r="BF27" s="21"/>
    </row>
    <row r="28" spans="2:58" hidden="1" x14ac:dyDescent="0.3">
      <c r="B28" s="21">
        <v>906</v>
      </c>
      <c r="C28" s="22">
        <v>45099</v>
      </c>
      <c r="D28" s="21">
        <f>WEEKDAY(Table2[[#This Row],[Date]])</f>
        <v>5</v>
      </c>
      <c r="E28" s="21">
        <v>1</v>
      </c>
      <c r="F28" s="21">
        <v>201</v>
      </c>
      <c r="G28" s="21">
        <v>352</v>
      </c>
      <c r="H28" s="21">
        <v>352</v>
      </c>
      <c r="I28" s="21">
        <v>0</v>
      </c>
      <c r="J28" s="21">
        <f t="shared" si="0"/>
        <v>352</v>
      </c>
      <c r="K28" s="21">
        <v>420</v>
      </c>
      <c r="L28" s="21">
        <v>0</v>
      </c>
      <c r="M28" s="21">
        <v>0</v>
      </c>
      <c r="N28" s="21">
        <v>337</v>
      </c>
      <c r="O28" s="21">
        <f>Table2[[#This Row],[Total Inspected]]-Table2[[#This Row],[Inspect Pass]]</f>
        <v>15</v>
      </c>
      <c r="P28" s="21">
        <f t="shared" si="1"/>
        <v>0</v>
      </c>
      <c r="Q28" s="23">
        <f>(Table2[[#This Row],[Inspect Pass]]/Table2[[#This Row],[Total Inspected]])</f>
        <v>0.95738636363636365</v>
      </c>
      <c r="R28" s="24">
        <f>Table2[[#This Row],[Inspect Pass]]*VLOOKUP(Table2[[#This Row],[LineA-ProdType]],'Other Lists'!$B$17:$H$19,7,FALSE)</f>
        <v>23927</v>
      </c>
      <c r="S28" s="24">
        <f>Table2[[#This Row],[Received]]*((VLOOKUP(Table2[[#This Row],[LineA-ProdType]],'Other Lists'!$B$16:$G$19,5,FALSE)+(VLOOKUP(Table2[[#This Row],[LineA-ProdType]],'Other Lists'!$B$16:$G$19,6,FALSE))))</f>
        <v>17283.2</v>
      </c>
      <c r="T28" s="24">
        <f>Table2[[#This Row],[Possible Supplier Income]]-Table2[[#This Row],[Supplier Cost of Parts]]</f>
        <v>6643.7999999999993</v>
      </c>
      <c r="U28" s="24">
        <f>Table2[[#This Row],[Inspect Not Pass]]*((VLOOKUP(Table2[[#This Row],[LineA-ProdType]],'Other Lists'!$B$17:$G$19,5,FALSE)+VLOOKUP(Table2[[#This Row],[LineA-ProdType]],'Other Lists'!$B$17:$G$19,6,FALSE)))</f>
        <v>736.5</v>
      </c>
      <c r="V28" s="21">
        <v>6</v>
      </c>
      <c r="W28" s="21">
        <v>0</v>
      </c>
      <c r="X28" s="21">
        <v>3</v>
      </c>
      <c r="Y28" s="21">
        <f>Table2[[#This Row],[Inspectors]]-Table2[[#This Row],[Training]]-Table2[[#This Row],[Regular]]</f>
        <v>3</v>
      </c>
      <c r="Z28" s="24">
        <f>VLOOKUP(Table2[[#This Row],[Shift]],'Other Lists'!$B$31:$H$36,7,FALSE)*8*Table2[[#This Row],[Training]]</f>
        <v>0</v>
      </c>
      <c r="AA28" s="24">
        <f>VLOOKUP(Table2[[#This Row],[Shift]],'Other Lists'!$B$31:$H$36,7,FALSE)*8*Table2[[#This Row],[Regular]]</f>
        <v>583.20000000000005</v>
      </c>
      <c r="AB28" s="24">
        <f>VLOOKUP(Table2[[#This Row],[Shift]],'Other Lists'!$B$31:$H$36,7,FALSE)*8*Table2[[#This Row],[Casual]]</f>
        <v>583.20000000000005</v>
      </c>
      <c r="AC28" s="24">
        <f>SUM(Table2[[#This Row],[Training $]:[Casual $]])</f>
        <v>1166.4000000000001</v>
      </c>
      <c r="AD28" s="24">
        <f>Table2[[#This Row],[Total Line A $]]/Table2[[#This Row],[Total Inspected]]</f>
        <v>3.3136363636363639</v>
      </c>
      <c r="AE28" s="21">
        <v>105</v>
      </c>
      <c r="AF28" s="21">
        <v>211</v>
      </c>
      <c r="AG28" s="21">
        <v>211</v>
      </c>
      <c r="AH28" s="21">
        <v>0</v>
      </c>
      <c r="AI28" s="21">
        <f>Table2[[#This Row],[Received Inspected3]]+Table2[[#This Row],[Leftover Inspected4]]</f>
        <v>211</v>
      </c>
      <c r="AJ28" s="21">
        <v>216</v>
      </c>
      <c r="AK28" s="21">
        <v>0</v>
      </c>
      <c r="AL28" s="21">
        <v>0</v>
      </c>
      <c r="AM28" s="21">
        <v>196</v>
      </c>
      <c r="AN28" s="21">
        <f>Table2[[#This Row],[Total Inspected2]]-Table2[[#This Row],[Inspect Pass8]]</f>
        <v>15</v>
      </c>
      <c r="AO28" s="21">
        <f>Table2[[#This Row],[Received2]]-Table2[[#This Row],[Total Inspected2]]</f>
        <v>0</v>
      </c>
      <c r="AP28" s="23">
        <f>Table2[[#This Row],[Inspect Pass8]]/Table2[[#This Row],[Received2]]</f>
        <v>0.92890995260663511</v>
      </c>
      <c r="AQ28" s="21">
        <v>8</v>
      </c>
      <c r="AR28" s="21">
        <v>8</v>
      </c>
      <c r="AS28" s="21">
        <v>0</v>
      </c>
      <c r="AT28" s="21">
        <v>4</v>
      </c>
      <c r="AU28" s="21">
        <f>Table2[[#This Row],[Inspectors11]]-Table2[[#This Row],[Training12]]-Table2[[#This Row],[Regular13]]</f>
        <v>4</v>
      </c>
      <c r="AV28" s="21"/>
      <c r="AW28" s="21"/>
      <c r="AX28" s="21"/>
      <c r="AY28" s="21"/>
      <c r="AZ28" s="21"/>
      <c r="BA28" s="21"/>
      <c r="BB28" s="21">
        <v>2</v>
      </c>
      <c r="BC28" s="21">
        <v>2</v>
      </c>
      <c r="BD28" s="21"/>
      <c r="BE28" s="21"/>
      <c r="BF28" s="21"/>
    </row>
    <row r="29" spans="2:58" hidden="1" x14ac:dyDescent="0.3">
      <c r="B29" s="21">
        <v>907</v>
      </c>
      <c r="C29" s="22">
        <v>45100</v>
      </c>
      <c r="D29" s="21">
        <f>WEEKDAY(Table2[[#This Row],[Date]])</f>
        <v>6</v>
      </c>
      <c r="E29" s="21">
        <v>1</v>
      </c>
      <c r="F29" s="21">
        <v>119</v>
      </c>
      <c r="G29" s="21">
        <v>1018</v>
      </c>
      <c r="H29" s="21">
        <v>913</v>
      </c>
      <c r="I29" s="21">
        <v>0</v>
      </c>
      <c r="J29" s="21">
        <f t="shared" si="0"/>
        <v>913</v>
      </c>
      <c r="K29" s="21">
        <v>1049.9999999999998</v>
      </c>
      <c r="L29" s="21">
        <v>105</v>
      </c>
      <c r="M29" s="21">
        <v>0</v>
      </c>
      <c r="N29" s="21">
        <v>894</v>
      </c>
      <c r="O29" s="21">
        <f>Table2[[#This Row],[Total Inspected]]-Table2[[#This Row],[Inspect Pass]]</f>
        <v>19</v>
      </c>
      <c r="P29" s="21">
        <f t="shared" si="1"/>
        <v>105</v>
      </c>
      <c r="Q29" s="23">
        <f>(Table2[[#This Row],[Inspect Pass]]/Table2[[#This Row],[Total Inspected]])</f>
        <v>0.97918948521358162</v>
      </c>
      <c r="R29" s="24">
        <f>Table2[[#This Row],[Inspect Pass]]*VLOOKUP(Table2[[#This Row],[LineA-ProdType]],'Other Lists'!$B$17:$H$19,7,FALSE)</f>
        <v>28608</v>
      </c>
      <c r="S29" s="24">
        <f>Table2[[#This Row],[Received]]*((VLOOKUP(Table2[[#This Row],[LineA-ProdType]],'Other Lists'!$B$16:$G$19,5,FALSE)+(VLOOKUP(Table2[[#This Row],[LineA-ProdType]],'Other Lists'!$B$16:$G$19,6,FALSE))))</f>
        <v>29318.400000000001</v>
      </c>
      <c r="T29" s="24">
        <f>Table2[[#This Row],[Possible Supplier Income]]-Table2[[#This Row],[Supplier Cost of Parts]]</f>
        <v>-710.40000000000146</v>
      </c>
      <c r="U29" s="24">
        <f>Table2[[#This Row],[Inspect Not Pass]]*((VLOOKUP(Table2[[#This Row],[LineA-ProdType]],'Other Lists'!$B$17:$G$19,5,FALSE)+VLOOKUP(Table2[[#This Row],[LineA-ProdType]],'Other Lists'!$B$17:$G$19,6,FALSE)))</f>
        <v>547.20000000000005</v>
      </c>
      <c r="V29" s="21">
        <v>6</v>
      </c>
      <c r="W29" s="21">
        <v>1</v>
      </c>
      <c r="X29" s="21">
        <v>3</v>
      </c>
      <c r="Y29" s="21">
        <f>Table2[[#This Row],[Inspectors]]-Table2[[#This Row],[Training]]-Table2[[#This Row],[Regular]]</f>
        <v>2</v>
      </c>
      <c r="Z29" s="24">
        <f>VLOOKUP(Table2[[#This Row],[Shift]],'Other Lists'!$B$31:$H$36,7,FALSE)*8*Table2[[#This Row],[Training]]</f>
        <v>194.4</v>
      </c>
      <c r="AA29" s="24">
        <f>VLOOKUP(Table2[[#This Row],[Shift]],'Other Lists'!$B$31:$H$36,7,FALSE)*8*Table2[[#This Row],[Regular]]</f>
        <v>583.20000000000005</v>
      </c>
      <c r="AB29" s="24">
        <f>VLOOKUP(Table2[[#This Row],[Shift]],'Other Lists'!$B$31:$H$36,7,FALSE)*8*Table2[[#This Row],[Casual]]</f>
        <v>388.8</v>
      </c>
      <c r="AC29" s="24">
        <f>SUM(Table2[[#This Row],[Training $]:[Casual $]])</f>
        <v>1166.4000000000001</v>
      </c>
      <c r="AD29" s="24">
        <f>Table2[[#This Row],[Total Line A $]]/Table2[[#This Row],[Total Inspected]]</f>
        <v>1.2775465498357066</v>
      </c>
      <c r="AE29" s="21">
        <v>105</v>
      </c>
      <c r="AF29" s="21">
        <v>177</v>
      </c>
      <c r="AG29" s="21">
        <v>177</v>
      </c>
      <c r="AH29" s="21">
        <v>0</v>
      </c>
      <c r="AI29" s="21">
        <f>Table2[[#This Row],[Received Inspected3]]+Table2[[#This Row],[Leftover Inspected4]]</f>
        <v>177</v>
      </c>
      <c r="AJ29" s="21">
        <v>216</v>
      </c>
      <c r="AK29" s="21">
        <v>0</v>
      </c>
      <c r="AL29" s="21">
        <v>0</v>
      </c>
      <c r="AM29" s="21">
        <v>169</v>
      </c>
      <c r="AN29" s="21">
        <f>Table2[[#This Row],[Total Inspected2]]-Table2[[#This Row],[Inspect Pass8]]</f>
        <v>8</v>
      </c>
      <c r="AO29" s="21">
        <f>Table2[[#This Row],[Received2]]-Table2[[#This Row],[Total Inspected2]]</f>
        <v>0</v>
      </c>
      <c r="AP29" s="23">
        <f>Table2[[#This Row],[Inspect Pass8]]/Table2[[#This Row],[Received2]]</f>
        <v>0.95480225988700562</v>
      </c>
      <c r="AQ29" s="21">
        <v>8</v>
      </c>
      <c r="AR29" s="21">
        <v>7</v>
      </c>
      <c r="AS29" s="21">
        <v>0</v>
      </c>
      <c r="AT29" s="21">
        <v>3</v>
      </c>
      <c r="AU29" s="21">
        <f>Table2[[#This Row],[Inspectors11]]-Table2[[#This Row],[Training12]]-Table2[[#This Row],[Regular13]]</f>
        <v>4</v>
      </c>
      <c r="AV29" s="21"/>
      <c r="AW29" s="21"/>
      <c r="AX29" s="21"/>
      <c r="AY29" s="21"/>
      <c r="AZ29" s="21"/>
      <c r="BA29" s="21"/>
      <c r="BB29" s="21">
        <v>2</v>
      </c>
      <c r="BC29" s="21">
        <v>2</v>
      </c>
      <c r="BD29" s="21"/>
      <c r="BE29" s="21"/>
      <c r="BF29" s="21"/>
    </row>
    <row r="30" spans="2:58" hidden="1" x14ac:dyDescent="0.3">
      <c r="B30" s="21">
        <v>908</v>
      </c>
      <c r="C30" s="22">
        <v>45101</v>
      </c>
      <c r="D30" s="21">
        <f>WEEKDAY(Table2[[#This Row],[Date]])</f>
        <v>7</v>
      </c>
      <c r="E30" s="21">
        <v>1</v>
      </c>
      <c r="F30" s="21">
        <v>119</v>
      </c>
      <c r="G30" s="21">
        <v>1249</v>
      </c>
      <c r="H30" s="21">
        <v>1081</v>
      </c>
      <c r="I30" s="21">
        <v>0</v>
      </c>
      <c r="J30" s="21">
        <f t="shared" si="0"/>
        <v>1081</v>
      </c>
      <c r="K30" s="21">
        <v>1049.9999999999998</v>
      </c>
      <c r="L30" s="21">
        <v>168</v>
      </c>
      <c r="M30" s="21">
        <v>0</v>
      </c>
      <c r="N30" s="21">
        <v>1059</v>
      </c>
      <c r="O30" s="21">
        <f>Table2[[#This Row],[Total Inspected]]-Table2[[#This Row],[Inspect Pass]]</f>
        <v>22</v>
      </c>
      <c r="P30" s="21">
        <f t="shared" si="1"/>
        <v>168</v>
      </c>
      <c r="Q30" s="23">
        <f>(Table2[[#This Row],[Inspect Pass]]/Table2[[#This Row],[Total Inspected]])</f>
        <v>0.97964847363552265</v>
      </c>
      <c r="R30" s="24">
        <f>Table2[[#This Row],[Inspect Pass]]*VLOOKUP(Table2[[#This Row],[LineA-ProdType]],'Other Lists'!$B$17:$H$19,7,FALSE)</f>
        <v>33888</v>
      </c>
      <c r="S30" s="24">
        <f>Table2[[#This Row],[Received]]*((VLOOKUP(Table2[[#This Row],[LineA-ProdType]],'Other Lists'!$B$16:$G$19,5,FALSE)+(VLOOKUP(Table2[[#This Row],[LineA-ProdType]],'Other Lists'!$B$16:$G$19,6,FALSE))))</f>
        <v>35971.200000000004</v>
      </c>
      <c r="T30" s="24">
        <f>Table2[[#This Row],[Possible Supplier Income]]-Table2[[#This Row],[Supplier Cost of Parts]]</f>
        <v>-2083.2000000000044</v>
      </c>
      <c r="U30" s="24">
        <f>Table2[[#This Row],[Inspect Not Pass]]*((VLOOKUP(Table2[[#This Row],[LineA-ProdType]],'Other Lists'!$B$17:$G$19,5,FALSE)+VLOOKUP(Table2[[#This Row],[LineA-ProdType]],'Other Lists'!$B$17:$G$19,6,FALSE)))</f>
        <v>633.6</v>
      </c>
      <c r="V30" s="21">
        <v>6</v>
      </c>
      <c r="W30" s="21">
        <v>0</v>
      </c>
      <c r="X30" s="21">
        <v>4</v>
      </c>
      <c r="Y30" s="21">
        <f>Table2[[#This Row],[Inspectors]]-Table2[[#This Row],[Training]]-Table2[[#This Row],[Regular]]</f>
        <v>2</v>
      </c>
      <c r="Z30" s="24">
        <f>VLOOKUP(Table2[[#This Row],[Shift]],'Other Lists'!$B$31:$H$36,7,FALSE)*8*Table2[[#This Row],[Training]]</f>
        <v>0</v>
      </c>
      <c r="AA30" s="24">
        <f>VLOOKUP(Table2[[#This Row],[Shift]],'Other Lists'!$B$31:$H$36,7,FALSE)*8*Table2[[#This Row],[Regular]]</f>
        <v>777.6</v>
      </c>
      <c r="AB30" s="24">
        <f>VLOOKUP(Table2[[#This Row],[Shift]],'Other Lists'!$B$31:$H$36,7,FALSE)*8*Table2[[#This Row],[Casual]]</f>
        <v>388.8</v>
      </c>
      <c r="AC30" s="24">
        <f>SUM(Table2[[#This Row],[Training $]:[Casual $]])</f>
        <v>1166.4000000000001</v>
      </c>
      <c r="AD30" s="24">
        <f>Table2[[#This Row],[Total Line A $]]/Table2[[#This Row],[Total Inspected]]</f>
        <v>1.0790009250693804</v>
      </c>
      <c r="AE30" s="21">
        <v>105</v>
      </c>
      <c r="AF30" s="21">
        <v>250</v>
      </c>
      <c r="AG30" s="21">
        <v>205</v>
      </c>
      <c r="AH30" s="21">
        <v>0</v>
      </c>
      <c r="AI30" s="21">
        <f>Table2[[#This Row],[Received Inspected3]]+Table2[[#This Row],[Leftover Inspected4]]</f>
        <v>205</v>
      </c>
      <c r="AJ30" s="21">
        <v>216</v>
      </c>
      <c r="AK30" s="21">
        <v>45</v>
      </c>
      <c r="AL30" s="21">
        <v>0</v>
      </c>
      <c r="AM30" s="21">
        <v>192</v>
      </c>
      <c r="AN30" s="21">
        <f>Table2[[#This Row],[Total Inspected2]]-Table2[[#This Row],[Inspect Pass8]]</f>
        <v>13</v>
      </c>
      <c r="AO30" s="21">
        <f>Table2[[#This Row],[Received2]]-Table2[[#This Row],[Total Inspected2]]</f>
        <v>45</v>
      </c>
      <c r="AP30" s="23">
        <f>Table2[[#This Row],[Inspect Pass8]]/Table2[[#This Row],[Received2]]</f>
        <v>0.76800000000000002</v>
      </c>
      <c r="AQ30" s="21">
        <v>8</v>
      </c>
      <c r="AR30" s="21">
        <v>8</v>
      </c>
      <c r="AS30" s="21">
        <v>0</v>
      </c>
      <c r="AT30" s="21">
        <v>3</v>
      </c>
      <c r="AU30" s="21">
        <f>Table2[[#This Row],[Inspectors11]]-Table2[[#This Row],[Training12]]-Table2[[#This Row],[Regular13]]</f>
        <v>5</v>
      </c>
      <c r="AV30" s="21"/>
      <c r="AW30" s="21"/>
      <c r="AX30" s="21"/>
      <c r="AY30" s="21"/>
      <c r="AZ30" s="21"/>
      <c r="BA30" s="21"/>
      <c r="BB30" s="21">
        <v>2</v>
      </c>
      <c r="BC30" s="21">
        <v>2</v>
      </c>
      <c r="BD30" s="21"/>
      <c r="BE30" s="21"/>
      <c r="BF30" s="21"/>
    </row>
    <row r="31" spans="2:58" hidden="1" x14ac:dyDescent="0.3">
      <c r="B31" s="21">
        <v>909</v>
      </c>
      <c r="C31" s="22">
        <v>45102</v>
      </c>
      <c r="D31" s="21">
        <f>WEEKDAY(Table2[[#This Row],[Date]])</f>
        <v>1</v>
      </c>
      <c r="E31" s="21">
        <v>1</v>
      </c>
      <c r="F31" s="21">
        <v>201</v>
      </c>
      <c r="G31" s="21">
        <v>172</v>
      </c>
      <c r="H31" s="21">
        <v>172</v>
      </c>
      <c r="I31" s="21">
        <v>0</v>
      </c>
      <c r="J31" s="21">
        <f t="shared" si="0"/>
        <v>172</v>
      </c>
      <c r="K31" s="21">
        <v>210</v>
      </c>
      <c r="L31" s="21">
        <v>0</v>
      </c>
      <c r="M31" s="21">
        <v>0</v>
      </c>
      <c r="N31" s="21">
        <v>168</v>
      </c>
      <c r="O31" s="21">
        <f>Table2[[#This Row],[Total Inspected]]-Table2[[#This Row],[Inspect Pass]]</f>
        <v>4</v>
      </c>
      <c r="P31" s="21">
        <f t="shared" si="1"/>
        <v>0</v>
      </c>
      <c r="Q31" s="23">
        <f>(Table2[[#This Row],[Inspect Pass]]/Table2[[#This Row],[Total Inspected]])</f>
        <v>0.97674418604651159</v>
      </c>
      <c r="R31" s="24">
        <f>Table2[[#This Row],[Inspect Pass]]*VLOOKUP(Table2[[#This Row],[LineA-ProdType]],'Other Lists'!$B$17:$H$19,7,FALSE)</f>
        <v>11928</v>
      </c>
      <c r="S31" s="24">
        <f>Table2[[#This Row],[Received]]*((VLOOKUP(Table2[[#This Row],[LineA-ProdType]],'Other Lists'!$B$16:$G$19,5,FALSE)+(VLOOKUP(Table2[[#This Row],[LineA-ProdType]],'Other Lists'!$B$16:$G$19,6,FALSE))))</f>
        <v>8445.2000000000007</v>
      </c>
      <c r="T31" s="24">
        <f>Table2[[#This Row],[Possible Supplier Income]]-Table2[[#This Row],[Supplier Cost of Parts]]</f>
        <v>3482.7999999999993</v>
      </c>
      <c r="U31" s="24">
        <f>Table2[[#This Row],[Inspect Not Pass]]*((VLOOKUP(Table2[[#This Row],[LineA-ProdType]],'Other Lists'!$B$17:$G$19,5,FALSE)+VLOOKUP(Table2[[#This Row],[LineA-ProdType]],'Other Lists'!$B$17:$G$19,6,FALSE)))</f>
        <v>196.4</v>
      </c>
      <c r="V31" s="21">
        <v>3</v>
      </c>
      <c r="W31" s="21">
        <v>0</v>
      </c>
      <c r="X31" s="21">
        <v>2</v>
      </c>
      <c r="Y31" s="21">
        <f>Table2[[#This Row],[Inspectors]]-Table2[[#This Row],[Training]]-Table2[[#This Row],[Regular]]</f>
        <v>1</v>
      </c>
      <c r="Z31" s="24">
        <f>VLOOKUP(Table2[[#This Row],[Shift]],'Other Lists'!$B$31:$H$36,7,FALSE)*8*Table2[[#This Row],[Training]]</f>
        <v>0</v>
      </c>
      <c r="AA31" s="24">
        <f>VLOOKUP(Table2[[#This Row],[Shift]],'Other Lists'!$B$31:$H$36,7,FALSE)*8*Table2[[#This Row],[Regular]]</f>
        <v>388.8</v>
      </c>
      <c r="AB31" s="24">
        <f>VLOOKUP(Table2[[#This Row],[Shift]],'Other Lists'!$B$31:$H$36,7,FALSE)*8*Table2[[#This Row],[Casual]]</f>
        <v>194.4</v>
      </c>
      <c r="AC31" s="24">
        <f>SUM(Table2[[#This Row],[Training $]:[Casual $]])</f>
        <v>583.20000000000005</v>
      </c>
      <c r="AD31" s="24">
        <f>Table2[[#This Row],[Total Line A $]]/Table2[[#This Row],[Total Inspected]]</f>
        <v>3.3906976744186048</v>
      </c>
      <c r="AE31" s="21">
        <v>105</v>
      </c>
      <c r="AF31" s="21">
        <v>117</v>
      </c>
      <c r="AG31" s="21">
        <v>111</v>
      </c>
      <c r="AH31" s="21">
        <v>0</v>
      </c>
      <c r="AI31" s="21">
        <f>Table2[[#This Row],[Received Inspected3]]+Table2[[#This Row],[Leftover Inspected4]]</f>
        <v>111</v>
      </c>
      <c r="AJ31" s="21">
        <v>108</v>
      </c>
      <c r="AK31" s="21">
        <v>6</v>
      </c>
      <c r="AL31" s="21">
        <v>0</v>
      </c>
      <c r="AM31" s="21">
        <v>105</v>
      </c>
      <c r="AN31" s="21">
        <f>Table2[[#This Row],[Total Inspected2]]-Table2[[#This Row],[Inspect Pass8]]</f>
        <v>6</v>
      </c>
      <c r="AO31" s="21">
        <f>Table2[[#This Row],[Received2]]-Table2[[#This Row],[Total Inspected2]]</f>
        <v>6</v>
      </c>
      <c r="AP31" s="23">
        <f>Table2[[#This Row],[Inspect Pass8]]/Table2[[#This Row],[Received2]]</f>
        <v>0.89743589743589747</v>
      </c>
      <c r="AQ31" s="21">
        <v>4</v>
      </c>
      <c r="AR31" s="21">
        <v>4</v>
      </c>
      <c r="AS31" s="21">
        <v>0</v>
      </c>
      <c r="AT31" s="21">
        <v>2</v>
      </c>
      <c r="AU31" s="21">
        <f>Table2[[#This Row],[Inspectors11]]-Table2[[#This Row],[Training12]]-Table2[[#This Row],[Regular13]]</f>
        <v>2</v>
      </c>
      <c r="AV31" s="21"/>
      <c r="AW31" s="21"/>
      <c r="AX31" s="21"/>
      <c r="AY31" s="21"/>
      <c r="AZ31" s="21"/>
      <c r="BA31" s="21"/>
      <c r="BB31" s="21">
        <v>1</v>
      </c>
      <c r="BC31" s="21">
        <v>1</v>
      </c>
      <c r="BD31" s="21"/>
      <c r="BE31" s="21"/>
      <c r="BF31" s="21"/>
    </row>
    <row r="32" spans="2:58" hidden="1" x14ac:dyDescent="0.3">
      <c r="B32" s="21">
        <v>910</v>
      </c>
      <c r="C32" s="22">
        <v>45103</v>
      </c>
      <c r="D32" s="21">
        <f>WEEKDAY(Table2[[#This Row],[Date]])</f>
        <v>2</v>
      </c>
      <c r="E32" s="21">
        <v>1</v>
      </c>
      <c r="F32" s="21">
        <v>119</v>
      </c>
      <c r="G32" s="21">
        <v>435</v>
      </c>
      <c r="H32" s="21">
        <v>435</v>
      </c>
      <c r="I32" s="21">
        <v>0</v>
      </c>
      <c r="J32" s="21">
        <f t="shared" si="0"/>
        <v>435</v>
      </c>
      <c r="K32" s="21">
        <v>524.99999999999989</v>
      </c>
      <c r="L32" s="21">
        <v>0</v>
      </c>
      <c r="M32" s="21">
        <v>0</v>
      </c>
      <c r="N32" s="21">
        <v>404</v>
      </c>
      <c r="O32" s="21">
        <f>Table2[[#This Row],[Total Inspected]]-Table2[[#This Row],[Inspect Pass]]</f>
        <v>31</v>
      </c>
      <c r="P32" s="21">
        <f t="shared" si="1"/>
        <v>0</v>
      </c>
      <c r="Q32" s="23">
        <f>(Table2[[#This Row],[Inspect Pass]]/Table2[[#This Row],[Total Inspected]])</f>
        <v>0.92873563218390809</v>
      </c>
      <c r="R32" s="24">
        <f>Table2[[#This Row],[Inspect Pass]]*VLOOKUP(Table2[[#This Row],[LineA-ProdType]],'Other Lists'!$B$17:$H$19,7,FALSE)</f>
        <v>12928</v>
      </c>
      <c r="S32" s="24">
        <f>Table2[[#This Row],[Received]]*((VLOOKUP(Table2[[#This Row],[LineA-ProdType]],'Other Lists'!$B$16:$G$19,5,FALSE)+(VLOOKUP(Table2[[#This Row],[LineA-ProdType]],'Other Lists'!$B$16:$G$19,6,FALSE))))</f>
        <v>12528</v>
      </c>
      <c r="T32" s="24">
        <f>Table2[[#This Row],[Possible Supplier Income]]-Table2[[#This Row],[Supplier Cost of Parts]]</f>
        <v>400</v>
      </c>
      <c r="U32" s="24">
        <f>Table2[[#This Row],[Inspect Not Pass]]*((VLOOKUP(Table2[[#This Row],[LineA-ProdType]],'Other Lists'!$B$17:$G$19,5,FALSE)+VLOOKUP(Table2[[#This Row],[LineA-ProdType]],'Other Lists'!$B$17:$G$19,6,FALSE)))</f>
        <v>892.80000000000007</v>
      </c>
      <c r="V32" s="21">
        <v>3</v>
      </c>
      <c r="W32" s="21">
        <v>0</v>
      </c>
      <c r="X32" s="21">
        <v>2</v>
      </c>
      <c r="Y32" s="21">
        <f>Table2[[#This Row],[Inspectors]]-Table2[[#This Row],[Training]]-Table2[[#This Row],[Regular]]</f>
        <v>1</v>
      </c>
      <c r="Z32" s="24">
        <f>VLOOKUP(Table2[[#This Row],[Shift]],'Other Lists'!$B$31:$H$36,7,FALSE)*8*Table2[[#This Row],[Training]]</f>
        <v>0</v>
      </c>
      <c r="AA32" s="24">
        <f>VLOOKUP(Table2[[#This Row],[Shift]],'Other Lists'!$B$31:$H$36,7,FALSE)*8*Table2[[#This Row],[Regular]]</f>
        <v>388.8</v>
      </c>
      <c r="AB32" s="24">
        <f>VLOOKUP(Table2[[#This Row],[Shift]],'Other Lists'!$B$31:$H$36,7,FALSE)*8*Table2[[#This Row],[Casual]]</f>
        <v>194.4</v>
      </c>
      <c r="AC32" s="24">
        <f>SUM(Table2[[#This Row],[Training $]:[Casual $]])</f>
        <v>583.20000000000005</v>
      </c>
      <c r="AD32" s="24">
        <f>Table2[[#This Row],[Total Line A $]]/Table2[[#This Row],[Total Inspected]]</f>
        <v>1.3406896551724139</v>
      </c>
      <c r="AE32" s="21">
        <v>105</v>
      </c>
      <c r="AF32" s="21">
        <v>102</v>
      </c>
      <c r="AG32" s="21">
        <v>102</v>
      </c>
      <c r="AH32" s="21">
        <v>0</v>
      </c>
      <c r="AI32" s="21">
        <f>Table2[[#This Row],[Received Inspected3]]+Table2[[#This Row],[Leftover Inspected4]]</f>
        <v>102</v>
      </c>
      <c r="AJ32" s="21">
        <v>108</v>
      </c>
      <c r="AK32" s="21">
        <v>0</v>
      </c>
      <c r="AL32" s="21">
        <v>0</v>
      </c>
      <c r="AM32" s="21">
        <v>98</v>
      </c>
      <c r="AN32" s="21">
        <f>Table2[[#This Row],[Total Inspected2]]-Table2[[#This Row],[Inspect Pass8]]</f>
        <v>4</v>
      </c>
      <c r="AO32" s="21">
        <f>Table2[[#This Row],[Received2]]-Table2[[#This Row],[Total Inspected2]]</f>
        <v>0</v>
      </c>
      <c r="AP32" s="23">
        <f>Table2[[#This Row],[Inspect Pass8]]/Table2[[#This Row],[Received2]]</f>
        <v>0.96078431372549022</v>
      </c>
      <c r="AQ32" s="21">
        <v>4</v>
      </c>
      <c r="AR32" s="21">
        <v>4</v>
      </c>
      <c r="AS32" s="21">
        <v>0</v>
      </c>
      <c r="AT32" s="21">
        <v>2</v>
      </c>
      <c r="AU32" s="21">
        <f>Table2[[#This Row],[Inspectors11]]-Table2[[#This Row],[Training12]]-Table2[[#This Row],[Regular13]]</f>
        <v>2</v>
      </c>
      <c r="AV32" s="21"/>
      <c r="AW32" s="21"/>
      <c r="AX32" s="21"/>
      <c r="AY32" s="21"/>
      <c r="AZ32" s="21"/>
      <c r="BA32" s="21"/>
      <c r="BB32" s="21">
        <v>1</v>
      </c>
      <c r="BC32" s="21">
        <v>1</v>
      </c>
      <c r="BD32" s="21"/>
      <c r="BE32" s="21"/>
      <c r="BF32" s="21"/>
    </row>
    <row r="33" spans="2:58" hidden="1" x14ac:dyDescent="0.3">
      <c r="B33" s="21">
        <v>911</v>
      </c>
      <c r="C33" s="22">
        <v>45104</v>
      </c>
      <c r="D33" s="21">
        <f>WEEKDAY(Table2[[#This Row],[Date]])</f>
        <v>3</v>
      </c>
      <c r="E33" s="21">
        <v>1</v>
      </c>
      <c r="F33" s="21">
        <v>201</v>
      </c>
      <c r="G33" s="21">
        <v>441</v>
      </c>
      <c r="H33" s="21">
        <v>424</v>
      </c>
      <c r="I33" s="21">
        <v>0</v>
      </c>
      <c r="J33" s="21">
        <f t="shared" si="0"/>
        <v>424</v>
      </c>
      <c r="K33" s="21">
        <v>420</v>
      </c>
      <c r="L33" s="21">
        <v>17</v>
      </c>
      <c r="M33" s="21">
        <v>0</v>
      </c>
      <c r="N33" s="21">
        <v>402</v>
      </c>
      <c r="O33" s="21">
        <f>Table2[[#This Row],[Total Inspected]]-Table2[[#This Row],[Inspect Pass]]</f>
        <v>22</v>
      </c>
      <c r="P33" s="21">
        <f t="shared" si="1"/>
        <v>17</v>
      </c>
      <c r="Q33" s="23">
        <f>(Table2[[#This Row],[Inspect Pass]]/Table2[[#This Row],[Total Inspected]])</f>
        <v>0.94811320754716977</v>
      </c>
      <c r="R33" s="24">
        <f>Table2[[#This Row],[Inspect Pass]]*VLOOKUP(Table2[[#This Row],[LineA-ProdType]],'Other Lists'!$B$17:$H$19,7,FALSE)</f>
        <v>28542</v>
      </c>
      <c r="S33" s="24">
        <f>Table2[[#This Row],[Received]]*((VLOOKUP(Table2[[#This Row],[LineA-ProdType]],'Other Lists'!$B$16:$G$19,5,FALSE)+(VLOOKUP(Table2[[#This Row],[LineA-ProdType]],'Other Lists'!$B$16:$G$19,6,FALSE))))</f>
        <v>21653.100000000002</v>
      </c>
      <c r="T33" s="24">
        <f>Table2[[#This Row],[Possible Supplier Income]]-Table2[[#This Row],[Supplier Cost of Parts]]</f>
        <v>6888.8999999999978</v>
      </c>
      <c r="U33" s="24">
        <f>Table2[[#This Row],[Inspect Not Pass]]*((VLOOKUP(Table2[[#This Row],[LineA-ProdType]],'Other Lists'!$B$17:$G$19,5,FALSE)+VLOOKUP(Table2[[#This Row],[LineA-ProdType]],'Other Lists'!$B$17:$G$19,6,FALSE)))</f>
        <v>1080.2</v>
      </c>
      <c r="V33" s="21">
        <v>6</v>
      </c>
      <c r="W33" s="21">
        <v>0</v>
      </c>
      <c r="X33" s="21">
        <v>4</v>
      </c>
      <c r="Y33" s="21">
        <f>Table2[[#This Row],[Inspectors]]-Table2[[#This Row],[Training]]-Table2[[#This Row],[Regular]]</f>
        <v>2</v>
      </c>
      <c r="Z33" s="24">
        <f>VLOOKUP(Table2[[#This Row],[Shift]],'Other Lists'!$B$31:$H$36,7,FALSE)*8*Table2[[#This Row],[Training]]</f>
        <v>0</v>
      </c>
      <c r="AA33" s="24">
        <f>VLOOKUP(Table2[[#This Row],[Shift]],'Other Lists'!$B$31:$H$36,7,FALSE)*8*Table2[[#This Row],[Regular]]</f>
        <v>777.6</v>
      </c>
      <c r="AB33" s="24">
        <f>VLOOKUP(Table2[[#This Row],[Shift]],'Other Lists'!$B$31:$H$36,7,FALSE)*8*Table2[[#This Row],[Casual]]</f>
        <v>388.8</v>
      </c>
      <c r="AC33" s="24">
        <f>SUM(Table2[[#This Row],[Training $]:[Casual $]])</f>
        <v>1166.4000000000001</v>
      </c>
      <c r="AD33" s="24">
        <f>Table2[[#This Row],[Total Line A $]]/Table2[[#This Row],[Total Inspected]]</f>
        <v>2.7509433962264151</v>
      </c>
      <c r="AE33" s="21">
        <v>105</v>
      </c>
      <c r="AF33" s="21">
        <v>259</v>
      </c>
      <c r="AG33" s="21">
        <v>222</v>
      </c>
      <c r="AH33" s="21">
        <v>0</v>
      </c>
      <c r="AI33" s="21">
        <f>Table2[[#This Row],[Received Inspected3]]+Table2[[#This Row],[Leftover Inspected4]]</f>
        <v>222</v>
      </c>
      <c r="AJ33" s="21">
        <v>216</v>
      </c>
      <c r="AK33" s="21">
        <v>37</v>
      </c>
      <c r="AL33" s="21">
        <v>0</v>
      </c>
      <c r="AM33" s="21">
        <v>217</v>
      </c>
      <c r="AN33" s="21">
        <f>Table2[[#This Row],[Total Inspected2]]-Table2[[#This Row],[Inspect Pass8]]</f>
        <v>5</v>
      </c>
      <c r="AO33" s="21">
        <f>Table2[[#This Row],[Received2]]-Table2[[#This Row],[Total Inspected2]]</f>
        <v>37</v>
      </c>
      <c r="AP33" s="23">
        <f>Table2[[#This Row],[Inspect Pass8]]/Table2[[#This Row],[Received2]]</f>
        <v>0.83783783783783783</v>
      </c>
      <c r="AQ33" s="21">
        <v>8</v>
      </c>
      <c r="AR33" s="21">
        <v>8</v>
      </c>
      <c r="AS33" s="21">
        <v>0</v>
      </c>
      <c r="AT33" s="21">
        <v>3</v>
      </c>
      <c r="AU33" s="21">
        <f>Table2[[#This Row],[Inspectors11]]-Table2[[#This Row],[Training12]]-Table2[[#This Row],[Regular13]]</f>
        <v>5</v>
      </c>
      <c r="AV33" s="21"/>
      <c r="AW33" s="21"/>
      <c r="AX33" s="21"/>
      <c r="AY33" s="21"/>
      <c r="AZ33" s="21"/>
      <c r="BA33" s="21"/>
      <c r="BB33" s="21">
        <v>2</v>
      </c>
      <c r="BC33" s="21">
        <v>2</v>
      </c>
      <c r="BD33" s="21"/>
      <c r="BE33" s="21"/>
      <c r="BF33" s="21"/>
    </row>
    <row r="34" spans="2:58" hidden="1" x14ac:dyDescent="0.3">
      <c r="B34" s="21">
        <v>912</v>
      </c>
      <c r="C34" s="22">
        <v>45105</v>
      </c>
      <c r="D34" s="21">
        <f>WEEKDAY(Table2[[#This Row],[Date]])</f>
        <v>4</v>
      </c>
      <c r="E34" s="21">
        <v>1</v>
      </c>
      <c r="F34" s="21">
        <v>119</v>
      </c>
      <c r="G34" s="21">
        <v>1155</v>
      </c>
      <c r="H34" s="21">
        <v>840</v>
      </c>
      <c r="I34" s="21">
        <v>0</v>
      </c>
      <c r="J34" s="21">
        <f t="shared" si="0"/>
        <v>840</v>
      </c>
      <c r="K34" s="21">
        <v>1049.9999999999998</v>
      </c>
      <c r="L34" s="21">
        <v>315</v>
      </c>
      <c r="M34" s="21">
        <v>0</v>
      </c>
      <c r="N34" s="21">
        <v>814</v>
      </c>
      <c r="O34" s="21">
        <f>Table2[[#This Row],[Total Inspected]]-Table2[[#This Row],[Inspect Pass]]</f>
        <v>26</v>
      </c>
      <c r="P34" s="21">
        <f t="shared" si="1"/>
        <v>315</v>
      </c>
      <c r="Q34" s="23">
        <f>(Table2[[#This Row],[Inspect Pass]]/Table2[[#This Row],[Total Inspected]])</f>
        <v>0.96904761904761905</v>
      </c>
      <c r="R34" s="24">
        <f>Table2[[#This Row],[Inspect Pass]]*VLOOKUP(Table2[[#This Row],[LineA-ProdType]],'Other Lists'!$B$17:$H$19,7,FALSE)</f>
        <v>26048</v>
      </c>
      <c r="S34" s="24">
        <f>Table2[[#This Row],[Received]]*((VLOOKUP(Table2[[#This Row],[LineA-ProdType]],'Other Lists'!$B$16:$G$19,5,FALSE)+(VLOOKUP(Table2[[#This Row],[LineA-ProdType]],'Other Lists'!$B$16:$G$19,6,FALSE))))</f>
        <v>33264</v>
      </c>
      <c r="T34" s="24">
        <f>Table2[[#This Row],[Possible Supplier Income]]-Table2[[#This Row],[Supplier Cost of Parts]]</f>
        <v>-7216</v>
      </c>
      <c r="U34" s="24">
        <f>Table2[[#This Row],[Inspect Not Pass]]*((VLOOKUP(Table2[[#This Row],[LineA-ProdType]],'Other Lists'!$B$17:$G$19,5,FALSE)+VLOOKUP(Table2[[#This Row],[LineA-ProdType]],'Other Lists'!$B$17:$G$19,6,FALSE)))</f>
        <v>748.80000000000007</v>
      </c>
      <c r="V34" s="21">
        <v>5</v>
      </c>
      <c r="W34" s="21">
        <v>0</v>
      </c>
      <c r="X34" s="21">
        <v>3</v>
      </c>
      <c r="Y34" s="21">
        <f>Table2[[#This Row],[Inspectors]]-Table2[[#This Row],[Training]]-Table2[[#This Row],[Regular]]</f>
        <v>2</v>
      </c>
      <c r="Z34" s="24">
        <f>VLOOKUP(Table2[[#This Row],[Shift]],'Other Lists'!$B$31:$H$36,7,FALSE)*8*Table2[[#This Row],[Training]]</f>
        <v>0</v>
      </c>
      <c r="AA34" s="24">
        <f>VLOOKUP(Table2[[#This Row],[Shift]],'Other Lists'!$B$31:$H$36,7,FALSE)*8*Table2[[#This Row],[Regular]]</f>
        <v>583.20000000000005</v>
      </c>
      <c r="AB34" s="24">
        <f>VLOOKUP(Table2[[#This Row],[Shift]],'Other Lists'!$B$31:$H$36,7,FALSE)*8*Table2[[#This Row],[Casual]]</f>
        <v>388.8</v>
      </c>
      <c r="AC34" s="24">
        <f>SUM(Table2[[#This Row],[Training $]:[Casual $]])</f>
        <v>972</v>
      </c>
      <c r="AD34" s="24">
        <f>Table2[[#This Row],[Total Line A $]]/Table2[[#This Row],[Total Inspected]]</f>
        <v>1.1571428571428573</v>
      </c>
      <c r="AE34" s="21">
        <v>105</v>
      </c>
      <c r="AF34" s="21">
        <v>228</v>
      </c>
      <c r="AG34" s="21">
        <v>226</v>
      </c>
      <c r="AH34" s="21">
        <v>0</v>
      </c>
      <c r="AI34" s="21">
        <f>Table2[[#This Row],[Received Inspected3]]+Table2[[#This Row],[Leftover Inspected4]]</f>
        <v>226</v>
      </c>
      <c r="AJ34" s="21">
        <v>216</v>
      </c>
      <c r="AK34" s="21">
        <v>2</v>
      </c>
      <c r="AL34" s="21">
        <v>0</v>
      </c>
      <c r="AM34" s="21">
        <v>221</v>
      </c>
      <c r="AN34" s="21">
        <f>Table2[[#This Row],[Total Inspected2]]-Table2[[#This Row],[Inspect Pass8]]</f>
        <v>5</v>
      </c>
      <c r="AO34" s="21">
        <f>Table2[[#This Row],[Received2]]-Table2[[#This Row],[Total Inspected2]]</f>
        <v>2</v>
      </c>
      <c r="AP34" s="23">
        <f>Table2[[#This Row],[Inspect Pass8]]/Table2[[#This Row],[Received2]]</f>
        <v>0.9692982456140351</v>
      </c>
      <c r="AQ34" s="21">
        <v>8</v>
      </c>
      <c r="AR34" s="21">
        <v>8</v>
      </c>
      <c r="AS34" s="21">
        <v>0</v>
      </c>
      <c r="AT34" s="21">
        <v>3</v>
      </c>
      <c r="AU34" s="21">
        <f>Table2[[#This Row],[Inspectors11]]-Table2[[#This Row],[Training12]]-Table2[[#This Row],[Regular13]]</f>
        <v>5</v>
      </c>
      <c r="AV34" s="21"/>
      <c r="AW34" s="21"/>
      <c r="AX34" s="21"/>
      <c r="AY34" s="21"/>
      <c r="AZ34" s="21"/>
      <c r="BA34" s="21"/>
      <c r="BB34" s="21">
        <v>1</v>
      </c>
      <c r="BC34" s="21">
        <v>2</v>
      </c>
      <c r="BD34" s="21"/>
      <c r="BE34" s="21"/>
      <c r="BF34" s="21"/>
    </row>
    <row r="35" spans="2:58" hidden="1" x14ac:dyDescent="0.3">
      <c r="B35" s="21">
        <v>913</v>
      </c>
      <c r="C35" s="22">
        <v>45106</v>
      </c>
      <c r="D35" s="21">
        <f>WEEKDAY(Table2[[#This Row],[Date]])</f>
        <v>5</v>
      </c>
      <c r="E35" s="21">
        <v>1</v>
      </c>
      <c r="F35" s="21">
        <v>119</v>
      </c>
      <c r="G35" s="21">
        <v>987</v>
      </c>
      <c r="H35" s="21">
        <v>987</v>
      </c>
      <c r="I35" s="21">
        <v>0</v>
      </c>
      <c r="J35" s="21">
        <f t="shared" si="0"/>
        <v>987</v>
      </c>
      <c r="K35" s="21">
        <v>1049.9999999999998</v>
      </c>
      <c r="L35" s="21">
        <v>0</v>
      </c>
      <c r="M35" s="21">
        <v>0</v>
      </c>
      <c r="N35" s="21">
        <v>937</v>
      </c>
      <c r="O35" s="21">
        <f>Table2[[#This Row],[Total Inspected]]-Table2[[#This Row],[Inspect Pass]]</f>
        <v>50</v>
      </c>
      <c r="P35" s="21">
        <f t="shared" si="1"/>
        <v>0</v>
      </c>
      <c r="Q35" s="23">
        <f>(Table2[[#This Row],[Inspect Pass]]/Table2[[#This Row],[Total Inspected]])</f>
        <v>0.94934143870314081</v>
      </c>
      <c r="R35" s="24">
        <f>Table2[[#This Row],[Inspect Pass]]*VLOOKUP(Table2[[#This Row],[LineA-ProdType]],'Other Lists'!$B$17:$H$19,7,FALSE)</f>
        <v>29984</v>
      </c>
      <c r="S35" s="24">
        <f>Table2[[#This Row],[Received]]*((VLOOKUP(Table2[[#This Row],[LineA-ProdType]],'Other Lists'!$B$16:$G$19,5,FALSE)+(VLOOKUP(Table2[[#This Row],[LineA-ProdType]],'Other Lists'!$B$16:$G$19,6,FALSE))))</f>
        <v>28425.600000000002</v>
      </c>
      <c r="T35" s="24">
        <f>Table2[[#This Row],[Possible Supplier Income]]-Table2[[#This Row],[Supplier Cost of Parts]]</f>
        <v>1558.3999999999978</v>
      </c>
      <c r="U35" s="24">
        <f>Table2[[#This Row],[Inspect Not Pass]]*((VLOOKUP(Table2[[#This Row],[LineA-ProdType]],'Other Lists'!$B$17:$G$19,5,FALSE)+VLOOKUP(Table2[[#This Row],[LineA-ProdType]],'Other Lists'!$B$17:$G$19,6,FALSE)))</f>
        <v>1440</v>
      </c>
      <c r="V35" s="21">
        <v>6</v>
      </c>
      <c r="W35" s="21">
        <v>0</v>
      </c>
      <c r="X35" s="21">
        <v>3</v>
      </c>
      <c r="Y35" s="21">
        <f>Table2[[#This Row],[Inspectors]]-Table2[[#This Row],[Training]]-Table2[[#This Row],[Regular]]</f>
        <v>3</v>
      </c>
      <c r="Z35" s="24">
        <f>VLOOKUP(Table2[[#This Row],[Shift]],'Other Lists'!$B$31:$H$36,7,FALSE)*8*Table2[[#This Row],[Training]]</f>
        <v>0</v>
      </c>
      <c r="AA35" s="24">
        <f>VLOOKUP(Table2[[#This Row],[Shift]],'Other Lists'!$B$31:$H$36,7,FALSE)*8*Table2[[#This Row],[Regular]]</f>
        <v>583.20000000000005</v>
      </c>
      <c r="AB35" s="24">
        <f>VLOOKUP(Table2[[#This Row],[Shift]],'Other Lists'!$B$31:$H$36,7,FALSE)*8*Table2[[#This Row],[Casual]]</f>
        <v>583.20000000000005</v>
      </c>
      <c r="AC35" s="24">
        <f>SUM(Table2[[#This Row],[Training $]:[Casual $]])</f>
        <v>1166.4000000000001</v>
      </c>
      <c r="AD35" s="24">
        <f>Table2[[#This Row],[Total Line A $]]/Table2[[#This Row],[Total Inspected]]</f>
        <v>1.1817629179331308</v>
      </c>
      <c r="AE35" s="21">
        <v>105</v>
      </c>
      <c r="AF35" s="21">
        <v>187</v>
      </c>
      <c r="AG35" s="21">
        <v>187</v>
      </c>
      <c r="AH35" s="21">
        <v>0</v>
      </c>
      <c r="AI35" s="21">
        <f>Table2[[#This Row],[Received Inspected3]]+Table2[[#This Row],[Leftover Inspected4]]</f>
        <v>187</v>
      </c>
      <c r="AJ35" s="21">
        <v>216</v>
      </c>
      <c r="AK35" s="21">
        <v>0</v>
      </c>
      <c r="AL35" s="21">
        <v>0</v>
      </c>
      <c r="AM35" s="21">
        <v>179</v>
      </c>
      <c r="AN35" s="21">
        <f>Table2[[#This Row],[Total Inspected2]]-Table2[[#This Row],[Inspect Pass8]]</f>
        <v>8</v>
      </c>
      <c r="AO35" s="21">
        <f>Table2[[#This Row],[Received2]]-Table2[[#This Row],[Total Inspected2]]</f>
        <v>0</v>
      </c>
      <c r="AP35" s="23">
        <f>Table2[[#This Row],[Inspect Pass8]]/Table2[[#This Row],[Received2]]</f>
        <v>0.95721925133689845</v>
      </c>
      <c r="AQ35" s="21">
        <v>8</v>
      </c>
      <c r="AR35" s="21">
        <v>8</v>
      </c>
      <c r="AS35" s="21">
        <v>0</v>
      </c>
      <c r="AT35" s="21">
        <v>4</v>
      </c>
      <c r="AU35" s="21">
        <f>Table2[[#This Row],[Inspectors11]]-Table2[[#This Row],[Training12]]-Table2[[#This Row],[Regular13]]</f>
        <v>4</v>
      </c>
      <c r="AV35" s="21"/>
      <c r="AW35" s="21"/>
      <c r="AX35" s="21"/>
      <c r="AY35" s="21"/>
      <c r="AZ35" s="21"/>
      <c r="BA35" s="21"/>
      <c r="BB35" s="21">
        <v>2</v>
      </c>
      <c r="BC35" s="21">
        <v>2</v>
      </c>
      <c r="BD35" s="21"/>
      <c r="BE35" s="21"/>
      <c r="BF35" s="21"/>
    </row>
    <row r="36" spans="2:58" hidden="1" x14ac:dyDescent="0.3">
      <c r="B36" s="21">
        <v>914</v>
      </c>
      <c r="C36" s="22">
        <v>45107</v>
      </c>
      <c r="D36" s="21">
        <f>WEEKDAY(Table2[[#This Row],[Date]])</f>
        <v>6</v>
      </c>
      <c r="E36" s="21">
        <v>1</v>
      </c>
      <c r="F36" s="21">
        <v>201</v>
      </c>
      <c r="G36" s="21">
        <v>411</v>
      </c>
      <c r="H36" s="21">
        <v>411</v>
      </c>
      <c r="I36" s="21">
        <v>0</v>
      </c>
      <c r="J36" s="21">
        <f t="shared" si="0"/>
        <v>411</v>
      </c>
      <c r="K36" s="21">
        <v>420</v>
      </c>
      <c r="L36" s="21">
        <v>0</v>
      </c>
      <c r="M36" s="21">
        <v>0</v>
      </c>
      <c r="N36" s="21">
        <v>398</v>
      </c>
      <c r="O36" s="21">
        <f>Table2[[#This Row],[Total Inspected]]-Table2[[#This Row],[Inspect Pass]]</f>
        <v>13</v>
      </c>
      <c r="P36" s="21">
        <f t="shared" si="1"/>
        <v>0</v>
      </c>
      <c r="Q36" s="23">
        <f>(Table2[[#This Row],[Inspect Pass]]/Table2[[#This Row],[Total Inspected]])</f>
        <v>0.96836982968369834</v>
      </c>
      <c r="R36" s="24">
        <f>Table2[[#This Row],[Inspect Pass]]*VLOOKUP(Table2[[#This Row],[LineA-ProdType]],'Other Lists'!$B$17:$H$19,7,FALSE)</f>
        <v>28258</v>
      </c>
      <c r="S36" s="24">
        <f>Table2[[#This Row],[Received]]*((VLOOKUP(Table2[[#This Row],[LineA-ProdType]],'Other Lists'!$B$16:$G$19,5,FALSE)+(VLOOKUP(Table2[[#This Row],[LineA-ProdType]],'Other Lists'!$B$16:$G$19,6,FALSE))))</f>
        <v>20180.100000000002</v>
      </c>
      <c r="T36" s="24">
        <f>Table2[[#This Row],[Possible Supplier Income]]-Table2[[#This Row],[Supplier Cost of Parts]]</f>
        <v>8077.8999999999978</v>
      </c>
      <c r="U36" s="24">
        <f>Table2[[#This Row],[Inspect Not Pass]]*((VLOOKUP(Table2[[#This Row],[LineA-ProdType]],'Other Lists'!$B$17:$G$19,5,FALSE)+VLOOKUP(Table2[[#This Row],[LineA-ProdType]],'Other Lists'!$B$17:$G$19,6,FALSE)))</f>
        <v>638.30000000000007</v>
      </c>
      <c r="V36" s="21">
        <v>6</v>
      </c>
      <c r="W36" s="21">
        <v>0</v>
      </c>
      <c r="X36" s="21">
        <v>4</v>
      </c>
      <c r="Y36" s="21">
        <f>Table2[[#This Row],[Inspectors]]-Table2[[#This Row],[Training]]-Table2[[#This Row],[Regular]]</f>
        <v>2</v>
      </c>
      <c r="Z36" s="24">
        <f>VLOOKUP(Table2[[#This Row],[Shift]],'Other Lists'!$B$31:$H$36,7,FALSE)*8*Table2[[#This Row],[Training]]</f>
        <v>0</v>
      </c>
      <c r="AA36" s="24">
        <f>VLOOKUP(Table2[[#This Row],[Shift]],'Other Lists'!$B$31:$H$36,7,FALSE)*8*Table2[[#This Row],[Regular]]</f>
        <v>777.6</v>
      </c>
      <c r="AB36" s="24">
        <f>VLOOKUP(Table2[[#This Row],[Shift]],'Other Lists'!$B$31:$H$36,7,FALSE)*8*Table2[[#This Row],[Casual]]</f>
        <v>388.8</v>
      </c>
      <c r="AC36" s="24">
        <f>SUM(Table2[[#This Row],[Training $]:[Casual $]])</f>
        <v>1166.4000000000001</v>
      </c>
      <c r="AD36" s="24">
        <f>Table2[[#This Row],[Total Line A $]]/Table2[[#This Row],[Total Inspected]]</f>
        <v>2.8379562043795623</v>
      </c>
      <c r="AE36" s="21">
        <v>105</v>
      </c>
      <c r="AF36" s="21">
        <v>179</v>
      </c>
      <c r="AG36" s="21">
        <v>179</v>
      </c>
      <c r="AH36" s="21">
        <v>0</v>
      </c>
      <c r="AI36" s="21">
        <f>Table2[[#This Row],[Received Inspected3]]+Table2[[#This Row],[Leftover Inspected4]]</f>
        <v>179</v>
      </c>
      <c r="AJ36" s="21">
        <v>216</v>
      </c>
      <c r="AK36" s="21">
        <v>0</v>
      </c>
      <c r="AL36" s="21">
        <v>0</v>
      </c>
      <c r="AM36" s="21">
        <v>173</v>
      </c>
      <c r="AN36" s="21">
        <f>Table2[[#This Row],[Total Inspected2]]-Table2[[#This Row],[Inspect Pass8]]</f>
        <v>6</v>
      </c>
      <c r="AO36" s="21">
        <f>Table2[[#This Row],[Received2]]-Table2[[#This Row],[Total Inspected2]]</f>
        <v>0</v>
      </c>
      <c r="AP36" s="23">
        <f>Table2[[#This Row],[Inspect Pass8]]/Table2[[#This Row],[Received2]]</f>
        <v>0.96648044692737434</v>
      </c>
      <c r="AQ36" s="21">
        <v>8</v>
      </c>
      <c r="AR36" s="21">
        <v>8</v>
      </c>
      <c r="AS36" s="21">
        <v>1</v>
      </c>
      <c r="AT36" s="21">
        <v>3</v>
      </c>
      <c r="AU36" s="21">
        <f>Table2[[#This Row],[Inspectors11]]-Table2[[#This Row],[Training12]]-Table2[[#This Row],[Regular13]]</f>
        <v>4</v>
      </c>
      <c r="AV36" s="21"/>
      <c r="AW36" s="21"/>
      <c r="AX36" s="21"/>
      <c r="AY36" s="21"/>
      <c r="AZ36" s="21"/>
      <c r="BA36" s="21"/>
      <c r="BB36" s="21">
        <v>2</v>
      </c>
      <c r="BC36" s="21">
        <v>2</v>
      </c>
      <c r="BD36" s="21"/>
      <c r="BE36" s="21"/>
      <c r="BF36" s="21"/>
    </row>
    <row r="37" spans="2:58" hidden="1" x14ac:dyDescent="0.3">
      <c r="B37" s="21">
        <v>915</v>
      </c>
      <c r="C37" s="22">
        <v>45108</v>
      </c>
      <c r="D37" s="21">
        <f>WEEKDAY(Table2[[#This Row],[Date]])</f>
        <v>7</v>
      </c>
      <c r="E37" s="21">
        <v>1</v>
      </c>
      <c r="F37" s="21">
        <v>119</v>
      </c>
      <c r="G37" s="21">
        <v>840</v>
      </c>
      <c r="H37" s="21">
        <v>840</v>
      </c>
      <c r="I37" s="21">
        <v>0</v>
      </c>
      <c r="J37" s="21">
        <f t="shared" si="0"/>
        <v>840</v>
      </c>
      <c r="K37" s="21">
        <v>1049.9999999999998</v>
      </c>
      <c r="L37" s="21">
        <v>0</v>
      </c>
      <c r="M37" s="21">
        <v>0</v>
      </c>
      <c r="N37" s="21">
        <v>781</v>
      </c>
      <c r="O37" s="21">
        <f>Table2[[#This Row],[Total Inspected]]-Table2[[#This Row],[Inspect Pass]]</f>
        <v>59</v>
      </c>
      <c r="P37" s="21">
        <f t="shared" si="1"/>
        <v>0</v>
      </c>
      <c r="Q37" s="23">
        <f>(Table2[[#This Row],[Inspect Pass]]/Table2[[#This Row],[Total Inspected]])</f>
        <v>0.92976190476190479</v>
      </c>
      <c r="R37" s="24">
        <f>Table2[[#This Row],[Inspect Pass]]*VLOOKUP(Table2[[#This Row],[LineA-ProdType]],'Other Lists'!$B$17:$H$19,7,FALSE)</f>
        <v>24992</v>
      </c>
      <c r="S37" s="24">
        <f>Table2[[#This Row],[Received]]*((VLOOKUP(Table2[[#This Row],[LineA-ProdType]],'Other Lists'!$B$16:$G$19,5,FALSE)+(VLOOKUP(Table2[[#This Row],[LineA-ProdType]],'Other Lists'!$B$16:$G$19,6,FALSE))))</f>
        <v>24192</v>
      </c>
      <c r="T37" s="24">
        <f>Table2[[#This Row],[Possible Supplier Income]]-Table2[[#This Row],[Supplier Cost of Parts]]</f>
        <v>800</v>
      </c>
      <c r="U37" s="24">
        <f>Table2[[#This Row],[Inspect Not Pass]]*((VLOOKUP(Table2[[#This Row],[LineA-ProdType]],'Other Lists'!$B$17:$G$19,5,FALSE)+VLOOKUP(Table2[[#This Row],[LineA-ProdType]],'Other Lists'!$B$17:$G$19,6,FALSE)))</f>
        <v>1699.2</v>
      </c>
      <c r="V37" s="21">
        <v>5</v>
      </c>
      <c r="W37" s="21">
        <v>0</v>
      </c>
      <c r="X37" s="21">
        <v>3</v>
      </c>
      <c r="Y37" s="21">
        <f>Table2[[#This Row],[Inspectors]]-Table2[[#This Row],[Training]]-Table2[[#This Row],[Regular]]</f>
        <v>2</v>
      </c>
      <c r="Z37" s="24">
        <f>VLOOKUP(Table2[[#This Row],[Shift]],'Other Lists'!$B$31:$H$36,7,FALSE)*8*Table2[[#This Row],[Training]]</f>
        <v>0</v>
      </c>
      <c r="AA37" s="24">
        <f>VLOOKUP(Table2[[#This Row],[Shift]],'Other Lists'!$B$31:$H$36,7,FALSE)*8*Table2[[#This Row],[Regular]]</f>
        <v>583.20000000000005</v>
      </c>
      <c r="AB37" s="24">
        <f>VLOOKUP(Table2[[#This Row],[Shift]],'Other Lists'!$B$31:$H$36,7,FALSE)*8*Table2[[#This Row],[Casual]]</f>
        <v>388.8</v>
      </c>
      <c r="AC37" s="24">
        <f>SUM(Table2[[#This Row],[Training $]:[Casual $]])</f>
        <v>972</v>
      </c>
      <c r="AD37" s="24">
        <f>Table2[[#This Row],[Total Line A $]]/Table2[[#This Row],[Total Inspected]]</f>
        <v>1.1571428571428573</v>
      </c>
      <c r="AE37" s="21">
        <v>105</v>
      </c>
      <c r="AF37" s="21">
        <v>246</v>
      </c>
      <c r="AG37" s="21">
        <v>213</v>
      </c>
      <c r="AH37" s="21">
        <v>0</v>
      </c>
      <c r="AI37" s="21">
        <f>Table2[[#This Row],[Received Inspected3]]+Table2[[#This Row],[Leftover Inspected4]]</f>
        <v>213</v>
      </c>
      <c r="AJ37" s="21">
        <v>216</v>
      </c>
      <c r="AK37" s="21">
        <v>33</v>
      </c>
      <c r="AL37" s="21">
        <v>0</v>
      </c>
      <c r="AM37" s="21">
        <v>204</v>
      </c>
      <c r="AN37" s="21">
        <f>Table2[[#This Row],[Total Inspected2]]-Table2[[#This Row],[Inspect Pass8]]</f>
        <v>9</v>
      </c>
      <c r="AO37" s="21">
        <f>Table2[[#This Row],[Received2]]-Table2[[#This Row],[Total Inspected2]]</f>
        <v>33</v>
      </c>
      <c r="AP37" s="23">
        <f>Table2[[#This Row],[Inspect Pass8]]/Table2[[#This Row],[Received2]]</f>
        <v>0.82926829268292679</v>
      </c>
      <c r="AQ37" s="21">
        <v>8</v>
      </c>
      <c r="AR37" s="21">
        <v>8</v>
      </c>
      <c r="AS37" s="21">
        <v>0</v>
      </c>
      <c r="AT37" s="21">
        <v>3</v>
      </c>
      <c r="AU37" s="21">
        <f>Table2[[#This Row],[Inspectors11]]-Table2[[#This Row],[Training12]]-Table2[[#This Row],[Regular13]]</f>
        <v>5</v>
      </c>
      <c r="AV37" s="21"/>
      <c r="AW37" s="21"/>
      <c r="AX37" s="21"/>
      <c r="AY37" s="21"/>
      <c r="AZ37" s="21"/>
      <c r="BA37" s="21"/>
      <c r="BB37" s="21">
        <v>2</v>
      </c>
      <c r="BC37" s="21">
        <v>2</v>
      </c>
      <c r="BD37" s="21"/>
      <c r="BE37" s="21"/>
      <c r="BF37" s="21"/>
    </row>
    <row r="38" spans="2:58" hidden="1" x14ac:dyDescent="0.3">
      <c r="B38" s="21">
        <v>916</v>
      </c>
      <c r="C38" s="22">
        <v>45109</v>
      </c>
      <c r="D38" s="21">
        <f>WEEKDAY(Table2[[#This Row],[Date]])</f>
        <v>1</v>
      </c>
      <c r="E38" s="21">
        <v>1</v>
      </c>
      <c r="F38" s="21">
        <v>119</v>
      </c>
      <c r="G38" s="21">
        <v>462</v>
      </c>
      <c r="H38" s="21">
        <v>462</v>
      </c>
      <c r="I38" s="21">
        <v>0</v>
      </c>
      <c r="J38" s="21">
        <f t="shared" si="0"/>
        <v>462</v>
      </c>
      <c r="K38" s="21">
        <v>524.99999999999989</v>
      </c>
      <c r="L38" s="21">
        <v>0</v>
      </c>
      <c r="M38" s="21">
        <v>0</v>
      </c>
      <c r="N38" s="21">
        <v>448</v>
      </c>
      <c r="O38" s="21">
        <f>Table2[[#This Row],[Total Inspected]]-Table2[[#This Row],[Inspect Pass]]</f>
        <v>14</v>
      </c>
      <c r="P38" s="21">
        <f t="shared" si="1"/>
        <v>0</v>
      </c>
      <c r="Q38" s="23">
        <f>(Table2[[#This Row],[Inspect Pass]]/Table2[[#This Row],[Total Inspected]])</f>
        <v>0.96969696969696972</v>
      </c>
      <c r="R38" s="24">
        <f>Table2[[#This Row],[Inspect Pass]]*VLOOKUP(Table2[[#This Row],[LineA-ProdType]],'Other Lists'!$B$17:$H$19,7,FALSE)</f>
        <v>14336</v>
      </c>
      <c r="S38" s="24">
        <f>Table2[[#This Row],[Received]]*((VLOOKUP(Table2[[#This Row],[LineA-ProdType]],'Other Lists'!$B$16:$G$19,5,FALSE)+(VLOOKUP(Table2[[#This Row],[LineA-ProdType]],'Other Lists'!$B$16:$G$19,6,FALSE))))</f>
        <v>13305.6</v>
      </c>
      <c r="T38" s="24">
        <f>Table2[[#This Row],[Possible Supplier Income]]-Table2[[#This Row],[Supplier Cost of Parts]]</f>
        <v>1030.3999999999996</v>
      </c>
      <c r="U38" s="24">
        <f>Table2[[#This Row],[Inspect Not Pass]]*((VLOOKUP(Table2[[#This Row],[LineA-ProdType]],'Other Lists'!$B$17:$G$19,5,FALSE)+VLOOKUP(Table2[[#This Row],[LineA-ProdType]],'Other Lists'!$B$17:$G$19,6,FALSE)))</f>
        <v>403.2</v>
      </c>
      <c r="V38" s="21">
        <v>3</v>
      </c>
      <c r="W38" s="21">
        <v>0</v>
      </c>
      <c r="X38" s="21">
        <v>2</v>
      </c>
      <c r="Y38" s="21">
        <f>Table2[[#This Row],[Inspectors]]-Table2[[#This Row],[Training]]-Table2[[#This Row],[Regular]]</f>
        <v>1</v>
      </c>
      <c r="Z38" s="24">
        <f>VLOOKUP(Table2[[#This Row],[Shift]],'Other Lists'!$B$31:$H$36,7,FALSE)*8*Table2[[#This Row],[Training]]</f>
        <v>0</v>
      </c>
      <c r="AA38" s="24">
        <f>VLOOKUP(Table2[[#This Row],[Shift]],'Other Lists'!$B$31:$H$36,7,FALSE)*8*Table2[[#This Row],[Regular]]</f>
        <v>388.8</v>
      </c>
      <c r="AB38" s="24">
        <f>VLOOKUP(Table2[[#This Row],[Shift]],'Other Lists'!$B$31:$H$36,7,FALSE)*8*Table2[[#This Row],[Casual]]</f>
        <v>194.4</v>
      </c>
      <c r="AC38" s="24">
        <f>SUM(Table2[[#This Row],[Training $]:[Casual $]])</f>
        <v>583.20000000000005</v>
      </c>
      <c r="AD38" s="24">
        <f>Table2[[#This Row],[Total Line A $]]/Table2[[#This Row],[Total Inspected]]</f>
        <v>1.2623376623376625</v>
      </c>
      <c r="AE38" s="21">
        <v>105</v>
      </c>
      <c r="AF38" s="21">
        <v>113</v>
      </c>
      <c r="AG38" s="21">
        <v>105</v>
      </c>
      <c r="AH38" s="21">
        <v>0</v>
      </c>
      <c r="AI38" s="21">
        <f>Table2[[#This Row],[Received Inspected3]]+Table2[[#This Row],[Leftover Inspected4]]</f>
        <v>105</v>
      </c>
      <c r="AJ38" s="21">
        <v>108</v>
      </c>
      <c r="AK38" s="21">
        <v>8</v>
      </c>
      <c r="AL38" s="21">
        <v>0</v>
      </c>
      <c r="AM38" s="21">
        <v>102</v>
      </c>
      <c r="AN38" s="21">
        <f>Table2[[#This Row],[Total Inspected2]]-Table2[[#This Row],[Inspect Pass8]]</f>
        <v>3</v>
      </c>
      <c r="AO38" s="21">
        <f>Table2[[#This Row],[Received2]]-Table2[[#This Row],[Total Inspected2]]</f>
        <v>8</v>
      </c>
      <c r="AP38" s="23">
        <f>Table2[[#This Row],[Inspect Pass8]]/Table2[[#This Row],[Received2]]</f>
        <v>0.90265486725663713</v>
      </c>
      <c r="AQ38" s="21">
        <v>4</v>
      </c>
      <c r="AR38" s="21">
        <v>4</v>
      </c>
      <c r="AS38" s="21">
        <v>0</v>
      </c>
      <c r="AT38" s="21">
        <v>2</v>
      </c>
      <c r="AU38" s="21">
        <f>Table2[[#This Row],[Inspectors11]]-Table2[[#This Row],[Training12]]-Table2[[#This Row],[Regular13]]</f>
        <v>2</v>
      </c>
      <c r="AV38" s="21"/>
      <c r="AW38" s="21"/>
      <c r="AX38" s="21"/>
      <c r="AY38" s="21"/>
      <c r="AZ38" s="21"/>
      <c r="BA38" s="21"/>
      <c r="BB38" s="21">
        <v>1</v>
      </c>
      <c r="BC38" s="21">
        <v>1</v>
      </c>
      <c r="BD38" s="21"/>
      <c r="BE38" s="21"/>
      <c r="BF38" s="21"/>
    </row>
    <row r="39" spans="2:58" hidden="1" x14ac:dyDescent="0.3">
      <c r="B39" s="21">
        <v>917</v>
      </c>
      <c r="C39" s="22">
        <v>45110</v>
      </c>
      <c r="D39" s="21">
        <f>WEEKDAY(Table2[[#This Row],[Date]])</f>
        <v>2</v>
      </c>
      <c r="E39" s="21">
        <v>1</v>
      </c>
      <c r="F39" s="21">
        <v>119</v>
      </c>
      <c r="G39" s="21">
        <v>619</v>
      </c>
      <c r="H39" s="21">
        <v>546</v>
      </c>
      <c r="I39" s="21">
        <v>0</v>
      </c>
      <c r="J39" s="21">
        <f t="shared" si="0"/>
        <v>546</v>
      </c>
      <c r="K39" s="21">
        <v>524.99999999999989</v>
      </c>
      <c r="L39" s="21">
        <v>73</v>
      </c>
      <c r="M39" s="21">
        <v>0</v>
      </c>
      <c r="N39" s="21">
        <v>507</v>
      </c>
      <c r="O39" s="21">
        <f>Table2[[#This Row],[Total Inspected]]-Table2[[#This Row],[Inspect Pass]]</f>
        <v>39</v>
      </c>
      <c r="P39" s="21">
        <f t="shared" si="1"/>
        <v>73</v>
      </c>
      <c r="Q39" s="23">
        <f>(Table2[[#This Row],[Inspect Pass]]/Table2[[#This Row],[Total Inspected]])</f>
        <v>0.9285714285714286</v>
      </c>
      <c r="R39" s="24">
        <f>Table2[[#This Row],[Inspect Pass]]*VLOOKUP(Table2[[#This Row],[LineA-ProdType]],'Other Lists'!$B$17:$H$19,7,FALSE)</f>
        <v>16224</v>
      </c>
      <c r="S39" s="24">
        <f>Table2[[#This Row],[Received]]*((VLOOKUP(Table2[[#This Row],[LineA-ProdType]],'Other Lists'!$B$16:$G$19,5,FALSE)+(VLOOKUP(Table2[[#This Row],[LineA-ProdType]],'Other Lists'!$B$16:$G$19,6,FALSE))))</f>
        <v>17827.2</v>
      </c>
      <c r="T39" s="24">
        <f>Table2[[#This Row],[Possible Supplier Income]]-Table2[[#This Row],[Supplier Cost of Parts]]</f>
        <v>-1603.2000000000007</v>
      </c>
      <c r="U39" s="24">
        <f>Table2[[#This Row],[Inspect Not Pass]]*((VLOOKUP(Table2[[#This Row],[LineA-ProdType]],'Other Lists'!$B$17:$G$19,5,FALSE)+VLOOKUP(Table2[[#This Row],[LineA-ProdType]],'Other Lists'!$B$17:$G$19,6,FALSE)))</f>
        <v>1123.2</v>
      </c>
      <c r="V39" s="21">
        <v>3</v>
      </c>
      <c r="W39" s="21">
        <v>0</v>
      </c>
      <c r="X39" s="21">
        <v>2</v>
      </c>
      <c r="Y39" s="21">
        <f>Table2[[#This Row],[Inspectors]]-Table2[[#This Row],[Training]]-Table2[[#This Row],[Regular]]</f>
        <v>1</v>
      </c>
      <c r="Z39" s="24">
        <f>VLOOKUP(Table2[[#This Row],[Shift]],'Other Lists'!$B$31:$H$36,7,FALSE)*8*Table2[[#This Row],[Training]]</f>
        <v>0</v>
      </c>
      <c r="AA39" s="24">
        <f>VLOOKUP(Table2[[#This Row],[Shift]],'Other Lists'!$B$31:$H$36,7,FALSE)*8*Table2[[#This Row],[Regular]]</f>
        <v>388.8</v>
      </c>
      <c r="AB39" s="24">
        <f>VLOOKUP(Table2[[#This Row],[Shift]],'Other Lists'!$B$31:$H$36,7,FALSE)*8*Table2[[#This Row],[Casual]]</f>
        <v>194.4</v>
      </c>
      <c r="AC39" s="24">
        <f>SUM(Table2[[#This Row],[Training $]:[Casual $]])</f>
        <v>583.20000000000005</v>
      </c>
      <c r="AD39" s="24">
        <f>Table2[[#This Row],[Total Line A $]]/Table2[[#This Row],[Total Inspected]]</f>
        <v>1.0681318681318681</v>
      </c>
      <c r="AE39" s="21">
        <v>105</v>
      </c>
      <c r="AF39" s="21">
        <v>88</v>
      </c>
      <c r="AG39" s="21">
        <v>88</v>
      </c>
      <c r="AH39" s="21">
        <v>0</v>
      </c>
      <c r="AI39" s="21">
        <f>Table2[[#This Row],[Received Inspected3]]+Table2[[#This Row],[Leftover Inspected4]]</f>
        <v>88</v>
      </c>
      <c r="AJ39" s="21">
        <v>108</v>
      </c>
      <c r="AK39" s="21">
        <v>0</v>
      </c>
      <c r="AL39" s="21">
        <v>0</v>
      </c>
      <c r="AM39" s="21">
        <v>84</v>
      </c>
      <c r="AN39" s="21">
        <f>Table2[[#This Row],[Total Inspected2]]-Table2[[#This Row],[Inspect Pass8]]</f>
        <v>4</v>
      </c>
      <c r="AO39" s="21">
        <f>Table2[[#This Row],[Received2]]-Table2[[#This Row],[Total Inspected2]]</f>
        <v>0</v>
      </c>
      <c r="AP39" s="23">
        <f>Table2[[#This Row],[Inspect Pass8]]/Table2[[#This Row],[Received2]]</f>
        <v>0.95454545454545459</v>
      </c>
      <c r="AQ39" s="21">
        <v>4</v>
      </c>
      <c r="AR39" s="21">
        <v>4</v>
      </c>
      <c r="AS39" s="21">
        <v>0</v>
      </c>
      <c r="AT39" s="21">
        <v>2</v>
      </c>
      <c r="AU39" s="21">
        <f>Table2[[#This Row],[Inspectors11]]-Table2[[#This Row],[Training12]]-Table2[[#This Row],[Regular13]]</f>
        <v>2</v>
      </c>
      <c r="AV39" s="21"/>
      <c r="AW39" s="21"/>
      <c r="AX39" s="21"/>
      <c r="AY39" s="21"/>
      <c r="AZ39" s="21"/>
      <c r="BA39" s="21"/>
      <c r="BB39" s="21">
        <v>0</v>
      </c>
      <c r="BC39" s="21">
        <v>1</v>
      </c>
      <c r="BD39" s="21"/>
      <c r="BE39" s="21"/>
      <c r="BF39" s="21"/>
    </row>
    <row r="40" spans="2:58" hidden="1" x14ac:dyDescent="0.3">
      <c r="B40" s="21">
        <v>918</v>
      </c>
      <c r="C40" s="22">
        <v>45111</v>
      </c>
      <c r="D40" s="21">
        <f>WEEKDAY(Table2[[#This Row],[Date]])</f>
        <v>3</v>
      </c>
      <c r="E40" s="21">
        <v>1</v>
      </c>
      <c r="F40" s="21">
        <v>201</v>
      </c>
      <c r="G40" s="21">
        <v>340</v>
      </c>
      <c r="H40" s="21">
        <v>340</v>
      </c>
      <c r="I40" s="21">
        <v>0</v>
      </c>
      <c r="J40" s="21">
        <f t="shared" si="0"/>
        <v>340</v>
      </c>
      <c r="K40" s="21">
        <v>420</v>
      </c>
      <c r="L40" s="21">
        <v>0</v>
      </c>
      <c r="M40" s="21">
        <v>0</v>
      </c>
      <c r="N40" s="21">
        <v>323</v>
      </c>
      <c r="O40" s="21">
        <f>Table2[[#This Row],[Total Inspected]]-Table2[[#This Row],[Inspect Pass]]</f>
        <v>17</v>
      </c>
      <c r="P40" s="21">
        <f t="shared" si="1"/>
        <v>0</v>
      </c>
      <c r="Q40" s="23">
        <f>(Table2[[#This Row],[Inspect Pass]]/Table2[[#This Row],[Total Inspected]])</f>
        <v>0.95</v>
      </c>
      <c r="R40" s="24">
        <f>Table2[[#This Row],[Inspect Pass]]*VLOOKUP(Table2[[#This Row],[LineA-ProdType]],'Other Lists'!$B$17:$H$19,7,FALSE)</f>
        <v>22933</v>
      </c>
      <c r="S40" s="24">
        <f>Table2[[#This Row],[Received]]*((VLOOKUP(Table2[[#This Row],[LineA-ProdType]],'Other Lists'!$B$16:$G$19,5,FALSE)+(VLOOKUP(Table2[[#This Row],[LineA-ProdType]],'Other Lists'!$B$16:$G$19,6,FALSE))))</f>
        <v>16694</v>
      </c>
      <c r="T40" s="24">
        <f>Table2[[#This Row],[Possible Supplier Income]]-Table2[[#This Row],[Supplier Cost of Parts]]</f>
        <v>6239</v>
      </c>
      <c r="U40" s="24">
        <f>Table2[[#This Row],[Inspect Not Pass]]*((VLOOKUP(Table2[[#This Row],[LineA-ProdType]],'Other Lists'!$B$17:$G$19,5,FALSE)+VLOOKUP(Table2[[#This Row],[LineA-ProdType]],'Other Lists'!$B$17:$G$19,6,FALSE)))</f>
        <v>834.7</v>
      </c>
      <c r="V40" s="21">
        <v>6</v>
      </c>
      <c r="W40" s="21">
        <v>0</v>
      </c>
      <c r="X40" s="21">
        <v>4</v>
      </c>
      <c r="Y40" s="21">
        <f>Table2[[#This Row],[Inspectors]]-Table2[[#This Row],[Training]]-Table2[[#This Row],[Regular]]</f>
        <v>2</v>
      </c>
      <c r="Z40" s="24">
        <f>VLOOKUP(Table2[[#This Row],[Shift]],'Other Lists'!$B$31:$H$36,7,FALSE)*8*Table2[[#This Row],[Training]]</f>
        <v>0</v>
      </c>
      <c r="AA40" s="24">
        <f>VLOOKUP(Table2[[#This Row],[Shift]],'Other Lists'!$B$31:$H$36,7,FALSE)*8*Table2[[#This Row],[Regular]]</f>
        <v>777.6</v>
      </c>
      <c r="AB40" s="24">
        <f>VLOOKUP(Table2[[#This Row],[Shift]],'Other Lists'!$B$31:$H$36,7,FALSE)*8*Table2[[#This Row],[Casual]]</f>
        <v>388.8</v>
      </c>
      <c r="AC40" s="24">
        <f>SUM(Table2[[#This Row],[Training $]:[Casual $]])</f>
        <v>1166.4000000000001</v>
      </c>
      <c r="AD40" s="24">
        <f>Table2[[#This Row],[Total Line A $]]/Table2[[#This Row],[Total Inspected]]</f>
        <v>3.4305882352941177</v>
      </c>
      <c r="AE40" s="21">
        <v>105</v>
      </c>
      <c r="AF40" s="21">
        <v>213</v>
      </c>
      <c r="AG40" s="21">
        <v>213</v>
      </c>
      <c r="AH40" s="21">
        <v>0</v>
      </c>
      <c r="AI40" s="21">
        <f>Table2[[#This Row],[Received Inspected3]]+Table2[[#This Row],[Leftover Inspected4]]</f>
        <v>213</v>
      </c>
      <c r="AJ40" s="21">
        <v>216</v>
      </c>
      <c r="AK40" s="21">
        <v>0</v>
      </c>
      <c r="AL40" s="21">
        <v>0</v>
      </c>
      <c r="AM40" s="21">
        <v>204</v>
      </c>
      <c r="AN40" s="21">
        <f>Table2[[#This Row],[Total Inspected2]]-Table2[[#This Row],[Inspect Pass8]]</f>
        <v>9</v>
      </c>
      <c r="AO40" s="21">
        <f>Table2[[#This Row],[Received2]]-Table2[[#This Row],[Total Inspected2]]</f>
        <v>0</v>
      </c>
      <c r="AP40" s="23">
        <f>Table2[[#This Row],[Inspect Pass8]]/Table2[[#This Row],[Received2]]</f>
        <v>0.95774647887323938</v>
      </c>
      <c r="AQ40" s="21">
        <v>8</v>
      </c>
      <c r="AR40" s="21">
        <v>8</v>
      </c>
      <c r="AS40" s="21">
        <v>0</v>
      </c>
      <c r="AT40" s="21">
        <v>4</v>
      </c>
      <c r="AU40" s="21">
        <f>Table2[[#This Row],[Inspectors11]]-Table2[[#This Row],[Training12]]-Table2[[#This Row],[Regular13]]</f>
        <v>4</v>
      </c>
      <c r="AV40" s="21"/>
      <c r="AW40" s="21"/>
      <c r="AX40" s="21"/>
      <c r="AY40" s="21"/>
      <c r="AZ40" s="21"/>
      <c r="BA40" s="21"/>
      <c r="BB40" s="21">
        <v>2</v>
      </c>
      <c r="BC40" s="21">
        <v>2</v>
      </c>
      <c r="BD40" s="21"/>
      <c r="BE40" s="21"/>
      <c r="BF40" s="21"/>
    </row>
    <row r="41" spans="2:58" hidden="1" x14ac:dyDescent="0.3">
      <c r="B41" s="21">
        <v>919</v>
      </c>
      <c r="C41" s="22">
        <v>45083</v>
      </c>
      <c r="D41" s="21">
        <f>WEEKDAY(Table2[[#This Row],[Date]])</f>
        <v>3</v>
      </c>
      <c r="E41" s="21">
        <v>2</v>
      </c>
      <c r="F41" s="21">
        <v>201</v>
      </c>
      <c r="G41" s="21">
        <v>374</v>
      </c>
      <c r="H41" s="21">
        <v>360</v>
      </c>
      <c r="I41" s="21">
        <v>0</v>
      </c>
      <c r="J41" s="21">
        <f t="shared" si="0"/>
        <v>360</v>
      </c>
      <c r="K41" s="21">
        <v>350</v>
      </c>
      <c r="L41" s="21">
        <v>14</v>
      </c>
      <c r="M41" s="21">
        <v>0</v>
      </c>
      <c r="N41" s="21">
        <v>345</v>
      </c>
      <c r="O41" s="21">
        <f>Table2[[#This Row],[Total Inspected]]-Table2[[#This Row],[Inspect Pass]]</f>
        <v>15</v>
      </c>
      <c r="P41" s="21">
        <f t="shared" si="1"/>
        <v>14</v>
      </c>
      <c r="Q41" s="23">
        <f>(Table2[[#This Row],[Inspect Pass]]/Table2[[#This Row],[Total Inspected]])</f>
        <v>0.95833333333333337</v>
      </c>
      <c r="R41" s="24">
        <f>Table2[[#This Row],[Inspect Pass]]*VLOOKUP(Table2[[#This Row],[LineA-ProdType]],'Other Lists'!$B$17:$H$19,7,FALSE)</f>
        <v>24495</v>
      </c>
      <c r="S41" s="24">
        <f>Table2[[#This Row],[Received]]*((VLOOKUP(Table2[[#This Row],[LineA-ProdType]],'Other Lists'!$B$16:$G$19,5,FALSE)+(VLOOKUP(Table2[[#This Row],[LineA-ProdType]],'Other Lists'!$B$16:$G$19,6,FALSE))))</f>
        <v>18363.400000000001</v>
      </c>
      <c r="T41" s="24">
        <f>Table2[[#This Row],[Possible Supplier Income]]-Table2[[#This Row],[Supplier Cost of Parts]]</f>
        <v>6131.5999999999985</v>
      </c>
      <c r="U41" s="24">
        <f>Table2[[#This Row],[Inspect Not Pass]]*((VLOOKUP(Table2[[#This Row],[LineA-ProdType]],'Other Lists'!$B$17:$G$19,5,FALSE)+VLOOKUP(Table2[[#This Row],[LineA-ProdType]],'Other Lists'!$B$17:$G$19,6,FALSE)))</f>
        <v>736.5</v>
      </c>
      <c r="V41" s="21">
        <v>5</v>
      </c>
      <c r="W41" s="21">
        <v>0</v>
      </c>
      <c r="X41" s="21">
        <v>4</v>
      </c>
      <c r="Y41" s="21">
        <f>Table2[[#This Row],[Inspectors]]-Table2[[#This Row],[Training]]-Table2[[#This Row],[Regular]]</f>
        <v>1</v>
      </c>
      <c r="Z41" s="24">
        <f>VLOOKUP(Table2[[#This Row],[Shift]],'Other Lists'!$B$31:$H$36,7,FALSE)*8*Table2[[#This Row],[Training]]</f>
        <v>0</v>
      </c>
      <c r="AA41" s="24">
        <f>VLOOKUP(Table2[[#This Row],[Shift]],'Other Lists'!$B$31:$H$36,7,FALSE)*8*Table2[[#This Row],[Regular]]</f>
        <v>950.4</v>
      </c>
      <c r="AB41" s="24">
        <f>VLOOKUP(Table2[[#This Row],[Shift]],'Other Lists'!$B$31:$H$36,7,FALSE)*8*Table2[[#This Row],[Casual]]</f>
        <v>237.6</v>
      </c>
      <c r="AC41" s="24">
        <f>SUM(Table2[[#This Row],[Training $]:[Casual $]])</f>
        <v>1188</v>
      </c>
      <c r="AD41" s="24">
        <f>Table2[[#This Row],[Total Line A $]]/Table2[[#This Row],[Total Inspected]]</f>
        <v>3.3</v>
      </c>
      <c r="AE41" s="21">
        <v>105</v>
      </c>
      <c r="AF41" s="21">
        <v>211</v>
      </c>
      <c r="AG41" s="21">
        <v>185</v>
      </c>
      <c r="AH41" s="21">
        <v>0</v>
      </c>
      <c r="AI41" s="21">
        <f>Table2[[#This Row],[Received Inspected3]]+Table2[[#This Row],[Leftover Inspected4]]</f>
        <v>185</v>
      </c>
      <c r="AJ41" s="21">
        <v>189</v>
      </c>
      <c r="AK41" s="21">
        <v>26</v>
      </c>
      <c r="AL41" s="21">
        <v>0</v>
      </c>
      <c r="AM41" s="21">
        <v>179</v>
      </c>
      <c r="AN41" s="21">
        <f>Table2[[#This Row],[Total Inspected2]]-Table2[[#This Row],[Inspect Pass8]]</f>
        <v>6</v>
      </c>
      <c r="AO41" s="21">
        <f>Table2[[#This Row],[Received2]]-Table2[[#This Row],[Total Inspected2]]</f>
        <v>26</v>
      </c>
      <c r="AP41" s="23">
        <f>Table2[[#This Row],[Inspect Pass8]]/Table2[[#This Row],[Received2]]</f>
        <v>0.84834123222748814</v>
      </c>
      <c r="AQ41" s="21">
        <v>7</v>
      </c>
      <c r="AR41" s="21">
        <v>7</v>
      </c>
      <c r="AS41" s="21">
        <v>0</v>
      </c>
      <c r="AT41" s="21">
        <v>3</v>
      </c>
      <c r="AU41" s="21">
        <f>Table2[[#This Row],[Inspectors11]]-Table2[[#This Row],[Training12]]-Table2[[#This Row],[Regular13]]</f>
        <v>4</v>
      </c>
      <c r="AV41" s="21"/>
      <c r="AW41" s="21"/>
      <c r="AX41" s="21"/>
      <c r="AY41" s="21"/>
      <c r="AZ41" s="21"/>
      <c r="BA41" s="21"/>
      <c r="BB41" s="21">
        <v>2</v>
      </c>
      <c r="BC41" s="21">
        <v>2</v>
      </c>
      <c r="BD41" s="21"/>
      <c r="BE41" s="21"/>
      <c r="BF41" s="21"/>
    </row>
    <row r="42" spans="2:58" hidden="1" x14ac:dyDescent="0.3">
      <c r="B42" s="21">
        <v>920</v>
      </c>
      <c r="C42" s="22">
        <v>45084</v>
      </c>
      <c r="D42" s="21">
        <f>WEEKDAY(Table2[[#This Row],[Date]])</f>
        <v>4</v>
      </c>
      <c r="E42" s="21">
        <v>2</v>
      </c>
      <c r="F42" s="21">
        <v>201</v>
      </c>
      <c r="G42" s="21">
        <v>322</v>
      </c>
      <c r="H42" s="21">
        <v>322</v>
      </c>
      <c r="I42" s="21">
        <v>0</v>
      </c>
      <c r="J42" s="21">
        <f t="shared" si="0"/>
        <v>322</v>
      </c>
      <c r="K42" s="21">
        <v>350</v>
      </c>
      <c r="L42" s="21">
        <v>0</v>
      </c>
      <c r="M42" s="21">
        <v>0</v>
      </c>
      <c r="N42" s="21">
        <v>315</v>
      </c>
      <c r="O42" s="21">
        <f>Table2[[#This Row],[Total Inspected]]-Table2[[#This Row],[Inspect Pass]]</f>
        <v>7</v>
      </c>
      <c r="P42" s="21">
        <f t="shared" si="1"/>
        <v>0</v>
      </c>
      <c r="Q42" s="23">
        <f>(Table2[[#This Row],[Inspect Pass]]/Table2[[#This Row],[Total Inspected]])</f>
        <v>0.97826086956521741</v>
      </c>
      <c r="R42" s="24">
        <f>Table2[[#This Row],[Inspect Pass]]*VLOOKUP(Table2[[#This Row],[LineA-ProdType]],'Other Lists'!$B$17:$H$19,7,FALSE)</f>
        <v>22365</v>
      </c>
      <c r="S42" s="24">
        <f>Table2[[#This Row],[Received]]*((VLOOKUP(Table2[[#This Row],[LineA-ProdType]],'Other Lists'!$B$16:$G$19,5,FALSE)+(VLOOKUP(Table2[[#This Row],[LineA-ProdType]],'Other Lists'!$B$16:$G$19,6,FALSE))))</f>
        <v>15810.2</v>
      </c>
      <c r="T42" s="24">
        <f>Table2[[#This Row],[Possible Supplier Income]]-Table2[[#This Row],[Supplier Cost of Parts]]</f>
        <v>6554.7999999999993</v>
      </c>
      <c r="U42" s="24">
        <f>Table2[[#This Row],[Inspect Not Pass]]*((VLOOKUP(Table2[[#This Row],[LineA-ProdType]],'Other Lists'!$B$17:$G$19,5,FALSE)+VLOOKUP(Table2[[#This Row],[LineA-ProdType]],'Other Lists'!$B$17:$G$19,6,FALSE)))</f>
        <v>343.7</v>
      </c>
      <c r="V42" s="21">
        <v>5</v>
      </c>
      <c r="W42" s="21">
        <v>1</v>
      </c>
      <c r="X42" s="21">
        <v>3</v>
      </c>
      <c r="Y42" s="21">
        <f>Table2[[#This Row],[Inspectors]]-Table2[[#This Row],[Training]]-Table2[[#This Row],[Regular]]</f>
        <v>1</v>
      </c>
      <c r="Z42" s="24">
        <f>VLOOKUP(Table2[[#This Row],[Shift]],'Other Lists'!$B$31:$H$36,7,FALSE)*8*Table2[[#This Row],[Training]]</f>
        <v>237.6</v>
      </c>
      <c r="AA42" s="24">
        <f>VLOOKUP(Table2[[#This Row],[Shift]],'Other Lists'!$B$31:$H$36,7,FALSE)*8*Table2[[#This Row],[Regular]]</f>
        <v>712.8</v>
      </c>
      <c r="AB42" s="24">
        <f>VLOOKUP(Table2[[#This Row],[Shift]],'Other Lists'!$B$31:$H$36,7,FALSE)*8*Table2[[#This Row],[Casual]]</f>
        <v>237.6</v>
      </c>
      <c r="AC42" s="24">
        <f>SUM(Table2[[#This Row],[Training $]:[Casual $]])</f>
        <v>1188</v>
      </c>
      <c r="AD42" s="24">
        <f>Table2[[#This Row],[Total Line A $]]/Table2[[#This Row],[Total Inspected]]</f>
        <v>3.68944099378882</v>
      </c>
      <c r="AE42" s="21">
        <v>105</v>
      </c>
      <c r="AF42" s="21">
        <v>162</v>
      </c>
      <c r="AG42" s="21">
        <v>162</v>
      </c>
      <c r="AH42" s="21">
        <v>0</v>
      </c>
      <c r="AI42" s="21">
        <f>Table2[[#This Row],[Received Inspected3]]+Table2[[#This Row],[Leftover Inspected4]]</f>
        <v>162</v>
      </c>
      <c r="AJ42" s="21">
        <v>189</v>
      </c>
      <c r="AK42" s="21">
        <v>0</v>
      </c>
      <c r="AL42" s="21">
        <v>0</v>
      </c>
      <c r="AM42" s="21">
        <v>150</v>
      </c>
      <c r="AN42" s="21">
        <f>Table2[[#This Row],[Total Inspected2]]-Table2[[#This Row],[Inspect Pass8]]</f>
        <v>12</v>
      </c>
      <c r="AO42" s="21">
        <f>Table2[[#This Row],[Received2]]-Table2[[#This Row],[Total Inspected2]]</f>
        <v>0</v>
      </c>
      <c r="AP42" s="23">
        <f>Table2[[#This Row],[Inspect Pass8]]/Table2[[#This Row],[Received2]]</f>
        <v>0.92592592592592593</v>
      </c>
      <c r="AQ42" s="21">
        <v>7</v>
      </c>
      <c r="AR42" s="21">
        <v>7</v>
      </c>
      <c r="AS42" s="21">
        <v>0</v>
      </c>
      <c r="AT42" s="21">
        <v>4</v>
      </c>
      <c r="AU42" s="21">
        <f>Table2[[#This Row],[Inspectors11]]-Table2[[#This Row],[Training12]]-Table2[[#This Row],[Regular13]]</f>
        <v>3</v>
      </c>
      <c r="AV42" s="21"/>
      <c r="AW42" s="21"/>
      <c r="AX42" s="21"/>
      <c r="AY42" s="21"/>
      <c r="AZ42" s="21"/>
      <c r="BA42" s="21"/>
      <c r="BB42" s="21">
        <v>1</v>
      </c>
      <c r="BC42" s="21">
        <v>2</v>
      </c>
      <c r="BD42" s="21"/>
      <c r="BE42" s="21"/>
      <c r="BF42" s="21"/>
    </row>
    <row r="43" spans="2:58" hidden="1" x14ac:dyDescent="0.3">
      <c r="B43" s="21">
        <v>921</v>
      </c>
      <c r="C43" s="22">
        <v>45085</v>
      </c>
      <c r="D43" s="21">
        <f>WEEKDAY(Table2[[#This Row],[Date]])</f>
        <v>5</v>
      </c>
      <c r="E43" s="21">
        <v>2</v>
      </c>
      <c r="F43" s="21">
        <v>201</v>
      </c>
      <c r="G43" s="21">
        <v>350</v>
      </c>
      <c r="H43" s="21">
        <v>288</v>
      </c>
      <c r="I43" s="21">
        <v>0</v>
      </c>
      <c r="J43" s="21">
        <f t="shared" si="0"/>
        <v>288</v>
      </c>
      <c r="K43" s="21">
        <v>350</v>
      </c>
      <c r="L43" s="21">
        <v>62</v>
      </c>
      <c r="M43" s="21">
        <v>0</v>
      </c>
      <c r="N43" s="21">
        <v>276</v>
      </c>
      <c r="O43" s="21">
        <f>Table2[[#This Row],[Total Inspected]]-Table2[[#This Row],[Inspect Pass]]</f>
        <v>12</v>
      </c>
      <c r="P43" s="21">
        <f t="shared" si="1"/>
        <v>62</v>
      </c>
      <c r="Q43" s="23">
        <f>(Table2[[#This Row],[Inspect Pass]]/Table2[[#This Row],[Total Inspected]])</f>
        <v>0.95833333333333337</v>
      </c>
      <c r="R43" s="24">
        <f>Table2[[#This Row],[Inspect Pass]]*VLOOKUP(Table2[[#This Row],[LineA-ProdType]],'Other Lists'!$B$17:$H$19,7,FALSE)</f>
        <v>19596</v>
      </c>
      <c r="S43" s="24">
        <f>Table2[[#This Row],[Received]]*((VLOOKUP(Table2[[#This Row],[LineA-ProdType]],'Other Lists'!$B$16:$G$19,5,FALSE)+(VLOOKUP(Table2[[#This Row],[LineA-ProdType]],'Other Lists'!$B$16:$G$19,6,FALSE))))</f>
        <v>17185</v>
      </c>
      <c r="T43" s="24">
        <f>Table2[[#This Row],[Possible Supplier Income]]-Table2[[#This Row],[Supplier Cost of Parts]]</f>
        <v>2411</v>
      </c>
      <c r="U43" s="24">
        <f>Table2[[#This Row],[Inspect Not Pass]]*((VLOOKUP(Table2[[#This Row],[LineA-ProdType]],'Other Lists'!$B$17:$G$19,5,FALSE)+VLOOKUP(Table2[[#This Row],[LineA-ProdType]],'Other Lists'!$B$17:$G$19,6,FALSE)))</f>
        <v>589.20000000000005</v>
      </c>
      <c r="V43" s="21">
        <v>4</v>
      </c>
      <c r="W43" s="21">
        <v>0</v>
      </c>
      <c r="X43" s="21">
        <v>3</v>
      </c>
      <c r="Y43" s="21">
        <f>Table2[[#This Row],[Inspectors]]-Table2[[#This Row],[Training]]-Table2[[#This Row],[Regular]]</f>
        <v>1</v>
      </c>
      <c r="Z43" s="24">
        <f>VLOOKUP(Table2[[#This Row],[Shift]],'Other Lists'!$B$31:$H$36,7,FALSE)*8*Table2[[#This Row],[Training]]</f>
        <v>0</v>
      </c>
      <c r="AA43" s="24">
        <f>VLOOKUP(Table2[[#This Row],[Shift]],'Other Lists'!$B$31:$H$36,7,FALSE)*8*Table2[[#This Row],[Regular]]</f>
        <v>712.8</v>
      </c>
      <c r="AB43" s="24">
        <f>VLOOKUP(Table2[[#This Row],[Shift]],'Other Lists'!$B$31:$H$36,7,FALSE)*8*Table2[[#This Row],[Casual]]</f>
        <v>237.6</v>
      </c>
      <c r="AC43" s="24">
        <f>SUM(Table2[[#This Row],[Training $]:[Casual $]])</f>
        <v>950.4</v>
      </c>
      <c r="AD43" s="24">
        <f>Table2[[#This Row],[Total Line A $]]/Table2[[#This Row],[Total Inspected]]</f>
        <v>3.3</v>
      </c>
      <c r="AE43" s="21">
        <v>105</v>
      </c>
      <c r="AF43" s="21">
        <v>154</v>
      </c>
      <c r="AG43" s="21">
        <v>154</v>
      </c>
      <c r="AH43" s="21">
        <v>0</v>
      </c>
      <c r="AI43" s="21">
        <f>Table2[[#This Row],[Received Inspected3]]+Table2[[#This Row],[Leftover Inspected4]]</f>
        <v>154</v>
      </c>
      <c r="AJ43" s="21">
        <v>189</v>
      </c>
      <c r="AK43" s="21">
        <v>0</v>
      </c>
      <c r="AL43" s="21">
        <v>0</v>
      </c>
      <c r="AM43" s="21">
        <v>150</v>
      </c>
      <c r="AN43" s="21">
        <f>Table2[[#This Row],[Total Inspected2]]-Table2[[#This Row],[Inspect Pass8]]</f>
        <v>4</v>
      </c>
      <c r="AO43" s="21">
        <f>Table2[[#This Row],[Received2]]-Table2[[#This Row],[Total Inspected2]]</f>
        <v>0</v>
      </c>
      <c r="AP43" s="23">
        <f>Table2[[#This Row],[Inspect Pass8]]/Table2[[#This Row],[Received2]]</f>
        <v>0.97402597402597402</v>
      </c>
      <c r="AQ43" s="21">
        <v>7</v>
      </c>
      <c r="AR43" s="21">
        <v>7</v>
      </c>
      <c r="AS43" s="21">
        <v>0</v>
      </c>
      <c r="AT43" s="21">
        <v>3</v>
      </c>
      <c r="AU43" s="21">
        <f>Table2[[#This Row],[Inspectors11]]-Table2[[#This Row],[Training12]]-Table2[[#This Row],[Regular13]]</f>
        <v>4</v>
      </c>
      <c r="AV43" s="21"/>
      <c r="AW43" s="21"/>
      <c r="AX43" s="21"/>
      <c r="AY43" s="21"/>
      <c r="AZ43" s="21"/>
      <c r="BA43" s="21"/>
      <c r="BB43" s="21">
        <v>2</v>
      </c>
      <c r="BC43" s="21">
        <v>2</v>
      </c>
      <c r="BD43" s="21"/>
      <c r="BE43" s="21"/>
      <c r="BF43" s="21"/>
    </row>
    <row r="44" spans="2:58" hidden="1" x14ac:dyDescent="0.3">
      <c r="B44" s="21">
        <v>922</v>
      </c>
      <c r="C44" s="22">
        <v>45086</v>
      </c>
      <c r="D44" s="21">
        <f>WEEKDAY(Table2[[#This Row],[Date]])</f>
        <v>6</v>
      </c>
      <c r="E44" s="21">
        <v>2</v>
      </c>
      <c r="F44" s="21">
        <v>201</v>
      </c>
      <c r="G44" s="21">
        <v>308</v>
      </c>
      <c r="H44" s="21">
        <v>308</v>
      </c>
      <c r="I44" s="21">
        <v>0</v>
      </c>
      <c r="J44" s="21">
        <f t="shared" si="0"/>
        <v>308</v>
      </c>
      <c r="K44" s="21">
        <v>350</v>
      </c>
      <c r="L44" s="21">
        <v>0</v>
      </c>
      <c r="M44" s="21">
        <v>0</v>
      </c>
      <c r="N44" s="21">
        <v>301</v>
      </c>
      <c r="O44" s="21">
        <f>Table2[[#This Row],[Total Inspected]]-Table2[[#This Row],[Inspect Pass]]</f>
        <v>7</v>
      </c>
      <c r="P44" s="21">
        <f t="shared" si="1"/>
        <v>0</v>
      </c>
      <c r="Q44" s="23">
        <f>(Table2[[#This Row],[Inspect Pass]]/Table2[[#This Row],[Total Inspected]])</f>
        <v>0.97727272727272729</v>
      </c>
      <c r="R44" s="24">
        <f>Table2[[#This Row],[Inspect Pass]]*VLOOKUP(Table2[[#This Row],[LineA-ProdType]],'Other Lists'!$B$17:$H$19,7,FALSE)</f>
        <v>21371</v>
      </c>
      <c r="S44" s="24">
        <f>Table2[[#This Row],[Received]]*((VLOOKUP(Table2[[#This Row],[LineA-ProdType]],'Other Lists'!$B$16:$G$19,5,FALSE)+(VLOOKUP(Table2[[#This Row],[LineA-ProdType]],'Other Lists'!$B$16:$G$19,6,FALSE))))</f>
        <v>15122.800000000001</v>
      </c>
      <c r="T44" s="24">
        <f>Table2[[#This Row],[Possible Supplier Income]]-Table2[[#This Row],[Supplier Cost of Parts]]</f>
        <v>6248.1999999999989</v>
      </c>
      <c r="U44" s="24">
        <f>Table2[[#This Row],[Inspect Not Pass]]*((VLOOKUP(Table2[[#This Row],[LineA-ProdType]],'Other Lists'!$B$17:$G$19,5,FALSE)+VLOOKUP(Table2[[#This Row],[LineA-ProdType]],'Other Lists'!$B$17:$G$19,6,FALSE)))</f>
        <v>343.7</v>
      </c>
      <c r="V44" s="21">
        <v>5</v>
      </c>
      <c r="W44" s="21">
        <v>0</v>
      </c>
      <c r="X44" s="21">
        <v>3</v>
      </c>
      <c r="Y44" s="21">
        <f>Table2[[#This Row],[Inspectors]]-Table2[[#This Row],[Training]]-Table2[[#This Row],[Regular]]</f>
        <v>2</v>
      </c>
      <c r="Z44" s="24">
        <f>VLOOKUP(Table2[[#This Row],[Shift]],'Other Lists'!$B$31:$H$36,7,FALSE)*8*Table2[[#This Row],[Training]]</f>
        <v>0</v>
      </c>
      <c r="AA44" s="24">
        <f>VLOOKUP(Table2[[#This Row],[Shift]],'Other Lists'!$B$31:$H$36,7,FALSE)*8*Table2[[#This Row],[Regular]]</f>
        <v>712.8</v>
      </c>
      <c r="AB44" s="24">
        <f>VLOOKUP(Table2[[#This Row],[Shift]],'Other Lists'!$B$31:$H$36,7,FALSE)*8*Table2[[#This Row],[Casual]]</f>
        <v>475.2</v>
      </c>
      <c r="AC44" s="24">
        <f>SUM(Table2[[#This Row],[Training $]:[Casual $]])</f>
        <v>1188</v>
      </c>
      <c r="AD44" s="24">
        <f>Table2[[#This Row],[Total Line A $]]/Table2[[#This Row],[Total Inspected]]</f>
        <v>3.8571428571428572</v>
      </c>
      <c r="AE44" s="21">
        <v>105</v>
      </c>
      <c r="AF44" s="21">
        <v>181</v>
      </c>
      <c r="AG44" s="21">
        <v>181</v>
      </c>
      <c r="AH44" s="21">
        <v>0</v>
      </c>
      <c r="AI44" s="21">
        <f>Table2[[#This Row],[Received Inspected3]]+Table2[[#This Row],[Leftover Inspected4]]</f>
        <v>181</v>
      </c>
      <c r="AJ44" s="21">
        <v>189</v>
      </c>
      <c r="AK44" s="21">
        <v>0</v>
      </c>
      <c r="AL44" s="21">
        <v>0</v>
      </c>
      <c r="AM44" s="21">
        <v>173</v>
      </c>
      <c r="AN44" s="21">
        <f>Table2[[#This Row],[Total Inspected2]]-Table2[[#This Row],[Inspect Pass8]]</f>
        <v>8</v>
      </c>
      <c r="AO44" s="21">
        <f>Table2[[#This Row],[Received2]]-Table2[[#This Row],[Total Inspected2]]</f>
        <v>0</v>
      </c>
      <c r="AP44" s="23">
        <f>Table2[[#This Row],[Inspect Pass8]]/Table2[[#This Row],[Received2]]</f>
        <v>0.95580110497237569</v>
      </c>
      <c r="AQ44" s="21">
        <v>7</v>
      </c>
      <c r="AR44" s="21">
        <v>7</v>
      </c>
      <c r="AS44" s="21">
        <v>0</v>
      </c>
      <c r="AT44" s="21">
        <v>3</v>
      </c>
      <c r="AU44" s="21">
        <f>Table2[[#This Row],[Inspectors11]]-Table2[[#This Row],[Training12]]-Table2[[#This Row],[Regular13]]</f>
        <v>4</v>
      </c>
      <c r="AV44" s="21"/>
      <c r="AW44" s="21"/>
      <c r="AX44" s="21"/>
      <c r="AY44" s="21"/>
      <c r="AZ44" s="21"/>
      <c r="BA44" s="21"/>
      <c r="BB44" s="21">
        <v>2</v>
      </c>
      <c r="BC44" s="21">
        <v>2</v>
      </c>
      <c r="BD44" s="21"/>
      <c r="BE44" s="21"/>
      <c r="BF44" s="21"/>
    </row>
    <row r="45" spans="2:58" hidden="1" x14ac:dyDescent="0.3">
      <c r="B45" s="21">
        <v>923</v>
      </c>
      <c r="C45" s="22">
        <v>45087</v>
      </c>
      <c r="D45" s="21">
        <f>WEEKDAY(Table2[[#This Row],[Date]])</f>
        <v>7</v>
      </c>
      <c r="E45" s="21">
        <v>2</v>
      </c>
      <c r="F45" s="21">
        <v>201</v>
      </c>
      <c r="G45" s="21">
        <v>416</v>
      </c>
      <c r="H45" s="21">
        <v>343</v>
      </c>
      <c r="I45" s="21">
        <v>0</v>
      </c>
      <c r="J45" s="21">
        <f t="shared" si="0"/>
        <v>343</v>
      </c>
      <c r="K45" s="21">
        <v>350</v>
      </c>
      <c r="L45" s="21">
        <v>73</v>
      </c>
      <c r="M45" s="21">
        <v>0</v>
      </c>
      <c r="N45" s="21">
        <v>325</v>
      </c>
      <c r="O45" s="21">
        <f>Table2[[#This Row],[Total Inspected]]-Table2[[#This Row],[Inspect Pass]]</f>
        <v>18</v>
      </c>
      <c r="P45" s="21">
        <f t="shared" si="1"/>
        <v>73</v>
      </c>
      <c r="Q45" s="23">
        <f>(Table2[[#This Row],[Inspect Pass]]/Table2[[#This Row],[Total Inspected]])</f>
        <v>0.94752186588921283</v>
      </c>
      <c r="R45" s="24">
        <f>Table2[[#This Row],[Inspect Pass]]*VLOOKUP(Table2[[#This Row],[LineA-ProdType]],'Other Lists'!$B$17:$H$19,7,FALSE)</f>
        <v>23075</v>
      </c>
      <c r="S45" s="24">
        <f>Table2[[#This Row],[Received]]*((VLOOKUP(Table2[[#This Row],[LineA-ProdType]],'Other Lists'!$B$16:$G$19,5,FALSE)+(VLOOKUP(Table2[[#This Row],[LineA-ProdType]],'Other Lists'!$B$16:$G$19,6,FALSE))))</f>
        <v>20425.600000000002</v>
      </c>
      <c r="T45" s="24">
        <f>Table2[[#This Row],[Possible Supplier Income]]-Table2[[#This Row],[Supplier Cost of Parts]]</f>
        <v>2649.3999999999978</v>
      </c>
      <c r="U45" s="24">
        <f>Table2[[#This Row],[Inspect Not Pass]]*((VLOOKUP(Table2[[#This Row],[LineA-ProdType]],'Other Lists'!$B$17:$G$19,5,FALSE)+VLOOKUP(Table2[[#This Row],[LineA-ProdType]],'Other Lists'!$B$17:$G$19,6,FALSE)))</f>
        <v>883.80000000000007</v>
      </c>
      <c r="V45" s="21">
        <v>5</v>
      </c>
      <c r="W45" s="21">
        <v>0</v>
      </c>
      <c r="X45" s="21">
        <v>3</v>
      </c>
      <c r="Y45" s="21">
        <f>Table2[[#This Row],[Inspectors]]-Table2[[#This Row],[Training]]-Table2[[#This Row],[Regular]]</f>
        <v>2</v>
      </c>
      <c r="Z45" s="24">
        <f>VLOOKUP(Table2[[#This Row],[Shift]],'Other Lists'!$B$31:$H$36,7,FALSE)*8*Table2[[#This Row],[Training]]</f>
        <v>0</v>
      </c>
      <c r="AA45" s="24">
        <f>VLOOKUP(Table2[[#This Row],[Shift]],'Other Lists'!$B$31:$H$36,7,FALSE)*8*Table2[[#This Row],[Regular]]</f>
        <v>712.8</v>
      </c>
      <c r="AB45" s="24">
        <f>VLOOKUP(Table2[[#This Row],[Shift]],'Other Lists'!$B$31:$H$36,7,FALSE)*8*Table2[[#This Row],[Casual]]</f>
        <v>475.2</v>
      </c>
      <c r="AC45" s="24">
        <f>SUM(Table2[[#This Row],[Training $]:[Casual $]])</f>
        <v>1188</v>
      </c>
      <c r="AD45" s="24">
        <f>Table2[[#This Row],[Total Line A $]]/Table2[[#This Row],[Total Inspected]]</f>
        <v>3.4635568513119535</v>
      </c>
      <c r="AE45" s="21">
        <v>105</v>
      </c>
      <c r="AF45" s="21">
        <v>158</v>
      </c>
      <c r="AG45" s="21">
        <v>158</v>
      </c>
      <c r="AH45" s="21">
        <v>0</v>
      </c>
      <c r="AI45" s="21">
        <f>Table2[[#This Row],[Received Inspected3]]+Table2[[#This Row],[Leftover Inspected4]]</f>
        <v>158</v>
      </c>
      <c r="AJ45" s="21">
        <v>189</v>
      </c>
      <c r="AK45" s="21">
        <v>0</v>
      </c>
      <c r="AL45" s="21">
        <v>0</v>
      </c>
      <c r="AM45" s="21">
        <v>151</v>
      </c>
      <c r="AN45" s="21">
        <f>Table2[[#This Row],[Total Inspected2]]-Table2[[#This Row],[Inspect Pass8]]</f>
        <v>7</v>
      </c>
      <c r="AO45" s="21">
        <f>Table2[[#This Row],[Received2]]-Table2[[#This Row],[Total Inspected2]]</f>
        <v>0</v>
      </c>
      <c r="AP45" s="23">
        <f>Table2[[#This Row],[Inspect Pass8]]/Table2[[#This Row],[Received2]]</f>
        <v>0.95569620253164556</v>
      </c>
      <c r="AQ45" s="21">
        <v>7</v>
      </c>
      <c r="AR45" s="21">
        <v>7</v>
      </c>
      <c r="AS45" s="21">
        <v>0</v>
      </c>
      <c r="AT45" s="21">
        <v>3</v>
      </c>
      <c r="AU45" s="21">
        <f>Table2[[#This Row],[Inspectors11]]-Table2[[#This Row],[Training12]]-Table2[[#This Row],[Regular13]]</f>
        <v>4</v>
      </c>
      <c r="AV45" s="21"/>
      <c r="AW45" s="21"/>
      <c r="AX45" s="21"/>
      <c r="AY45" s="21"/>
      <c r="AZ45" s="21"/>
      <c r="BA45" s="21"/>
      <c r="BB45" s="21">
        <v>2</v>
      </c>
      <c r="BC45" s="21">
        <v>2</v>
      </c>
      <c r="BD45" s="21"/>
      <c r="BE45" s="21"/>
      <c r="BF45" s="21"/>
    </row>
    <row r="46" spans="2:58" x14ac:dyDescent="0.3">
      <c r="B46" s="21">
        <v>924</v>
      </c>
      <c r="C46" s="22">
        <v>45088</v>
      </c>
      <c r="D46" s="21">
        <f>WEEKDAY(Table2[[#This Row],[Date]])</f>
        <v>1</v>
      </c>
      <c r="E46" s="21">
        <v>2</v>
      </c>
      <c r="F46" s="21">
        <v>201</v>
      </c>
      <c r="G46" s="21">
        <v>148</v>
      </c>
      <c r="H46" s="21">
        <v>140</v>
      </c>
      <c r="I46" s="21">
        <v>0</v>
      </c>
      <c r="J46" s="21">
        <f t="shared" si="0"/>
        <v>140</v>
      </c>
      <c r="K46" s="21">
        <v>140</v>
      </c>
      <c r="L46" s="21">
        <v>8</v>
      </c>
      <c r="M46" s="21">
        <v>0</v>
      </c>
      <c r="N46" s="21">
        <v>130</v>
      </c>
      <c r="O46" s="21">
        <f>Table2[[#This Row],[Total Inspected]]-Table2[[#This Row],[Inspect Pass]]</f>
        <v>10</v>
      </c>
      <c r="P46" s="21">
        <f t="shared" si="1"/>
        <v>8</v>
      </c>
      <c r="Q46" s="23">
        <f>(Table2[[#This Row],[Inspect Pass]]/Table2[[#This Row],[Total Inspected]])</f>
        <v>0.9285714285714286</v>
      </c>
      <c r="R46" s="24">
        <f>Table2[[#This Row],[Inspect Pass]]*VLOOKUP(Table2[[#This Row],[LineA-ProdType]],'Other Lists'!$B$17:$H$19,7,FALSE)</f>
        <v>9230</v>
      </c>
      <c r="S46" s="24">
        <f>Table2[[#This Row],[Received]]*((VLOOKUP(Table2[[#This Row],[LineA-ProdType]],'Other Lists'!$B$16:$G$19,5,FALSE)+(VLOOKUP(Table2[[#This Row],[LineA-ProdType]],'Other Lists'!$B$16:$G$19,6,FALSE))))</f>
        <v>7266.8</v>
      </c>
      <c r="T46" s="40">
        <f>Table2[[#This Row],[Possible Supplier Income]]-Table2[[#This Row],[Supplier Cost of Parts]]</f>
        <v>1963.1999999999998</v>
      </c>
      <c r="U46" s="24">
        <f>Table2[[#This Row],[Inspect Not Pass]]*((VLOOKUP(Table2[[#This Row],[LineA-ProdType]],'Other Lists'!$B$17:$G$19,5,FALSE)+VLOOKUP(Table2[[#This Row],[LineA-ProdType]],'Other Lists'!$B$17:$G$19,6,FALSE)))</f>
        <v>491</v>
      </c>
      <c r="V46" s="21">
        <v>2</v>
      </c>
      <c r="W46" s="21">
        <v>0</v>
      </c>
      <c r="X46" s="21">
        <v>1</v>
      </c>
      <c r="Y46" s="21">
        <f>Table2[[#This Row],[Inspectors]]-Table2[[#This Row],[Training]]-Table2[[#This Row],[Regular]]</f>
        <v>1</v>
      </c>
      <c r="Z46" s="24">
        <f>VLOOKUP(Table2[[#This Row],[Shift]],'Other Lists'!$B$31:$H$36,7,FALSE)*8*Table2[[#This Row],[Training]]</f>
        <v>0</v>
      </c>
      <c r="AA46" s="24">
        <f>VLOOKUP(Table2[[#This Row],[Shift]],'Other Lists'!$B$31:$H$36,7,FALSE)*8*Table2[[#This Row],[Regular]]</f>
        <v>237.6</v>
      </c>
      <c r="AB46" s="24">
        <f>VLOOKUP(Table2[[#This Row],[Shift]],'Other Lists'!$B$31:$H$36,7,FALSE)*8*Table2[[#This Row],[Casual]]</f>
        <v>237.6</v>
      </c>
      <c r="AC46" s="24">
        <f>SUM(Table2[[#This Row],[Training $]:[Casual $]])</f>
        <v>475.2</v>
      </c>
      <c r="AD46" s="24">
        <f>Table2[[#This Row],[Total Line A $]]/Table2[[#This Row],[Total Inspected]]</f>
        <v>3.3942857142857141</v>
      </c>
      <c r="AE46" s="21">
        <v>105</v>
      </c>
      <c r="AF46" s="21">
        <v>76</v>
      </c>
      <c r="AG46" s="21">
        <v>76</v>
      </c>
      <c r="AH46" s="21">
        <v>0</v>
      </c>
      <c r="AI46" s="21">
        <f>Table2[[#This Row],[Received Inspected3]]+Table2[[#This Row],[Leftover Inspected4]]</f>
        <v>76</v>
      </c>
      <c r="AJ46" s="21">
        <v>81</v>
      </c>
      <c r="AK46" s="21">
        <v>0</v>
      </c>
      <c r="AL46" s="21">
        <v>0</v>
      </c>
      <c r="AM46" s="21">
        <v>72</v>
      </c>
      <c r="AN46" s="21">
        <f>Table2[[#This Row],[Total Inspected2]]-Table2[[#This Row],[Inspect Pass8]]</f>
        <v>4</v>
      </c>
      <c r="AO46" s="21">
        <f>Table2[[#This Row],[Received2]]-Table2[[#This Row],[Total Inspected2]]</f>
        <v>0</v>
      </c>
      <c r="AP46" s="23">
        <f>Table2[[#This Row],[Inspect Pass8]]/Table2[[#This Row],[Received2]]</f>
        <v>0.94736842105263153</v>
      </c>
      <c r="AQ46" s="21">
        <v>3</v>
      </c>
      <c r="AR46" s="21">
        <v>3</v>
      </c>
      <c r="AS46" s="21">
        <v>0</v>
      </c>
      <c r="AT46" s="21">
        <v>1</v>
      </c>
      <c r="AU46" s="21">
        <f>Table2[[#This Row],[Inspectors11]]-Table2[[#This Row],[Training12]]-Table2[[#This Row],[Regular13]]</f>
        <v>2</v>
      </c>
      <c r="AV46" s="21"/>
      <c r="AW46" s="21"/>
      <c r="AX46" s="21"/>
      <c r="AY46" s="21"/>
      <c r="AZ46" s="21"/>
      <c r="BA46" s="21"/>
      <c r="BB46" s="21">
        <v>1</v>
      </c>
      <c r="BC46" s="21">
        <v>1</v>
      </c>
      <c r="BD46" s="21"/>
      <c r="BE46" s="21"/>
      <c r="BF46" s="21"/>
    </row>
    <row r="47" spans="2:58" x14ac:dyDescent="0.3">
      <c r="B47" s="21">
        <v>925</v>
      </c>
      <c r="C47" s="22">
        <v>45089</v>
      </c>
      <c r="D47" s="21">
        <f>WEEKDAY(Table2[[#This Row],[Date]])</f>
        <v>2</v>
      </c>
      <c r="E47" s="21">
        <v>2</v>
      </c>
      <c r="F47" s="21">
        <v>119</v>
      </c>
      <c r="G47" s="21">
        <v>339</v>
      </c>
      <c r="H47" s="21">
        <v>339</v>
      </c>
      <c r="I47" s="21">
        <v>0</v>
      </c>
      <c r="J47" s="21">
        <f t="shared" si="0"/>
        <v>339</v>
      </c>
      <c r="K47" s="21">
        <v>349.99999999999994</v>
      </c>
      <c r="L47" s="21">
        <v>0</v>
      </c>
      <c r="M47" s="21">
        <v>0</v>
      </c>
      <c r="N47" s="21">
        <v>315</v>
      </c>
      <c r="O47" s="21">
        <f>Table2[[#This Row],[Total Inspected]]-Table2[[#This Row],[Inspect Pass]]</f>
        <v>24</v>
      </c>
      <c r="P47" s="21">
        <f t="shared" si="1"/>
        <v>0</v>
      </c>
      <c r="Q47" s="23">
        <f>(Table2[[#This Row],[Inspect Pass]]/Table2[[#This Row],[Total Inspected]])</f>
        <v>0.92920353982300885</v>
      </c>
      <c r="R47" s="24">
        <f>Table2[[#This Row],[Inspect Pass]]*VLOOKUP(Table2[[#This Row],[LineA-ProdType]],'Other Lists'!$B$17:$H$19,7,FALSE)</f>
        <v>10080</v>
      </c>
      <c r="S47" s="24">
        <f>Table2[[#This Row],[Received]]*((VLOOKUP(Table2[[#This Row],[LineA-ProdType]],'Other Lists'!$B$16:$G$19,5,FALSE)+(VLOOKUP(Table2[[#This Row],[LineA-ProdType]],'Other Lists'!$B$16:$G$19,6,FALSE))))</f>
        <v>9763.2000000000007</v>
      </c>
      <c r="T47" s="24">
        <f>Table2[[#This Row],[Possible Supplier Income]]-Table2[[#This Row],[Supplier Cost of Parts]]</f>
        <v>316.79999999999927</v>
      </c>
      <c r="U47" s="24">
        <f>Table2[[#This Row],[Inspect Not Pass]]*((VLOOKUP(Table2[[#This Row],[LineA-ProdType]],'Other Lists'!$B$17:$G$19,5,FALSE)+VLOOKUP(Table2[[#This Row],[LineA-ProdType]],'Other Lists'!$B$17:$G$19,6,FALSE)))</f>
        <v>691.2</v>
      </c>
      <c r="V47" s="21">
        <v>2</v>
      </c>
      <c r="W47" s="21">
        <v>0</v>
      </c>
      <c r="X47" s="21">
        <v>1</v>
      </c>
      <c r="Y47" s="21">
        <f>Table2[[#This Row],[Inspectors]]-Table2[[#This Row],[Training]]-Table2[[#This Row],[Regular]]</f>
        <v>1</v>
      </c>
      <c r="Z47" s="24">
        <f>VLOOKUP(Table2[[#This Row],[Shift]],'Other Lists'!$B$31:$H$36,7,FALSE)*8*Table2[[#This Row],[Training]]</f>
        <v>0</v>
      </c>
      <c r="AA47" s="24">
        <f>VLOOKUP(Table2[[#This Row],[Shift]],'Other Lists'!$B$31:$H$36,7,FALSE)*8*Table2[[#This Row],[Regular]]</f>
        <v>237.6</v>
      </c>
      <c r="AB47" s="24">
        <f>VLOOKUP(Table2[[#This Row],[Shift]],'Other Lists'!$B$31:$H$36,7,FALSE)*8*Table2[[#This Row],[Casual]]</f>
        <v>237.6</v>
      </c>
      <c r="AC47" s="24">
        <f>SUM(Table2[[#This Row],[Training $]:[Casual $]])</f>
        <v>475.2</v>
      </c>
      <c r="AD47" s="24">
        <f>Table2[[#This Row],[Total Line A $]]/Table2[[#This Row],[Total Inspected]]</f>
        <v>1.4017699115044246</v>
      </c>
      <c r="AE47" s="21">
        <v>105</v>
      </c>
      <c r="AF47" s="21">
        <v>69</v>
      </c>
      <c r="AG47" s="21">
        <v>69</v>
      </c>
      <c r="AH47" s="21">
        <v>0</v>
      </c>
      <c r="AI47" s="21">
        <f>Table2[[#This Row],[Received Inspected3]]+Table2[[#This Row],[Leftover Inspected4]]</f>
        <v>69</v>
      </c>
      <c r="AJ47" s="21">
        <v>81</v>
      </c>
      <c r="AK47" s="21">
        <v>0</v>
      </c>
      <c r="AL47" s="21">
        <v>0</v>
      </c>
      <c r="AM47" s="21">
        <v>66</v>
      </c>
      <c r="AN47" s="21">
        <f>Table2[[#This Row],[Total Inspected2]]-Table2[[#This Row],[Inspect Pass8]]</f>
        <v>3</v>
      </c>
      <c r="AO47" s="21">
        <f>Table2[[#This Row],[Received2]]-Table2[[#This Row],[Total Inspected2]]</f>
        <v>0</v>
      </c>
      <c r="AP47" s="23">
        <f>Table2[[#This Row],[Inspect Pass8]]/Table2[[#This Row],[Received2]]</f>
        <v>0.95652173913043481</v>
      </c>
      <c r="AQ47" s="21">
        <v>3</v>
      </c>
      <c r="AR47" s="21">
        <v>3</v>
      </c>
      <c r="AS47" s="21">
        <v>0</v>
      </c>
      <c r="AT47" s="21">
        <v>1</v>
      </c>
      <c r="AU47" s="21">
        <f>Table2[[#This Row],[Inspectors11]]-Table2[[#This Row],[Training12]]-Table2[[#This Row],[Regular13]]</f>
        <v>2</v>
      </c>
      <c r="AV47" s="21"/>
      <c r="AW47" s="21"/>
      <c r="AX47" s="21"/>
      <c r="AY47" s="21"/>
      <c r="AZ47" s="21"/>
      <c r="BA47" s="21"/>
      <c r="BB47" s="21">
        <v>1</v>
      </c>
      <c r="BC47" s="21">
        <v>1</v>
      </c>
      <c r="BD47" s="21"/>
      <c r="BE47" s="21"/>
      <c r="BF47" s="21"/>
    </row>
    <row r="48" spans="2:58" hidden="1" x14ac:dyDescent="0.3">
      <c r="B48" s="21">
        <v>926</v>
      </c>
      <c r="C48" s="22">
        <v>45090</v>
      </c>
      <c r="D48" s="21">
        <f>WEEKDAY(Table2[[#This Row],[Date]])</f>
        <v>3</v>
      </c>
      <c r="E48" s="21">
        <v>2</v>
      </c>
      <c r="F48" s="21">
        <v>119</v>
      </c>
      <c r="G48" s="21">
        <v>840</v>
      </c>
      <c r="H48" s="21">
        <v>840</v>
      </c>
      <c r="I48" s="21">
        <v>0</v>
      </c>
      <c r="J48" s="21">
        <f t="shared" si="0"/>
        <v>840</v>
      </c>
      <c r="K48" s="21">
        <v>874.99999999999989</v>
      </c>
      <c r="L48" s="21">
        <v>0</v>
      </c>
      <c r="M48" s="21">
        <v>0</v>
      </c>
      <c r="N48" s="21">
        <v>781</v>
      </c>
      <c r="O48" s="21">
        <f>Table2[[#This Row],[Total Inspected]]-Table2[[#This Row],[Inspect Pass]]</f>
        <v>59</v>
      </c>
      <c r="P48" s="21">
        <f t="shared" si="1"/>
        <v>0</v>
      </c>
      <c r="Q48" s="23">
        <f>(Table2[[#This Row],[Inspect Pass]]/Table2[[#This Row],[Total Inspected]])</f>
        <v>0.92976190476190479</v>
      </c>
      <c r="R48" s="24">
        <f>Table2[[#This Row],[Inspect Pass]]*VLOOKUP(Table2[[#This Row],[LineA-ProdType]],'Other Lists'!$B$17:$H$19,7,FALSE)</f>
        <v>24992</v>
      </c>
      <c r="S48" s="24">
        <f>Table2[[#This Row],[Received]]*((VLOOKUP(Table2[[#This Row],[LineA-ProdType]],'Other Lists'!$B$16:$G$19,5,FALSE)+(VLOOKUP(Table2[[#This Row],[LineA-ProdType]],'Other Lists'!$B$16:$G$19,6,FALSE))))</f>
        <v>24192</v>
      </c>
      <c r="T48" s="24">
        <f>Table2[[#This Row],[Possible Supplier Income]]-Table2[[#This Row],[Supplier Cost of Parts]]</f>
        <v>800</v>
      </c>
      <c r="U48" s="24">
        <f>Table2[[#This Row],[Inspect Not Pass]]*((VLOOKUP(Table2[[#This Row],[LineA-ProdType]],'Other Lists'!$B$17:$G$19,5,FALSE)+VLOOKUP(Table2[[#This Row],[LineA-ProdType]],'Other Lists'!$B$17:$G$19,6,FALSE)))</f>
        <v>1699.2</v>
      </c>
      <c r="V48" s="21">
        <v>5</v>
      </c>
      <c r="W48" s="21">
        <v>0</v>
      </c>
      <c r="X48" s="21">
        <v>4</v>
      </c>
      <c r="Y48" s="21">
        <f>Table2[[#This Row],[Inspectors]]-Table2[[#This Row],[Training]]-Table2[[#This Row],[Regular]]</f>
        <v>1</v>
      </c>
      <c r="Z48" s="24">
        <f>VLOOKUP(Table2[[#This Row],[Shift]],'Other Lists'!$B$31:$H$36,7,FALSE)*8*Table2[[#This Row],[Training]]</f>
        <v>0</v>
      </c>
      <c r="AA48" s="24">
        <f>VLOOKUP(Table2[[#This Row],[Shift]],'Other Lists'!$B$31:$H$36,7,FALSE)*8*Table2[[#This Row],[Regular]]</f>
        <v>950.4</v>
      </c>
      <c r="AB48" s="24">
        <f>VLOOKUP(Table2[[#This Row],[Shift]],'Other Lists'!$B$31:$H$36,7,FALSE)*8*Table2[[#This Row],[Casual]]</f>
        <v>237.6</v>
      </c>
      <c r="AC48" s="24">
        <f>SUM(Table2[[#This Row],[Training $]:[Casual $]])</f>
        <v>1188</v>
      </c>
      <c r="AD48" s="24">
        <f>Table2[[#This Row],[Total Line A $]]/Table2[[#This Row],[Total Inspected]]</f>
        <v>1.4142857142857144</v>
      </c>
      <c r="AE48" s="21">
        <v>105</v>
      </c>
      <c r="AF48" s="21">
        <v>166</v>
      </c>
      <c r="AG48" s="21">
        <v>166</v>
      </c>
      <c r="AH48" s="21">
        <v>0</v>
      </c>
      <c r="AI48" s="21">
        <f>Table2[[#This Row],[Received Inspected3]]+Table2[[#This Row],[Leftover Inspected4]]</f>
        <v>166</v>
      </c>
      <c r="AJ48" s="21">
        <v>189</v>
      </c>
      <c r="AK48" s="21">
        <v>0</v>
      </c>
      <c r="AL48" s="21">
        <v>0</v>
      </c>
      <c r="AM48" s="21">
        <v>154</v>
      </c>
      <c r="AN48" s="21">
        <f>Table2[[#This Row],[Total Inspected2]]-Table2[[#This Row],[Inspect Pass8]]</f>
        <v>12</v>
      </c>
      <c r="AO48" s="21">
        <f>Table2[[#This Row],[Received2]]-Table2[[#This Row],[Total Inspected2]]</f>
        <v>0</v>
      </c>
      <c r="AP48" s="23">
        <f>Table2[[#This Row],[Inspect Pass8]]/Table2[[#This Row],[Received2]]</f>
        <v>0.92771084337349397</v>
      </c>
      <c r="AQ48" s="21">
        <v>7</v>
      </c>
      <c r="AR48" s="21">
        <v>7</v>
      </c>
      <c r="AS48" s="21">
        <v>0</v>
      </c>
      <c r="AT48" s="21">
        <v>4</v>
      </c>
      <c r="AU48" s="21">
        <f>Table2[[#This Row],[Inspectors11]]-Table2[[#This Row],[Training12]]-Table2[[#This Row],[Regular13]]</f>
        <v>3</v>
      </c>
      <c r="AV48" s="21"/>
      <c r="AW48" s="21"/>
      <c r="AX48" s="21"/>
      <c r="AY48" s="21"/>
      <c r="AZ48" s="21"/>
      <c r="BA48" s="21"/>
      <c r="BB48" s="21">
        <v>2</v>
      </c>
      <c r="BC48" s="21">
        <v>2</v>
      </c>
      <c r="BD48" s="21"/>
      <c r="BE48" s="21"/>
      <c r="BF48" s="21"/>
    </row>
    <row r="49" spans="2:58" hidden="1" x14ac:dyDescent="0.3">
      <c r="B49" s="21">
        <v>927</v>
      </c>
      <c r="C49" s="22">
        <v>45091</v>
      </c>
      <c r="D49" s="21">
        <f>WEEKDAY(Table2[[#This Row],[Date]])</f>
        <v>4</v>
      </c>
      <c r="E49" s="21">
        <v>2</v>
      </c>
      <c r="F49" s="21">
        <v>119</v>
      </c>
      <c r="G49" s="21">
        <v>805</v>
      </c>
      <c r="H49" s="21">
        <v>805</v>
      </c>
      <c r="I49" s="21">
        <v>0</v>
      </c>
      <c r="J49" s="21">
        <f t="shared" si="0"/>
        <v>805</v>
      </c>
      <c r="K49" s="21">
        <v>874.99999999999989</v>
      </c>
      <c r="L49" s="21">
        <v>0</v>
      </c>
      <c r="M49" s="21">
        <v>0</v>
      </c>
      <c r="N49" s="21">
        <v>756</v>
      </c>
      <c r="O49" s="21">
        <f>Table2[[#This Row],[Total Inspected]]-Table2[[#This Row],[Inspect Pass]]</f>
        <v>49</v>
      </c>
      <c r="P49" s="21">
        <f t="shared" si="1"/>
        <v>0</v>
      </c>
      <c r="Q49" s="23">
        <f>(Table2[[#This Row],[Inspect Pass]]/Table2[[#This Row],[Total Inspected]])</f>
        <v>0.93913043478260871</v>
      </c>
      <c r="R49" s="24">
        <f>Table2[[#This Row],[Inspect Pass]]*VLOOKUP(Table2[[#This Row],[LineA-ProdType]],'Other Lists'!$B$17:$H$19,7,FALSE)</f>
        <v>24192</v>
      </c>
      <c r="S49" s="24">
        <f>Table2[[#This Row],[Received]]*((VLOOKUP(Table2[[#This Row],[LineA-ProdType]],'Other Lists'!$B$16:$G$19,5,FALSE)+(VLOOKUP(Table2[[#This Row],[LineA-ProdType]],'Other Lists'!$B$16:$G$19,6,FALSE))))</f>
        <v>23184</v>
      </c>
      <c r="T49" s="24">
        <f>Table2[[#This Row],[Possible Supplier Income]]-Table2[[#This Row],[Supplier Cost of Parts]]</f>
        <v>1008</v>
      </c>
      <c r="U49" s="24">
        <f>Table2[[#This Row],[Inspect Not Pass]]*((VLOOKUP(Table2[[#This Row],[LineA-ProdType]],'Other Lists'!$B$17:$G$19,5,FALSE)+VLOOKUP(Table2[[#This Row],[LineA-ProdType]],'Other Lists'!$B$17:$G$19,6,FALSE)))</f>
        <v>1411.2</v>
      </c>
      <c r="V49" s="21">
        <v>5</v>
      </c>
      <c r="W49" s="21">
        <v>0</v>
      </c>
      <c r="X49" s="21">
        <v>4</v>
      </c>
      <c r="Y49" s="21">
        <f>Table2[[#This Row],[Inspectors]]-Table2[[#This Row],[Training]]-Table2[[#This Row],[Regular]]</f>
        <v>1</v>
      </c>
      <c r="Z49" s="24">
        <f>VLOOKUP(Table2[[#This Row],[Shift]],'Other Lists'!$B$31:$H$36,7,FALSE)*8*Table2[[#This Row],[Training]]</f>
        <v>0</v>
      </c>
      <c r="AA49" s="24">
        <f>VLOOKUP(Table2[[#This Row],[Shift]],'Other Lists'!$B$31:$H$36,7,FALSE)*8*Table2[[#This Row],[Regular]]</f>
        <v>950.4</v>
      </c>
      <c r="AB49" s="24">
        <f>VLOOKUP(Table2[[#This Row],[Shift]],'Other Lists'!$B$31:$H$36,7,FALSE)*8*Table2[[#This Row],[Casual]]</f>
        <v>237.6</v>
      </c>
      <c r="AC49" s="24">
        <f>SUM(Table2[[#This Row],[Training $]:[Casual $]])</f>
        <v>1188</v>
      </c>
      <c r="AD49" s="24">
        <f>Table2[[#This Row],[Total Line A $]]/Table2[[#This Row],[Total Inspected]]</f>
        <v>1.475776397515528</v>
      </c>
      <c r="AE49" s="21">
        <v>105</v>
      </c>
      <c r="AF49" s="21">
        <v>156</v>
      </c>
      <c r="AG49" s="21">
        <v>156</v>
      </c>
      <c r="AH49" s="21">
        <v>0</v>
      </c>
      <c r="AI49" s="21">
        <f>Table2[[#This Row],[Received Inspected3]]+Table2[[#This Row],[Leftover Inspected4]]</f>
        <v>156</v>
      </c>
      <c r="AJ49" s="21">
        <v>189</v>
      </c>
      <c r="AK49" s="21">
        <v>0</v>
      </c>
      <c r="AL49" s="21">
        <v>0</v>
      </c>
      <c r="AM49" s="21">
        <v>148</v>
      </c>
      <c r="AN49" s="21">
        <f>Table2[[#This Row],[Total Inspected2]]-Table2[[#This Row],[Inspect Pass8]]</f>
        <v>8</v>
      </c>
      <c r="AO49" s="21">
        <f>Table2[[#This Row],[Received2]]-Table2[[#This Row],[Total Inspected2]]</f>
        <v>0</v>
      </c>
      <c r="AP49" s="23">
        <f>Table2[[#This Row],[Inspect Pass8]]/Table2[[#This Row],[Received2]]</f>
        <v>0.94871794871794868</v>
      </c>
      <c r="AQ49" s="21">
        <v>7</v>
      </c>
      <c r="AR49" s="21">
        <v>7</v>
      </c>
      <c r="AS49" s="21">
        <v>0</v>
      </c>
      <c r="AT49" s="21">
        <v>3</v>
      </c>
      <c r="AU49" s="21">
        <f>Table2[[#This Row],[Inspectors11]]-Table2[[#This Row],[Training12]]-Table2[[#This Row],[Regular13]]</f>
        <v>4</v>
      </c>
      <c r="AV49" s="21"/>
      <c r="AW49" s="21"/>
      <c r="AX49" s="21"/>
      <c r="AY49" s="21"/>
      <c r="AZ49" s="21"/>
      <c r="BA49" s="21"/>
      <c r="BB49" s="21">
        <v>2</v>
      </c>
      <c r="BC49" s="21">
        <v>2</v>
      </c>
      <c r="BD49" s="21"/>
      <c r="BE49" s="21"/>
      <c r="BF49" s="21"/>
    </row>
    <row r="50" spans="2:58" hidden="1" x14ac:dyDescent="0.3">
      <c r="B50" s="21">
        <v>928</v>
      </c>
      <c r="C50" s="22">
        <v>45092</v>
      </c>
      <c r="D50" s="21">
        <f>WEEKDAY(Table2[[#This Row],[Date]])</f>
        <v>5</v>
      </c>
      <c r="E50" s="21">
        <v>2</v>
      </c>
      <c r="F50" s="21">
        <v>119</v>
      </c>
      <c r="G50" s="21">
        <v>787</v>
      </c>
      <c r="H50" s="21">
        <v>787</v>
      </c>
      <c r="I50" s="21">
        <v>0</v>
      </c>
      <c r="J50" s="21">
        <f t="shared" si="0"/>
        <v>787</v>
      </c>
      <c r="K50" s="21">
        <v>874.99999999999989</v>
      </c>
      <c r="L50" s="21">
        <v>0</v>
      </c>
      <c r="M50" s="21">
        <v>0</v>
      </c>
      <c r="N50" s="21">
        <v>763</v>
      </c>
      <c r="O50" s="21">
        <f>Table2[[#This Row],[Total Inspected]]-Table2[[#This Row],[Inspect Pass]]</f>
        <v>24</v>
      </c>
      <c r="P50" s="21">
        <f t="shared" si="1"/>
        <v>0</v>
      </c>
      <c r="Q50" s="23">
        <f>(Table2[[#This Row],[Inspect Pass]]/Table2[[#This Row],[Total Inspected]])</f>
        <v>0.96950444726810669</v>
      </c>
      <c r="R50" s="24">
        <f>Table2[[#This Row],[Inspect Pass]]*VLOOKUP(Table2[[#This Row],[LineA-ProdType]],'Other Lists'!$B$17:$H$19,7,FALSE)</f>
        <v>24416</v>
      </c>
      <c r="S50" s="24">
        <f>Table2[[#This Row],[Received]]*((VLOOKUP(Table2[[#This Row],[LineA-ProdType]],'Other Lists'!$B$16:$G$19,5,FALSE)+(VLOOKUP(Table2[[#This Row],[LineA-ProdType]],'Other Lists'!$B$16:$G$19,6,FALSE))))</f>
        <v>22665.600000000002</v>
      </c>
      <c r="T50" s="24">
        <f>Table2[[#This Row],[Possible Supplier Income]]-Table2[[#This Row],[Supplier Cost of Parts]]</f>
        <v>1750.3999999999978</v>
      </c>
      <c r="U50" s="24">
        <f>Table2[[#This Row],[Inspect Not Pass]]*((VLOOKUP(Table2[[#This Row],[LineA-ProdType]],'Other Lists'!$B$17:$G$19,5,FALSE)+VLOOKUP(Table2[[#This Row],[LineA-ProdType]],'Other Lists'!$B$17:$G$19,6,FALSE)))</f>
        <v>691.2</v>
      </c>
      <c r="V50" s="21">
        <v>5</v>
      </c>
      <c r="W50" s="21">
        <v>0</v>
      </c>
      <c r="X50" s="21">
        <v>4</v>
      </c>
      <c r="Y50" s="21">
        <f>Table2[[#This Row],[Inspectors]]-Table2[[#This Row],[Training]]-Table2[[#This Row],[Regular]]</f>
        <v>1</v>
      </c>
      <c r="Z50" s="24">
        <f>VLOOKUP(Table2[[#This Row],[Shift]],'Other Lists'!$B$31:$H$36,7,FALSE)*8*Table2[[#This Row],[Training]]</f>
        <v>0</v>
      </c>
      <c r="AA50" s="24">
        <f>VLOOKUP(Table2[[#This Row],[Shift]],'Other Lists'!$B$31:$H$36,7,FALSE)*8*Table2[[#This Row],[Regular]]</f>
        <v>950.4</v>
      </c>
      <c r="AB50" s="24">
        <f>VLOOKUP(Table2[[#This Row],[Shift]],'Other Lists'!$B$31:$H$36,7,FALSE)*8*Table2[[#This Row],[Casual]]</f>
        <v>237.6</v>
      </c>
      <c r="AC50" s="24">
        <f>SUM(Table2[[#This Row],[Training $]:[Casual $]])</f>
        <v>1188</v>
      </c>
      <c r="AD50" s="24">
        <f>Table2[[#This Row],[Total Line A $]]/Table2[[#This Row],[Total Inspected]]</f>
        <v>1.5095298602287166</v>
      </c>
      <c r="AE50" s="21">
        <v>105</v>
      </c>
      <c r="AF50" s="21">
        <v>190</v>
      </c>
      <c r="AG50" s="21">
        <v>189</v>
      </c>
      <c r="AH50" s="21">
        <v>0</v>
      </c>
      <c r="AI50" s="21">
        <f>Table2[[#This Row],[Received Inspected3]]+Table2[[#This Row],[Leftover Inspected4]]</f>
        <v>189</v>
      </c>
      <c r="AJ50" s="21">
        <v>189</v>
      </c>
      <c r="AK50" s="21">
        <v>1</v>
      </c>
      <c r="AL50" s="21">
        <v>0</v>
      </c>
      <c r="AM50" s="21">
        <v>175</v>
      </c>
      <c r="AN50" s="21">
        <f>Table2[[#This Row],[Total Inspected2]]-Table2[[#This Row],[Inspect Pass8]]</f>
        <v>14</v>
      </c>
      <c r="AO50" s="21">
        <f>Table2[[#This Row],[Received2]]-Table2[[#This Row],[Total Inspected2]]</f>
        <v>1</v>
      </c>
      <c r="AP50" s="23">
        <f>Table2[[#This Row],[Inspect Pass8]]/Table2[[#This Row],[Received2]]</f>
        <v>0.92105263157894735</v>
      </c>
      <c r="AQ50" s="21">
        <v>7</v>
      </c>
      <c r="AR50" s="21">
        <v>7</v>
      </c>
      <c r="AS50" s="21">
        <v>0</v>
      </c>
      <c r="AT50" s="21">
        <v>4</v>
      </c>
      <c r="AU50" s="21">
        <f>Table2[[#This Row],[Inspectors11]]-Table2[[#This Row],[Training12]]-Table2[[#This Row],[Regular13]]</f>
        <v>3</v>
      </c>
      <c r="AV50" s="21"/>
      <c r="AW50" s="21"/>
      <c r="AX50" s="21"/>
      <c r="AY50" s="21"/>
      <c r="AZ50" s="21"/>
      <c r="BA50" s="21"/>
      <c r="BB50" s="21">
        <v>2</v>
      </c>
      <c r="BC50" s="21">
        <v>2</v>
      </c>
      <c r="BD50" s="21"/>
      <c r="BE50" s="21"/>
      <c r="BF50" s="21"/>
    </row>
    <row r="51" spans="2:58" hidden="1" x14ac:dyDescent="0.3">
      <c r="B51" s="21">
        <v>929</v>
      </c>
      <c r="C51" s="22">
        <v>45093</v>
      </c>
      <c r="D51" s="21">
        <f>WEEKDAY(Table2[[#This Row],[Date]])</f>
        <v>6</v>
      </c>
      <c r="E51" s="21">
        <v>2</v>
      </c>
      <c r="F51" s="21">
        <v>119</v>
      </c>
      <c r="G51" s="21">
        <v>796</v>
      </c>
      <c r="H51" s="21">
        <v>796</v>
      </c>
      <c r="I51" s="21">
        <v>0</v>
      </c>
      <c r="J51" s="21">
        <f t="shared" si="0"/>
        <v>796</v>
      </c>
      <c r="K51" s="21">
        <v>874.99999999999989</v>
      </c>
      <c r="L51" s="21">
        <v>0</v>
      </c>
      <c r="M51" s="21">
        <v>0</v>
      </c>
      <c r="N51" s="21">
        <v>764</v>
      </c>
      <c r="O51" s="21">
        <f>Table2[[#This Row],[Total Inspected]]-Table2[[#This Row],[Inspect Pass]]</f>
        <v>32</v>
      </c>
      <c r="P51" s="21">
        <f t="shared" si="1"/>
        <v>0</v>
      </c>
      <c r="Q51" s="23">
        <f>(Table2[[#This Row],[Inspect Pass]]/Table2[[#This Row],[Total Inspected]])</f>
        <v>0.95979899497487442</v>
      </c>
      <c r="R51" s="24">
        <f>Table2[[#This Row],[Inspect Pass]]*VLOOKUP(Table2[[#This Row],[LineA-ProdType]],'Other Lists'!$B$17:$H$19,7,FALSE)</f>
        <v>24448</v>
      </c>
      <c r="S51" s="24">
        <f>Table2[[#This Row],[Received]]*((VLOOKUP(Table2[[#This Row],[LineA-ProdType]],'Other Lists'!$B$16:$G$19,5,FALSE)+(VLOOKUP(Table2[[#This Row],[LineA-ProdType]],'Other Lists'!$B$16:$G$19,6,FALSE))))</f>
        <v>22924.799999999999</v>
      </c>
      <c r="T51" s="24">
        <f>Table2[[#This Row],[Possible Supplier Income]]-Table2[[#This Row],[Supplier Cost of Parts]]</f>
        <v>1523.2000000000007</v>
      </c>
      <c r="U51" s="24">
        <f>Table2[[#This Row],[Inspect Not Pass]]*((VLOOKUP(Table2[[#This Row],[LineA-ProdType]],'Other Lists'!$B$17:$G$19,5,FALSE)+VLOOKUP(Table2[[#This Row],[LineA-ProdType]],'Other Lists'!$B$17:$G$19,6,FALSE)))</f>
        <v>921.6</v>
      </c>
      <c r="V51" s="21">
        <v>5</v>
      </c>
      <c r="W51" s="21">
        <v>1</v>
      </c>
      <c r="X51" s="21">
        <v>3</v>
      </c>
      <c r="Y51" s="21">
        <f>Table2[[#This Row],[Inspectors]]-Table2[[#This Row],[Training]]-Table2[[#This Row],[Regular]]</f>
        <v>1</v>
      </c>
      <c r="Z51" s="24">
        <f>VLOOKUP(Table2[[#This Row],[Shift]],'Other Lists'!$B$31:$H$36,7,FALSE)*8*Table2[[#This Row],[Training]]</f>
        <v>237.6</v>
      </c>
      <c r="AA51" s="24">
        <f>VLOOKUP(Table2[[#This Row],[Shift]],'Other Lists'!$B$31:$H$36,7,FALSE)*8*Table2[[#This Row],[Regular]]</f>
        <v>712.8</v>
      </c>
      <c r="AB51" s="24">
        <f>VLOOKUP(Table2[[#This Row],[Shift]],'Other Lists'!$B$31:$H$36,7,FALSE)*8*Table2[[#This Row],[Casual]]</f>
        <v>237.6</v>
      </c>
      <c r="AC51" s="24">
        <f>SUM(Table2[[#This Row],[Training $]:[Casual $]])</f>
        <v>1188</v>
      </c>
      <c r="AD51" s="24">
        <f>Table2[[#This Row],[Total Line A $]]/Table2[[#This Row],[Total Inspected]]</f>
        <v>1.4924623115577889</v>
      </c>
      <c r="AE51" s="21">
        <v>105</v>
      </c>
      <c r="AF51" s="21">
        <v>185</v>
      </c>
      <c r="AG51" s="21">
        <v>185</v>
      </c>
      <c r="AH51" s="21">
        <v>0</v>
      </c>
      <c r="AI51" s="21">
        <f>Table2[[#This Row],[Received Inspected3]]+Table2[[#This Row],[Leftover Inspected4]]</f>
        <v>185</v>
      </c>
      <c r="AJ51" s="21">
        <v>189</v>
      </c>
      <c r="AK51" s="21">
        <v>0</v>
      </c>
      <c r="AL51" s="21">
        <v>0</v>
      </c>
      <c r="AM51" s="21">
        <v>177</v>
      </c>
      <c r="AN51" s="21">
        <f>Table2[[#This Row],[Total Inspected2]]-Table2[[#This Row],[Inspect Pass8]]</f>
        <v>8</v>
      </c>
      <c r="AO51" s="21">
        <f>Table2[[#This Row],[Received2]]-Table2[[#This Row],[Total Inspected2]]</f>
        <v>0</v>
      </c>
      <c r="AP51" s="23">
        <f>Table2[[#This Row],[Inspect Pass8]]/Table2[[#This Row],[Received2]]</f>
        <v>0.95675675675675675</v>
      </c>
      <c r="AQ51" s="21">
        <v>7</v>
      </c>
      <c r="AR51" s="21">
        <v>7</v>
      </c>
      <c r="AS51" s="21">
        <v>0</v>
      </c>
      <c r="AT51" s="21">
        <v>4</v>
      </c>
      <c r="AU51" s="21">
        <f>Table2[[#This Row],[Inspectors11]]-Table2[[#This Row],[Training12]]-Table2[[#This Row],[Regular13]]</f>
        <v>3</v>
      </c>
      <c r="AV51" s="21"/>
      <c r="AW51" s="21"/>
      <c r="AX51" s="21"/>
      <c r="AY51" s="21"/>
      <c r="AZ51" s="21"/>
      <c r="BA51" s="21"/>
      <c r="BB51" s="21">
        <v>2</v>
      </c>
      <c r="BC51" s="21">
        <v>2</v>
      </c>
      <c r="BD51" s="21"/>
      <c r="BE51" s="21"/>
      <c r="BF51" s="21"/>
    </row>
    <row r="52" spans="2:58" hidden="1" x14ac:dyDescent="0.3">
      <c r="B52" s="21">
        <v>930</v>
      </c>
      <c r="C52" s="22">
        <v>45094</v>
      </c>
      <c r="D52" s="21">
        <f>WEEKDAY(Table2[[#This Row],[Date]])</f>
        <v>7</v>
      </c>
      <c r="E52" s="21">
        <v>2</v>
      </c>
      <c r="F52" s="21">
        <v>201</v>
      </c>
      <c r="G52" s="21">
        <v>364</v>
      </c>
      <c r="H52" s="21">
        <v>336</v>
      </c>
      <c r="I52" s="21">
        <v>0</v>
      </c>
      <c r="J52" s="21">
        <f t="shared" si="0"/>
        <v>336</v>
      </c>
      <c r="K52" s="21">
        <v>350</v>
      </c>
      <c r="L52" s="21">
        <v>28</v>
      </c>
      <c r="M52" s="21">
        <v>0</v>
      </c>
      <c r="N52" s="21">
        <v>312</v>
      </c>
      <c r="O52" s="21">
        <f>Table2[[#This Row],[Total Inspected]]-Table2[[#This Row],[Inspect Pass]]</f>
        <v>24</v>
      </c>
      <c r="P52" s="21">
        <f t="shared" si="1"/>
        <v>28</v>
      </c>
      <c r="Q52" s="23">
        <f>(Table2[[#This Row],[Inspect Pass]]/Table2[[#This Row],[Total Inspected]])</f>
        <v>0.9285714285714286</v>
      </c>
      <c r="R52" s="24">
        <f>Table2[[#This Row],[Inspect Pass]]*VLOOKUP(Table2[[#This Row],[LineA-ProdType]],'Other Lists'!$B$17:$H$19,7,FALSE)</f>
        <v>22152</v>
      </c>
      <c r="S52" s="24">
        <f>Table2[[#This Row],[Received]]*((VLOOKUP(Table2[[#This Row],[LineA-ProdType]],'Other Lists'!$B$16:$G$19,5,FALSE)+(VLOOKUP(Table2[[#This Row],[LineA-ProdType]],'Other Lists'!$B$16:$G$19,6,FALSE))))</f>
        <v>17872.400000000001</v>
      </c>
      <c r="T52" s="24">
        <f>Table2[[#This Row],[Possible Supplier Income]]-Table2[[#This Row],[Supplier Cost of Parts]]</f>
        <v>4279.5999999999985</v>
      </c>
      <c r="U52" s="24">
        <f>Table2[[#This Row],[Inspect Not Pass]]*((VLOOKUP(Table2[[#This Row],[LineA-ProdType]],'Other Lists'!$B$17:$G$19,5,FALSE)+VLOOKUP(Table2[[#This Row],[LineA-ProdType]],'Other Lists'!$B$17:$G$19,6,FALSE)))</f>
        <v>1178.4000000000001</v>
      </c>
      <c r="V52" s="21">
        <v>5</v>
      </c>
      <c r="W52" s="21">
        <v>0</v>
      </c>
      <c r="X52" s="21">
        <v>4</v>
      </c>
      <c r="Y52" s="21">
        <f>Table2[[#This Row],[Inspectors]]-Table2[[#This Row],[Training]]-Table2[[#This Row],[Regular]]</f>
        <v>1</v>
      </c>
      <c r="Z52" s="24">
        <f>VLOOKUP(Table2[[#This Row],[Shift]],'Other Lists'!$B$31:$H$36,7,FALSE)*8*Table2[[#This Row],[Training]]</f>
        <v>0</v>
      </c>
      <c r="AA52" s="24">
        <f>VLOOKUP(Table2[[#This Row],[Shift]],'Other Lists'!$B$31:$H$36,7,FALSE)*8*Table2[[#This Row],[Regular]]</f>
        <v>950.4</v>
      </c>
      <c r="AB52" s="24">
        <f>VLOOKUP(Table2[[#This Row],[Shift]],'Other Lists'!$B$31:$H$36,7,FALSE)*8*Table2[[#This Row],[Casual]]</f>
        <v>237.6</v>
      </c>
      <c r="AC52" s="24">
        <f>SUM(Table2[[#This Row],[Training $]:[Casual $]])</f>
        <v>1188</v>
      </c>
      <c r="AD52" s="24">
        <f>Table2[[#This Row],[Total Line A $]]/Table2[[#This Row],[Total Inspected]]</f>
        <v>3.5357142857142856</v>
      </c>
      <c r="AE52" s="21">
        <v>105</v>
      </c>
      <c r="AF52" s="21">
        <v>181</v>
      </c>
      <c r="AG52" s="21">
        <v>171</v>
      </c>
      <c r="AH52" s="21">
        <v>0</v>
      </c>
      <c r="AI52" s="21">
        <f>Table2[[#This Row],[Received Inspected3]]+Table2[[#This Row],[Leftover Inspected4]]</f>
        <v>171</v>
      </c>
      <c r="AJ52" s="21">
        <v>189</v>
      </c>
      <c r="AK52" s="21">
        <v>10</v>
      </c>
      <c r="AL52" s="21">
        <v>0</v>
      </c>
      <c r="AM52" s="21">
        <v>159</v>
      </c>
      <c r="AN52" s="21">
        <f>Table2[[#This Row],[Total Inspected2]]-Table2[[#This Row],[Inspect Pass8]]</f>
        <v>12</v>
      </c>
      <c r="AO52" s="21">
        <f>Table2[[#This Row],[Received2]]-Table2[[#This Row],[Total Inspected2]]</f>
        <v>10</v>
      </c>
      <c r="AP52" s="23">
        <f>Table2[[#This Row],[Inspect Pass8]]/Table2[[#This Row],[Received2]]</f>
        <v>0.87845303867403313</v>
      </c>
      <c r="AQ52" s="21">
        <v>7</v>
      </c>
      <c r="AR52" s="21">
        <v>7</v>
      </c>
      <c r="AS52" s="21">
        <v>1</v>
      </c>
      <c r="AT52" s="21">
        <v>4</v>
      </c>
      <c r="AU52" s="21">
        <f>Table2[[#This Row],[Inspectors11]]-Table2[[#This Row],[Training12]]-Table2[[#This Row],[Regular13]]</f>
        <v>2</v>
      </c>
      <c r="AV52" s="21"/>
      <c r="AW52" s="21"/>
      <c r="AX52" s="21"/>
      <c r="AY52" s="21"/>
      <c r="AZ52" s="21"/>
      <c r="BA52" s="21"/>
      <c r="BB52" s="21">
        <v>2</v>
      </c>
      <c r="BC52" s="21">
        <v>2</v>
      </c>
      <c r="BD52" s="21"/>
      <c r="BE52" s="21"/>
      <c r="BF52" s="21"/>
    </row>
    <row r="53" spans="2:58" x14ac:dyDescent="0.3">
      <c r="B53" s="21">
        <v>931</v>
      </c>
      <c r="C53" s="22">
        <v>45095</v>
      </c>
      <c r="D53" s="21">
        <f>WEEKDAY(Table2[[#This Row],[Date]])</f>
        <v>1</v>
      </c>
      <c r="E53" s="21">
        <v>2</v>
      </c>
      <c r="F53" s="21">
        <v>119</v>
      </c>
      <c r="G53" s="21">
        <v>371</v>
      </c>
      <c r="H53" s="21">
        <v>367</v>
      </c>
      <c r="I53" s="21">
        <v>0</v>
      </c>
      <c r="J53" s="21">
        <f t="shared" si="0"/>
        <v>367</v>
      </c>
      <c r="K53" s="21">
        <v>349.99999999999994</v>
      </c>
      <c r="L53" s="21">
        <v>4</v>
      </c>
      <c r="M53" s="21">
        <v>0</v>
      </c>
      <c r="N53" s="21">
        <v>355</v>
      </c>
      <c r="O53" s="21">
        <f>Table2[[#This Row],[Total Inspected]]-Table2[[#This Row],[Inspect Pass]]</f>
        <v>12</v>
      </c>
      <c r="P53" s="21">
        <f t="shared" si="1"/>
        <v>4</v>
      </c>
      <c r="Q53" s="23">
        <f>(Table2[[#This Row],[Inspect Pass]]/Table2[[#This Row],[Total Inspected]])</f>
        <v>0.96730245231607626</v>
      </c>
      <c r="R53" s="24">
        <f>Table2[[#This Row],[Inspect Pass]]*VLOOKUP(Table2[[#This Row],[LineA-ProdType]],'Other Lists'!$B$17:$H$19,7,FALSE)</f>
        <v>11360</v>
      </c>
      <c r="S53" s="24">
        <f>Table2[[#This Row],[Received]]*((VLOOKUP(Table2[[#This Row],[LineA-ProdType]],'Other Lists'!$B$16:$G$19,5,FALSE)+(VLOOKUP(Table2[[#This Row],[LineA-ProdType]],'Other Lists'!$B$16:$G$19,6,FALSE))))</f>
        <v>10684.800000000001</v>
      </c>
      <c r="T53" s="24">
        <f>Table2[[#This Row],[Possible Supplier Income]]-Table2[[#This Row],[Supplier Cost of Parts]]</f>
        <v>675.19999999999891</v>
      </c>
      <c r="U53" s="24">
        <f>Table2[[#This Row],[Inspect Not Pass]]*((VLOOKUP(Table2[[#This Row],[LineA-ProdType]],'Other Lists'!$B$17:$G$19,5,FALSE)+VLOOKUP(Table2[[#This Row],[LineA-ProdType]],'Other Lists'!$B$17:$G$19,6,FALSE)))</f>
        <v>345.6</v>
      </c>
      <c r="V53" s="21">
        <v>2</v>
      </c>
      <c r="W53" s="21">
        <v>0</v>
      </c>
      <c r="X53" s="21">
        <v>1</v>
      </c>
      <c r="Y53" s="21">
        <f>Table2[[#This Row],[Inspectors]]-Table2[[#This Row],[Training]]-Table2[[#This Row],[Regular]]</f>
        <v>1</v>
      </c>
      <c r="Z53" s="24">
        <f>VLOOKUP(Table2[[#This Row],[Shift]],'Other Lists'!$B$31:$H$36,7,FALSE)*8*Table2[[#This Row],[Training]]</f>
        <v>0</v>
      </c>
      <c r="AA53" s="24">
        <f>VLOOKUP(Table2[[#This Row],[Shift]],'Other Lists'!$B$31:$H$36,7,FALSE)*8*Table2[[#This Row],[Regular]]</f>
        <v>237.6</v>
      </c>
      <c r="AB53" s="24">
        <f>VLOOKUP(Table2[[#This Row],[Shift]],'Other Lists'!$B$31:$H$36,7,FALSE)*8*Table2[[#This Row],[Casual]]</f>
        <v>237.6</v>
      </c>
      <c r="AC53" s="24">
        <f>SUM(Table2[[#This Row],[Training $]:[Casual $]])</f>
        <v>475.2</v>
      </c>
      <c r="AD53" s="24">
        <f>Table2[[#This Row],[Total Line A $]]/Table2[[#This Row],[Total Inspected]]</f>
        <v>1.2948228882833788</v>
      </c>
      <c r="AE53" s="21">
        <v>105</v>
      </c>
      <c r="AF53" s="21">
        <v>93</v>
      </c>
      <c r="AG53" s="21">
        <v>85</v>
      </c>
      <c r="AH53" s="21">
        <v>0</v>
      </c>
      <c r="AI53" s="21">
        <f>Table2[[#This Row],[Received Inspected3]]+Table2[[#This Row],[Leftover Inspected4]]</f>
        <v>85</v>
      </c>
      <c r="AJ53" s="21">
        <v>81</v>
      </c>
      <c r="AK53" s="21">
        <v>8</v>
      </c>
      <c r="AL53" s="21">
        <v>0</v>
      </c>
      <c r="AM53" s="21">
        <v>82</v>
      </c>
      <c r="AN53" s="21">
        <f>Table2[[#This Row],[Total Inspected2]]-Table2[[#This Row],[Inspect Pass8]]</f>
        <v>3</v>
      </c>
      <c r="AO53" s="21">
        <f>Table2[[#This Row],[Received2]]-Table2[[#This Row],[Total Inspected2]]</f>
        <v>8</v>
      </c>
      <c r="AP53" s="23">
        <f>Table2[[#This Row],[Inspect Pass8]]/Table2[[#This Row],[Received2]]</f>
        <v>0.88172043010752688</v>
      </c>
      <c r="AQ53" s="21">
        <v>3</v>
      </c>
      <c r="AR53" s="21">
        <v>3</v>
      </c>
      <c r="AS53" s="21">
        <v>0</v>
      </c>
      <c r="AT53" s="21">
        <v>1</v>
      </c>
      <c r="AU53" s="21">
        <f>Table2[[#This Row],[Inspectors11]]-Table2[[#This Row],[Training12]]-Table2[[#This Row],[Regular13]]</f>
        <v>2</v>
      </c>
      <c r="AV53" s="21"/>
      <c r="AW53" s="21"/>
      <c r="AX53" s="21"/>
      <c r="AY53" s="21"/>
      <c r="AZ53" s="21"/>
      <c r="BA53" s="21"/>
      <c r="BB53" s="21">
        <v>1</v>
      </c>
      <c r="BC53" s="21">
        <v>1</v>
      </c>
      <c r="BD53" s="21"/>
      <c r="BE53" s="21"/>
      <c r="BF53" s="21"/>
    </row>
    <row r="54" spans="2:58" x14ac:dyDescent="0.3">
      <c r="B54" s="21">
        <v>932</v>
      </c>
      <c r="C54" s="22">
        <v>45096</v>
      </c>
      <c r="D54" s="21">
        <f>WEEKDAY(Table2[[#This Row],[Date]])</f>
        <v>2</v>
      </c>
      <c r="E54" s="21">
        <v>2</v>
      </c>
      <c r="F54" s="21">
        <v>119</v>
      </c>
      <c r="G54" s="21">
        <v>322</v>
      </c>
      <c r="H54" s="21">
        <v>322</v>
      </c>
      <c r="I54" s="21">
        <v>0</v>
      </c>
      <c r="J54" s="21">
        <f t="shared" si="0"/>
        <v>322</v>
      </c>
      <c r="K54" s="21">
        <v>349.99999999999994</v>
      </c>
      <c r="L54" s="21">
        <v>0</v>
      </c>
      <c r="M54" s="21">
        <v>0</v>
      </c>
      <c r="N54" s="21">
        <v>305</v>
      </c>
      <c r="O54" s="21">
        <f>Table2[[#This Row],[Total Inspected]]-Table2[[#This Row],[Inspect Pass]]</f>
        <v>17</v>
      </c>
      <c r="P54" s="21">
        <f t="shared" si="1"/>
        <v>0</v>
      </c>
      <c r="Q54" s="23">
        <f>(Table2[[#This Row],[Inspect Pass]]/Table2[[#This Row],[Total Inspected]])</f>
        <v>0.94720496894409933</v>
      </c>
      <c r="R54" s="24">
        <f>Table2[[#This Row],[Inspect Pass]]*VLOOKUP(Table2[[#This Row],[LineA-ProdType]],'Other Lists'!$B$17:$H$19,7,FALSE)</f>
        <v>9760</v>
      </c>
      <c r="S54" s="24">
        <f>Table2[[#This Row],[Received]]*((VLOOKUP(Table2[[#This Row],[LineA-ProdType]],'Other Lists'!$B$16:$G$19,5,FALSE)+(VLOOKUP(Table2[[#This Row],[LineA-ProdType]],'Other Lists'!$B$16:$G$19,6,FALSE))))</f>
        <v>9273.6</v>
      </c>
      <c r="T54" s="24">
        <f>Table2[[#This Row],[Possible Supplier Income]]-Table2[[#This Row],[Supplier Cost of Parts]]</f>
        <v>486.39999999999964</v>
      </c>
      <c r="U54" s="24">
        <f>Table2[[#This Row],[Inspect Not Pass]]*((VLOOKUP(Table2[[#This Row],[LineA-ProdType]],'Other Lists'!$B$17:$G$19,5,FALSE)+VLOOKUP(Table2[[#This Row],[LineA-ProdType]],'Other Lists'!$B$17:$G$19,6,FALSE)))</f>
        <v>489.6</v>
      </c>
      <c r="V54" s="21">
        <v>2</v>
      </c>
      <c r="W54" s="21">
        <v>0</v>
      </c>
      <c r="X54" s="21">
        <v>1</v>
      </c>
      <c r="Y54" s="21">
        <f>Table2[[#This Row],[Inspectors]]-Table2[[#This Row],[Training]]-Table2[[#This Row],[Regular]]</f>
        <v>1</v>
      </c>
      <c r="Z54" s="24">
        <f>VLOOKUP(Table2[[#This Row],[Shift]],'Other Lists'!$B$31:$H$36,7,FALSE)*8*Table2[[#This Row],[Training]]</f>
        <v>0</v>
      </c>
      <c r="AA54" s="24">
        <f>VLOOKUP(Table2[[#This Row],[Shift]],'Other Lists'!$B$31:$H$36,7,FALSE)*8*Table2[[#This Row],[Regular]]</f>
        <v>237.6</v>
      </c>
      <c r="AB54" s="24">
        <f>VLOOKUP(Table2[[#This Row],[Shift]],'Other Lists'!$B$31:$H$36,7,FALSE)*8*Table2[[#This Row],[Casual]]</f>
        <v>237.6</v>
      </c>
      <c r="AC54" s="24">
        <f>SUM(Table2[[#This Row],[Training $]:[Casual $]])</f>
        <v>475.2</v>
      </c>
      <c r="AD54" s="24">
        <f>Table2[[#This Row],[Total Line A $]]/Table2[[#This Row],[Total Inspected]]</f>
        <v>1.4757763975155278</v>
      </c>
      <c r="AE54" s="21">
        <v>105</v>
      </c>
      <c r="AF54" s="21">
        <v>92</v>
      </c>
      <c r="AG54" s="21">
        <v>78</v>
      </c>
      <c r="AH54" s="21">
        <v>0</v>
      </c>
      <c r="AI54" s="21">
        <f>Table2[[#This Row],[Received Inspected3]]+Table2[[#This Row],[Leftover Inspected4]]</f>
        <v>78</v>
      </c>
      <c r="AJ54" s="21">
        <v>81</v>
      </c>
      <c r="AK54" s="21">
        <v>14</v>
      </c>
      <c r="AL54" s="21">
        <v>0</v>
      </c>
      <c r="AM54" s="21">
        <v>76</v>
      </c>
      <c r="AN54" s="21">
        <f>Table2[[#This Row],[Total Inspected2]]-Table2[[#This Row],[Inspect Pass8]]</f>
        <v>2</v>
      </c>
      <c r="AO54" s="21">
        <f>Table2[[#This Row],[Received2]]-Table2[[#This Row],[Total Inspected2]]</f>
        <v>14</v>
      </c>
      <c r="AP54" s="23">
        <f>Table2[[#This Row],[Inspect Pass8]]/Table2[[#This Row],[Received2]]</f>
        <v>0.82608695652173914</v>
      </c>
      <c r="AQ54" s="21">
        <v>3</v>
      </c>
      <c r="AR54" s="21">
        <v>3</v>
      </c>
      <c r="AS54" s="21">
        <v>0</v>
      </c>
      <c r="AT54" s="21">
        <v>1</v>
      </c>
      <c r="AU54" s="21">
        <f>Table2[[#This Row],[Inspectors11]]-Table2[[#This Row],[Training12]]-Table2[[#This Row],[Regular13]]</f>
        <v>2</v>
      </c>
      <c r="AV54" s="21"/>
      <c r="AW54" s="21"/>
      <c r="AX54" s="21"/>
      <c r="AY54" s="21"/>
      <c r="AZ54" s="21"/>
      <c r="BA54" s="21"/>
      <c r="BB54" s="21">
        <v>1</v>
      </c>
      <c r="BC54" s="21">
        <v>1</v>
      </c>
      <c r="BD54" s="21"/>
      <c r="BE54" s="21"/>
      <c r="BF54" s="21"/>
    </row>
    <row r="55" spans="2:58" hidden="1" x14ac:dyDescent="0.3">
      <c r="B55" s="21">
        <v>933</v>
      </c>
      <c r="C55" s="22">
        <v>45097</v>
      </c>
      <c r="D55" s="21">
        <f>WEEKDAY(Table2[[#This Row],[Date]])</f>
        <v>3</v>
      </c>
      <c r="E55" s="21">
        <v>2</v>
      </c>
      <c r="F55" s="21">
        <v>201</v>
      </c>
      <c r="G55" s="21">
        <v>332</v>
      </c>
      <c r="H55" s="21">
        <v>332</v>
      </c>
      <c r="I55" s="21">
        <v>0</v>
      </c>
      <c r="J55" s="21">
        <f t="shared" si="0"/>
        <v>332</v>
      </c>
      <c r="K55" s="21">
        <v>350</v>
      </c>
      <c r="L55" s="21">
        <v>0</v>
      </c>
      <c r="M55" s="21">
        <v>0</v>
      </c>
      <c r="N55" s="21">
        <v>325</v>
      </c>
      <c r="O55" s="21">
        <f>Table2[[#This Row],[Total Inspected]]-Table2[[#This Row],[Inspect Pass]]</f>
        <v>7</v>
      </c>
      <c r="P55" s="21">
        <f t="shared" si="1"/>
        <v>0</v>
      </c>
      <c r="Q55" s="23">
        <f>(Table2[[#This Row],[Inspect Pass]]/Table2[[#This Row],[Total Inspected]])</f>
        <v>0.97891566265060237</v>
      </c>
      <c r="R55" s="24">
        <f>Table2[[#This Row],[Inspect Pass]]*VLOOKUP(Table2[[#This Row],[LineA-ProdType]],'Other Lists'!$B$17:$H$19,7,FALSE)</f>
        <v>23075</v>
      </c>
      <c r="S55" s="24">
        <f>Table2[[#This Row],[Received]]*((VLOOKUP(Table2[[#This Row],[LineA-ProdType]],'Other Lists'!$B$16:$G$19,5,FALSE)+(VLOOKUP(Table2[[#This Row],[LineA-ProdType]],'Other Lists'!$B$16:$G$19,6,FALSE))))</f>
        <v>16301.2</v>
      </c>
      <c r="T55" s="24">
        <f>Table2[[#This Row],[Possible Supplier Income]]-Table2[[#This Row],[Supplier Cost of Parts]]</f>
        <v>6773.7999999999993</v>
      </c>
      <c r="U55" s="24">
        <f>Table2[[#This Row],[Inspect Not Pass]]*((VLOOKUP(Table2[[#This Row],[LineA-ProdType]],'Other Lists'!$B$17:$G$19,5,FALSE)+VLOOKUP(Table2[[#This Row],[LineA-ProdType]],'Other Lists'!$B$17:$G$19,6,FALSE)))</f>
        <v>343.7</v>
      </c>
      <c r="V55" s="21">
        <v>5</v>
      </c>
      <c r="W55" s="21">
        <v>0</v>
      </c>
      <c r="X55" s="21">
        <v>3</v>
      </c>
      <c r="Y55" s="21">
        <f>Table2[[#This Row],[Inspectors]]-Table2[[#This Row],[Training]]-Table2[[#This Row],[Regular]]</f>
        <v>2</v>
      </c>
      <c r="Z55" s="24">
        <f>VLOOKUP(Table2[[#This Row],[Shift]],'Other Lists'!$B$31:$H$36,7,FALSE)*8*Table2[[#This Row],[Training]]</f>
        <v>0</v>
      </c>
      <c r="AA55" s="24">
        <f>VLOOKUP(Table2[[#This Row],[Shift]],'Other Lists'!$B$31:$H$36,7,FALSE)*8*Table2[[#This Row],[Regular]]</f>
        <v>712.8</v>
      </c>
      <c r="AB55" s="24">
        <f>VLOOKUP(Table2[[#This Row],[Shift]],'Other Lists'!$B$31:$H$36,7,FALSE)*8*Table2[[#This Row],[Casual]]</f>
        <v>475.2</v>
      </c>
      <c r="AC55" s="24">
        <f>SUM(Table2[[#This Row],[Training $]:[Casual $]])</f>
        <v>1188</v>
      </c>
      <c r="AD55" s="24">
        <f>Table2[[#This Row],[Total Line A $]]/Table2[[#This Row],[Total Inspected]]</f>
        <v>3.5783132530120483</v>
      </c>
      <c r="AE55" s="21">
        <v>105</v>
      </c>
      <c r="AF55" s="21">
        <v>204</v>
      </c>
      <c r="AG55" s="21">
        <v>192</v>
      </c>
      <c r="AH55" s="21">
        <v>0</v>
      </c>
      <c r="AI55" s="21">
        <f>Table2[[#This Row],[Received Inspected3]]+Table2[[#This Row],[Leftover Inspected4]]</f>
        <v>192</v>
      </c>
      <c r="AJ55" s="21">
        <v>189</v>
      </c>
      <c r="AK55" s="21">
        <v>12</v>
      </c>
      <c r="AL55" s="21">
        <v>0</v>
      </c>
      <c r="AM55" s="21">
        <v>184</v>
      </c>
      <c r="AN55" s="21">
        <f>Table2[[#This Row],[Total Inspected2]]-Table2[[#This Row],[Inspect Pass8]]</f>
        <v>8</v>
      </c>
      <c r="AO55" s="21">
        <f>Table2[[#This Row],[Received2]]-Table2[[#This Row],[Total Inspected2]]</f>
        <v>12</v>
      </c>
      <c r="AP55" s="23">
        <f>Table2[[#This Row],[Inspect Pass8]]/Table2[[#This Row],[Received2]]</f>
        <v>0.90196078431372551</v>
      </c>
      <c r="AQ55" s="21">
        <v>7</v>
      </c>
      <c r="AR55" s="21">
        <v>7</v>
      </c>
      <c r="AS55" s="21">
        <v>0</v>
      </c>
      <c r="AT55" s="21">
        <v>3</v>
      </c>
      <c r="AU55" s="21">
        <f>Table2[[#This Row],[Inspectors11]]-Table2[[#This Row],[Training12]]-Table2[[#This Row],[Regular13]]</f>
        <v>4</v>
      </c>
      <c r="AV55" s="21"/>
      <c r="AW55" s="21"/>
      <c r="AX55" s="21"/>
      <c r="AY55" s="21"/>
      <c r="AZ55" s="21"/>
      <c r="BA55" s="21"/>
      <c r="BB55" s="21">
        <v>2</v>
      </c>
      <c r="BC55" s="21">
        <v>2</v>
      </c>
      <c r="BD55" s="21"/>
      <c r="BE55" s="21"/>
      <c r="BF55" s="21"/>
    </row>
    <row r="56" spans="2:58" hidden="1" x14ac:dyDescent="0.3">
      <c r="B56" s="21">
        <v>934</v>
      </c>
      <c r="C56" s="22">
        <v>45098</v>
      </c>
      <c r="D56" s="21">
        <f>WEEKDAY(Table2[[#This Row],[Date]])</f>
        <v>4</v>
      </c>
      <c r="E56" s="21">
        <v>2</v>
      </c>
      <c r="F56" s="21">
        <v>201</v>
      </c>
      <c r="G56" s="21">
        <v>409</v>
      </c>
      <c r="H56" s="21">
        <v>332</v>
      </c>
      <c r="I56" s="21">
        <v>0</v>
      </c>
      <c r="J56" s="21">
        <f t="shared" si="0"/>
        <v>332</v>
      </c>
      <c r="K56" s="21">
        <v>350</v>
      </c>
      <c r="L56" s="21">
        <v>77</v>
      </c>
      <c r="M56" s="21">
        <v>0</v>
      </c>
      <c r="N56" s="21">
        <v>318</v>
      </c>
      <c r="O56" s="21">
        <f>Table2[[#This Row],[Total Inspected]]-Table2[[#This Row],[Inspect Pass]]</f>
        <v>14</v>
      </c>
      <c r="P56" s="21">
        <f t="shared" si="1"/>
        <v>77</v>
      </c>
      <c r="Q56" s="23">
        <f>(Table2[[#This Row],[Inspect Pass]]/Table2[[#This Row],[Total Inspected]])</f>
        <v>0.95783132530120485</v>
      </c>
      <c r="R56" s="24">
        <f>Table2[[#This Row],[Inspect Pass]]*VLOOKUP(Table2[[#This Row],[LineA-ProdType]],'Other Lists'!$B$17:$H$19,7,FALSE)</f>
        <v>22578</v>
      </c>
      <c r="S56" s="24">
        <f>Table2[[#This Row],[Received]]*((VLOOKUP(Table2[[#This Row],[LineA-ProdType]],'Other Lists'!$B$16:$G$19,5,FALSE)+(VLOOKUP(Table2[[#This Row],[LineA-ProdType]],'Other Lists'!$B$16:$G$19,6,FALSE))))</f>
        <v>20081.900000000001</v>
      </c>
      <c r="T56" s="24">
        <f>Table2[[#This Row],[Possible Supplier Income]]-Table2[[#This Row],[Supplier Cost of Parts]]</f>
        <v>2496.0999999999985</v>
      </c>
      <c r="U56" s="24">
        <f>Table2[[#This Row],[Inspect Not Pass]]*((VLOOKUP(Table2[[#This Row],[LineA-ProdType]],'Other Lists'!$B$17:$G$19,5,FALSE)+VLOOKUP(Table2[[#This Row],[LineA-ProdType]],'Other Lists'!$B$17:$G$19,6,FALSE)))</f>
        <v>687.4</v>
      </c>
      <c r="V56" s="21">
        <v>5</v>
      </c>
      <c r="W56" s="21">
        <v>0</v>
      </c>
      <c r="X56" s="21">
        <v>4</v>
      </c>
      <c r="Y56" s="21">
        <f>Table2[[#This Row],[Inspectors]]-Table2[[#This Row],[Training]]-Table2[[#This Row],[Regular]]</f>
        <v>1</v>
      </c>
      <c r="Z56" s="24">
        <f>VLOOKUP(Table2[[#This Row],[Shift]],'Other Lists'!$B$31:$H$36,7,FALSE)*8*Table2[[#This Row],[Training]]</f>
        <v>0</v>
      </c>
      <c r="AA56" s="24">
        <f>VLOOKUP(Table2[[#This Row],[Shift]],'Other Lists'!$B$31:$H$36,7,FALSE)*8*Table2[[#This Row],[Regular]]</f>
        <v>950.4</v>
      </c>
      <c r="AB56" s="24">
        <f>VLOOKUP(Table2[[#This Row],[Shift]],'Other Lists'!$B$31:$H$36,7,FALSE)*8*Table2[[#This Row],[Casual]]</f>
        <v>237.6</v>
      </c>
      <c r="AC56" s="24">
        <f>SUM(Table2[[#This Row],[Training $]:[Casual $]])</f>
        <v>1188</v>
      </c>
      <c r="AD56" s="24">
        <f>Table2[[#This Row],[Total Line A $]]/Table2[[#This Row],[Total Inspected]]</f>
        <v>3.5783132530120483</v>
      </c>
      <c r="AE56" s="21">
        <v>105</v>
      </c>
      <c r="AF56" s="21">
        <v>158</v>
      </c>
      <c r="AG56" s="21">
        <v>147</v>
      </c>
      <c r="AH56" s="21">
        <v>0</v>
      </c>
      <c r="AI56" s="21">
        <f>Table2[[#This Row],[Received Inspected3]]+Table2[[#This Row],[Leftover Inspected4]]</f>
        <v>147</v>
      </c>
      <c r="AJ56" s="21">
        <v>189</v>
      </c>
      <c r="AK56" s="21">
        <v>11</v>
      </c>
      <c r="AL56" s="21">
        <v>0</v>
      </c>
      <c r="AM56" s="21">
        <v>138</v>
      </c>
      <c r="AN56" s="21">
        <f>Table2[[#This Row],[Total Inspected2]]-Table2[[#This Row],[Inspect Pass8]]</f>
        <v>9</v>
      </c>
      <c r="AO56" s="21">
        <f>Table2[[#This Row],[Received2]]-Table2[[#This Row],[Total Inspected2]]</f>
        <v>11</v>
      </c>
      <c r="AP56" s="23">
        <f>Table2[[#This Row],[Inspect Pass8]]/Table2[[#This Row],[Received2]]</f>
        <v>0.87341772151898733</v>
      </c>
      <c r="AQ56" s="21">
        <v>7</v>
      </c>
      <c r="AR56" s="21">
        <v>6</v>
      </c>
      <c r="AS56" s="21">
        <v>1</v>
      </c>
      <c r="AT56" s="21">
        <v>3</v>
      </c>
      <c r="AU56" s="21">
        <f>Table2[[#This Row],[Inspectors11]]-Table2[[#This Row],[Training12]]-Table2[[#This Row],[Regular13]]</f>
        <v>2</v>
      </c>
      <c r="AV56" s="21"/>
      <c r="AW56" s="21"/>
      <c r="AX56" s="21"/>
      <c r="AY56" s="21"/>
      <c r="AZ56" s="21"/>
      <c r="BA56" s="21"/>
      <c r="BB56" s="21">
        <v>2</v>
      </c>
      <c r="BC56" s="21">
        <v>2</v>
      </c>
      <c r="BD56" s="21"/>
      <c r="BE56" s="21"/>
      <c r="BF56" s="21"/>
    </row>
    <row r="57" spans="2:58" hidden="1" x14ac:dyDescent="0.3">
      <c r="B57" s="21">
        <v>935</v>
      </c>
      <c r="C57" s="22">
        <v>45099</v>
      </c>
      <c r="D57" s="21">
        <f>WEEKDAY(Table2[[#This Row],[Date]])</f>
        <v>5</v>
      </c>
      <c r="E57" s="21">
        <v>2</v>
      </c>
      <c r="F57" s="21">
        <v>119</v>
      </c>
      <c r="G57" s="21">
        <v>735</v>
      </c>
      <c r="H57" s="21">
        <v>735</v>
      </c>
      <c r="I57" s="21">
        <v>0</v>
      </c>
      <c r="J57" s="21">
        <f t="shared" si="0"/>
        <v>735</v>
      </c>
      <c r="K57" s="21">
        <v>874.99999999999989</v>
      </c>
      <c r="L57" s="21">
        <v>0</v>
      </c>
      <c r="M57" s="21">
        <v>0</v>
      </c>
      <c r="N57" s="21">
        <v>705</v>
      </c>
      <c r="O57" s="21">
        <f>Table2[[#This Row],[Total Inspected]]-Table2[[#This Row],[Inspect Pass]]</f>
        <v>30</v>
      </c>
      <c r="P57" s="21">
        <f t="shared" si="1"/>
        <v>0</v>
      </c>
      <c r="Q57" s="23">
        <f>(Table2[[#This Row],[Inspect Pass]]/Table2[[#This Row],[Total Inspected]])</f>
        <v>0.95918367346938771</v>
      </c>
      <c r="R57" s="24">
        <f>Table2[[#This Row],[Inspect Pass]]*VLOOKUP(Table2[[#This Row],[LineA-ProdType]],'Other Lists'!$B$17:$H$19,7,FALSE)</f>
        <v>22560</v>
      </c>
      <c r="S57" s="24">
        <f>Table2[[#This Row],[Received]]*((VLOOKUP(Table2[[#This Row],[LineA-ProdType]],'Other Lists'!$B$16:$G$19,5,FALSE)+(VLOOKUP(Table2[[#This Row],[LineA-ProdType]],'Other Lists'!$B$16:$G$19,6,FALSE))))</f>
        <v>21168</v>
      </c>
      <c r="T57" s="24">
        <f>Table2[[#This Row],[Possible Supplier Income]]-Table2[[#This Row],[Supplier Cost of Parts]]</f>
        <v>1392</v>
      </c>
      <c r="U57" s="24">
        <f>Table2[[#This Row],[Inspect Not Pass]]*((VLOOKUP(Table2[[#This Row],[LineA-ProdType]],'Other Lists'!$B$17:$G$19,5,FALSE)+VLOOKUP(Table2[[#This Row],[LineA-ProdType]],'Other Lists'!$B$17:$G$19,6,FALSE)))</f>
        <v>864</v>
      </c>
      <c r="V57" s="21">
        <v>5</v>
      </c>
      <c r="W57" s="21">
        <v>1</v>
      </c>
      <c r="X57" s="21">
        <v>3</v>
      </c>
      <c r="Y57" s="21">
        <f>Table2[[#This Row],[Inspectors]]-Table2[[#This Row],[Training]]-Table2[[#This Row],[Regular]]</f>
        <v>1</v>
      </c>
      <c r="Z57" s="24">
        <f>VLOOKUP(Table2[[#This Row],[Shift]],'Other Lists'!$B$31:$H$36,7,FALSE)*8*Table2[[#This Row],[Training]]</f>
        <v>237.6</v>
      </c>
      <c r="AA57" s="24">
        <f>VLOOKUP(Table2[[#This Row],[Shift]],'Other Lists'!$B$31:$H$36,7,FALSE)*8*Table2[[#This Row],[Regular]]</f>
        <v>712.8</v>
      </c>
      <c r="AB57" s="24">
        <f>VLOOKUP(Table2[[#This Row],[Shift]],'Other Lists'!$B$31:$H$36,7,FALSE)*8*Table2[[#This Row],[Casual]]</f>
        <v>237.6</v>
      </c>
      <c r="AC57" s="24">
        <f>SUM(Table2[[#This Row],[Training $]:[Casual $]])</f>
        <v>1188</v>
      </c>
      <c r="AD57" s="24">
        <f>Table2[[#This Row],[Total Line A $]]/Table2[[#This Row],[Total Inspected]]</f>
        <v>1.616326530612245</v>
      </c>
      <c r="AE57" s="21">
        <v>105</v>
      </c>
      <c r="AF57" s="21">
        <v>175</v>
      </c>
      <c r="AG57" s="21">
        <v>175</v>
      </c>
      <c r="AH57" s="21">
        <v>0</v>
      </c>
      <c r="AI57" s="21">
        <f>Table2[[#This Row],[Received Inspected3]]+Table2[[#This Row],[Leftover Inspected4]]</f>
        <v>175</v>
      </c>
      <c r="AJ57" s="21">
        <v>189</v>
      </c>
      <c r="AK57" s="21">
        <v>0</v>
      </c>
      <c r="AL57" s="21">
        <v>0</v>
      </c>
      <c r="AM57" s="21">
        <v>166</v>
      </c>
      <c r="AN57" s="21">
        <f>Table2[[#This Row],[Total Inspected2]]-Table2[[#This Row],[Inspect Pass8]]</f>
        <v>9</v>
      </c>
      <c r="AO57" s="21">
        <f>Table2[[#This Row],[Received2]]-Table2[[#This Row],[Total Inspected2]]</f>
        <v>0</v>
      </c>
      <c r="AP57" s="23">
        <f>Table2[[#This Row],[Inspect Pass8]]/Table2[[#This Row],[Received2]]</f>
        <v>0.94857142857142862</v>
      </c>
      <c r="AQ57" s="21">
        <v>7</v>
      </c>
      <c r="AR57" s="21">
        <v>7</v>
      </c>
      <c r="AS57" s="21">
        <v>0</v>
      </c>
      <c r="AT57" s="21">
        <v>3</v>
      </c>
      <c r="AU57" s="21">
        <f>Table2[[#This Row],[Inspectors11]]-Table2[[#This Row],[Training12]]-Table2[[#This Row],[Regular13]]</f>
        <v>4</v>
      </c>
      <c r="AV57" s="21"/>
      <c r="AW57" s="21"/>
      <c r="AX57" s="21"/>
      <c r="AY57" s="21"/>
      <c r="AZ57" s="21"/>
      <c r="BA57" s="21"/>
      <c r="BB57" s="21">
        <v>2</v>
      </c>
      <c r="BC57" s="21">
        <v>2</v>
      </c>
      <c r="BD57" s="21"/>
      <c r="BE57" s="21"/>
      <c r="BF57" s="21"/>
    </row>
    <row r="58" spans="2:58" hidden="1" x14ac:dyDescent="0.3">
      <c r="B58" s="21">
        <v>936</v>
      </c>
      <c r="C58" s="22">
        <v>45100</v>
      </c>
      <c r="D58" s="21">
        <f>WEEKDAY(Table2[[#This Row],[Date]])</f>
        <v>6</v>
      </c>
      <c r="E58" s="21">
        <v>2</v>
      </c>
      <c r="F58" s="21">
        <v>201</v>
      </c>
      <c r="G58" s="21">
        <v>399</v>
      </c>
      <c r="H58" s="21">
        <v>353</v>
      </c>
      <c r="I58" s="21">
        <v>0</v>
      </c>
      <c r="J58" s="21">
        <f t="shared" si="0"/>
        <v>353</v>
      </c>
      <c r="K58" s="21">
        <v>350</v>
      </c>
      <c r="L58" s="21">
        <v>46</v>
      </c>
      <c r="M58" s="21">
        <v>0</v>
      </c>
      <c r="N58" s="21">
        <v>335</v>
      </c>
      <c r="O58" s="21">
        <f>Table2[[#This Row],[Total Inspected]]-Table2[[#This Row],[Inspect Pass]]</f>
        <v>18</v>
      </c>
      <c r="P58" s="21">
        <f t="shared" si="1"/>
        <v>46</v>
      </c>
      <c r="Q58" s="23">
        <f>(Table2[[#This Row],[Inspect Pass]]/Table2[[#This Row],[Total Inspected]])</f>
        <v>0.94900849858356939</v>
      </c>
      <c r="R58" s="24">
        <f>Table2[[#This Row],[Inspect Pass]]*VLOOKUP(Table2[[#This Row],[LineA-ProdType]],'Other Lists'!$B$17:$H$19,7,FALSE)</f>
        <v>23785</v>
      </c>
      <c r="S58" s="24">
        <f>Table2[[#This Row],[Received]]*((VLOOKUP(Table2[[#This Row],[LineA-ProdType]],'Other Lists'!$B$16:$G$19,5,FALSE)+(VLOOKUP(Table2[[#This Row],[LineA-ProdType]],'Other Lists'!$B$16:$G$19,6,FALSE))))</f>
        <v>19590.900000000001</v>
      </c>
      <c r="T58" s="24">
        <f>Table2[[#This Row],[Possible Supplier Income]]-Table2[[#This Row],[Supplier Cost of Parts]]</f>
        <v>4194.0999999999985</v>
      </c>
      <c r="U58" s="24">
        <f>Table2[[#This Row],[Inspect Not Pass]]*((VLOOKUP(Table2[[#This Row],[LineA-ProdType]],'Other Lists'!$B$17:$G$19,5,FALSE)+VLOOKUP(Table2[[#This Row],[LineA-ProdType]],'Other Lists'!$B$17:$G$19,6,FALSE)))</f>
        <v>883.80000000000007</v>
      </c>
      <c r="V58" s="21">
        <v>5</v>
      </c>
      <c r="W58" s="21">
        <v>0</v>
      </c>
      <c r="X58" s="21">
        <v>4</v>
      </c>
      <c r="Y58" s="21">
        <f>Table2[[#This Row],[Inspectors]]-Table2[[#This Row],[Training]]-Table2[[#This Row],[Regular]]</f>
        <v>1</v>
      </c>
      <c r="Z58" s="24">
        <f>VLOOKUP(Table2[[#This Row],[Shift]],'Other Lists'!$B$31:$H$36,7,FALSE)*8*Table2[[#This Row],[Training]]</f>
        <v>0</v>
      </c>
      <c r="AA58" s="24">
        <f>VLOOKUP(Table2[[#This Row],[Shift]],'Other Lists'!$B$31:$H$36,7,FALSE)*8*Table2[[#This Row],[Regular]]</f>
        <v>950.4</v>
      </c>
      <c r="AB58" s="24">
        <f>VLOOKUP(Table2[[#This Row],[Shift]],'Other Lists'!$B$31:$H$36,7,FALSE)*8*Table2[[#This Row],[Casual]]</f>
        <v>237.6</v>
      </c>
      <c r="AC58" s="24">
        <f>SUM(Table2[[#This Row],[Training $]:[Casual $]])</f>
        <v>1188</v>
      </c>
      <c r="AD58" s="24">
        <f>Table2[[#This Row],[Total Line A $]]/Table2[[#This Row],[Total Inspected]]</f>
        <v>3.3654390934844192</v>
      </c>
      <c r="AE58" s="21">
        <v>105</v>
      </c>
      <c r="AF58" s="21">
        <v>204</v>
      </c>
      <c r="AG58" s="21">
        <v>151</v>
      </c>
      <c r="AH58" s="21">
        <v>0</v>
      </c>
      <c r="AI58" s="21">
        <f>Table2[[#This Row],[Received Inspected3]]+Table2[[#This Row],[Leftover Inspected4]]</f>
        <v>151</v>
      </c>
      <c r="AJ58" s="21">
        <v>189</v>
      </c>
      <c r="AK58" s="21">
        <v>53</v>
      </c>
      <c r="AL58" s="21">
        <v>0</v>
      </c>
      <c r="AM58" s="21">
        <v>147</v>
      </c>
      <c r="AN58" s="21">
        <f>Table2[[#This Row],[Total Inspected2]]-Table2[[#This Row],[Inspect Pass8]]</f>
        <v>4</v>
      </c>
      <c r="AO58" s="21">
        <f>Table2[[#This Row],[Received2]]-Table2[[#This Row],[Total Inspected2]]</f>
        <v>53</v>
      </c>
      <c r="AP58" s="23">
        <f>Table2[[#This Row],[Inspect Pass8]]/Table2[[#This Row],[Received2]]</f>
        <v>0.72058823529411764</v>
      </c>
      <c r="AQ58" s="21">
        <v>7</v>
      </c>
      <c r="AR58" s="21">
        <v>6</v>
      </c>
      <c r="AS58" s="21">
        <v>1</v>
      </c>
      <c r="AT58" s="21">
        <v>4</v>
      </c>
      <c r="AU58" s="21">
        <f>Table2[[#This Row],[Inspectors11]]-Table2[[#This Row],[Training12]]-Table2[[#This Row],[Regular13]]</f>
        <v>1</v>
      </c>
      <c r="AV58" s="21"/>
      <c r="AW58" s="21"/>
      <c r="AX58" s="21"/>
      <c r="AY58" s="21"/>
      <c r="AZ58" s="21"/>
      <c r="BA58" s="21"/>
      <c r="BB58" s="21">
        <v>2</v>
      </c>
      <c r="BC58" s="21">
        <v>2</v>
      </c>
      <c r="BD58" s="21"/>
      <c r="BE58" s="21"/>
      <c r="BF58" s="21"/>
    </row>
    <row r="59" spans="2:58" hidden="1" x14ac:dyDescent="0.3">
      <c r="B59" s="21">
        <v>937</v>
      </c>
      <c r="C59" s="22">
        <v>45101</v>
      </c>
      <c r="D59" s="21">
        <f>WEEKDAY(Table2[[#This Row],[Date]])</f>
        <v>7</v>
      </c>
      <c r="E59" s="21">
        <v>2</v>
      </c>
      <c r="F59" s="21">
        <v>201</v>
      </c>
      <c r="G59" s="21">
        <v>399</v>
      </c>
      <c r="H59" s="21">
        <v>332</v>
      </c>
      <c r="I59" s="21">
        <v>0</v>
      </c>
      <c r="J59" s="21">
        <f t="shared" si="0"/>
        <v>332</v>
      </c>
      <c r="K59" s="21">
        <v>350</v>
      </c>
      <c r="L59" s="21">
        <v>67</v>
      </c>
      <c r="M59" s="21">
        <v>0</v>
      </c>
      <c r="N59" s="21">
        <v>315</v>
      </c>
      <c r="O59" s="21">
        <f>Table2[[#This Row],[Total Inspected]]-Table2[[#This Row],[Inspect Pass]]</f>
        <v>17</v>
      </c>
      <c r="P59" s="21">
        <f t="shared" si="1"/>
        <v>67</v>
      </c>
      <c r="Q59" s="23">
        <f>(Table2[[#This Row],[Inspect Pass]]/Table2[[#This Row],[Total Inspected]])</f>
        <v>0.9487951807228916</v>
      </c>
      <c r="R59" s="24">
        <f>Table2[[#This Row],[Inspect Pass]]*VLOOKUP(Table2[[#This Row],[LineA-ProdType]],'Other Lists'!$B$17:$H$19,7,FALSE)</f>
        <v>22365</v>
      </c>
      <c r="S59" s="24">
        <f>Table2[[#This Row],[Received]]*((VLOOKUP(Table2[[#This Row],[LineA-ProdType]],'Other Lists'!$B$16:$G$19,5,FALSE)+(VLOOKUP(Table2[[#This Row],[LineA-ProdType]],'Other Lists'!$B$16:$G$19,6,FALSE))))</f>
        <v>19590.900000000001</v>
      </c>
      <c r="T59" s="24">
        <f>Table2[[#This Row],[Possible Supplier Income]]-Table2[[#This Row],[Supplier Cost of Parts]]</f>
        <v>2774.0999999999985</v>
      </c>
      <c r="U59" s="24">
        <f>Table2[[#This Row],[Inspect Not Pass]]*((VLOOKUP(Table2[[#This Row],[LineA-ProdType]],'Other Lists'!$B$17:$G$19,5,FALSE)+VLOOKUP(Table2[[#This Row],[LineA-ProdType]],'Other Lists'!$B$17:$G$19,6,FALSE)))</f>
        <v>834.7</v>
      </c>
      <c r="V59" s="21">
        <v>5</v>
      </c>
      <c r="W59" s="21">
        <v>0</v>
      </c>
      <c r="X59" s="21">
        <v>3</v>
      </c>
      <c r="Y59" s="21">
        <f>Table2[[#This Row],[Inspectors]]-Table2[[#This Row],[Training]]-Table2[[#This Row],[Regular]]</f>
        <v>2</v>
      </c>
      <c r="Z59" s="24">
        <f>VLOOKUP(Table2[[#This Row],[Shift]],'Other Lists'!$B$31:$H$36,7,FALSE)*8*Table2[[#This Row],[Training]]</f>
        <v>0</v>
      </c>
      <c r="AA59" s="24">
        <f>VLOOKUP(Table2[[#This Row],[Shift]],'Other Lists'!$B$31:$H$36,7,FALSE)*8*Table2[[#This Row],[Regular]]</f>
        <v>712.8</v>
      </c>
      <c r="AB59" s="24">
        <f>VLOOKUP(Table2[[#This Row],[Shift]],'Other Lists'!$B$31:$H$36,7,FALSE)*8*Table2[[#This Row],[Casual]]</f>
        <v>475.2</v>
      </c>
      <c r="AC59" s="24">
        <f>SUM(Table2[[#This Row],[Training $]:[Casual $]])</f>
        <v>1188</v>
      </c>
      <c r="AD59" s="24">
        <f>Table2[[#This Row],[Total Line A $]]/Table2[[#This Row],[Total Inspected]]</f>
        <v>3.5783132530120483</v>
      </c>
      <c r="AE59" s="21">
        <v>105</v>
      </c>
      <c r="AF59" s="21">
        <v>166</v>
      </c>
      <c r="AG59" s="21">
        <v>166</v>
      </c>
      <c r="AH59" s="21">
        <v>0</v>
      </c>
      <c r="AI59" s="21">
        <f>Table2[[#This Row],[Received Inspected3]]+Table2[[#This Row],[Leftover Inspected4]]</f>
        <v>166</v>
      </c>
      <c r="AJ59" s="21">
        <v>189</v>
      </c>
      <c r="AK59" s="21">
        <v>0</v>
      </c>
      <c r="AL59" s="21">
        <v>0</v>
      </c>
      <c r="AM59" s="21">
        <v>162</v>
      </c>
      <c r="AN59" s="21">
        <f>Table2[[#This Row],[Total Inspected2]]-Table2[[#This Row],[Inspect Pass8]]</f>
        <v>4</v>
      </c>
      <c r="AO59" s="21">
        <f>Table2[[#This Row],[Received2]]-Table2[[#This Row],[Total Inspected2]]</f>
        <v>0</v>
      </c>
      <c r="AP59" s="23">
        <f>Table2[[#This Row],[Inspect Pass8]]/Table2[[#This Row],[Received2]]</f>
        <v>0.97590361445783136</v>
      </c>
      <c r="AQ59" s="21">
        <v>7</v>
      </c>
      <c r="AR59" s="21">
        <v>7</v>
      </c>
      <c r="AS59" s="21">
        <v>0</v>
      </c>
      <c r="AT59" s="21">
        <v>4</v>
      </c>
      <c r="AU59" s="21">
        <f>Table2[[#This Row],[Inspectors11]]-Table2[[#This Row],[Training12]]-Table2[[#This Row],[Regular13]]</f>
        <v>3</v>
      </c>
      <c r="AV59" s="21"/>
      <c r="AW59" s="21"/>
      <c r="AX59" s="21"/>
      <c r="AY59" s="21"/>
      <c r="AZ59" s="21"/>
      <c r="BA59" s="21"/>
      <c r="BB59" s="21">
        <v>2</v>
      </c>
      <c r="BC59" s="21">
        <v>2</v>
      </c>
      <c r="BD59" s="21"/>
      <c r="BE59" s="21"/>
      <c r="BF59" s="21"/>
    </row>
    <row r="60" spans="2:58" x14ac:dyDescent="0.3">
      <c r="B60" s="21">
        <v>938</v>
      </c>
      <c r="C60" s="22">
        <v>45102</v>
      </c>
      <c r="D60" s="21">
        <f>WEEKDAY(Table2[[#This Row],[Date]])</f>
        <v>1</v>
      </c>
      <c r="E60" s="21">
        <v>2</v>
      </c>
      <c r="F60" s="21">
        <v>119</v>
      </c>
      <c r="G60" s="21">
        <v>385</v>
      </c>
      <c r="H60" s="21">
        <v>350</v>
      </c>
      <c r="I60" s="21">
        <v>0</v>
      </c>
      <c r="J60" s="21">
        <f t="shared" si="0"/>
        <v>350</v>
      </c>
      <c r="K60" s="21">
        <v>349.99999999999994</v>
      </c>
      <c r="L60" s="21">
        <v>35</v>
      </c>
      <c r="M60" s="21">
        <v>0</v>
      </c>
      <c r="N60" s="21">
        <v>343</v>
      </c>
      <c r="O60" s="21">
        <f>Table2[[#This Row],[Total Inspected]]-Table2[[#This Row],[Inspect Pass]]</f>
        <v>7</v>
      </c>
      <c r="P60" s="21">
        <f t="shared" si="1"/>
        <v>35</v>
      </c>
      <c r="Q60" s="23">
        <f>(Table2[[#This Row],[Inspect Pass]]/Table2[[#This Row],[Total Inspected]])</f>
        <v>0.98</v>
      </c>
      <c r="R60" s="24">
        <f>Table2[[#This Row],[Inspect Pass]]*VLOOKUP(Table2[[#This Row],[LineA-ProdType]],'Other Lists'!$B$17:$H$19,7,FALSE)</f>
        <v>10976</v>
      </c>
      <c r="S60" s="24">
        <f>Table2[[#This Row],[Received]]*((VLOOKUP(Table2[[#This Row],[LineA-ProdType]],'Other Lists'!$B$16:$G$19,5,FALSE)+(VLOOKUP(Table2[[#This Row],[LineA-ProdType]],'Other Lists'!$B$16:$G$19,6,FALSE))))</f>
        <v>11088</v>
      </c>
      <c r="T60" s="24">
        <f>Table2[[#This Row],[Possible Supplier Income]]-Table2[[#This Row],[Supplier Cost of Parts]]</f>
        <v>-112</v>
      </c>
      <c r="U60" s="24">
        <f>Table2[[#This Row],[Inspect Not Pass]]*((VLOOKUP(Table2[[#This Row],[LineA-ProdType]],'Other Lists'!$B$17:$G$19,5,FALSE)+VLOOKUP(Table2[[#This Row],[LineA-ProdType]],'Other Lists'!$B$17:$G$19,6,FALSE)))</f>
        <v>201.6</v>
      </c>
      <c r="V60" s="21">
        <v>2</v>
      </c>
      <c r="W60" s="21">
        <v>0</v>
      </c>
      <c r="X60" s="21">
        <v>1</v>
      </c>
      <c r="Y60" s="21">
        <f>Table2[[#This Row],[Inspectors]]-Table2[[#This Row],[Training]]-Table2[[#This Row],[Regular]]</f>
        <v>1</v>
      </c>
      <c r="Z60" s="24">
        <f>VLOOKUP(Table2[[#This Row],[Shift]],'Other Lists'!$B$31:$H$36,7,FALSE)*8*Table2[[#This Row],[Training]]</f>
        <v>0</v>
      </c>
      <c r="AA60" s="24">
        <f>VLOOKUP(Table2[[#This Row],[Shift]],'Other Lists'!$B$31:$H$36,7,FALSE)*8*Table2[[#This Row],[Regular]]</f>
        <v>237.6</v>
      </c>
      <c r="AB60" s="24">
        <f>VLOOKUP(Table2[[#This Row],[Shift]],'Other Lists'!$B$31:$H$36,7,FALSE)*8*Table2[[#This Row],[Casual]]</f>
        <v>237.6</v>
      </c>
      <c r="AC60" s="24">
        <f>SUM(Table2[[#This Row],[Training $]:[Casual $]])</f>
        <v>475.2</v>
      </c>
      <c r="AD60" s="24">
        <f>Table2[[#This Row],[Total Line A $]]/Table2[[#This Row],[Total Inspected]]</f>
        <v>1.3577142857142857</v>
      </c>
      <c r="AE60" s="21">
        <v>105</v>
      </c>
      <c r="AF60" s="21">
        <v>76</v>
      </c>
      <c r="AG60" s="21">
        <v>76</v>
      </c>
      <c r="AH60" s="21">
        <v>0</v>
      </c>
      <c r="AI60" s="21">
        <f>Table2[[#This Row],[Received Inspected3]]+Table2[[#This Row],[Leftover Inspected4]]</f>
        <v>76</v>
      </c>
      <c r="AJ60" s="21">
        <v>81</v>
      </c>
      <c r="AK60" s="21">
        <v>0</v>
      </c>
      <c r="AL60" s="21">
        <v>0</v>
      </c>
      <c r="AM60" s="21">
        <v>73</v>
      </c>
      <c r="AN60" s="21">
        <f>Table2[[#This Row],[Total Inspected2]]-Table2[[#This Row],[Inspect Pass8]]</f>
        <v>3</v>
      </c>
      <c r="AO60" s="21">
        <f>Table2[[#This Row],[Received2]]-Table2[[#This Row],[Total Inspected2]]</f>
        <v>0</v>
      </c>
      <c r="AP60" s="23">
        <f>Table2[[#This Row],[Inspect Pass8]]/Table2[[#This Row],[Received2]]</f>
        <v>0.96052631578947367</v>
      </c>
      <c r="AQ60" s="21">
        <v>3</v>
      </c>
      <c r="AR60" s="21">
        <v>3</v>
      </c>
      <c r="AS60" s="21">
        <v>0</v>
      </c>
      <c r="AT60" s="21">
        <v>1</v>
      </c>
      <c r="AU60" s="21">
        <f>Table2[[#This Row],[Inspectors11]]-Table2[[#This Row],[Training12]]-Table2[[#This Row],[Regular13]]</f>
        <v>2</v>
      </c>
      <c r="AV60" s="21"/>
      <c r="AW60" s="21"/>
      <c r="AX60" s="21"/>
      <c r="AY60" s="21"/>
      <c r="AZ60" s="21"/>
      <c r="BA60" s="21"/>
      <c r="BB60" s="21">
        <v>1</v>
      </c>
      <c r="BC60" s="21">
        <v>1</v>
      </c>
      <c r="BD60" s="21"/>
      <c r="BE60" s="21"/>
      <c r="BF60" s="21"/>
    </row>
    <row r="61" spans="2:58" x14ac:dyDescent="0.3">
      <c r="B61" s="21">
        <v>939</v>
      </c>
      <c r="C61" s="22">
        <v>45103</v>
      </c>
      <c r="D61" s="21">
        <f>WEEKDAY(Table2[[#This Row],[Date]])</f>
        <v>2</v>
      </c>
      <c r="E61" s="21">
        <v>2</v>
      </c>
      <c r="F61" s="21">
        <v>201</v>
      </c>
      <c r="G61" s="21">
        <v>149</v>
      </c>
      <c r="H61" s="21">
        <v>145</v>
      </c>
      <c r="I61" s="21">
        <v>0</v>
      </c>
      <c r="J61" s="21">
        <f t="shared" si="0"/>
        <v>145</v>
      </c>
      <c r="K61" s="21">
        <v>140</v>
      </c>
      <c r="L61" s="21">
        <v>4</v>
      </c>
      <c r="M61" s="21">
        <v>0</v>
      </c>
      <c r="N61" s="21">
        <v>134</v>
      </c>
      <c r="O61" s="21">
        <f>Table2[[#This Row],[Total Inspected]]-Table2[[#This Row],[Inspect Pass]]</f>
        <v>11</v>
      </c>
      <c r="P61" s="21">
        <f t="shared" si="1"/>
        <v>4</v>
      </c>
      <c r="Q61" s="23">
        <f>(Table2[[#This Row],[Inspect Pass]]/Table2[[#This Row],[Total Inspected]])</f>
        <v>0.92413793103448272</v>
      </c>
      <c r="R61" s="24">
        <f>Table2[[#This Row],[Inspect Pass]]*VLOOKUP(Table2[[#This Row],[LineA-ProdType]],'Other Lists'!$B$17:$H$19,7,FALSE)</f>
        <v>9514</v>
      </c>
      <c r="S61" s="24">
        <f>Table2[[#This Row],[Received]]*((VLOOKUP(Table2[[#This Row],[LineA-ProdType]],'Other Lists'!$B$16:$G$19,5,FALSE)+(VLOOKUP(Table2[[#This Row],[LineA-ProdType]],'Other Lists'!$B$16:$G$19,6,FALSE))))</f>
        <v>7315.9000000000005</v>
      </c>
      <c r="T61" s="24">
        <f>Table2[[#This Row],[Possible Supplier Income]]-Table2[[#This Row],[Supplier Cost of Parts]]</f>
        <v>2198.0999999999995</v>
      </c>
      <c r="U61" s="24">
        <f>Table2[[#This Row],[Inspect Not Pass]]*((VLOOKUP(Table2[[#This Row],[LineA-ProdType]],'Other Lists'!$B$17:$G$19,5,FALSE)+VLOOKUP(Table2[[#This Row],[LineA-ProdType]],'Other Lists'!$B$17:$G$19,6,FALSE)))</f>
        <v>540.1</v>
      </c>
      <c r="V61" s="21">
        <v>2</v>
      </c>
      <c r="W61" s="21">
        <v>0</v>
      </c>
      <c r="X61" s="21">
        <v>1</v>
      </c>
      <c r="Y61" s="21">
        <f>Table2[[#This Row],[Inspectors]]-Table2[[#This Row],[Training]]-Table2[[#This Row],[Regular]]</f>
        <v>1</v>
      </c>
      <c r="Z61" s="24">
        <f>VLOOKUP(Table2[[#This Row],[Shift]],'Other Lists'!$B$31:$H$36,7,FALSE)*8*Table2[[#This Row],[Training]]</f>
        <v>0</v>
      </c>
      <c r="AA61" s="24">
        <f>VLOOKUP(Table2[[#This Row],[Shift]],'Other Lists'!$B$31:$H$36,7,FALSE)*8*Table2[[#This Row],[Regular]]</f>
        <v>237.6</v>
      </c>
      <c r="AB61" s="24">
        <f>VLOOKUP(Table2[[#This Row],[Shift]],'Other Lists'!$B$31:$H$36,7,FALSE)*8*Table2[[#This Row],[Casual]]</f>
        <v>237.6</v>
      </c>
      <c r="AC61" s="24">
        <f>SUM(Table2[[#This Row],[Training $]:[Casual $]])</f>
        <v>475.2</v>
      </c>
      <c r="AD61" s="24">
        <f>Table2[[#This Row],[Total Line A $]]/Table2[[#This Row],[Total Inspected]]</f>
        <v>3.2772413793103445</v>
      </c>
      <c r="AE61" s="21">
        <v>105</v>
      </c>
      <c r="AF61" s="21">
        <v>93</v>
      </c>
      <c r="AG61" s="21">
        <v>83</v>
      </c>
      <c r="AH61" s="21">
        <v>0</v>
      </c>
      <c r="AI61" s="21">
        <f>Table2[[#This Row],[Received Inspected3]]+Table2[[#This Row],[Leftover Inspected4]]</f>
        <v>83</v>
      </c>
      <c r="AJ61" s="21">
        <v>81</v>
      </c>
      <c r="AK61" s="21">
        <v>10</v>
      </c>
      <c r="AL61" s="21">
        <v>0</v>
      </c>
      <c r="AM61" s="21">
        <v>77</v>
      </c>
      <c r="AN61" s="21">
        <f>Table2[[#This Row],[Total Inspected2]]-Table2[[#This Row],[Inspect Pass8]]</f>
        <v>6</v>
      </c>
      <c r="AO61" s="21">
        <f>Table2[[#This Row],[Received2]]-Table2[[#This Row],[Total Inspected2]]</f>
        <v>10</v>
      </c>
      <c r="AP61" s="23">
        <f>Table2[[#This Row],[Inspect Pass8]]/Table2[[#This Row],[Received2]]</f>
        <v>0.82795698924731187</v>
      </c>
      <c r="AQ61" s="21">
        <v>3</v>
      </c>
      <c r="AR61" s="21">
        <v>3</v>
      </c>
      <c r="AS61" s="21">
        <v>0</v>
      </c>
      <c r="AT61" s="21">
        <v>1</v>
      </c>
      <c r="AU61" s="21">
        <f>Table2[[#This Row],[Inspectors11]]-Table2[[#This Row],[Training12]]-Table2[[#This Row],[Regular13]]</f>
        <v>2</v>
      </c>
      <c r="AV61" s="21"/>
      <c r="AW61" s="21"/>
      <c r="AX61" s="21"/>
      <c r="AY61" s="21"/>
      <c r="AZ61" s="21"/>
      <c r="BA61" s="21"/>
      <c r="BB61" s="21">
        <v>1</v>
      </c>
      <c r="BC61" s="21">
        <v>1</v>
      </c>
      <c r="BD61" s="21"/>
      <c r="BE61" s="21"/>
      <c r="BF61" s="21"/>
    </row>
    <row r="62" spans="2:58" hidden="1" x14ac:dyDescent="0.3">
      <c r="B62" s="21">
        <v>940</v>
      </c>
      <c r="C62" s="22">
        <v>45104</v>
      </c>
      <c r="D62" s="21">
        <f>WEEKDAY(Table2[[#This Row],[Date]])</f>
        <v>3</v>
      </c>
      <c r="E62" s="21">
        <v>2</v>
      </c>
      <c r="F62" s="21">
        <v>201</v>
      </c>
      <c r="G62" s="21">
        <v>367</v>
      </c>
      <c r="H62" s="21">
        <v>367</v>
      </c>
      <c r="I62" s="21">
        <v>0</v>
      </c>
      <c r="J62" s="21">
        <f t="shared" si="0"/>
        <v>367</v>
      </c>
      <c r="K62" s="21">
        <v>350</v>
      </c>
      <c r="L62" s="21">
        <v>0</v>
      </c>
      <c r="M62" s="21">
        <v>0</v>
      </c>
      <c r="N62" s="21">
        <v>341</v>
      </c>
      <c r="O62" s="21">
        <f>Table2[[#This Row],[Total Inspected]]-Table2[[#This Row],[Inspect Pass]]</f>
        <v>26</v>
      </c>
      <c r="P62" s="21">
        <f t="shared" si="1"/>
        <v>0</v>
      </c>
      <c r="Q62" s="23">
        <f>(Table2[[#This Row],[Inspect Pass]]/Table2[[#This Row],[Total Inspected]])</f>
        <v>0.92915531335149859</v>
      </c>
      <c r="R62" s="24">
        <f>Table2[[#This Row],[Inspect Pass]]*VLOOKUP(Table2[[#This Row],[LineA-ProdType]],'Other Lists'!$B$17:$H$19,7,FALSE)</f>
        <v>24211</v>
      </c>
      <c r="S62" s="24">
        <f>Table2[[#This Row],[Received]]*((VLOOKUP(Table2[[#This Row],[LineA-ProdType]],'Other Lists'!$B$16:$G$19,5,FALSE)+(VLOOKUP(Table2[[#This Row],[LineA-ProdType]],'Other Lists'!$B$16:$G$19,6,FALSE))))</f>
        <v>18019.7</v>
      </c>
      <c r="T62" s="24">
        <f>Table2[[#This Row],[Possible Supplier Income]]-Table2[[#This Row],[Supplier Cost of Parts]]</f>
        <v>6191.2999999999993</v>
      </c>
      <c r="U62" s="24">
        <f>Table2[[#This Row],[Inspect Not Pass]]*((VLOOKUP(Table2[[#This Row],[LineA-ProdType]],'Other Lists'!$B$17:$G$19,5,FALSE)+VLOOKUP(Table2[[#This Row],[LineA-ProdType]],'Other Lists'!$B$17:$G$19,6,FALSE)))</f>
        <v>1276.6000000000001</v>
      </c>
      <c r="V62" s="21">
        <v>5</v>
      </c>
      <c r="W62" s="21">
        <v>0</v>
      </c>
      <c r="X62" s="21">
        <v>4</v>
      </c>
      <c r="Y62" s="21">
        <f>Table2[[#This Row],[Inspectors]]-Table2[[#This Row],[Training]]-Table2[[#This Row],[Regular]]</f>
        <v>1</v>
      </c>
      <c r="Z62" s="24">
        <f>VLOOKUP(Table2[[#This Row],[Shift]],'Other Lists'!$B$31:$H$36,7,FALSE)*8*Table2[[#This Row],[Training]]</f>
        <v>0</v>
      </c>
      <c r="AA62" s="24">
        <f>VLOOKUP(Table2[[#This Row],[Shift]],'Other Lists'!$B$31:$H$36,7,FALSE)*8*Table2[[#This Row],[Regular]]</f>
        <v>950.4</v>
      </c>
      <c r="AB62" s="24">
        <f>VLOOKUP(Table2[[#This Row],[Shift]],'Other Lists'!$B$31:$H$36,7,FALSE)*8*Table2[[#This Row],[Casual]]</f>
        <v>237.6</v>
      </c>
      <c r="AC62" s="24">
        <f>SUM(Table2[[#This Row],[Training $]:[Casual $]])</f>
        <v>1188</v>
      </c>
      <c r="AD62" s="24">
        <f>Table2[[#This Row],[Total Line A $]]/Table2[[#This Row],[Total Inspected]]</f>
        <v>3.2370572207084467</v>
      </c>
      <c r="AE62" s="21">
        <v>105</v>
      </c>
      <c r="AF62" s="21">
        <v>179</v>
      </c>
      <c r="AG62" s="21">
        <v>179</v>
      </c>
      <c r="AH62" s="21">
        <v>0</v>
      </c>
      <c r="AI62" s="21">
        <f>Table2[[#This Row],[Received Inspected3]]+Table2[[#This Row],[Leftover Inspected4]]</f>
        <v>179</v>
      </c>
      <c r="AJ62" s="21">
        <v>189</v>
      </c>
      <c r="AK62" s="21">
        <v>0</v>
      </c>
      <c r="AL62" s="21">
        <v>0</v>
      </c>
      <c r="AM62" s="21">
        <v>168</v>
      </c>
      <c r="AN62" s="21">
        <f>Table2[[#This Row],[Total Inspected2]]-Table2[[#This Row],[Inspect Pass8]]</f>
        <v>11</v>
      </c>
      <c r="AO62" s="21">
        <f>Table2[[#This Row],[Received2]]-Table2[[#This Row],[Total Inspected2]]</f>
        <v>0</v>
      </c>
      <c r="AP62" s="23">
        <f>Table2[[#This Row],[Inspect Pass8]]/Table2[[#This Row],[Received2]]</f>
        <v>0.93854748603351956</v>
      </c>
      <c r="AQ62" s="21">
        <v>7</v>
      </c>
      <c r="AR62" s="21">
        <v>7</v>
      </c>
      <c r="AS62" s="21">
        <v>0</v>
      </c>
      <c r="AT62" s="21">
        <v>4</v>
      </c>
      <c r="AU62" s="21">
        <f>Table2[[#This Row],[Inspectors11]]-Table2[[#This Row],[Training12]]-Table2[[#This Row],[Regular13]]</f>
        <v>3</v>
      </c>
      <c r="AV62" s="21"/>
      <c r="AW62" s="21"/>
      <c r="AX62" s="21"/>
      <c r="AY62" s="21"/>
      <c r="AZ62" s="21"/>
      <c r="BA62" s="21"/>
      <c r="BB62" s="21">
        <v>2</v>
      </c>
      <c r="BC62" s="21">
        <v>2</v>
      </c>
      <c r="BD62" s="21"/>
      <c r="BE62" s="21"/>
      <c r="BF62" s="21"/>
    </row>
    <row r="63" spans="2:58" hidden="1" x14ac:dyDescent="0.3">
      <c r="B63" s="21">
        <v>941</v>
      </c>
      <c r="C63" s="22">
        <v>45105</v>
      </c>
      <c r="D63" s="21">
        <f>WEEKDAY(Table2[[#This Row],[Date]])</f>
        <v>4</v>
      </c>
      <c r="E63" s="21">
        <v>2</v>
      </c>
      <c r="F63" s="21">
        <v>119</v>
      </c>
      <c r="G63" s="21">
        <v>901</v>
      </c>
      <c r="H63" s="21">
        <v>796</v>
      </c>
      <c r="I63" s="21">
        <v>0</v>
      </c>
      <c r="J63" s="21">
        <f t="shared" si="0"/>
        <v>796</v>
      </c>
      <c r="K63" s="21">
        <v>874.99999999999989</v>
      </c>
      <c r="L63" s="21">
        <v>105</v>
      </c>
      <c r="M63" s="21">
        <v>0</v>
      </c>
      <c r="N63" s="21">
        <v>780</v>
      </c>
      <c r="O63" s="21">
        <f>Table2[[#This Row],[Total Inspected]]-Table2[[#This Row],[Inspect Pass]]</f>
        <v>16</v>
      </c>
      <c r="P63" s="21">
        <f t="shared" si="1"/>
        <v>105</v>
      </c>
      <c r="Q63" s="23">
        <f>(Table2[[#This Row],[Inspect Pass]]/Table2[[#This Row],[Total Inspected]])</f>
        <v>0.97989949748743721</v>
      </c>
      <c r="R63" s="24">
        <f>Table2[[#This Row],[Inspect Pass]]*VLOOKUP(Table2[[#This Row],[LineA-ProdType]],'Other Lists'!$B$17:$H$19,7,FALSE)</f>
        <v>24960</v>
      </c>
      <c r="S63" s="24">
        <f>Table2[[#This Row],[Received]]*((VLOOKUP(Table2[[#This Row],[LineA-ProdType]],'Other Lists'!$B$16:$G$19,5,FALSE)+(VLOOKUP(Table2[[#This Row],[LineA-ProdType]],'Other Lists'!$B$16:$G$19,6,FALSE))))</f>
        <v>25948.799999999999</v>
      </c>
      <c r="T63" s="24">
        <f>Table2[[#This Row],[Possible Supplier Income]]-Table2[[#This Row],[Supplier Cost of Parts]]</f>
        <v>-988.79999999999927</v>
      </c>
      <c r="U63" s="24">
        <f>Table2[[#This Row],[Inspect Not Pass]]*((VLOOKUP(Table2[[#This Row],[LineA-ProdType]],'Other Lists'!$B$17:$G$19,5,FALSE)+VLOOKUP(Table2[[#This Row],[LineA-ProdType]],'Other Lists'!$B$17:$G$19,6,FALSE)))</f>
        <v>460.8</v>
      </c>
      <c r="V63" s="21">
        <v>5</v>
      </c>
      <c r="W63" s="21">
        <v>1</v>
      </c>
      <c r="X63" s="21">
        <v>3</v>
      </c>
      <c r="Y63" s="21">
        <f>Table2[[#This Row],[Inspectors]]-Table2[[#This Row],[Training]]-Table2[[#This Row],[Regular]]</f>
        <v>1</v>
      </c>
      <c r="Z63" s="24">
        <f>VLOOKUP(Table2[[#This Row],[Shift]],'Other Lists'!$B$31:$H$36,7,FALSE)*8*Table2[[#This Row],[Training]]</f>
        <v>237.6</v>
      </c>
      <c r="AA63" s="24">
        <f>VLOOKUP(Table2[[#This Row],[Shift]],'Other Lists'!$B$31:$H$36,7,FALSE)*8*Table2[[#This Row],[Regular]]</f>
        <v>712.8</v>
      </c>
      <c r="AB63" s="24">
        <f>VLOOKUP(Table2[[#This Row],[Shift]],'Other Lists'!$B$31:$H$36,7,FALSE)*8*Table2[[#This Row],[Casual]]</f>
        <v>237.6</v>
      </c>
      <c r="AC63" s="24">
        <f>SUM(Table2[[#This Row],[Training $]:[Casual $]])</f>
        <v>1188</v>
      </c>
      <c r="AD63" s="24">
        <f>Table2[[#This Row],[Total Line A $]]/Table2[[#This Row],[Total Inspected]]</f>
        <v>1.4924623115577889</v>
      </c>
      <c r="AE63" s="21">
        <v>105</v>
      </c>
      <c r="AF63" s="21">
        <v>202</v>
      </c>
      <c r="AG63" s="21">
        <v>196</v>
      </c>
      <c r="AH63" s="21">
        <v>0</v>
      </c>
      <c r="AI63" s="21">
        <f>Table2[[#This Row],[Received Inspected3]]+Table2[[#This Row],[Leftover Inspected4]]</f>
        <v>196</v>
      </c>
      <c r="AJ63" s="21">
        <v>189</v>
      </c>
      <c r="AK63" s="21">
        <v>6</v>
      </c>
      <c r="AL63" s="21">
        <v>0</v>
      </c>
      <c r="AM63" s="21">
        <v>182</v>
      </c>
      <c r="AN63" s="21">
        <f>Table2[[#This Row],[Total Inspected2]]-Table2[[#This Row],[Inspect Pass8]]</f>
        <v>14</v>
      </c>
      <c r="AO63" s="21">
        <f>Table2[[#This Row],[Received2]]-Table2[[#This Row],[Total Inspected2]]</f>
        <v>6</v>
      </c>
      <c r="AP63" s="23">
        <f>Table2[[#This Row],[Inspect Pass8]]/Table2[[#This Row],[Received2]]</f>
        <v>0.90099009900990101</v>
      </c>
      <c r="AQ63" s="21">
        <v>7</v>
      </c>
      <c r="AR63" s="21">
        <v>7</v>
      </c>
      <c r="AS63" s="21">
        <v>0</v>
      </c>
      <c r="AT63" s="21">
        <v>3</v>
      </c>
      <c r="AU63" s="21">
        <f>Table2[[#This Row],[Inspectors11]]-Table2[[#This Row],[Training12]]-Table2[[#This Row],[Regular13]]</f>
        <v>4</v>
      </c>
      <c r="AV63" s="21"/>
      <c r="AW63" s="21"/>
      <c r="AX63" s="21"/>
      <c r="AY63" s="21"/>
      <c r="AZ63" s="21"/>
      <c r="BA63" s="21"/>
      <c r="BB63" s="21">
        <v>2</v>
      </c>
      <c r="BC63" s="21">
        <v>2</v>
      </c>
      <c r="BD63" s="21"/>
      <c r="BE63" s="21"/>
      <c r="BF63" s="21"/>
    </row>
    <row r="64" spans="2:58" hidden="1" x14ac:dyDescent="0.3">
      <c r="B64" s="21">
        <v>942</v>
      </c>
      <c r="C64" s="22">
        <v>45106</v>
      </c>
      <c r="D64" s="21">
        <f>WEEKDAY(Table2[[#This Row],[Date]])</f>
        <v>5</v>
      </c>
      <c r="E64" s="21">
        <v>2</v>
      </c>
      <c r="F64" s="21">
        <v>201</v>
      </c>
      <c r="G64" s="21">
        <v>395</v>
      </c>
      <c r="H64" s="21">
        <v>339</v>
      </c>
      <c r="I64" s="21">
        <v>0</v>
      </c>
      <c r="J64" s="21">
        <f t="shared" si="0"/>
        <v>339</v>
      </c>
      <c r="K64" s="21">
        <v>350</v>
      </c>
      <c r="L64" s="21">
        <v>56</v>
      </c>
      <c r="M64" s="21">
        <v>0</v>
      </c>
      <c r="N64" s="21">
        <v>322</v>
      </c>
      <c r="O64" s="21">
        <f>Table2[[#This Row],[Total Inspected]]-Table2[[#This Row],[Inspect Pass]]</f>
        <v>17</v>
      </c>
      <c r="P64" s="21">
        <f t="shared" si="1"/>
        <v>56</v>
      </c>
      <c r="Q64" s="23">
        <f>(Table2[[#This Row],[Inspect Pass]]/Table2[[#This Row],[Total Inspected]])</f>
        <v>0.94985250737463123</v>
      </c>
      <c r="R64" s="24">
        <f>Table2[[#This Row],[Inspect Pass]]*VLOOKUP(Table2[[#This Row],[LineA-ProdType]],'Other Lists'!$B$17:$H$19,7,FALSE)</f>
        <v>22862</v>
      </c>
      <c r="S64" s="24">
        <f>Table2[[#This Row],[Received]]*((VLOOKUP(Table2[[#This Row],[LineA-ProdType]],'Other Lists'!$B$16:$G$19,5,FALSE)+(VLOOKUP(Table2[[#This Row],[LineA-ProdType]],'Other Lists'!$B$16:$G$19,6,FALSE))))</f>
        <v>19394.5</v>
      </c>
      <c r="T64" s="24">
        <f>Table2[[#This Row],[Possible Supplier Income]]-Table2[[#This Row],[Supplier Cost of Parts]]</f>
        <v>3467.5</v>
      </c>
      <c r="U64" s="24">
        <f>Table2[[#This Row],[Inspect Not Pass]]*((VLOOKUP(Table2[[#This Row],[LineA-ProdType]],'Other Lists'!$B$17:$G$19,5,FALSE)+VLOOKUP(Table2[[#This Row],[LineA-ProdType]],'Other Lists'!$B$17:$G$19,6,FALSE)))</f>
        <v>834.7</v>
      </c>
      <c r="V64" s="21">
        <v>5</v>
      </c>
      <c r="W64" s="21">
        <v>0</v>
      </c>
      <c r="X64" s="21">
        <v>3</v>
      </c>
      <c r="Y64" s="21">
        <f>Table2[[#This Row],[Inspectors]]-Table2[[#This Row],[Training]]-Table2[[#This Row],[Regular]]</f>
        <v>2</v>
      </c>
      <c r="Z64" s="24">
        <f>VLOOKUP(Table2[[#This Row],[Shift]],'Other Lists'!$B$31:$H$36,7,FALSE)*8*Table2[[#This Row],[Training]]</f>
        <v>0</v>
      </c>
      <c r="AA64" s="24">
        <f>VLOOKUP(Table2[[#This Row],[Shift]],'Other Lists'!$B$31:$H$36,7,FALSE)*8*Table2[[#This Row],[Regular]]</f>
        <v>712.8</v>
      </c>
      <c r="AB64" s="24">
        <f>VLOOKUP(Table2[[#This Row],[Shift]],'Other Lists'!$B$31:$H$36,7,FALSE)*8*Table2[[#This Row],[Casual]]</f>
        <v>475.2</v>
      </c>
      <c r="AC64" s="24">
        <f>SUM(Table2[[#This Row],[Training $]:[Casual $]])</f>
        <v>1188</v>
      </c>
      <c r="AD64" s="24">
        <f>Table2[[#This Row],[Total Line A $]]/Table2[[#This Row],[Total Inspected]]</f>
        <v>3.5044247787610621</v>
      </c>
      <c r="AE64" s="21">
        <v>105</v>
      </c>
      <c r="AF64" s="21">
        <v>206</v>
      </c>
      <c r="AG64" s="21">
        <v>181</v>
      </c>
      <c r="AH64" s="21">
        <v>0</v>
      </c>
      <c r="AI64" s="21">
        <f>Table2[[#This Row],[Received Inspected3]]+Table2[[#This Row],[Leftover Inspected4]]</f>
        <v>181</v>
      </c>
      <c r="AJ64" s="21">
        <v>189</v>
      </c>
      <c r="AK64" s="21">
        <v>25</v>
      </c>
      <c r="AL64" s="21">
        <v>0</v>
      </c>
      <c r="AM64" s="21">
        <v>170</v>
      </c>
      <c r="AN64" s="21">
        <f>Table2[[#This Row],[Total Inspected2]]-Table2[[#This Row],[Inspect Pass8]]</f>
        <v>11</v>
      </c>
      <c r="AO64" s="21">
        <f>Table2[[#This Row],[Received2]]-Table2[[#This Row],[Total Inspected2]]</f>
        <v>25</v>
      </c>
      <c r="AP64" s="23">
        <f>Table2[[#This Row],[Inspect Pass8]]/Table2[[#This Row],[Received2]]</f>
        <v>0.82524271844660191</v>
      </c>
      <c r="AQ64" s="21">
        <v>7</v>
      </c>
      <c r="AR64" s="21">
        <v>7</v>
      </c>
      <c r="AS64" s="21">
        <v>0</v>
      </c>
      <c r="AT64" s="21">
        <v>3</v>
      </c>
      <c r="AU64" s="21">
        <f>Table2[[#This Row],[Inspectors11]]-Table2[[#This Row],[Training12]]-Table2[[#This Row],[Regular13]]</f>
        <v>4</v>
      </c>
      <c r="AV64" s="21"/>
      <c r="AW64" s="21"/>
      <c r="AX64" s="21"/>
      <c r="AY64" s="21"/>
      <c r="AZ64" s="21"/>
      <c r="BA64" s="21"/>
      <c r="BB64" s="21">
        <v>2</v>
      </c>
      <c r="BC64" s="21">
        <v>2</v>
      </c>
      <c r="BD64" s="21"/>
      <c r="BE64" s="21"/>
      <c r="BF64" s="21"/>
    </row>
    <row r="65" spans="2:58" hidden="1" x14ac:dyDescent="0.3">
      <c r="B65" s="21">
        <v>943</v>
      </c>
      <c r="C65" s="22">
        <v>45107</v>
      </c>
      <c r="D65" s="21">
        <f>WEEKDAY(Table2[[#This Row],[Date]])</f>
        <v>6</v>
      </c>
      <c r="E65" s="21">
        <v>2</v>
      </c>
      <c r="F65" s="21">
        <v>119</v>
      </c>
      <c r="G65" s="21">
        <v>778</v>
      </c>
      <c r="H65" s="21">
        <v>778</v>
      </c>
      <c r="I65" s="21">
        <v>0</v>
      </c>
      <c r="J65" s="21">
        <f t="shared" si="0"/>
        <v>778</v>
      </c>
      <c r="K65" s="21">
        <v>874.99999999999989</v>
      </c>
      <c r="L65" s="21">
        <v>0</v>
      </c>
      <c r="M65" s="21">
        <v>0</v>
      </c>
      <c r="N65" s="21">
        <v>754</v>
      </c>
      <c r="O65" s="21">
        <f>Table2[[#This Row],[Total Inspected]]-Table2[[#This Row],[Inspect Pass]]</f>
        <v>24</v>
      </c>
      <c r="P65" s="21">
        <f t="shared" si="1"/>
        <v>0</v>
      </c>
      <c r="Q65" s="23">
        <f>(Table2[[#This Row],[Inspect Pass]]/Table2[[#This Row],[Total Inspected]])</f>
        <v>0.96915167095115684</v>
      </c>
      <c r="R65" s="24">
        <f>Table2[[#This Row],[Inspect Pass]]*VLOOKUP(Table2[[#This Row],[LineA-ProdType]],'Other Lists'!$B$17:$H$19,7,FALSE)</f>
        <v>24128</v>
      </c>
      <c r="S65" s="24">
        <f>Table2[[#This Row],[Received]]*((VLOOKUP(Table2[[#This Row],[LineA-ProdType]],'Other Lists'!$B$16:$G$19,5,FALSE)+(VLOOKUP(Table2[[#This Row],[LineA-ProdType]],'Other Lists'!$B$16:$G$19,6,FALSE))))</f>
        <v>22406.400000000001</v>
      </c>
      <c r="T65" s="24">
        <f>Table2[[#This Row],[Possible Supplier Income]]-Table2[[#This Row],[Supplier Cost of Parts]]</f>
        <v>1721.5999999999985</v>
      </c>
      <c r="U65" s="24">
        <f>Table2[[#This Row],[Inspect Not Pass]]*((VLOOKUP(Table2[[#This Row],[LineA-ProdType]],'Other Lists'!$B$17:$G$19,5,FALSE)+VLOOKUP(Table2[[#This Row],[LineA-ProdType]],'Other Lists'!$B$17:$G$19,6,FALSE)))</f>
        <v>691.2</v>
      </c>
      <c r="V65" s="21">
        <v>5</v>
      </c>
      <c r="W65" s="21">
        <v>0</v>
      </c>
      <c r="X65" s="21">
        <v>4</v>
      </c>
      <c r="Y65" s="21">
        <f>Table2[[#This Row],[Inspectors]]-Table2[[#This Row],[Training]]-Table2[[#This Row],[Regular]]</f>
        <v>1</v>
      </c>
      <c r="Z65" s="24">
        <f>VLOOKUP(Table2[[#This Row],[Shift]],'Other Lists'!$B$31:$H$36,7,FALSE)*8*Table2[[#This Row],[Training]]</f>
        <v>0</v>
      </c>
      <c r="AA65" s="24">
        <f>VLOOKUP(Table2[[#This Row],[Shift]],'Other Lists'!$B$31:$H$36,7,FALSE)*8*Table2[[#This Row],[Regular]]</f>
        <v>950.4</v>
      </c>
      <c r="AB65" s="24">
        <f>VLOOKUP(Table2[[#This Row],[Shift]],'Other Lists'!$B$31:$H$36,7,FALSE)*8*Table2[[#This Row],[Casual]]</f>
        <v>237.6</v>
      </c>
      <c r="AC65" s="24">
        <f>SUM(Table2[[#This Row],[Training $]:[Casual $]])</f>
        <v>1188</v>
      </c>
      <c r="AD65" s="24">
        <f>Table2[[#This Row],[Total Line A $]]/Table2[[#This Row],[Total Inspected]]</f>
        <v>1.5269922879177378</v>
      </c>
      <c r="AE65" s="21">
        <v>105</v>
      </c>
      <c r="AF65" s="21">
        <v>160</v>
      </c>
      <c r="AG65" s="21">
        <v>160</v>
      </c>
      <c r="AH65" s="21">
        <v>0</v>
      </c>
      <c r="AI65" s="21">
        <f>Table2[[#This Row],[Received Inspected3]]+Table2[[#This Row],[Leftover Inspected4]]</f>
        <v>160</v>
      </c>
      <c r="AJ65" s="21">
        <v>189</v>
      </c>
      <c r="AK65" s="21">
        <v>0</v>
      </c>
      <c r="AL65" s="21">
        <v>0</v>
      </c>
      <c r="AM65" s="21">
        <v>153</v>
      </c>
      <c r="AN65" s="21">
        <f>Table2[[#This Row],[Total Inspected2]]-Table2[[#This Row],[Inspect Pass8]]</f>
        <v>7</v>
      </c>
      <c r="AO65" s="21">
        <f>Table2[[#This Row],[Received2]]-Table2[[#This Row],[Total Inspected2]]</f>
        <v>0</v>
      </c>
      <c r="AP65" s="23">
        <f>Table2[[#This Row],[Inspect Pass8]]/Table2[[#This Row],[Received2]]</f>
        <v>0.95625000000000004</v>
      </c>
      <c r="AQ65" s="21">
        <v>7</v>
      </c>
      <c r="AR65" s="21">
        <v>7</v>
      </c>
      <c r="AS65" s="21">
        <v>0</v>
      </c>
      <c r="AT65" s="21">
        <v>3</v>
      </c>
      <c r="AU65" s="21">
        <f>Table2[[#This Row],[Inspectors11]]-Table2[[#This Row],[Training12]]-Table2[[#This Row],[Regular13]]</f>
        <v>4</v>
      </c>
      <c r="AV65" s="21"/>
      <c r="AW65" s="21"/>
      <c r="AX65" s="21"/>
      <c r="AY65" s="21"/>
      <c r="AZ65" s="21"/>
      <c r="BA65" s="21"/>
      <c r="BB65" s="21">
        <v>2</v>
      </c>
      <c r="BC65" s="21">
        <v>2</v>
      </c>
      <c r="BD65" s="21"/>
      <c r="BE65" s="21"/>
      <c r="BF65" s="21"/>
    </row>
    <row r="66" spans="2:58" hidden="1" x14ac:dyDescent="0.3">
      <c r="B66" s="21">
        <v>944</v>
      </c>
      <c r="C66" s="22">
        <v>45108</v>
      </c>
      <c r="D66" s="21">
        <f>WEEKDAY(Table2[[#This Row],[Date]])</f>
        <v>7</v>
      </c>
      <c r="E66" s="21">
        <v>2</v>
      </c>
      <c r="F66" s="21">
        <v>201</v>
      </c>
      <c r="G66" s="21">
        <v>399</v>
      </c>
      <c r="H66" s="21">
        <v>339</v>
      </c>
      <c r="I66" s="21">
        <v>0</v>
      </c>
      <c r="J66" s="21">
        <f t="shared" si="0"/>
        <v>339</v>
      </c>
      <c r="K66" s="21">
        <v>350</v>
      </c>
      <c r="L66" s="21">
        <v>60</v>
      </c>
      <c r="M66" s="21">
        <v>0</v>
      </c>
      <c r="N66" s="21">
        <v>318</v>
      </c>
      <c r="O66" s="21">
        <f>Table2[[#This Row],[Total Inspected]]-Table2[[#This Row],[Inspect Pass]]</f>
        <v>21</v>
      </c>
      <c r="P66" s="21">
        <f t="shared" si="1"/>
        <v>60</v>
      </c>
      <c r="Q66" s="23">
        <f>(Table2[[#This Row],[Inspect Pass]]/Table2[[#This Row],[Total Inspected]])</f>
        <v>0.93805309734513276</v>
      </c>
      <c r="R66" s="24">
        <f>Table2[[#This Row],[Inspect Pass]]*VLOOKUP(Table2[[#This Row],[LineA-ProdType]],'Other Lists'!$B$17:$H$19,7,FALSE)</f>
        <v>22578</v>
      </c>
      <c r="S66" s="24">
        <f>Table2[[#This Row],[Received]]*((VLOOKUP(Table2[[#This Row],[LineA-ProdType]],'Other Lists'!$B$16:$G$19,5,FALSE)+(VLOOKUP(Table2[[#This Row],[LineA-ProdType]],'Other Lists'!$B$16:$G$19,6,FALSE))))</f>
        <v>19590.900000000001</v>
      </c>
      <c r="T66" s="24">
        <f>Table2[[#This Row],[Possible Supplier Income]]-Table2[[#This Row],[Supplier Cost of Parts]]</f>
        <v>2987.0999999999985</v>
      </c>
      <c r="U66" s="24">
        <f>Table2[[#This Row],[Inspect Not Pass]]*((VLOOKUP(Table2[[#This Row],[LineA-ProdType]],'Other Lists'!$B$17:$G$19,5,FALSE)+VLOOKUP(Table2[[#This Row],[LineA-ProdType]],'Other Lists'!$B$17:$G$19,6,FALSE)))</f>
        <v>1031.1000000000001</v>
      </c>
      <c r="V66" s="21">
        <v>5</v>
      </c>
      <c r="W66" s="21">
        <v>0</v>
      </c>
      <c r="X66" s="21">
        <v>4</v>
      </c>
      <c r="Y66" s="21">
        <f>Table2[[#This Row],[Inspectors]]-Table2[[#This Row],[Training]]-Table2[[#This Row],[Regular]]</f>
        <v>1</v>
      </c>
      <c r="Z66" s="24">
        <f>VLOOKUP(Table2[[#This Row],[Shift]],'Other Lists'!$B$31:$H$36,7,FALSE)*8*Table2[[#This Row],[Training]]</f>
        <v>0</v>
      </c>
      <c r="AA66" s="24">
        <f>VLOOKUP(Table2[[#This Row],[Shift]],'Other Lists'!$B$31:$H$36,7,FALSE)*8*Table2[[#This Row],[Regular]]</f>
        <v>950.4</v>
      </c>
      <c r="AB66" s="24">
        <f>VLOOKUP(Table2[[#This Row],[Shift]],'Other Lists'!$B$31:$H$36,7,FALSE)*8*Table2[[#This Row],[Casual]]</f>
        <v>237.6</v>
      </c>
      <c r="AC66" s="24">
        <f>SUM(Table2[[#This Row],[Training $]:[Casual $]])</f>
        <v>1188</v>
      </c>
      <c r="AD66" s="24">
        <f>Table2[[#This Row],[Total Line A $]]/Table2[[#This Row],[Total Inspected]]</f>
        <v>3.5044247787610621</v>
      </c>
      <c r="AE66" s="21">
        <v>105</v>
      </c>
      <c r="AF66" s="21">
        <v>223</v>
      </c>
      <c r="AG66" s="21">
        <v>187</v>
      </c>
      <c r="AH66" s="21">
        <v>0</v>
      </c>
      <c r="AI66" s="21">
        <f>Table2[[#This Row],[Received Inspected3]]+Table2[[#This Row],[Leftover Inspected4]]</f>
        <v>187</v>
      </c>
      <c r="AJ66" s="21">
        <v>189</v>
      </c>
      <c r="AK66" s="21">
        <v>36</v>
      </c>
      <c r="AL66" s="21">
        <v>0</v>
      </c>
      <c r="AM66" s="21">
        <v>179</v>
      </c>
      <c r="AN66" s="21">
        <f>Table2[[#This Row],[Total Inspected2]]-Table2[[#This Row],[Inspect Pass8]]</f>
        <v>8</v>
      </c>
      <c r="AO66" s="21">
        <f>Table2[[#This Row],[Received2]]-Table2[[#This Row],[Total Inspected2]]</f>
        <v>36</v>
      </c>
      <c r="AP66" s="23">
        <f>Table2[[#This Row],[Inspect Pass8]]/Table2[[#This Row],[Received2]]</f>
        <v>0.80269058295964124</v>
      </c>
      <c r="AQ66" s="21">
        <v>7</v>
      </c>
      <c r="AR66" s="21">
        <v>7</v>
      </c>
      <c r="AS66" s="21">
        <v>1</v>
      </c>
      <c r="AT66" s="21">
        <v>3</v>
      </c>
      <c r="AU66" s="21">
        <f>Table2[[#This Row],[Inspectors11]]-Table2[[#This Row],[Training12]]-Table2[[#This Row],[Regular13]]</f>
        <v>3</v>
      </c>
      <c r="AV66" s="21"/>
      <c r="AW66" s="21"/>
      <c r="AX66" s="21"/>
      <c r="AY66" s="21"/>
      <c r="AZ66" s="21"/>
      <c r="BA66" s="21"/>
      <c r="BB66" s="21">
        <v>2</v>
      </c>
      <c r="BC66" s="21">
        <v>2</v>
      </c>
      <c r="BD66" s="21"/>
      <c r="BE66" s="21"/>
      <c r="BF66" s="21"/>
    </row>
    <row r="67" spans="2:58" x14ac:dyDescent="0.3">
      <c r="B67" s="21">
        <v>945</v>
      </c>
      <c r="C67" s="22">
        <v>45109</v>
      </c>
      <c r="D67" s="21">
        <f>WEEKDAY(Table2[[#This Row],[Date]])</f>
        <v>1</v>
      </c>
      <c r="E67" s="21">
        <v>2</v>
      </c>
      <c r="F67" s="21">
        <v>201</v>
      </c>
      <c r="G67" s="21">
        <v>159</v>
      </c>
      <c r="H67" s="21">
        <v>135</v>
      </c>
      <c r="I67" s="21">
        <v>0</v>
      </c>
      <c r="J67" s="21">
        <f t="shared" si="0"/>
        <v>135</v>
      </c>
      <c r="K67" s="21">
        <v>140</v>
      </c>
      <c r="L67" s="21">
        <v>24</v>
      </c>
      <c r="M67" s="21">
        <v>0</v>
      </c>
      <c r="N67" s="21">
        <v>126</v>
      </c>
      <c r="O67" s="21">
        <f>Table2[[#This Row],[Total Inspected]]-Table2[[#This Row],[Inspect Pass]]</f>
        <v>9</v>
      </c>
      <c r="P67" s="21">
        <f t="shared" si="1"/>
        <v>24</v>
      </c>
      <c r="Q67" s="23">
        <f>(Table2[[#This Row],[Inspect Pass]]/Table2[[#This Row],[Total Inspected]])</f>
        <v>0.93333333333333335</v>
      </c>
      <c r="R67" s="24">
        <f>Table2[[#This Row],[Inspect Pass]]*VLOOKUP(Table2[[#This Row],[LineA-ProdType]],'Other Lists'!$B$17:$H$19,7,FALSE)</f>
        <v>8946</v>
      </c>
      <c r="S67" s="24">
        <f>Table2[[#This Row],[Received]]*((VLOOKUP(Table2[[#This Row],[LineA-ProdType]],'Other Lists'!$B$16:$G$19,5,FALSE)+(VLOOKUP(Table2[[#This Row],[LineA-ProdType]],'Other Lists'!$B$16:$G$19,6,FALSE))))</f>
        <v>7806.9000000000005</v>
      </c>
      <c r="T67" s="24">
        <f>Table2[[#This Row],[Possible Supplier Income]]-Table2[[#This Row],[Supplier Cost of Parts]]</f>
        <v>1139.0999999999995</v>
      </c>
      <c r="U67" s="24">
        <f>Table2[[#This Row],[Inspect Not Pass]]*((VLOOKUP(Table2[[#This Row],[LineA-ProdType]],'Other Lists'!$B$17:$G$19,5,FALSE)+VLOOKUP(Table2[[#This Row],[LineA-ProdType]],'Other Lists'!$B$17:$G$19,6,FALSE)))</f>
        <v>441.90000000000003</v>
      </c>
      <c r="V67" s="21">
        <v>2</v>
      </c>
      <c r="W67" s="21">
        <v>0</v>
      </c>
      <c r="X67" s="21">
        <v>1</v>
      </c>
      <c r="Y67" s="21">
        <f>Table2[[#This Row],[Inspectors]]-Table2[[#This Row],[Training]]-Table2[[#This Row],[Regular]]</f>
        <v>1</v>
      </c>
      <c r="Z67" s="24">
        <f>VLOOKUP(Table2[[#This Row],[Shift]],'Other Lists'!$B$31:$H$36,7,FALSE)*8*Table2[[#This Row],[Training]]</f>
        <v>0</v>
      </c>
      <c r="AA67" s="24">
        <f>VLOOKUP(Table2[[#This Row],[Shift]],'Other Lists'!$B$31:$H$36,7,FALSE)*8*Table2[[#This Row],[Regular]]</f>
        <v>237.6</v>
      </c>
      <c r="AB67" s="24">
        <f>VLOOKUP(Table2[[#This Row],[Shift]],'Other Lists'!$B$31:$H$36,7,FALSE)*8*Table2[[#This Row],[Casual]]</f>
        <v>237.6</v>
      </c>
      <c r="AC67" s="24">
        <f>SUM(Table2[[#This Row],[Training $]:[Casual $]])</f>
        <v>475.2</v>
      </c>
      <c r="AD67" s="24">
        <f>Table2[[#This Row],[Total Line A $]]/Table2[[#This Row],[Total Inspected]]</f>
        <v>3.52</v>
      </c>
      <c r="AE67" s="21">
        <v>105</v>
      </c>
      <c r="AF67" s="21">
        <v>81</v>
      </c>
      <c r="AG67" s="21">
        <v>81</v>
      </c>
      <c r="AH67" s="21">
        <v>0</v>
      </c>
      <c r="AI67" s="21">
        <f>Table2[[#This Row],[Received Inspected3]]+Table2[[#This Row],[Leftover Inspected4]]</f>
        <v>81</v>
      </c>
      <c r="AJ67" s="21">
        <v>81</v>
      </c>
      <c r="AK67" s="21">
        <v>0</v>
      </c>
      <c r="AL67" s="21">
        <v>0</v>
      </c>
      <c r="AM67" s="21">
        <v>79</v>
      </c>
      <c r="AN67" s="21">
        <f>Table2[[#This Row],[Total Inspected2]]-Table2[[#This Row],[Inspect Pass8]]</f>
        <v>2</v>
      </c>
      <c r="AO67" s="21">
        <f>Table2[[#This Row],[Received2]]-Table2[[#This Row],[Total Inspected2]]</f>
        <v>0</v>
      </c>
      <c r="AP67" s="23">
        <f>Table2[[#This Row],[Inspect Pass8]]/Table2[[#This Row],[Received2]]</f>
        <v>0.97530864197530864</v>
      </c>
      <c r="AQ67" s="21">
        <v>3</v>
      </c>
      <c r="AR67" s="21">
        <v>3</v>
      </c>
      <c r="AS67" s="21">
        <v>0</v>
      </c>
      <c r="AT67" s="21">
        <v>1</v>
      </c>
      <c r="AU67" s="21">
        <f>Table2[[#This Row],[Inspectors11]]-Table2[[#This Row],[Training12]]-Table2[[#This Row],[Regular13]]</f>
        <v>2</v>
      </c>
      <c r="AV67" s="21"/>
      <c r="AW67" s="21"/>
      <c r="AX67" s="21"/>
      <c r="AY67" s="21"/>
      <c r="AZ67" s="21"/>
      <c r="BA67" s="21"/>
      <c r="BB67" s="21">
        <v>1</v>
      </c>
      <c r="BC67" s="21">
        <v>1</v>
      </c>
      <c r="BD67" s="21"/>
      <c r="BE67" s="21"/>
      <c r="BF67" s="21"/>
    </row>
    <row r="68" spans="2:58" x14ac:dyDescent="0.3">
      <c r="B68" s="21">
        <v>946</v>
      </c>
      <c r="C68" s="22">
        <v>45110</v>
      </c>
      <c r="D68" s="21">
        <f>WEEKDAY(Table2[[#This Row],[Date]])</f>
        <v>2</v>
      </c>
      <c r="E68" s="21">
        <v>2</v>
      </c>
      <c r="F68" s="21">
        <v>119</v>
      </c>
      <c r="G68" s="21">
        <v>388</v>
      </c>
      <c r="H68" s="21">
        <v>332</v>
      </c>
      <c r="I68" s="21">
        <v>0</v>
      </c>
      <c r="J68" s="21">
        <f t="shared" si="0"/>
        <v>332</v>
      </c>
      <c r="K68" s="21">
        <v>349.99999999999994</v>
      </c>
      <c r="L68" s="21">
        <v>56</v>
      </c>
      <c r="M68" s="21">
        <v>0</v>
      </c>
      <c r="N68" s="21">
        <v>325</v>
      </c>
      <c r="O68" s="21">
        <f>Table2[[#This Row],[Total Inspected]]-Table2[[#This Row],[Inspect Pass]]</f>
        <v>7</v>
      </c>
      <c r="P68" s="21">
        <f t="shared" si="1"/>
        <v>56</v>
      </c>
      <c r="Q68" s="23">
        <f>(Table2[[#This Row],[Inspect Pass]]/Table2[[#This Row],[Total Inspected]])</f>
        <v>0.97891566265060237</v>
      </c>
      <c r="R68" s="24">
        <f>Table2[[#This Row],[Inspect Pass]]*VLOOKUP(Table2[[#This Row],[LineA-ProdType]],'Other Lists'!$B$17:$H$19,7,FALSE)</f>
        <v>10400</v>
      </c>
      <c r="S68" s="24">
        <f>Table2[[#This Row],[Received]]*((VLOOKUP(Table2[[#This Row],[LineA-ProdType]],'Other Lists'!$B$16:$G$19,5,FALSE)+(VLOOKUP(Table2[[#This Row],[LineA-ProdType]],'Other Lists'!$B$16:$G$19,6,FALSE))))</f>
        <v>11174.4</v>
      </c>
      <c r="T68" s="24">
        <f>Table2[[#This Row],[Possible Supplier Income]]-Table2[[#This Row],[Supplier Cost of Parts]]</f>
        <v>-774.39999999999964</v>
      </c>
      <c r="U68" s="24">
        <f>Table2[[#This Row],[Inspect Not Pass]]*((VLOOKUP(Table2[[#This Row],[LineA-ProdType]],'Other Lists'!$B$17:$G$19,5,FALSE)+VLOOKUP(Table2[[#This Row],[LineA-ProdType]],'Other Lists'!$B$17:$G$19,6,FALSE)))</f>
        <v>201.6</v>
      </c>
      <c r="V68" s="21">
        <v>2</v>
      </c>
      <c r="W68" s="21">
        <v>0</v>
      </c>
      <c r="X68" s="21">
        <v>1</v>
      </c>
      <c r="Y68" s="21">
        <f>Table2[[#This Row],[Inspectors]]-Table2[[#This Row],[Training]]-Table2[[#This Row],[Regular]]</f>
        <v>1</v>
      </c>
      <c r="Z68" s="24">
        <f>VLOOKUP(Table2[[#This Row],[Shift]],'Other Lists'!$B$31:$H$36,7,FALSE)*8*Table2[[#This Row],[Training]]</f>
        <v>0</v>
      </c>
      <c r="AA68" s="24">
        <f>VLOOKUP(Table2[[#This Row],[Shift]],'Other Lists'!$B$31:$H$36,7,FALSE)*8*Table2[[#This Row],[Regular]]</f>
        <v>237.6</v>
      </c>
      <c r="AB68" s="24">
        <f>VLOOKUP(Table2[[#This Row],[Shift]],'Other Lists'!$B$31:$H$36,7,FALSE)*8*Table2[[#This Row],[Casual]]</f>
        <v>237.6</v>
      </c>
      <c r="AC68" s="24">
        <f>SUM(Table2[[#This Row],[Training $]:[Casual $]])</f>
        <v>475.2</v>
      </c>
      <c r="AD68" s="24">
        <f>Table2[[#This Row],[Total Line A $]]/Table2[[#This Row],[Total Inspected]]</f>
        <v>1.4313253012048193</v>
      </c>
      <c r="AE68" s="21">
        <v>105</v>
      </c>
      <c r="AF68" s="21">
        <v>92</v>
      </c>
      <c r="AG68" s="21">
        <v>82</v>
      </c>
      <c r="AH68" s="21">
        <v>0</v>
      </c>
      <c r="AI68" s="21">
        <f>Table2[[#This Row],[Received Inspected3]]+Table2[[#This Row],[Leftover Inspected4]]</f>
        <v>82</v>
      </c>
      <c r="AJ68" s="21">
        <v>81</v>
      </c>
      <c r="AK68" s="21">
        <v>10</v>
      </c>
      <c r="AL68" s="21">
        <v>0</v>
      </c>
      <c r="AM68" s="21">
        <v>76</v>
      </c>
      <c r="AN68" s="21">
        <f>Table2[[#This Row],[Total Inspected2]]-Table2[[#This Row],[Inspect Pass8]]</f>
        <v>6</v>
      </c>
      <c r="AO68" s="21">
        <f>Table2[[#This Row],[Received2]]-Table2[[#This Row],[Total Inspected2]]</f>
        <v>10</v>
      </c>
      <c r="AP68" s="23">
        <f>Table2[[#This Row],[Inspect Pass8]]/Table2[[#This Row],[Received2]]</f>
        <v>0.82608695652173914</v>
      </c>
      <c r="AQ68" s="21">
        <v>3</v>
      </c>
      <c r="AR68" s="21">
        <v>3</v>
      </c>
      <c r="AS68" s="21">
        <v>0</v>
      </c>
      <c r="AT68" s="21">
        <v>1</v>
      </c>
      <c r="AU68" s="21">
        <f>Table2[[#This Row],[Inspectors11]]-Table2[[#This Row],[Training12]]-Table2[[#This Row],[Regular13]]</f>
        <v>2</v>
      </c>
      <c r="AV68" s="21"/>
      <c r="AW68" s="21"/>
      <c r="AX68" s="21"/>
      <c r="AY68" s="21"/>
      <c r="AZ68" s="21"/>
      <c r="BA68" s="21"/>
      <c r="BB68" s="21">
        <v>1</v>
      </c>
      <c r="BC68" s="21">
        <v>1</v>
      </c>
      <c r="BD68" s="21"/>
      <c r="BE68" s="21"/>
      <c r="BF68" s="21"/>
    </row>
    <row r="69" spans="2:58" hidden="1" x14ac:dyDescent="0.3">
      <c r="B69" s="21">
        <v>947</v>
      </c>
      <c r="C69" s="22">
        <v>45111</v>
      </c>
      <c r="D69" s="21">
        <f>WEEKDAY(Table2[[#This Row],[Date]])</f>
        <v>3</v>
      </c>
      <c r="E69" s="21">
        <v>2</v>
      </c>
      <c r="F69" s="21">
        <v>119</v>
      </c>
      <c r="G69" s="21">
        <v>953</v>
      </c>
      <c r="H69" s="21">
        <v>857</v>
      </c>
      <c r="I69" s="21">
        <v>0</v>
      </c>
      <c r="J69" s="21">
        <f t="shared" si="0"/>
        <v>857</v>
      </c>
      <c r="K69" s="21">
        <v>874.99999999999989</v>
      </c>
      <c r="L69" s="21">
        <v>96</v>
      </c>
      <c r="M69" s="21">
        <v>0</v>
      </c>
      <c r="N69" s="21">
        <v>797</v>
      </c>
      <c r="O69" s="21">
        <f>Table2[[#This Row],[Total Inspected]]-Table2[[#This Row],[Inspect Pass]]</f>
        <v>60</v>
      </c>
      <c r="P69" s="21">
        <f t="shared" si="1"/>
        <v>96</v>
      </c>
      <c r="Q69" s="23">
        <f>(Table2[[#This Row],[Inspect Pass]]/Table2[[#This Row],[Total Inspected]])</f>
        <v>0.92998833138856474</v>
      </c>
      <c r="R69" s="24">
        <f>Table2[[#This Row],[Inspect Pass]]*VLOOKUP(Table2[[#This Row],[LineA-ProdType]],'Other Lists'!$B$17:$H$19,7,FALSE)</f>
        <v>25504</v>
      </c>
      <c r="S69" s="24">
        <f>Table2[[#This Row],[Received]]*((VLOOKUP(Table2[[#This Row],[LineA-ProdType]],'Other Lists'!$B$16:$G$19,5,FALSE)+(VLOOKUP(Table2[[#This Row],[LineA-ProdType]],'Other Lists'!$B$16:$G$19,6,FALSE))))</f>
        <v>27446.400000000001</v>
      </c>
      <c r="T69" s="24">
        <f>Table2[[#This Row],[Possible Supplier Income]]-Table2[[#This Row],[Supplier Cost of Parts]]</f>
        <v>-1942.4000000000015</v>
      </c>
      <c r="U69" s="24">
        <f>Table2[[#This Row],[Inspect Not Pass]]*((VLOOKUP(Table2[[#This Row],[LineA-ProdType]],'Other Lists'!$B$17:$G$19,5,FALSE)+VLOOKUP(Table2[[#This Row],[LineA-ProdType]],'Other Lists'!$B$17:$G$19,6,FALSE)))</f>
        <v>1728</v>
      </c>
      <c r="V69" s="21">
        <v>5</v>
      </c>
      <c r="W69" s="21">
        <v>0</v>
      </c>
      <c r="X69" s="21">
        <v>3</v>
      </c>
      <c r="Y69" s="21">
        <f>Table2[[#This Row],[Inspectors]]-Table2[[#This Row],[Training]]-Table2[[#This Row],[Regular]]</f>
        <v>2</v>
      </c>
      <c r="Z69" s="24">
        <f>VLOOKUP(Table2[[#This Row],[Shift]],'Other Lists'!$B$31:$H$36,7,FALSE)*8*Table2[[#This Row],[Training]]</f>
        <v>0</v>
      </c>
      <c r="AA69" s="24">
        <f>VLOOKUP(Table2[[#This Row],[Shift]],'Other Lists'!$B$31:$H$36,7,FALSE)*8*Table2[[#This Row],[Regular]]</f>
        <v>712.8</v>
      </c>
      <c r="AB69" s="24">
        <f>VLOOKUP(Table2[[#This Row],[Shift]],'Other Lists'!$B$31:$H$36,7,FALSE)*8*Table2[[#This Row],[Casual]]</f>
        <v>475.2</v>
      </c>
      <c r="AC69" s="24">
        <f>SUM(Table2[[#This Row],[Training $]:[Casual $]])</f>
        <v>1188</v>
      </c>
      <c r="AD69" s="24">
        <f>Table2[[#This Row],[Total Line A $]]/Table2[[#This Row],[Total Inspected]]</f>
        <v>1.3862310385064178</v>
      </c>
      <c r="AE69" s="21">
        <v>105</v>
      </c>
      <c r="AF69" s="21">
        <v>196</v>
      </c>
      <c r="AG69" s="21">
        <v>181</v>
      </c>
      <c r="AH69" s="21">
        <v>0</v>
      </c>
      <c r="AI69" s="21">
        <f>Table2[[#This Row],[Received Inspected3]]+Table2[[#This Row],[Leftover Inspected4]]</f>
        <v>181</v>
      </c>
      <c r="AJ69" s="21">
        <v>189</v>
      </c>
      <c r="AK69" s="21">
        <v>15</v>
      </c>
      <c r="AL69" s="21">
        <v>0</v>
      </c>
      <c r="AM69" s="21">
        <v>177</v>
      </c>
      <c r="AN69" s="21">
        <f>Table2[[#This Row],[Total Inspected2]]-Table2[[#This Row],[Inspect Pass8]]</f>
        <v>4</v>
      </c>
      <c r="AO69" s="21">
        <f>Table2[[#This Row],[Received2]]-Table2[[#This Row],[Total Inspected2]]</f>
        <v>15</v>
      </c>
      <c r="AP69" s="23">
        <f>Table2[[#This Row],[Inspect Pass8]]/Table2[[#This Row],[Received2]]</f>
        <v>0.90306122448979587</v>
      </c>
      <c r="AQ69" s="21">
        <v>7</v>
      </c>
      <c r="AR69" s="21">
        <v>7</v>
      </c>
      <c r="AS69" s="21">
        <v>0</v>
      </c>
      <c r="AT69" s="21">
        <v>4</v>
      </c>
      <c r="AU69" s="21">
        <f>Table2[[#This Row],[Inspectors11]]-Table2[[#This Row],[Training12]]-Table2[[#This Row],[Regular13]]</f>
        <v>3</v>
      </c>
      <c r="AV69" s="21"/>
      <c r="AW69" s="21"/>
      <c r="AX69" s="21"/>
      <c r="AY69" s="21"/>
      <c r="AZ69" s="21"/>
      <c r="BA69" s="21"/>
      <c r="BB69" s="21">
        <v>2</v>
      </c>
      <c r="BC69" s="21">
        <v>2</v>
      </c>
      <c r="BD69" s="21"/>
      <c r="BE69" s="21"/>
      <c r="BF69" s="21"/>
    </row>
    <row r="70" spans="2:58" hidden="1" x14ac:dyDescent="0.3">
      <c r="B70" s="21">
        <v>948</v>
      </c>
      <c r="C70" s="22">
        <v>45083</v>
      </c>
      <c r="D70" s="21">
        <f>WEEKDAY(Table2[[#This Row],[Date]])</f>
        <v>3</v>
      </c>
      <c r="E70" s="21">
        <v>3</v>
      </c>
      <c r="F70" s="21">
        <v>119</v>
      </c>
      <c r="G70" s="21">
        <v>651</v>
      </c>
      <c r="H70" s="21">
        <v>651</v>
      </c>
      <c r="I70" s="21">
        <v>64</v>
      </c>
      <c r="J70" s="21">
        <f t="shared" si="0"/>
        <v>715</v>
      </c>
      <c r="K70" s="21">
        <v>1049.9999999999998</v>
      </c>
      <c r="L70" s="21">
        <v>0</v>
      </c>
      <c r="M70" s="21">
        <v>64</v>
      </c>
      <c r="N70" s="21">
        <v>679</v>
      </c>
      <c r="O70" s="21">
        <f>Table2[[#This Row],[Total Inspected]]-Table2[[#This Row],[Inspect Pass]]</f>
        <v>36</v>
      </c>
      <c r="P70" s="21">
        <f t="shared" si="1"/>
        <v>-64</v>
      </c>
      <c r="Q70" s="23">
        <f>(Table2[[#This Row],[Inspect Pass]]/Table2[[#This Row],[Total Inspected]])</f>
        <v>0.94965034965034967</v>
      </c>
      <c r="R70" s="24">
        <f>Table2[[#This Row],[Inspect Pass]]*VLOOKUP(Table2[[#This Row],[LineA-ProdType]],'Other Lists'!$B$17:$H$19,7,FALSE)</f>
        <v>21728</v>
      </c>
      <c r="S70" s="24">
        <f>Table2[[#This Row],[Received]]*((VLOOKUP(Table2[[#This Row],[LineA-ProdType]],'Other Lists'!$B$16:$G$19,5,FALSE)+(VLOOKUP(Table2[[#This Row],[LineA-ProdType]],'Other Lists'!$B$16:$G$19,6,FALSE))))</f>
        <v>18748.8</v>
      </c>
      <c r="T70" s="24">
        <f>Table2[[#This Row],[Possible Supplier Income]]-Table2[[#This Row],[Supplier Cost of Parts]]</f>
        <v>2979.2000000000007</v>
      </c>
      <c r="U70" s="24">
        <f>Table2[[#This Row],[Inspect Not Pass]]*((VLOOKUP(Table2[[#This Row],[LineA-ProdType]],'Other Lists'!$B$17:$G$19,5,FALSE)+VLOOKUP(Table2[[#This Row],[LineA-ProdType]],'Other Lists'!$B$17:$G$19,6,FALSE)))</f>
        <v>1036.8</v>
      </c>
      <c r="V70" s="21">
        <v>6</v>
      </c>
      <c r="W70" s="21">
        <v>0</v>
      </c>
      <c r="X70" s="21">
        <v>4</v>
      </c>
      <c r="Y70" s="21">
        <f>Table2[[#This Row],[Inspectors]]-Table2[[#This Row],[Training]]-Table2[[#This Row],[Regular]]</f>
        <v>2</v>
      </c>
      <c r="Z70" s="24">
        <f>VLOOKUP(Table2[[#This Row],[Shift]],'Other Lists'!$B$31:$H$36,7,FALSE)*8*Table2[[#This Row],[Training]]</f>
        <v>0</v>
      </c>
      <c r="AA70" s="24">
        <f>VLOOKUP(Table2[[#This Row],[Shift]],'Other Lists'!$B$31:$H$36,7,FALSE)*8*Table2[[#This Row],[Regular]]</f>
        <v>1036.8</v>
      </c>
      <c r="AB70" s="24">
        <f>VLOOKUP(Table2[[#This Row],[Shift]],'Other Lists'!$B$31:$H$36,7,FALSE)*8*Table2[[#This Row],[Casual]]</f>
        <v>518.4</v>
      </c>
      <c r="AC70" s="24">
        <f>SUM(Table2[[#This Row],[Training $]:[Casual $]])</f>
        <v>1555.1999999999998</v>
      </c>
      <c r="AD70" s="24">
        <f>Table2[[#This Row],[Total Line A $]]/Table2[[#This Row],[Total Inspected]]</f>
        <v>2.1751048951048948</v>
      </c>
      <c r="AE70" s="21">
        <v>105</v>
      </c>
      <c r="AF70" s="21">
        <v>194</v>
      </c>
      <c r="AG70" s="21">
        <v>162</v>
      </c>
      <c r="AH70" s="21">
        <v>16</v>
      </c>
      <c r="AI70" s="21">
        <f>Table2[[#This Row],[Received Inspected3]]+Table2[[#This Row],[Leftover Inspected4]]</f>
        <v>178</v>
      </c>
      <c r="AJ70" s="21">
        <v>162</v>
      </c>
      <c r="AK70" s="21">
        <v>36</v>
      </c>
      <c r="AL70" s="21">
        <v>52</v>
      </c>
      <c r="AM70" s="21">
        <v>172</v>
      </c>
      <c r="AN70" s="21">
        <f>Table2[[#This Row],[Total Inspected2]]-Table2[[#This Row],[Inspect Pass8]]</f>
        <v>6</v>
      </c>
      <c r="AO70" s="21">
        <f>Table2[[#This Row],[Received2]]-Table2[[#This Row],[Total Inspected2]]</f>
        <v>16</v>
      </c>
      <c r="AP70" s="23">
        <f>Table2[[#This Row],[Inspect Pass8]]/Table2[[#This Row],[Received2]]</f>
        <v>0.88659793814432986</v>
      </c>
      <c r="AQ70" s="21">
        <v>6</v>
      </c>
      <c r="AR70" s="21">
        <v>6</v>
      </c>
      <c r="AS70" s="21">
        <v>0</v>
      </c>
      <c r="AT70" s="21">
        <v>3</v>
      </c>
      <c r="AU70" s="21">
        <f>Table2[[#This Row],[Inspectors11]]-Table2[[#This Row],[Training12]]-Table2[[#This Row],[Regular13]]</f>
        <v>3</v>
      </c>
      <c r="AV70" s="21"/>
      <c r="AW70" s="21"/>
      <c r="AX70" s="21"/>
      <c r="AY70" s="21"/>
      <c r="AZ70" s="21"/>
      <c r="BA70" s="21"/>
      <c r="BB70" s="21">
        <v>2</v>
      </c>
      <c r="BC70" s="21">
        <v>1</v>
      </c>
      <c r="BD70" s="21"/>
      <c r="BE70" s="21"/>
      <c r="BF70" s="21"/>
    </row>
    <row r="71" spans="2:58" hidden="1" x14ac:dyDescent="0.3">
      <c r="B71" s="21">
        <v>949</v>
      </c>
      <c r="C71" s="22">
        <v>45084</v>
      </c>
      <c r="D71" s="21">
        <f>WEEKDAY(Table2[[#This Row],[Date]])</f>
        <v>4</v>
      </c>
      <c r="E71" s="21">
        <v>3</v>
      </c>
      <c r="F71" s="21">
        <v>201</v>
      </c>
      <c r="G71" s="21">
        <v>336</v>
      </c>
      <c r="H71" s="21">
        <v>336</v>
      </c>
      <c r="I71" s="21">
        <v>0</v>
      </c>
      <c r="J71" s="21">
        <f t="shared" si="0"/>
        <v>336</v>
      </c>
      <c r="K71" s="21">
        <v>420</v>
      </c>
      <c r="L71" s="21">
        <v>0</v>
      </c>
      <c r="M71" s="21">
        <v>0</v>
      </c>
      <c r="N71" s="21">
        <v>315</v>
      </c>
      <c r="O71" s="21">
        <f>Table2[[#This Row],[Total Inspected]]-Table2[[#This Row],[Inspect Pass]]</f>
        <v>21</v>
      </c>
      <c r="P71" s="21">
        <f t="shared" si="1"/>
        <v>0</v>
      </c>
      <c r="Q71" s="23">
        <f>(Table2[[#This Row],[Inspect Pass]]/Table2[[#This Row],[Total Inspected]])</f>
        <v>0.9375</v>
      </c>
      <c r="R71" s="24">
        <f>Table2[[#This Row],[Inspect Pass]]*VLOOKUP(Table2[[#This Row],[LineA-ProdType]],'Other Lists'!$B$17:$H$19,7,FALSE)</f>
        <v>22365</v>
      </c>
      <c r="S71" s="24">
        <f>Table2[[#This Row],[Received]]*((VLOOKUP(Table2[[#This Row],[LineA-ProdType]],'Other Lists'!$B$16:$G$19,5,FALSE)+(VLOOKUP(Table2[[#This Row],[LineA-ProdType]],'Other Lists'!$B$16:$G$19,6,FALSE))))</f>
        <v>16497.600000000002</v>
      </c>
      <c r="T71" s="24">
        <f>Table2[[#This Row],[Possible Supplier Income]]-Table2[[#This Row],[Supplier Cost of Parts]]</f>
        <v>5867.3999999999978</v>
      </c>
      <c r="U71" s="24">
        <f>Table2[[#This Row],[Inspect Not Pass]]*((VLOOKUP(Table2[[#This Row],[LineA-ProdType]],'Other Lists'!$B$17:$G$19,5,FALSE)+VLOOKUP(Table2[[#This Row],[LineA-ProdType]],'Other Lists'!$B$17:$G$19,6,FALSE)))</f>
        <v>1031.1000000000001</v>
      </c>
      <c r="V71" s="21">
        <v>6</v>
      </c>
      <c r="W71" s="21">
        <v>0</v>
      </c>
      <c r="X71" s="21">
        <v>4</v>
      </c>
      <c r="Y71" s="21">
        <f>Table2[[#This Row],[Inspectors]]-Table2[[#This Row],[Training]]-Table2[[#This Row],[Regular]]</f>
        <v>2</v>
      </c>
      <c r="Z71" s="24">
        <f>VLOOKUP(Table2[[#This Row],[Shift]],'Other Lists'!$B$31:$H$36,7,FALSE)*8*Table2[[#This Row],[Training]]</f>
        <v>0</v>
      </c>
      <c r="AA71" s="24">
        <f>VLOOKUP(Table2[[#This Row],[Shift]],'Other Lists'!$B$31:$H$36,7,FALSE)*8*Table2[[#This Row],[Regular]]</f>
        <v>1036.8</v>
      </c>
      <c r="AB71" s="24">
        <f>VLOOKUP(Table2[[#This Row],[Shift]],'Other Lists'!$B$31:$H$36,7,FALSE)*8*Table2[[#This Row],[Casual]]</f>
        <v>518.4</v>
      </c>
      <c r="AC71" s="24">
        <f>SUM(Table2[[#This Row],[Training $]:[Casual $]])</f>
        <v>1555.1999999999998</v>
      </c>
      <c r="AD71" s="24">
        <f>Table2[[#This Row],[Total Line A $]]/Table2[[#This Row],[Total Inspected]]</f>
        <v>4.6285714285714281</v>
      </c>
      <c r="AE71" s="21">
        <v>105</v>
      </c>
      <c r="AF71" s="21">
        <v>173</v>
      </c>
      <c r="AG71" s="21">
        <v>165</v>
      </c>
      <c r="AH71" s="21">
        <v>9</v>
      </c>
      <c r="AI71" s="21">
        <f>Table2[[#This Row],[Received Inspected3]]+Table2[[#This Row],[Leftover Inspected4]]</f>
        <v>174</v>
      </c>
      <c r="AJ71" s="21">
        <v>162</v>
      </c>
      <c r="AK71" s="21">
        <v>0</v>
      </c>
      <c r="AL71" s="21">
        <v>9</v>
      </c>
      <c r="AM71" s="21">
        <v>167</v>
      </c>
      <c r="AN71" s="21">
        <f>Table2[[#This Row],[Total Inspected2]]-Table2[[#This Row],[Inspect Pass8]]</f>
        <v>7</v>
      </c>
      <c r="AO71" s="21">
        <f>Table2[[#This Row],[Received2]]-Table2[[#This Row],[Total Inspected2]]</f>
        <v>-1</v>
      </c>
      <c r="AP71" s="23">
        <f>Table2[[#This Row],[Inspect Pass8]]/Table2[[#This Row],[Received2]]</f>
        <v>0.96531791907514453</v>
      </c>
      <c r="AQ71" s="21">
        <v>6</v>
      </c>
      <c r="AR71" s="21">
        <v>6</v>
      </c>
      <c r="AS71" s="21">
        <v>0</v>
      </c>
      <c r="AT71" s="21">
        <v>3</v>
      </c>
      <c r="AU71" s="21">
        <f>Table2[[#This Row],[Inspectors11]]-Table2[[#This Row],[Training12]]-Table2[[#This Row],[Regular13]]</f>
        <v>3</v>
      </c>
      <c r="AV71" s="21"/>
      <c r="AW71" s="21"/>
      <c r="AX71" s="21"/>
      <c r="AY71" s="21"/>
      <c r="AZ71" s="21"/>
      <c r="BA71" s="21"/>
      <c r="BB71" s="21">
        <v>2</v>
      </c>
      <c r="BC71" s="21">
        <v>1</v>
      </c>
      <c r="BD71" s="21"/>
      <c r="BE71" s="21"/>
      <c r="BF71" s="21"/>
    </row>
    <row r="72" spans="2:58" hidden="1" x14ac:dyDescent="0.3">
      <c r="B72" s="21">
        <v>950</v>
      </c>
      <c r="C72" s="22">
        <v>45085</v>
      </c>
      <c r="D72" s="21">
        <f>WEEKDAY(Table2[[#This Row],[Date]])</f>
        <v>5</v>
      </c>
      <c r="E72" s="21">
        <v>3</v>
      </c>
      <c r="F72" s="21">
        <v>201</v>
      </c>
      <c r="G72" s="21">
        <v>289</v>
      </c>
      <c r="H72" s="21">
        <v>289</v>
      </c>
      <c r="I72" s="21">
        <v>62</v>
      </c>
      <c r="J72" s="21">
        <f t="shared" si="0"/>
        <v>351</v>
      </c>
      <c r="K72" s="21">
        <v>420</v>
      </c>
      <c r="L72" s="21">
        <v>0</v>
      </c>
      <c r="M72" s="21">
        <v>62</v>
      </c>
      <c r="N72" s="21">
        <v>343</v>
      </c>
      <c r="O72" s="21">
        <f>Table2[[#This Row],[Total Inspected]]-Table2[[#This Row],[Inspect Pass]]</f>
        <v>8</v>
      </c>
      <c r="P72" s="21">
        <f t="shared" si="1"/>
        <v>-62</v>
      </c>
      <c r="Q72" s="23">
        <f>(Table2[[#This Row],[Inspect Pass]]/Table2[[#This Row],[Total Inspected]])</f>
        <v>0.97720797720797725</v>
      </c>
      <c r="R72" s="24">
        <f>Table2[[#This Row],[Inspect Pass]]*VLOOKUP(Table2[[#This Row],[LineA-ProdType]],'Other Lists'!$B$17:$H$19,7,FALSE)</f>
        <v>24353</v>
      </c>
      <c r="S72" s="24">
        <f>Table2[[#This Row],[Received]]*((VLOOKUP(Table2[[#This Row],[LineA-ProdType]],'Other Lists'!$B$16:$G$19,5,FALSE)+(VLOOKUP(Table2[[#This Row],[LineA-ProdType]],'Other Lists'!$B$16:$G$19,6,FALSE))))</f>
        <v>14189.9</v>
      </c>
      <c r="T72" s="24">
        <f>Table2[[#This Row],[Possible Supplier Income]]-Table2[[#This Row],[Supplier Cost of Parts]]</f>
        <v>10163.1</v>
      </c>
      <c r="U72" s="24">
        <f>Table2[[#This Row],[Inspect Not Pass]]*((VLOOKUP(Table2[[#This Row],[LineA-ProdType]],'Other Lists'!$B$17:$G$19,5,FALSE)+VLOOKUP(Table2[[#This Row],[LineA-ProdType]],'Other Lists'!$B$17:$G$19,6,FALSE)))</f>
        <v>392.8</v>
      </c>
      <c r="V72" s="21">
        <v>6</v>
      </c>
      <c r="W72" s="21">
        <v>0</v>
      </c>
      <c r="X72" s="21">
        <v>3</v>
      </c>
      <c r="Y72" s="21">
        <f>Table2[[#This Row],[Inspectors]]-Table2[[#This Row],[Training]]-Table2[[#This Row],[Regular]]</f>
        <v>3</v>
      </c>
      <c r="Z72" s="24">
        <f>VLOOKUP(Table2[[#This Row],[Shift]],'Other Lists'!$B$31:$H$36,7,FALSE)*8*Table2[[#This Row],[Training]]</f>
        <v>0</v>
      </c>
      <c r="AA72" s="24">
        <f>VLOOKUP(Table2[[#This Row],[Shift]],'Other Lists'!$B$31:$H$36,7,FALSE)*8*Table2[[#This Row],[Regular]]</f>
        <v>777.59999999999991</v>
      </c>
      <c r="AB72" s="24">
        <f>VLOOKUP(Table2[[#This Row],[Shift]],'Other Lists'!$B$31:$H$36,7,FALSE)*8*Table2[[#This Row],[Casual]]</f>
        <v>777.59999999999991</v>
      </c>
      <c r="AC72" s="24">
        <f>SUM(Table2[[#This Row],[Training $]:[Casual $]])</f>
        <v>1555.1999999999998</v>
      </c>
      <c r="AD72" s="24">
        <f>Table2[[#This Row],[Total Line A $]]/Table2[[#This Row],[Total Inspected]]</f>
        <v>4.4307692307692301</v>
      </c>
      <c r="AE72" s="21">
        <v>105</v>
      </c>
      <c r="AF72" s="21">
        <v>189</v>
      </c>
      <c r="AG72" s="21">
        <v>170</v>
      </c>
      <c r="AH72" s="21">
        <v>0</v>
      </c>
      <c r="AI72" s="21">
        <f>Table2[[#This Row],[Received Inspected3]]+Table2[[#This Row],[Leftover Inspected4]]</f>
        <v>170</v>
      </c>
      <c r="AJ72" s="21">
        <v>162</v>
      </c>
      <c r="AK72" s="21">
        <v>0</v>
      </c>
      <c r="AL72" s="21">
        <v>0</v>
      </c>
      <c r="AM72" s="21">
        <v>161</v>
      </c>
      <c r="AN72" s="21">
        <f>Table2[[#This Row],[Total Inspected2]]-Table2[[#This Row],[Inspect Pass8]]</f>
        <v>9</v>
      </c>
      <c r="AO72" s="21">
        <f>Table2[[#This Row],[Received2]]-Table2[[#This Row],[Total Inspected2]]</f>
        <v>19</v>
      </c>
      <c r="AP72" s="23">
        <f>Table2[[#This Row],[Inspect Pass8]]/Table2[[#This Row],[Received2]]</f>
        <v>0.85185185185185186</v>
      </c>
      <c r="AQ72" s="21">
        <v>6</v>
      </c>
      <c r="AR72" s="21">
        <v>6</v>
      </c>
      <c r="AS72" s="21">
        <v>0</v>
      </c>
      <c r="AT72" s="21">
        <v>4</v>
      </c>
      <c r="AU72" s="21">
        <f>Table2[[#This Row],[Inspectors11]]-Table2[[#This Row],[Training12]]-Table2[[#This Row],[Regular13]]</f>
        <v>2</v>
      </c>
      <c r="AV72" s="21"/>
      <c r="AW72" s="21"/>
      <c r="AX72" s="21"/>
      <c r="AY72" s="21"/>
      <c r="AZ72" s="21"/>
      <c r="BA72" s="21"/>
      <c r="BB72" s="21">
        <v>2</v>
      </c>
      <c r="BC72" s="21">
        <v>1</v>
      </c>
      <c r="BD72" s="21"/>
      <c r="BE72" s="21"/>
      <c r="BF72" s="21"/>
    </row>
    <row r="73" spans="2:58" hidden="1" x14ac:dyDescent="0.3">
      <c r="B73" s="21">
        <v>951</v>
      </c>
      <c r="C73" s="22">
        <v>45086</v>
      </c>
      <c r="D73" s="21">
        <f>WEEKDAY(Table2[[#This Row],[Date]])</f>
        <v>6</v>
      </c>
      <c r="E73" s="21">
        <v>3</v>
      </c>
      <c r="F73" s="21">
        <v>201</v>
      </c>
      <c r="G73" s="21">
        <v>264</v>
      </c>
      <c r="H73" s="21">
        <v>264</v>
      </c>
      <c r="I73" s="21">
        <v>198</v>
      </c>
      <c r="J73" s="21">
        <f t="shared" si="0"/>
        <v>462</v>
      </c>
      <c r="K73" s="21">
        <v>420</v>
      </c>
      <c r="L73" s="21">
        <v>44</v>
      </c>
      <c r="M73" s="21">
        <v>242</v>
      </c>
      <c r="N73" s="21">
        <v>443</v>
      </c>
      <c r="O73" s="21">
        <f>Table2[[#This Row],[Total Inspected]]-Table2[[#This Row],[Inspect Pass]]</f>
        <v>19</v>
      </c>
      <c r="P73" s="21">
        <f t="shared" si="1"/>
        <v>-198</v>
      </c>
      <c r="Q73" s="23">
        <f>(Table2[[#This Row],[Inspect Pass]]/Table2[[#This Row],[Total Inspected]])</f>
        <v>0.95887445887445888</v>
      </c>
      <c r="R73" s="24">
        <f>Table2[[#This Row],[Inspect Pass]]*VLOOKUP(Table2[[#This Row],[LineA-ProdType]],'Other Lists'!$B$17:$H$19,7,FALSE)</f>
        <v>31453</v>
      </c>
      <c r="S73" s="24">
        <f>Table2[[#This Row],[Received]]*((VLOOKUP(Table2[[#This Row],[LineA-ProdType]],'Other Lists'!$B$16:$G$19,5,FALSE)+(VLOOKUP(Table2[[#This Row],[LineA-ProdType]],'Other Lists'!$B$16:$G$19,6,FALSE))))</f>
        <v>12962.4</v>
      </c>
      <c r="T73" s="24">
        <f>Table2[[#This Row],[Possible Supplier Income]]-Table2[[#This Row],[Supplier Cost of Parts]]</f>
        <v>18490.599999999999</v>
      </c>
      <c r="U73" s="24">
        <f>Table2[[#This Row],[Inspect Not Pass]]*((VLOOKUP(Table2[[#This Row],[LineA-ProdType]],'Other Lists'!$B$17:$G$19,5,FALSE)+VLOOKUP(Table2[[#This Row],[LineA-ProdType]],'Other Lists'!$B$17:$G$19,6,FALSE)))</f>
        <v>932.9</v>
      </c>
      <c r="V73" s="21">
        <v>6</v>
      </c>
      <c r="W73" s="21">
        <v>0</v>
      </c>
      <c r="X73" s="21">
        <v>4</v>
      </c>
      <c r="Y73" s="21">
        <f>Table2[[#This Row],[Inspectors]]-Table2[[#This Row],[Training]]-Table2[[#This Row],[Regular]]</f>
        <v>2</v>
      </c>
      <c r="Z73" s="24">
        <f>VLOOKUP(Table2[[#This Row],[Shift]],'Other Lists'!$B$31:$H$36,7,FALSE)*8*Table2[[#This Row],[Training]]</f>
        <v>0</v>
      </c>
      <c r="AA73" s="24">
        <f>VLOOKUP(Table2[[#This Row],[Shift]],'Other Lists'!$B$31:$H$36,7,FALSE)*8*Table2[[#This Row],[Regular]]</f>
        <v>1036.8</v>
      </c>
      <c r="AB73" s="24">
        <f>VLOOKUP(Table2[[#This Row],[Shift]],'Other Lists'!$B$31:$H$36,7,FALSE)*8*Table2[[#This Row],[Casual]]</f>
        <v>518.4</v>
      </c>
      <c r="AC73" s="24">
        <f>SUM(Table2[[#This Row],[Training $]:[Casual $]])</f>
        <v>1555.1999999999998</v>
      </c>
      <c r="AD73" s="24">
        <f>Table2[[#This Row],[Total Line A $]]/Table2[[#This Row],[Total Inspected]]</f>
        <v>3.366233766233766</v>
      </c>
      <c r="AE73" s="21">
        <v>105</v>
      </c>
      <c r="AF73" s="21">
        <v>186</v>
      </c>
      <c r="AG73" s="21">
        <v>157</v>
      </c>
      <c r="AH73" s="21">
        <v>21</v>
      </c>
      <c r="AI73" s="21">
        <f>Table2[[#This Row],[Received Inspected3]]+Table2[[#This Row],[Leftover Inspected4]]</f>
        <v>178</v>
      </c>
      <c r="AJ73" s="21">
        <v>162</v>
      </c>
      <c r="AK73" s="21">
        <v>29</v>
      </c>
      <c r="AL73" s="21">
        <v>50</v>
      </c>
      <c r="AM73" s="21">
        <v>165</v>
      </c>
      <c r="AN73" s="21">
        <f>Table2[[#This Row],[Total Inspected2]]-Table2[[#This Row],[Inspect Pass8]]</f>
        <v>13</v>
      </c>
      <c r="AO73" s="21">
        <f>Table2[[#This Row],[Received2]]-Table2[[#This Row],[Total Inspected2]]</f>
        <v>8</v>
      </c>
      <c r="AP73" s="23">
        <f>Table2[[#This Row],[Inspect Pass8]]/Table2[[#This Row],[Received2]]</f>
        <v>0.88709677419354838</v>
      </c>
      <c r="AQ73" s="21">
        <v>6</v>
      </c>
      <c r="AR73" s="21">
        <v>6</v>
      </c>
      <c r="AS73" s="21">
        <v>0</v>
      </c>
      <c r="AT73" s="21">
        <v>4</v>
      </c>
      <c r="AU73" s="21">
        <f>Table2[[#This Row],[Inspectors11]]-Table2[[#This Row],[Training12]]-Table2[[#This Row],[Regular13]]</f>
        <v>2</v>
      </c>
      <c r="AV73" s="21"/>
      <c r="AW73" s="21"/>
      <c r="AX73" s="21"/>
      <c r="AY73" s="21"/>
      <c r="AZ73" s="21"/>
      <c r="BA73" s="21"/>
      <c r="BB73" s="21">
        <v>2</v>
      </c>
      <c r="BC73" s="21">
        <v>1</v>
      </c>
      <c r="BD73" s="21"/>
      <c r="BE73" s="21"/>
      <c r="BF73" s="21"/>
    </row>
    <row r="74" spans="2:58" hidden="1" x14ac:dyDescent="0.3">
      <c r="B74" s="21">
        <v>952</v>
      </c>
      <c r="C74" s="22">
        <v>45087</v>
      </c>
      <c r="D74" s="21">
        <f>WEEKDAY(Table2[[#This Row],[Date]])</f>
        <v>7</v>
      </c>
      <c r="E74" s="21">
        <v>3</v>
      </c>
      <c r="F74" s="21">
        <v>119</v>
      </c>
      <c r="G74" s="21">
        <v>903</v>
      </c>
      <c r="H74" s="21">
        <v>903</v>
      </c>
      <c r="I74" s="21">
        <v>73</v>
      </c>
      <c r="J74" s="21">
        <f t="shared" si="0"/>
        <v>976</v>
      </c>
      <c r="K74" s="21">
        <v>1049.9999999999998</v>
      </c>
      <c r="L74" s="21">
        <v>0</v>
      </c>
      <c r="M74" s="21">
        <v>73</v>
      </c>
      <c r="N74" s="21">
        <v>917</v>
      </c>
      <c r="O74" s="21">
        <f>Table2[[#This Row],[Total Inspected]]-Table2[[#This Row],[Inspect Pass]]</f>
        <v>59</v>
      </c>
      <c r="P74" s="21">
        <f t="shared" si="1"/>
        <v>-73</v>
      </c>
      <c r="Q74" s="23">
        <f>(Table2[[#This Row],[Inspect Pass]]/Table2[[#This Row],[Total Inspected]])</f>
        <v>0.93954918032786883</v>
      </c>
      <c r="R74" s="24">
        <f>Table2[[#This Row],[Inspect Pass]]*VLOOKUP(Table2[[#This Row],[LineA-ProdType]],'Other Lists'!$B$17:$H$19,7,FALSE)</f>
        <v>29344</v>
      </c>
      <c r="S74" s="24">
        <f>Table2[[#This Row],[Received]]*((VLOOKUP(Table2[[#This Row],[LineA-ProdType]],'Other Lists'!$B$16:$G$19,5,FALSE)+(VLOOKUP(Table2[[#This Row],[LineA-ProdType]],'Other Lists'!$B$16:$G$19,6,FALSE))))</f>
        <v>26006.400000000001</v>
      </c>
      <c r="T74" s="24">
        <f>Table2[[#This Row],[Possible Supplier Income]]-Table2[[#This Row],[Supplier Cost of Parts]]</f>
        <v>3337.5999999999985</v>
      </c>
      <c r="U74" s="24">
        <f>Table2[[#This Row],[Inspect Not Pass]]*((VLOOKUP(Table2[[#This Row],[LineA-ProdType]],'Other Lists'!$B$17:$G$19,5,FALSE)+VLOOKUP(Table2[[#This Row],[LineA-ProdType]],'Other Lists'!$B$17:$G$19,6,FALSE)))</f>
        <v>1699.2</v>
      </c>
      <c r="V74" s="21">
        <v>6</v>
      </c>
      <c r="W74" s="21">
        <v>0</v>
      </c>
      <c r="X74" s="21">
        <v>3</v>
      </c>
      <c r="Y74" s="21">
        <f>Table2[[#This Row],[Inspectors]]-Table2[[#This Row],[Training]]-Table2[[#This Row],[Regular]]</f>
        <v>3</v>
      </c>
      <c r="Z74" s="24">
        <f>VLOOKUP(Table2[[#This Row],[Shift]],'Other Lists'!$B$31:$H$36,7,FALSE)*8*Table2[[#This Row],[Training]]</f>
        <v>0</v>
      </c>
      <c r="AA74" s="24">
        <f>VLOOKUP(Table2[[#This Row],[Shift]],'Other Lists'!$B$31:$H$36,7,FALSE)*8*Table2[[#This Row],[Regular]]</f>
        <v>777.59999999999991</v>
      </c>
      <c r="AB74" s="24">
        <f>VLOOKUP(Table2[[#This Row],[Shift]],'Other Lists'!$B$31:$H$36,7,FALSE)*8*Table2[[#This Row],[Casual]]</f>
        <v>777.59999999999991</v>
      </c>
      <c r="AC74" s="24">
        <f>SUM(Table2[[#This Row],[Training $]:[Casual $]])</f>
        <v>1555.1999999999998</v>
      </c>
      <c r="AD74" s="24">
        <f>Table2[[#This Row],[Total Line A $]]/Table2[[#This Row],[Total Inspected]]</f>
        <v>1.5934426229508194</v>
      </c>
      <c r="AE74" s="21">
        <v>105</v>
      </c>
      <c r="AF74" s="21">
        <v>149</v>
      </c>
      <c r="AG74" s="21">
        <v>149</v>
      </c>
      <c r="AH74" s="21">
        <v>0</v>
      </c>
      <c r="AI74" s="21">
        <f>Table2[[#This Row],[Received Inspected3]]+Table2[[#This Row],[Leftover Inspected4]]</f>
        <v>149</v>
      </c>
      <c r="AJ74" s="21">
        <v>162</v>
      </c>
      <c r="AK74" s="21">
        <v>0</v>
      </c>
      <c r="AL74" s="21">
        <v>0</v>
      </c>
      <c r="AM74" s="21">
        <v>141</v>
      </c>
      <c r="AN74" s="21">
        <f>Table2[[#This Row],[Total Inspected2]]-Table2[[#This Row],[Inspect Pass8]]</f>
        <v>8</v>
      </c>
      <c r="AO74" s="21">
        <f>Table2[[#This Row],[Received2]]-Table2[[#This Row],[Total Inspected2]]</f>
        <v>0</v>
      </c>
      <c r="AP74" s="23">
        <f>Table2[[#This Row],[Inspect Pass8]]/Table2[[#This Row],[Received2]]</f>
        <v>0.94630872483221473</v>
      </c>
      <c r="AQ74" s="21">
        <v>6</v>
      </c>
      <c r="AR74" s="21">
        <v>6</v>
      </c>
      <c r="AS74" s="21">
        <v>0</v>
      </c>
      <c r="AT74" s="21">
        <v>3</v>
      </c>
      <c r="AU74" s="21">
        <f>Table2[[#This Row],[Inspectors11]]-Table2[[#This Row],[Training12]]-Table2[[#This Row],[Regular13]]</f>
        <v>3</v>
      </c>
      <c r="AV74" s="21"/>
      <c r="AW74" s="21"/>
      <c r="AX74" s="21"/>
      <c r="AY74" s="21"/>
      <c r="AZ74" s="21"/>
      <c r="BA74" s="21"/>
      <c r="BB74" s="21">
        <v>2</v>
      </c>
      <c r="BC74" s="21">
        <v>1</v>
      </c>
      <c r="BD74" s="21"/>
      <c r="BE74" s="21"/>
      <c r="BF74" s="21"/>
    </row>
    <row r="75" spans="2:58" hidden="1" x14ac:dyDescent="0.3">
      <c r="B75" s="21">
        <v>953</v>
      </c>
      <c r="C75" s="22">
        <v>45088</v>
      </c>
      <c r="D75" s="21">
        <f>WEEKDAY(Table2[[#This Row],[Date]])</f>
        <v>1</v>
      </c>
      <c r="E75" s="21">
        <v>3</v>
      </c>
      <c r="F75" s="21">
        <v>119</v>
      </c>
      <c r="G75" s="21">
        <v>0</v>
      </c>
      <c r="H75" s="21">
        <v>0</v>
      </c>
      <c r="I75" s="21">
        <v>0</v>
      </c>
      <c r="J75" s="21">
        <f t="shared" si="0"/>
        <v>0</v>
      </c>
      <c r="K75" s="21">
        <v>0</v>
      </c>
      <c r="L75" s="21">
        <v>26</v>
      </c>
      <c r="M75" s="21">
        <v>26</v>
      </c>
      <c r="N75" s="21">
        <v>0</v>
      </c>
      <c r="O75" s="21">
        <f>Table2[[#This Row],[Total Inspected]]-Table2[[#This Row],[Inspect Pass]]</f>
        <v>0</v>
      </c>
      <c r="P75" s="21">
        <f t="shared" si="1"/>
        <v>0</v>
      </c>
      <c r="Q75" s="23" t="e">
        <f>(Table2[[#This Row],[Inspect Pass]]/Table2[[#This Row],[Total Inspected]])</f>
        <v>#DIV/0!</v>
      </c>
      <c r="R75" s="24">
        <f>Table2[[#This Row],[Inspect Pass]]*VLOOKUP(Table2[[#This Row],[LineA-ProdType]],'Other Lists'!$B$17:$H$19,7,FALSE)</f>
        <v>0</v>
      </c>
      <c r="S75" s="24">
        <f>Table2[[#This Row],[Received]]*((VLOOKUP(Table2[[#This Row],[LineA-ProdType]],'Other Lists'!$B$16:$G$19,5,FALSE)+(VLOOKUP(Table2[[#This Row],[LineA-ProdType]],'Other Lists'!$B$16:$G$19,6,FALSE))))</f>
        <v>0</v>
      </c>
      <c r="T75" s="24">
        <f>Table2[[#This Row],[Possible Supplier Income]]-Table2[[#This Row],[Supplier Cost of Parts]]</f>
        <v>0</v>
      </c>
      <c r="U75" s="24">
        <f>Table2[[#This Row],[Inspect Not Pass]]*((VLOOKUP(Table2[[#This Row],[LineA-ProdType]],'Other Lists'!$B$17:$G$19,5,FALSE)+VLOOKUP(Table2[[#This Row],[LineA-ProdType]],'Other Lists'!$B$17:$G$19,6,FALSE)))</f>
        <v>0</v>
      </c>
      <c r="V75" s="21">
        <v>0</v>
      </c>
      <c r="W75" s="21">
        <v>0</v>
      </c>
      <c r="X75" s="21">
        <v>0</v>
      </c>
      <c r="Y75" s="21">
        <f>Table2[[#This Row],[Inspectors]]-Table2[[#This Row],[Training]]-Table2[[#This Row],[Regular]]</f>
        <v>0</v>
      </c>
      <c r="Z75" s="24">
        <f>VLOOKUP(Table2[[#This Row],[Shift]],'Other Lists'!$B$31:$H$36,7,FALSE)*8*Table2[[#This Row],[Training]]</f>
        <v>0</v>
      </c>
      <c r="AA75" s="24">
        <f>VLOOKUP(Table2[[#This Row],[Shift]],'Other Lists'!$B$31:$H$36,7,FALSE)*8*Table2[[#This Row],[Regular]]</f>
        <v>0</v>
      </c>
      <c r="AB75" s="24">
        <f>VLOOKUP(Table2[[#This Row],[Shift]],'Other Lists'!$B$31:$H$36,7,FALSE)*8*Table2[[#This Row],[Casual]]</f>
        <v>0</v>
      </c>
      <c r="AC75" s="24">
        <f>SUM(Table2[[#This Row],[Training $]:[Casual $]])</f>
        <v>0</v>
      </c>
      <c r="AD75" s="24" t="e">
        <f>Table2[[#This Row],[Total Line A $]]/Table2[[#This Row],[Total Inspected]]</f>
        <v>#DIV/0!</v>
      </c>
      <c r="AE75" s="21">
        <v>105</v>
      </c>
      <c r="AF75" s="21">
        <v>0</v>
      </c>
      <c r="AG75" s="21">
        <v>0</v>
      </c>
      <c r="AH75" s="21">
        <v>0</v>
      </c>
      <c r="AI75" s="21">
        <f>Table2[[#This Row],[Received Inspected3]]+Table2[[#This Row],[Leftover Inspected4]]</f>
        <v>0</v>
      </c>
      <c r="AJ75" s="21">
        <v>0</v>
      </c>
      <c r="AK75" s="21">
        <v>12</v>
      </c>
      <c r="AL75" s="21">
        <v>12</v>
      </c>
      <c r="AM75" s="21">
        <v>0</v>
      </c>
      <c r="AN75" s="21">
        <f>Table2[[#This Row],[Total Inspected2]]-Table2[[#This Row],[Inspect Pass8]]</f>
        <v>0</v>
      </c>
      <c r="AO75" s="21">
        <f>Table2[[#This Row],[Received2]]-Table2[[#This Row],[Total Inspected2]]</f>
        <v>0</v>
      </c>
      <c r="AP75" s="23" t="e">
        <f>Table2[[#This Row],[Inspect Pass8]]/Table2[[#This Row],[Received2]]</f>
        <v>#DIV/0!</v>
      </c>
      <c r="AQ75" s="21">
        <v>0</v>
      </c>
      <c r="AR75" s="21">
        <v>0</v>
      </c>
      <c r="AS75" s="21">
        <v>0</v>
      </c>
      <c r="AT75" s="21">
        <v>0</v>
      </c>
      <c r="AU75" s="21">
        <f>Table2[[#This Row],[Inspectors11]]-Table2[[#This Row],[Training12]]-Table2[[#This Row],[Regular13]]</f>
        <v>0</v>
      </c>
      <c r="AV75" s="21"/>
      <c r="AW75" s="21"/>
      <c r="AX75" s="21"/>
      <c r="AY75" s="21"/>
      <c r="AZ75" s="21"/>
      <c r="BA75" s="21"/>
      <c r="BB75" s="21">
        <v>0</v>
      </c>
      <c r="BC75" s="21">
        <v>0</v>
      </c>
      <c r="BD75" s="21"/>
      <c r="BE75" s="21"/>
      <c r="BF75" s="21"/>
    </row>
    <row r="76" spans="2:58" hidden="1" x14ac:dyDescent="0.3">
      <c r="B76" s="21">
        <v>954</v>
      </c>
      <c r="C76" s="22">
        <v>45089</v>
      </c>
      <c r="D76" s="21">
        <f>WEEKDAY(Table2[[#This Row],[Date]])</f>
        <v>2</v>
      </c>
      <c r="E76" s="21">
        <v>3</v>
      </c>
      <c r="F76" s="21">
        <v>201</v>
      </c>
      <c r="G76" s="21">
        <v>0</v>
      </c>
      <c r="H76" s="21">
        <v>0</v>
      </c>
      <c r="I76" s="21">
        <v>0</v>
      </c>
      <c r="J76" s="21">
        <f t="shared" si="0"/>
        <v>0</v>
      </c>
      <c r="K76" s="21">
        <v>0</v>
      </c>
      <c r="L76" s="21">
        <v>6</v>
      </c>
      <c r="M76" s="21">
        <v>6</v>
      </c>
      <c r="N76" s="21">
        <v>0</v>
      </c>
      <c r="O76" s="21">
        <f>Table2[[#This Row],[Total Inspected]]-Table2[[#This Row],[Inspect Pass]]</f>
        <v>0</v>
      </c>
      <c r="P76" s="21">
        <f t="shared" si="1"/>
        <v>0</v>
      </c>
      <c r="Q76" s="23" t="e">
        <f>(Table2[[#This Row],[Inspect Pass]]/Table2[[#This Row],[Total Inspected]])</f>
        <v>#DIV/0!</v>
      </c>
      <c r="R76" s="24">
        <f>Table2[[#This Row],[Inspect Pass]]*VLOOKUP(Table2[[#This Row],[LineA-ProdType]],'Other Lists'!$B$17:$H$19,7,FALSE)</f>
        <v>0</v>
      </c>
      <c r="S76" s="24">
        <f>Table2[[#This Row],[Received]]*((VLOOKUP(Table2[[#This Row],[LineA-ProdType]],'Other Lists'!$B$16:$G$19,5,FALSE)+(VLOOKUP(Table2[[#This Row],[LineA-ProdType]],'Other Lists'!$B$16:$G$19,6,FALSE))))</f>
        <v>0</v>
      </c>
      <c r="T76" s="24">
        <f>Table2[[#This Row],[Possible Supplier Income]]-Table2[[#This Row],[Supplier Cost of Parts]]</f>
        <v>0</v>
      </c>
      <c r="U76" s="24">
        <f>Table2[[#This Row],[Inspect Not Pass]]*((VLOOKUP(Table2[[#This Row],[LineA-ProdType]],'Other Lists'!$B$17:$G$19,5,FALSE)+VLOOKUP(Table2[[#This Row],[LineA-ProdType]],'Other Lists'!$B$17:$G$19,6,FALSE)))</f>
        <v>0</v>
      </c>
      <c r="V76" s="21">
        <v>0</v>
      </c>
      <c r="W76" s="21">
        <v>0</v>
      </c>
      <c r="X76" s="21">
        <v>0</v>
      </c>
      <c r="Y76" s="21">
        <f>Table2[[#This Row],[Inspectors]]-Table2[[#This Row],[Training]]-Table2[[#This Row],[Regular]]</f>
        <v>0</v>
      </c>
      <c r="Z76" s="24">
        <f>VLOOKUP(Table2[[#This Row],[Shift]],'Other Lists'!$B$31:$H$36,7,FALSE)*8*Table2[[#This Row],[Training]]</f>
        <v>0</v>
      </c>
      <c r="AA76" s="24">
        <f>VLOOKUP(Table2[[#This Row],[Shift]],'Other Lists'!$B$31:$H$36,7,FALSE)*8*Table2[[#This Row],[Regular]]</f>
        <v>0</v>
      </c>
      <c r="AB76" s="24">
        <f>VLOOKUP(Table2[[#This Row],[Shift]],'Other Lists'!$B$31:$H$36,7,FALSE)*8*Table2[[#This Row],[Casual]]</f>
        <v>0</v>
      </c>
      <c r="AC76" s="24">
        <f>SUM(Table2[[#This Row],[Training $]:[Casual $]])</f>
        <v>0</v>
      </c>
      <c r="AD76" s="24" t="e">
        <f>Table2[[#This Row],[Total Line A $]]/Table2[[#This Row],[Total Inspected]]</f>
        <v>#DIV/0!</v>
      </c>
      <c r="AE76" s="21">
        <v>105</v>
      </c>
      <c r="AF76" s="21">
        <v>0</v>
      </c>
      <c r="AG76" s="21">
        <v>0</v>
      </c>
      <c r="AH76" s="21">
        <v>0</v>
      </c>
      <c r="AI76" s="21">
        <f>Table2[[#This Row],[Received Inspected3]]+Table2[[#This Row],[Leftover Inspected4]]</f>
        <v>0</v>
      </c>
      <c r="AJ76" s="21">
        <v>0</v>
      </c>
      <c r="AK76" s="21">
        <v>0</v>
      </c>
      <c r="AL76" s="21">
        <v>0</v>
      </c>
      <c r="AM76" s="21">
        <v>0</v>
      </c>
      <c r="AN76" s="21">
        <f>Table2[[#This Row],[Total Inspected2]]-Table2[[#This Row],[Inspect Pass8]]</f>
        <v>0</v>
      </c>
      <c r="AO76" s="21">
        <f>Table2[[#This Row],[Received2]]-Table2[[#This Row],[Total Inspected2]]</f>
        <v>0</v>
      </c>
      <c r="AP76" s="23" t="e">
        <f>Table2[[#This Row],[Inspect Pass8]]/Table2[[#This Row],[Received2]]</f>
        <v>#DIV/0!</v>
      </c>
      <c r="AQ76" s="21">
        <v>0</v>
      </c>
      <c r="AR76" s="21">
        <v>0</v>
      </c>
      <c r="AS76" s="21">
        <v>0</v>
      </c>
      <c r="AT76" s="21">
        <v>0</v>
      </c>
      <c r="AU76" s="21">
        <f>Table2[[#This Row],[Inspectors11]]-Table2[[#This Row],[Training12]]-Table2[[#This Row],[Regular13]]</f>
        <v>0</v>
      </c>
      <c r="AV76" s="21"/>
      <c r="AW76" s="21"/>
      <c r="AX76" s="21"/>
      <c r="AY76" s="21"/>
      <c r="AZ76" s="21"/>
      <c r="BA76" s="21"/>
      <c r="BB76" s="21">
        <v>0</v>
      </c>
      <c r="BC76" s="21">
        <v>0</v>
      </c>
      <c r="BD76" s="21"/>
      <c r="BE76" s="21"/>
      <c r="BF76" s="21"/>
    </row>
    <row r="77" spans="2:58" hidden="1" x14ac:dyDescent="0.3">
      <c r="B77" s="21">
        <v>955</v>
      </c>
      <c r="C77" s="22">
        <v>45090</v>
      </c>
      <c r="D77" s="21">
        <f>WEEKDAY(Table2[[#This Row],[Date]])</f>
        <v>3</v>
      </c>
      <c r="E77" s="21">
        <v>3</v>
      </c>
      <c r="F77" s="21">
        <v>119</v>
      </c>
      <c r="G77" s="21">
        <v>546</v>
      </c>
      <c r="H77" s="21">
        <v>546</v>
      </c>
      <c r="I77" s="21">
        <v>31</v>
      </c>
      <c r="J77" s="21">
        <f t="shared" ref="J77:J98" si="2">SUM(H77+I77)</f>
        <v>577</v>
      </c>
      <c r="K77" s="21">
        <v>1049.9999999999998</v>
      </c>
      <c r="L77" s="21">
        <v>0</v>
      </c>
      <c r="M77" s="21">
        <v>31</v>
      </c>
      <c r="N77" s="21">
        <v>548</v>
      </c>
      <c r="O77" s="21">
        <f>Table2[[#This Row],[Total Inspected]]-Table2[[#This Row],[Inspect Pass]]</f>
        <v>29</v>
      </c>
      <c r="P77" s="21">
        <f t="shared" ref="P77:P98" si="3">G77-J77</f>
        <v>-31</v>
      </c>
      <c r="Q77" s="23">
        <f>(Table2[[#This Row],[Inspect Pass]]/Table2[[#This Row],[Total Inspected]])</f>
        <v>0.94974003466204504</v>
      </c>
      <c r="R77" s="24">
        <f>Table2[[#This Row],[Inspect Pass]]*VLOOKUP(Table2[[#This Row],[LineA-ProdType]],'Other Lists'!$B$17:$H$19,7,FALSE)</f>
        <v>17536</v>
      </c>
      <c r="S77" s="24">
        <f>Table2[[#This Row],[Received]]*((VLOOKUP(Table2[[#This Row],[LineA-ProdType]],'Other Lists'!$B$16:$G$19,5,FALSE)+(VLOOKUP(Table2[[#This Row],[LineA-ProdType]],'Other Lists'!$B$16:$G$19,6,FALSE))))</f>
        <v>15724.800000000001</v>
      </c>
      <c r="T77" s="24">
        <f>Table2[[#This Row],[Possible Supplier Income]]-Table2[[#This Row],[Supplier Cost of Parts]]</f>
        <v>1811.1999999999989</v>
      </c>
      <c r="U77" s="24">
        <f>Table2[[#This Row],[Inspect Not Pass]]*((VLOOKUP(Table2[[#This Row],[LineA-ProdType]],'Other Lists'!$B$17:$G$19,5,FALSE)+VLOOKUP(Table2[[#This Row],[LineA-ProdType]],'Other Lists'!$B$17:$G$19,6,FALSE)))</f>
        <v>835.2</v>
      </c>
      <c r="V77" s="21">
        <v>5</v>
      </c>
      <c r="W77" s="21">
        <v>0</v>
      </c>
      <c r="X77" s="21">
        <v>4</v>
      </c>
      <c r="Y77" s="21">
        <f>Table2[[#This Row],[Inspectors]]-Table2[[#This Row],[Training]]-Table2[[#This Row],[Regular]]</f>
        <v>1</v>
      </c>
      <c r="Z77" s="24">
        <f>VLOOKUP(Table2[[#This Row],[Shift]],'Other Lists'!$B$31:$H$36,7,FALSE)*8*Table2[[#This Row],[Training]]</f>
        <v>0</v>
      </c>
      <c r="AA77" s="24">
        <f>VLOOKUP(Table2[[#This Row],[Shift]],'Other Lists'!$B$31:$H$36,7,FALSE)*8*Table2[[#This Row],[Regular]]</f>
        <v>1036.8</v>
      </c>
      <c r="AB77" s="24">
        <f>VLOOKUP(Table2[[#This Row],[Shift]],'Other Lists'!$B$31:$H$36,7,FALSE)*8*Table2[[#This Row],[Casual]]</f>
        <v>259.2</v>
      </c>
      <c r="AC77" s="24">
        <f>SUM(Table2[[#This Row],[Training $]:[Casual $]])</f>
        <v>1296</v>
      </c>
      <c r="AD77" s="24">
        <f>Table2[[#This Row],[Total Line A $]]/Table2[[#This Row],[Total Inspected]]</f>
        <v>2.2461005199306761</v>
      </c>
      <c r="AE77" s="21">
        <v>105</v>
      </c>
      <c r="AF77" s="21">
        <v>160</v>
      </c>
      <c r="AG77" s="21">
        <v>158</v>
      </c>
      <c r="AH77" s="21">
        <v>20</v>
      </c>
      <c r="AI77" s="21">
        <f>Table2[[#This Row],[Received Inspected3]]+Table2[[#This Row],[Leftover Inspected4]]</f>
        <v>178</v>
      </c>
      <c r="AJ77" s="21">
        <v>162</v>
      </c>
      <c r="AK77" s="21">
        <v>8</v>
      </c>
      <c r="AL77" s="21">
        <v>28</v>
      </c>
      <c r="AM77" s="21">
        <v>174</v>
      </c>
      <c r="AN77" s="21">
        <f>Table2[[#This Row],[Total Inspected2]]-Table2[[#This Row],[Inspect Pass8]]</f>
        <v>4</v>
      </c>
      <c r="AO77" s="21">
        <f>Table2[[#This Row],[Received2]]-Table2[[#This Row],[Total Inspected2]]</f>
        <v>-18</v>
      </c>
      <c r="AP77" s="23">
        <f>Table2[[#This Row],[Inspect Pass8]]/Table2[[#This Row],[Received2]]</f>
        <v>1.0874999999999999</v>
      </c>
      <c r="AQ77" s="21">
        <v>6</v>
      </c>
      <c r="AR77" s="21">
        <v>6</v>
      </c>
      <c r="AS77" s="21">
        <v>0</v>
      </c>
      <c r="AT77" s="21">
        <v>3</v>
      </c>
      <c r="AU77" s="21">
        <f>Table2[[#This Row],[Inspectors11]]-Table2[[#This Row],[Training12]]-Table2[[#This Row],[Regular13]]</f>
        <v>3</v>
      </c>
      <c r="AV77" s="21"/>
      <c r="AW77" s="21"/>
      <c r="AX77" s="21"/>
      <c r="AY77" s="21"/>
      <c r="AZ77" s="21"/>
      <c r="BA77" s="21"/>
      <c r="BB77" s="21">
        <v>2</v>
      </c>
      <c r="BC77" s="21">
        <v>1</v>
      </c>
      <c r="BD77" s="21"/>
      <c r="BE77" s="21"/>
      <c r="BF77" s="21"/>
    </row>
    <row r="78" spans="2:58" hidden="1" x14ac:dyDescent="0.3">
      <c r="B78" s="21">
        <v>956</v>
      </c>
      <c r="C78" s="22">
        <v>45091</v>
      </c>
      <c r="D78" s="21">
        <f>WEEKDAY(Table2[[#This Row],[Date]])</f>
        <v>4</v>
      </c>
      <c r="E78" s="21">
        <v>3</v>
      </c>
      <c r="F78" s="21">
        <v>119</v>
      </c>
      <c r="G78" s="21">
        <v>619</v>
      </c>
      <c r="H78" s="21">
        <v>619</v>
      </c>
      <c r="I78" s="21">
        <v>0</v>
      </c>
      <c r="J78" s="21">
        <f t="shared" si="2"/>
        <v>619</v>
      </c>
      <c r="K78" s="21">
        <v>1049.9999999999998</v>
      </c>
      <c r="L78" s="21">
        <v>0</v>
      </c>
      <c r="M78" s="21">
        <v>0</v>
      </c>
      <c r="N78" s="21">
        <v>588</v>
      </c>
      <c r="O78" s="21">
        <f>Table2[[#This Row],[Total Inspected]]-Table2[[#This Row],[Inspect Pass]]</f>
        <v>31</v>
      </c>
      <c r="P78" s="21">
        <f t="shared" si="3"/>
        <v>0</v>
      </c>
      <c r="Q78" s="23">
        <f>(Table2[[#This Row],[Inspect Pass]]/Table2[[#This Row],[Total Inspected]])</f>
        <v>0.94991922455573508</v>
      </c>
      <c r="R78" s="24">
        <f>Table2[[#This Row],[Inspect Pass]]*VLOOKUP(Table2[[#This Row],[LineA-ProdType]],'Other Lists'!$B$17:$H$19,7,FALSE)</f>
        <v>18816</v>
      </c>
      <c r="S78" s="24">
        <f>Table2[[#This Row],[Received]]*((VLOOKUP(Table2[[#This Row],[LineA-ProdType]],'Other Lists'!$B$16:$G$19,5,FALSE)+(VLOOKUP(Table2[[#This Row],[LineA-ProdType]],'Other Lists'!$B$16:$G$19,6,FALSE))))</f>
        <v>17827.2</v>
      </c>
      <c r="T78" s="24">
        <f>Table2[[#This Row],[Possible Supplier Income]]-Table2[[#This Row],[Supplier Cost of Parts]]</f>
        <v>988.79999999999927</v>
      </c>
      <c r="U78" s="24">
        <f>Table2[[#This Row],[Inspect Not Pass]]*((VLOOKUP(Table2[[#This Row],[LineA-ProdType]],'Other Lists'!$B$17:$G$19,5,FALSE)+VLOOKUP(Table2[[#This Row],[LineA-ProdType]],'Other Lists'!$B$17:$G$19,6,FALSE)))</f>
        <v>892.80000000000007</v>
      </c>
      <c r="V78" s="21">
        <v>6</v>
      </c>
      <c r="W78" s="21">
        <v>0</v>
      </c>
      <c r="X78" s="21">
        <v>4</v>
      </c>
      <c r="Y78" s="21">
        <f>Table2[[#This Row],[Inspectors]]-Table2[[#This Row],[Training]]-Table2[[#This Row],[Regular]]</f>
        <v>2</v>
      </c>
      <c r="Z78" s="24">
        <f>VLOOKUP(Table2[[#This Row],[Shift]],'Other Lists'!$B$31:$H$36,7,FALSE)*8*Table2[[#This Row],[Training]]</f>
        <v>0</v>
      </c>
      <c r="AA78" s="24">
        <f>VLOOKUP(Table2[[#This Row],[Shift]],'Other Lists'!$B$31:$H$36,7,FALSE)*8*Table2[[#This Row],[Regular]]</f>
        <v>1036.8</v>
      </c>
      <c r="AB78" s="24">
        <f>VLOOKUP(Table2[[#This Row],[Shift]],'Other Lists'!$B$31:$H$36,7,FALSE)*8*Table2[[#This Row],[Casual]]</f>
        <v>518.4</v>
      </c>
      <c r="AC78" s="24">
        <f>SUM(Table2[[#This Row],[Training $]:[Casual $]])</f>
        <v>1555.1999999999998</v>
      </c>
      <c r="AD78" s="24">
        <f>Table2[[#This Row],[Total Line A $]]/Table2[[#This Row],[Total Inspected]]</f>
        <v>2.5124394184168009</v>
      </c>
      <c r="AE78" s="21">
        <v>105</v>
      </c>
      <c r="AF78" s="21">
        <v>174</v>
      </c>
      <c r="AG78" s="21">
        <v>163</v>
      </c>
      <c r="AH78" s="21">
        <v>0</v>
      </c>
      <c r="AI78" s="21">
        <f>Table2[[#This Row],[Received Inspected3]]+Table2[[#This Row],[Leftover Inspected4]]</f>
        <v>163</v>
      </c>
      <c r="AJ78" s="21">
        <v>162</v>
      </c>
      <c r="AK78" s="21">
        <v>0</v>
      </c>
      <c r="AL78" s="21">
        <v>0</v>
      </c>
      <c r="AM78" s="21">
        <v>151</v>
      </c>
      <c r="AN78" s="21">
        <f>Table2[[#This Row],[Total Inspected2]]-Table2[[#This Row],[Inspect Pass8]]</f>
        <v>12</v>
      </c>
      <c r="AO78" s="21">
        <f>Table2[[#This Row],[Received2]]-Table2[[#This Row],[Total Inspected2]]</f>
        <v>11</v>
      </c>
      <c r="AP78" s="23">
        <f>Table2[[#This Row],[Inspect Pass8]]/Table2[[#This Row],[Received2]]</f>
        <v>0.86781609195402298</v>
      </c>
      <c r="AQ78" s="21">
        <v>6</v>
      </c>
      <c r="AR78" s="21">
        <v>6</v>
      </c>
      <c r="AS78" s="21">
        <v>0</v>
      </c>
      <c r="AT78" s="21">
        <v>4</v>
      </c>
      <c r="AU78" s="21">
        <f>Table2[[#This Row],[Inspectors11]]-Table2[[#This Row],[Training12]]-Table2[[#This Row],[Regular13]]</f>
        <v>2</v>
      </c>
      <c r="AV78" s="21"/>
      <c r="AW78" s="21"/>
      <c r="AX78" s="21"/>
      <c r="AY78" s="21"/>
      <c r="AZ78" s="21"/>
      <c r="BA78" s="21"/>
      <c r="BB78" s="21">
        <v>2</v>
      </c>
      <c r="BC78" s="21">
        <v>1</v>
      </c>
      <c r="BD78" s="21"/>
      <c r="BE78" s="21"/>
      <c r="BF78" s="21"/>
    </row>
    <row r="79" spans="2:58" hidden="1" x14ac:dyDescent="0.3">
      <c r="B79" s="21">
        <v>957</v>
      </c>
      <c r="C79" s="22">
        <v>45092</v>
      </c>
      <c r="D79" s="21">
        <f>WEEKDAY(Table2[[#This Row],[Date]])</f>
        <v>5</v>
      </c>
      <c r="E79" s="21">
        <v>3</v>
      </c>
      <c r="F79" s="21">
        <v>201</v>
      </c>
      <c r="G79" s="21">
        <v>344</v>
      </c>
      <c r="H79" s="21">
        <v>344</v>
      </c>
      <c r="I79" s="21">
        <v>75</v>
      </c>
      <c r="J79" s="21">
        <f t="shared" si="2"/>
        <v>419</v>
      </c>
      <c r="K79" s="21">
        <v>420</v>
      </c>
      <c r="L79" s="21">
        <v>0</v>
      </c>
      <c r="M79" s="21">
        <v>75</v>
      </c>
      <c r="N79" s="21">
        <v>393</v>
      </c>
      <c r="O79" s="21">
        <f>Table2[[#This Row],[Total Inspected]]-Table2[[#This Row],[Inspect Pass]]</f>
        <v>26</v>
      </c>
      <c r="P79" s="21">
        <f t="shared" si="3"/>
        <v>-75</v>
      </c>
      <c r="Q79" s="23">
        <f>(Table2[[#This Row],[Inspect Pass]]/Table2[[#This Row],[Total Inspected]])</f>
        <v>0.93794749403341293</v>
      </c>
      <c r="R79" s="24">
        <f>Table2[[#This Row],[Inspect Pass]]*VLOOKUP(Table2[[#This Row],[LineA-ProdType]],'Other Lists'!$B$17:$H$19,7,FALSE)</f>
        <v>27903</v>
      </c>
      <c r="S79" s="24">
        <f>Table2[[#This Row],[Received]]*((VLOOKUP(Table2[[#This Row],[LineA-ProdType]],'Other Lists'!$B$16:$G$19,5,FALSE)+(VLOOKUP(Table2[[#This Row],[LineA-ProdType]],'Other Lists'!$B$16:$G$19,6,FALSE))))</f>
        <v>16890.400000000001</v>
      </c>
      <c r="T79" s="24">
        <f>Table2[[#This Row],[Possible Supplier Income]]-Table2[[#This Row],[Supplier Cost of Parts]]</f>
        <v>11012.599999999999</v>
      </c>
      <c r="U79" s="24">
        <f>Table2[[#This Row],[Inspect Not Pass]]*((VLOOKUP(Table2[[#This Row],[LineA-ProdType]],'Other Lists'!$B$17:$G$19,5,FALSE)+VLOOKUP(Table2[[#This Row],[LineA-ProdType]],'Other Lists'!$B$17:$G$19,6,FALSE)))</f>
        <v>1276.6000000000001</v>
      </c>
      <c r="V79" s="21">
        <v>6</v>
      </c>
      <c r="W79" s="21">
        <v>0</v>
      </c>
      <c r="X79" s="21">
        <v>3</v>
      </c>
      <c r="Y79" s="21">
        <f>Table2[[#This Row],[Inspectors]]-Table2[[#This Row],[Training]]-Table2[[#This Row],[Regular]]</f>
        <v>3</v>
      </c>
      <c r="Z79" s="24">
        <f>VLOOKUP(Table2[[#This Row],[Shift]],'Other Lists'!$B$31:$H$36,7,FALSE)*8*Table2[[#This Row],[Training]]</f>
        <v>0</v>
      </c>
      <c r="AA79" s="24">
        <f>VLOOKUP(Table2[[#This Row],[Shift]],'Other Lists'!$B$31:$H$36,7,FALSE)*8*Table2[[#This Row],[Regular]]</f>
        <v>777.59999999999991</v>
      </c>
      <c r="AB79" s="24">
        <f>VLOOKUP(Table2[[#This Row],[Shift]],'Other Lists'!$B$31:$H$36,7,FALSE)*8*Table2[[#This Row],[Casual]]</f>
        <v>777.59999999999991</v>
      </c>
      <c r="AC79" s="24">
        <f>SUM(Table2[[#This Row],[Training $]:[Casual $]])</f>
        <v>1555.1999999999998</v>
      </c>
      <c r="AD79" s="24">
        <f>Table2[[#This Row],[Total Line A $]]/Table2[[#This Row],[Total Inspected]]</f>
        <v>3.7116945107398562</v>
      </c>
      <c r="AE79" s="21">
        <v>105</v>
      </c>
      <c r="AF79" s="21">
        <v>191</v>
      </c>
      <c r="AG79" s="21">
        <v>158</v>
      </c>
      <c r="AH79" s="21">
        <v>20</v>
      </c>
      <c r="AI79" s="21">
        <f>Table2[[#This Row],[Received Inspected3]]+Table2[[#This Row],[Leftover Inspected4]]</f>
        <v>178</v>
      </c>
      <c r="AJ79" s="21">
        <v>162</v>
      </c>
      <c r="AK79" s="21">
        <v>0</v>
      </c>
      <c r="AL79" s="21">
        <v>20</v>
      </c>
      <c r="AM79" s="21">
        <v>170</v>
      </c>
      <c r="AN79" s="21">
        <f>Table2[[#This Row],[Total Inspected2]]-Table2[[#This Row],[Inspect Pass8]]</f>
        <v>8</v>
      </c>
      <c r="AO79" s="21">
        <f>Table2[[#This Row],[Received2]]-Table2[[#This Row],[Total Inspected2]]</f>
        <v>13</v>
      </c>
      <c r="AP79" s="23">
        <f>Table2[[#This Row],[Inspect Pass8]]/Table2[[#This Row],[Received2]]</f>
        <v>0.89005235602094246</v>
      </c>
      <c r="AQ79" s="21">
        <v>6</v>
      </c>
      <c r="AR79" s="21">
        <v>6</v>
      </c>
      <c r="AS79" s="21">
        <v>0</v>
      </c>
      <c r="AT79" s="21">
        <v>4</v>
      </c>
      <c r="AU79" s="21">
        <f>Table2[[#This Row],[Inspectors11]]-Table2[[#This Row],[Training12]]-Table2[[#This Row],[Regular13]]</f>
        <v>2</v>
      </c>
      <c r="AV79" s="21"/>
      <c r="AW79" s="21"/>
      <c r="AX79" s="21"/>
      <c r="AY79" s="21"/>
      <c r="AZ79" s="21"/>
      <c r="BA79" s="21"/>
      <c r="BB79" s="21">
        <v>2</v>
      </c>
      <c r="BC79" s="21">
        <v>0</v>
      </c>
      <c r="BD79" s="21"/>
      <c r="BE79" s="21"/>
      <c r="BF79" s="21"/>
    </row>
    <row r="80" spans="2:58" hidden="1" x14ac:dyDescent="0.3">
      <c r="B80" s="21">
        <v>958</v>
      </c>
      <c r="C80" s="22">
        <v>45093</v>
      </c>
      <c r="D80" s="21">
        <f>WEEKDAY(Table2[[#This Row],[Date]])</f>
        <v>6</v>
      </c>
      <c r="E80" s="21">
        <v>3</v>
      </c>
      <c r="F80" s="21">
        <v>201</v>
      </c>
      <c r="G80" s="21">
        <v>260</v>
      </c>
      <c r="H80" s="21">
        <v>260</v>
      </c>
      <c r="I80" s="21">
        <v>151</v>
      </c>
      <c r="J80" s="21">
        <f t="shared" si="2"/>
        <v>411</v>
      </c>
      <c r="K80" s="21">
        <v>420</v>
      </c>
      <c r="L80" s="21">
        <v>0</v>
      </c>
      <c r="M80" s="21">
        <v>151</v>
      </c>
      <c r="N80" s="21">
        <v>386</v>
      </c>
      <c r="O80" s="21">
        <f>Table2[[#This Row],[Total Inspected]]-Table2[[#This Row],[Inspect Pass]]</f>
        <v>25</v>
      </c>
      <c r="P80" s="21">
        <f t="shared" si="3"/>
        <v>-151</v>
      </c>
      <c r="Q80" s="23">
        <f>(Table2[[#This Row],[Inspect Pass]]/Table2[[#This Row],[Total Inspected]])</f>
        <v>0.93917274939172746</v>
      </c>
      <c r="R80" s="24">
        <f>Table2[[#This Row],[Inspect Pass]]*VLOOKUP(Table2[[#This Row],[LineA-ProdType]],'Other Lists'!$B$17:$H$19,7,FALSE)</f>
        <v>27406</v>
      </c>
      <c r="S80" s="24">
        <f>Table2[[#This Row],[Received]]*((VLOOKUP(Table2[[#This Row],[LineA-ProdType]],'Other Lists'!$B$16:$G$19,5,FALSE)+(VLOOKUP(Table2[[#This Row],[LineA-ProdType]],'Other Lists'!$B$16:$G$19,6,FALSE))))</f>
        <v>12766</v>
      </c>
      <c r="T80" s="24">
        <f>Table2[[#This Row],[Possible Supplier Income]]-Table2[[#This Row],[Supplier Cost of Parts]]</f>
        <v>14640</v>
      </c>
      <c r="U80" s="24">
        <f>Table2[[#This Row],[Inspect Not Pass]]*((VLOOKUP(Table2[[#This Row],[LineA-ProdType]],'Other Lists'!$B$17:$G$19,5,FALSE)+VLOOKUP(Table2[[#This Row],[LineA-ProdType]],'Other Lists'!$B$17:$G$19,6,FALSE)))</f>
        <v>1227.5</v>
      </c>
      <c r="V80" s="21">
        <v>5</v>
      </c>
      <c r="W80" s="21">
        <v>0</v>
      </c>
      <c r="X80" s="21">
        <v>4</v>
      </c>
      <c r="Y80" s="21">
        <f>Table2[[#This Row],[Inspectors]]-Table2[[#This Row],[Training]]-Table2[[#This Row],[Regular]]</f>
        <v>1</v>
      </c>
      <c r="Z80" s="24">
        <f>VLOOKUP(Table2[[#This Row],[Shift]],'Other Lists'!$B$31:$H$36,7,FALSE)*8*Table2[[#This Row],[Training]]</f>
        <v>0</v>
      </c>
      <c r="AA80" s="24">
        <f>VLOOKUP(Table2[[#This Row],[Shift]],'Other Lists'!$B$31:$H$36,7,FALSE)*8*Table2[[#This Row],[Regular]]</f>
        <v>1036.8</v>
      </c>
      <c r="AB80" s="24">
        <f>VLOOKUP(Table2[[#This Row],[Shift]],'Other Lists'!$B$31:$H$36,7,FALSE)*8*Table2[[#This Row],[Casual]]</f>
        <v>259.2</v>
      </c>
      <c r="AC80" s="24">
        <f>SUM(Table2[[#This Row],[Training $]:[Casual $]])</f>
        <v>1296</v>
      </c>
      <c r="AD80" s="24">
        <f>Table2[[#This Row],[Total Line A $]]/Table2[[#This Row],[Total Inspected]]</f>
        <v>3.1532846715328469</v>
      </c>
      <c r="AE80" s="21">
        <v>105</v>
      </c>
      <c r="AF80" s="21">
        <v>187</v>
      </c>
      <c r="AG80" s="21">
        <v>157</v>
      </c>
      <c r="AH80" s="21">
        <v>15</v>
      </c>
      <c r="AI80" s="21">
        <f>Table2[[#This Row],[Received Inspected3]]+Table2[[#This Row],[Leftover Inspected4]]</f>
        <v>172</v>
      </c>
      <c r="AJ80" s="21">
        <v>162</v>
      </c>
      <c r="AK80" s="21">
        <v>0</v>
      </c>
      <c r="AL80" s="21">
        <v>15</v>
      </c>
      <c r="AM80" s="21">
        <v>159</v>
      </c>
      <c r="AN80" s="21">
        <f>Table2[[#This Row],[Total Inspected2]]-Table2[[#This Row],[Inspect Pass8]]</f>
        <v>13</v>
      </c>
      <c r="AO80" s="21">
        <f>Table2[[#This Row],[Received2]]-Table2[[#This Row],[Total Inspected2]]</f>
        <v>15</v>
      </c>
      <c r="AP80" s="23">
        <f>Table2[[#This Row],[Inspect Pass8]]/Table2[[#This Row],[Received2]]</f>
        <v>0.85026737967914434</v>
      </c>
      <c r="AQ80" s="21">
        <v>6</v>
      </c>
      <c r="AR80" s="21">
        <v>6</v>
      </c>
      <c r="AS80" s="21">
        <v>0</v>
      </c>
      <c r="AT80" s="21">
        <v>4</v>
      </c>
      <c r="AU80" s="21">
        <f>Table2[[#This Row],[Inspectors11]]-Table2[[#This Row],[Training12]]-Table2[[#This Row],[Regular13]]</f>
        <v>2</v>
      </c>
      <c r="AV80" s="21"/>
      <c r="AW80" s="21"/>
      <c r="AX80" s="21"/>
      <c r="AY80" s="21"/>
      <c r="AZ80" s="21"/>
      <c r="BA80" s="21"/>
      <c r="BB80" s="21">
        <v>2</v>
      </c>
      <c r="BC80" s="21">
        <v>1</v>
      </c>
      <c r="BD80" s="21"/>
      <c r="BE80" s="21"/>
      <c r="BF80" s="21"/>
    </row>
    <row r="81" spans="2:58" hidden="1" x14ac:dyDescent="0.3">
      <c r="B81" s="21">
        <v>959</v>
      </c>
      <c r="C81" s="22">
        <v>45094</v>
      </c>
      <c r="D81" s="21">
        <f>WEEKDAY(Table2[[#This Row],[Date]])</f>
        <v>7</v>
      </c>
      <c r="E81" s="21">
        <v>3</v>
      </c>
      <c r="F81" s="21">
        <v>119</v>
      </c>
      <c r="G81" s="21">
        <v>714</v>
      </c>
      <c r="H81" s="21">
        <v>714</v>
      </c>
      <c r="I81" s="21">
        <v>89</v>
      </c>
      <c r="J81" s="21">
        <f t="shared" si="2"/>
        <v>803</v>
      </c>
      <c r="K81" s="21">
        <v>1049.9999999999998</v>
      </c>
      <c r="L81" s="21">
        <v>0</v>
      </c>
      <c r="M81" s="21">
        <v>89</v>
      </c>
      <c r="N81" s="21">
        <v>786</v>
      </c>
      <c r="O81" s="21">
        <f>Table2[[#This Row],[Total Inspected]]-Table2[[#This Row],[Inspect Pass]]</f>
        <v>17</v>
      </c>
      <c r="P81" s="21">
        <f t="shared" si="3"/>
        <v>-89</v>
      </c>
      <c r="Q81" s="23">
        <f>(Table2[[#This Row],[Inspect Pass]]/Table2[[#This Row],[Total Inspected]])</f>
        <v>0.97882938978829392</v>
      </c>
      <c r="R81" s="24">
        <f>Table2[[#This Row],[Inspect Pass]]*VLOOKUP(Table2[[#This Row],[LineA-ProdType]],'Other Lists'!$B$17:$H$19,7,FALSE)</f>
        <v>25152</v>
      </c>
      <c r="S81" s="24">
        <f>Table2[[#This Row],[Received]]*((VLOOKUP(Table2[[#This Row],[LineA-ProdType]],'Other Lists'!$B$16:$G$19,5,FALSE)+(VLOOKUP(Table2[[#This Row],[LineA-ProdType]],'Other Lists'!$B$16:$G$19,6,FALSE))))</f>
        <v>20563.2</v>
      </c>
      <c r="T81" s="24">
        <f>Table2[[#This Row],[Possible Supplier Income]]-Table2[[#This Row],[Supplier Cost of Parts]]</f>
        <v>4588.7999999999993</v>
      </c>
      <c r="U81" s="24">
        <f>Table2[[#This Row],[Inspect Not Pass]]*((VLOOKUP(Table2[[#This Row],[LineA-ProdType]],'Other Lists'!$B$17:$G$19,5,FALSE)+VLOOKUP(Table2[[#This Row],[LineA-ProdType]],'Other Lists'!$B$17:$G$19,6,FALSE)))</f>
        <v>489.6</v>
      </c>
      <c r="V81" s="21">
        <v>6</v>
      </c>
      <c r="W81" s="21">
        <v>0</v>
      </c>
      <c r="X81" s="21">
        <v>4</v>
      </c>
      <c r="Y81" s="21">
        <f>Table2[[#This Row],[Inspectors]]-Table2[[#This Row],[Training]]-Table2[[#This Row],[Regular]]</f>
        <v>2</v>
      </c>
      <c r="Z81" s="24">
        <f>VLOOKUP(Table2[[#This Row],[Shift]],'Other Lists'!$B$31:$H$36,7,FALSE)*8*Table2[[#This Row],[Training]]</f>
        <v>0</v>
      </c>
      <c r="AA81" s="24">
        <f>VLOOKUP(Table2[[#This Row],[Shift]],'Other Lists'!$B$31:$H$36,7,FALSE)*8*Table2[[#This Row],[Regular]]</f>
        <v>1036.8</v>
      </c>
      <c r="AB81" s="24">
        <f>VLOOKUP(Table2[[#This Row],[Shift]],'Other Lists'!$B$31:$H$36,7,FALSE)*8*Table2[[#This Row],[Casual]]</f>
        <v>518.4</v>
      </c>
      <c r="AC81" s="24">
        <f>SUM(Table2[[#This Row],[Training $]:[Casual $]])</f>
        <v>1555.1999999999998</v>
      </c>
      <c r="AD81" s="24">
        <f>Table2[[#This Row],[Total Line A $]]/Table2[[#This Row],[Total Inspected]]</f>
        <v>1.9367372353673722</v>
      </c>
      <c r="AE81" s="21">
        <v>105</v>
      </c>
      <c r="AF81" s="21">
        <v>173</v>
      </c>
      <c r="AG81" s="21">
        <v>160</v>
      </c>
      <c r="AH81" s="21">
        <v>18</v>
      </c>
      <c r="AI81" s="21">
        <f>Table2[[#This Row],[Received Inspected3]]+Table2[[#This Row],[Leftover Inspected4]]</f>
        <v>178</v>
      </c>
      <c r="AJ81" s="21">
        <v>162</v>
      </c>
      <c r="AK81" s="21">
        <v>1</v>
      </c>
      <c r="AL81" s="21">
        <v>19</v>
      </c>
      <c r="AM81" s="21">
        <v>170</v>
      </c>
      <c r="AN81" s="21">
        <f>Table2[[#This Row],[Total Inspected2]]-Table2[[#This Row],[Inspect Pass8]]</f>
        <v>8</v>
      </c>
      <c r="AO81" s="21">
        <f>Table2[[#This Row],[Received2]]-Table2[[#This Row],[Total Inspected2]]</f>
        <v>-5</v>
      </c>
      <c r="AP81" s="23">
        <f>Table2[[#This Row],[Inspect Pass8]]/Table2[[#This Row],[Received2]]</f>
        <v>0.98265895953757221</v>
      </c>
      <c r="AQ81" s="21">
        <v>6</v>
      </c>
      <c r="AR81" s="21">
        <v>6</v>
      </c>
      <c r="AS81" s="21">
        <v>0</v>
      </c>
      <c r="AT81" s="21">
        <v>4</v>
      </c>
      <c r="AU81" s="21">
        <f>Table2[[#This Row],[Inspectors11]]-Table2[[#This Row],[Training12]]-Table2[[#This Row],[Regular13]]</f>
        <v>2</v>
      </c>
      <c r="AV81" s="21"/>
      <c r="AW81" s="21"/>
      <c r="AX81" s="21"/>
      <c r="AY81" s="21"/>
      <c r="AZ81" s="21"/>
      <c r="BA81" s="21"/>
      <c r="BB81" s="21">
        <v>2</v>
      </c>
      <c r="BC81" s="21">
        <v>1</v>
      </c>
      <c r="BD81" s="21"/>
      <c r="BE81" s="21"/>
      <c r="BF81" s="21"/>
    </row>
    <row r="82" spans="2:58" hidden="1" x14ac:dyDescent="0.3">
      <c r="B82" s="21">
        <v>960</v>
      </c>
      <c r="C82" s="22">
        <v>45095</v>
      </c>
      <c r="D82" s="21">
        <f>WEEKDAY(Table2[[#This Row],[Date]])</f>
        <v>1</v>
      </c>
      <c r="E82" s="21">
        <v>3</v>
      </c>
      <c r="F82" s="21">
        <v>201</v>
      </c>
      <c r="G82" s="21">
        <v>0</v>
      </c>
      <c r="H82" s="21">
        <v>0</v>
      </c>
      <c r="I82" s="21">
        <v>0</v>
      </c>
      <c r="J82" s="21">
        <f t="shared" si="2"/>
        <v>0</v>
      </c>
      <c r="K82" s="21">
        <v>0</v>
      </c>
      <c r="L82" s="21">
        <v>4</v>
      </c>
      <c r="M82" s="21">
        <v>4</v>
      </c>
      <c r="N82" s="21">
        <v>0</v>
      </c>
      <c r="O82" s="21">
        <f>Table2[[#This Row],[Total Inspected]]-Table2[[#This Row],[Inspect Pass]]</f>
        <v>0</v>
      </c>
      <c r="P82" s="21">
        <f t="shared" si="3"/>
        <v>0</v>
      </c>
      <c r="Q82" s="23" t="e">
        <f>(Table2[[#This Row],[Inspect Pass]]/Table2[[#This Row],[Total Inspected]])</f>
        <v>#DIV/0!</v>
      </c>
      <c r="R82" s="24">
        <f>Table2[[#This Row],[Inspect Pass]]*VLOOKUP(Table2[[#This Row],[LineA-ProdType]],'Other Lists'!$B$17:$H$19,7,FALSE)</f>
        <v>0</v>
      </c>
      <c r="S82" s="24">
        <f>Table2[[#This Row],[Received]]*((VLOOKUP(Table2[[#This Row],[LineA-ProdType]],'Other Lists'!$B$16:$G$19,5,FALSE)+(VLOOKUP(Table2[[#This Row],[LineA-ProdType]],'Other Lists'!$B$16:$G$19,6,FALSE))))</f>
        <v>0</v>
      </c>
      <c r="T82" s="24">
        <f>Table2[[#This Row],[Possible Supplier Income]]-Table2[[#This Row],[Supplier Cost of Parts]]</f>
        <v>0</v>
      </c>
      <c r="U82" s="24">
        <f>Table2[[#This Row],[Inspect Not Pass]]*((VLOOKUP(Table2[[#This Row],[LineA-ProdType]],'Other Lists'!$B$17:$G$19,5,FALSE)+VLOOKUP(Table2[[#This Row],[LineA-ProdType]],'Other Lists'!$B$17:$G$19,6,FALSE)))</f>
        <v>0</v>
      </c>
      <c r="V82" s="21">
        <v>0</v>
      </c>
      <c r="W82" s="21">
        <v>0</v>
      </c>
      <c r="X82" s="21">
        <v>0</v>
      </c>
      <c r="Y82" s="21">
        <f>Table2[[#This Row],[Inspectors]]-Table2[[#This Row],[Training]]-Table2[[#This Row],[Regular]]</f>
        <v>0</v>
      </c>
      <c r="Z82" s="24">
        <f>VLOOKUP(Table2[[#This Row],[Shift]],'Other Lists'!$B$31:$H$36,7,FALSE)*8*Table2[[#This Row],[Training]]</f>
        <v>0</v>
      </c>
      <c r="AA82" s="24">
        <f>VLOOKUP(Table2[[#This Row],[Shift]],'Other Lists'!$B$31:$H$36,7,FALSE)*8*Table2[[#This Row],[Regular]]</f>
        <v>0</v>
      </c>
      <c r="AB82" s="24">
        <f>VLOOKUP(Table2[[#This Row],[Shift]],'Other Lists'!$B$31:$H$36,7,FALSE)*8*Table2[[#This Row],[Casual]]</f>
        <v>0</v>
      </c>
      <c r="AC82" s="24">
        <f>SUM(Table2[[#This Row],[Training $]:[Casual $]])</f>
        <v>0</v>
      </c>
      <c r="AD82" s="24" t="e">
        <f>Table2[[#This Row],[Total Line A $]]/Table2[[#This Row],[Total Inspected]]</f>
        <v>#DIV/0!</v>
      </c>
      <c r="AE82" s="21">
        <v>105</v>
      </c>
      <c r="AF82" s="21">
        <v>0</v>
      </c>
      <c r="AG82" s="21">
        <v>0</v>
      </c>
      <c r="AH82" s="21">
        <v>0</v>
      </c>
      <c r="AI82" s="21">
        <f>Table2[[#This Row],[Received Inspected3]]+Table2[[#This Row],[Leftover Inspected4]]</f>
        <v>0</v>
      </c>
      <c r="AJ82" s="21">
        <v>0</v>
      </c>
      <c r="AK82" s="21">
        <v>8</v>
      </c>
      <c r="AL82" s="21">
        <v>8</v>
      </c>
      <c r="AM82" s="21">
        <v>0</v>
      </c>
      <c r="AN82" s="21">
        <f>Table2[[#This Row],[Total Inspected2]]-Table2[[#This Row],[Inspect Pass8]]</f>
        <v>0</v>
      </c>
      <c r="AO82" s="21">
        <f>Table2[[#This Row],[Received2]]-Table2[[#This Row],[Total Inspected2]]</f>
        <v>0</v>
      </c>
      <c r="AP82" s="23" t="e">
        <f>Table2[[#This Row],[Inspect Pass8]]/Table2[[#This Row],[Received2]]</f>
        <v>#DIV/0!</v>
      </c>
      <c r="AQ82" s="21">
        <v>0</v>
      </c>
      <c r="AR82" s="21">
        <v>0</v>
      </c>
      <c r="AS82" s="21">
        <v>0</v>
      </c>
      <c r="AT82" s="21">
        <v>0</v>
      </c>
      <c r="AU82" s="21">
        <f>Table2[[#This Row],[Inspectors11]]-Table2[[#This Row],[Training12]]-Table2[[#This Row],[Regular13]]</f>
        <v>0</v>
      </c>
      <c r="AV82" s="21"/>
      <c r="AW82" s="21"/>
      <c r="AX82" s="21"/>
      <c r="AY82" s="21"/>
      <c r="AZ82" s="21"/>
      <c r="BA82" s="21"/>
      <c r="BB82" s="21">
        <v>0</v>
      </c>
      <c r="BC82" s="21">
        <v>0</v>
      </c>
      <c r="BD82" s="21"/>
      <c r="BE82" s="21"/>
      <c r="BF82" s="21"/>
    </row>
    <row r="83" spans="2:58" hidden="1" x14ac:dyDescent="0.3">
      <c r="B83" s="21">
        <v>961</v>
      </c>
      <c r="C83" s="22">
        <v>45096</v>
      </c>
      <c r="D83" s="21">
        <f>WEEKDAY(Table2[[#This Row],[Date]])</f>
        <v>2</v>
      </c>
      <c r="E83" s="21">
        <v>3</v>
      </c>
      <c r="F83" s="21">
        <v>201</v>
      </c>
      <c r="G83" s="21">
        <v>0</v>
      </c>
      <c r="H83" s="21">
        <v>0</v>
      </c>
      <c r="I83" s="21">
        <v>0</v>
      </c>
      <c r="J83" s="21">
        <f t="shared" si="2"/>
        <v>0</v>
      </c>
      <c r="K83" s="21">
        <v>0</v>
      </c>
      <c r="L83" s="21">
        <v>115</v>
      </c>
      <c r="M83" s="21">
        <v>115</v>
      </c>
      <c r="N83" s="21">
        <v>0</v>
      </c>
      <c r="O83" s="21">
        <f>Table2[[#This Row],[Total Inspected]]-Table2[[#This Row],[Inspect Pass]]</f>
        <v>0</v>
      </c>
      <c r="P83" s="21">
        <f t="shared" si="3"/>
        <v>0</v>
      </c>
      <c r="Q83" s="23" t="e">
        <f>(Table2[[#This Row],[Inspect Pass]]/Table2[[#This Row],[Total Inspected]])</f>
        <v>#DIV/0!</v>
      </c>
      <c r="R83" s="24">
        <f>Table2[[#This Row],[Inspect Pass]]*VLOOKUP(Table2[[#This Row],[LineA-ProdType]],'Other Lists'!$B$17:$H$19,7,FALSE)</f>
        <v>0</v>
      </c>
      <c r="S83" s="24">
        <f>Table2[[#This Row],[Received]]*((VLOOKUP(Table2[[#This Row],[LineA-ProdType]],'Other Lists'!$B$16:$G$19,5,FALSE)+(VLOOKUP(Table2[[#This Row],[LineA-ProdType]],'Other Lists'!$B$16:$G$19,6,FALSE))))</f>
        <v>0</v>
      </c>
      <c r="T83" s="24">
        <f>Table2[[#This Row],[Possible Supplier Income]]-Table2[[#This Row],[Supplier Cost of Parts]]</f>
        <v>0</v>
      </c>
      <c r="U83" s="24">
        <f>Table2[[#This Row],[Inspect Not Pass]]*((VLOOKUP(Table2[[#This Row],[LineA-ProdType]],'Other Lists'!$B$17:$G$19,5,FALSE)+VLOOKUP(Table2[[#This Row],[LineA-ProdType]],'Other Lists'!$B$17:$G$19,6,FALSE)))</f>
        <v>0</v>
      </c>
      <c r="V83" s="21">
        <v>0</v>
      </c>
      <c r="W83" s="21">
        <v>0</v>
      </c>
      <c r="X83" s="21">
        <v>0</v>
      </c>
      <c r="Y83" s="21">
        <f>Table2[[#This Row],[Inspectors]]-Table2[[#This Row],[Training]]-Table2[[#This Row],[Regular]]</f>
        <v>0</v>
      </c>
      <c r="Z83" s="24">
        <f>VLOOKUP(Table2[[#This Row],[Shift]],'Other Lists'!$B$31:$H$36,7,FALSE)*8*Table2[[#This Row],[Training]]</f>
        <v>0</v>
      </c>
      <c r="AA83" s="24">
        <f>VLOOKUP(Table2[[#This Row],[Shift]],'Other Lists'!$B$31:$H$36,7,FALSE)*8*Table2[[#This Row],[Regular]]</f>
        <v>0</v>
      </c>
      <c r="AB83" s="24">
        <f>VLOOKUP(Table2[[#This Row],[Shift]],'Other Lists'!$B$31:$H$36,7,FALSE)*8*Table2[[#This Row],[Casual]]</f>
        <v>0</v>
      </c>
      <c r="AC83" s="24">
        <f>SUM(Table2[[#This Row],[Training $]:[Casual $]])</f>
        <v>0</v>
      </c>
      <c r="AD83" s="24" t="e">
        <f>Table2[[#This Row],[Total Line A $]]/Table2[[#This Row],[Total Inspected]]</f>
        <v>#DIV/0!</v>
      </c>
      <c r="AE83" s="21">
        <v>105</v>
      </c>
      <c r="AF83" s="21">
        <v>0</v>
      </c>
      <c r="AG83" s="21">
        <v>0</v>
      </c>
      <c r="AH83" s="21">
        <v>0</v>
      </c>
      <c r="AI83" s="21">
        <f>Table2[[#This Row],[Received Inspected3]]+Table2[[#This Row],[Leftover Inspected4]]</f>
        <v>0</v>
      </c>
      <c r="AJ83" s="21">
        <v>0</v>
      </c>
      <c r="AK83" s="21">
        <v>30</v>
      </c>
      <c r="AL83" s="21">
        <v>30</v>
      </c>
      <c r="AM83" s="21">
        <v>0</v>
      </c>
      <c r="AN83" s="21">
        <f>Table2[[#This Row],[Total Inspected2]]-Table2[[#This Row],[Inspect Pass8]]</f>
        <v>0</v>
      </c>
      <c r="AO83" s="21">
        <f>Table2[[#This Row],[Received2]]-Table2[[#This Row],[Total Inspected2]]</f>
        <v>0</v>
      </c>
      <c r="AP83" s="23" t="e">
        <f>Table2[[#This Row],[Inspect Pass8]]/Table2[[#This Row],[Received2]]</f>
        <v>#DIV/0!</v>
      </c>
      <c r="AQ83" s="21">
        <v>0</v>
      </c>
      <c r="AR83" s="21">
        <v>0</v>
      </c>
      <c r="AS83" s="21">
        <v>0</v>
      </c>
      <c r="AT83" s="21">
        <v>0</v>
      </c>
      <c r="AU83" s="21">
        <f>Table2[[#This Row],[Inspectors11]]-Table2[[#This Row],[Training12]]-Table2[[#This Row],[Regular13]]</f>
        <v>0</v>
      </c>
      <c r="AV83" s="21"/>
      <c r="AW83" s="21"/>
      <c r="AX83" s="21"/>
      <c r="AY83" s="21"/>
      <c r="AZ83" s="21"/>
      <c r="BA83" s="21"/>
      <c r="BB83" s="21">
        <v>0</v>
      </c>
      <c r="BC83" s="21">
        <v>0</v>
      </c>
      <c r="BD83" s="21"/>
      <c r="BE83" s="21"/>
      <c r="BF83" s="21"/>
    </row>
    <row r="84" spans="2:58" hidden="1" x14ac:dyDescent="0.3">
      <c r="B84" s="21">
        <v>962</v>
      </c>
      <c r="C84" s="22">
        <v>45097</v>
      </c>
      <c r="D84" s="21">
        <f>WEEKDAY(Table2[[#This Row],[Date]])</f>
        <v>3</v>
      </c>
      <c r="E84" s="21">
        <v>3</v>
      </c>
      <c r="F84" s="21">
        <v>119</v>
      </c>
      <c r="G84" s="21">
        <v>840</v>
      </c>
      <c r="H84" s="21">
        <v>840</v>
      </c>
      <c r="I84" s="21">
        <v>13</v>
      </c>
      <c r="J84" s="21">
        <f t="shared" si="2"/>
        <v>853</v>
      </c>
      <c r="K84" s="21">
        <v>1049.9999999999998</v>
      </c>
      <c r="L84" s="21">
        <v>0</v>
      </c>
      <c r="M84" s="21">
        <v>13</v>
      </c>
      <c r="N84" s="21">
        <v>835</v>
      </c>
      <c r="O84" s="21">
        <f>Table2[[#This Row],[Total Inspected]]-Table2[[#This Row],[Inspect Pass]]</f>
        <v>18</v>
      </c>
      <c r="P84" s="21">
        <f t="shared" si="3"/>
        <v>-13</v>
      </c>
      <c r="Q84" s="23">
        <f>(Table2[[#This Row],[Inspect Pass]]/Table2[[#This Row],[Total Inspected]])</f>
        <v>0.97889800703399765</v>
      </c>
      <c r="R84" s="24">
        <f>Table2[[#This Row],[Inspect Pass]]*VLOOKUP(Table2[[#This Row],[LineA-ProdType]],'Other Lists'!$B$17:$H$19,7,FALSE)</f>
        <v>26720</v>
      </c>
      <c r="S84" s="24">
        <f>Table2[[#This Row],[Received]]*((VLOOKUP(Table2[[#This Row],[LineA-ProdType]],'Other Lists'!$B$16:$G$19,5,FALSE)+(VLOOKUP(Table2[[#This Row],[LineA-ProdType]],'Other Lists'!$B$16:$G$19,6,FALSE))))</f>
        <v>24192</v>
      </c>
      <c r="T84" s="24">
        <f>Table2[[#This Row],[Possible Supplier Income]]-Table2[[#This Row],[Supplier Cost of Parts]]</f>
        <v>2528</v>
      </c>
      <c r="U84" s="24">
        <f>Table2[[#This Row],[Inspect Not Pass]]*((VLOOKUP(Table2[[#This Row],[LineA-ProdType]],'Other Lists'!$B$17:$G$19,5,FALSE)+VLOOKUP(Table2[[#This Row],[LineA-ProdType]],'Other Lists'!$B$17:$G$19,6,FALSE)))</f>
        <v>518.4</v>
      </c>
      <c r="V84" s="21">
        <v>6</v>
      </c>
      <c r="W84" s="21">
        <v>0</v>
      </c>
      <c r="X84" s="21">
        <v>4</v>
      </c>
      <c r="Y84" s="21">
        <f>Table2[[#This Row],[Inspectors]]-Table2[[#This Row],[Training]]-Table2[[#This Row],[Regular]]</f>
        <v>2</v>
      </c>
      <c r="Z84" s="24">
        <f>VLOOKUP(Table2[[#This Row],[Shift]],'Other Lists'!$B$31:$H$36,7,FALSE)*8*Table2[[#This Row],[Training]]</f>
        <v>0</v>
      </c>
      <c r="AA84" s="24">
        <f>VLOOKUP(Table2[[#This Row],[Shift]],'Other Lists'!$B$31:$H$36,7,FALSE)*8*Table2[[#This Row],[Regular]]</f>
        <v>1036.8</v>
      </c>
      <c r="AB84" s="24">
        <f>VLOOKUP(Table2[[#This Row],[Shift]],'Other Lists'!$B$31:$H$36,7,FALSE)*8*Table2[[#This Row],[Casual]]</f>
        <v>518.4</v>
      </c>
      <c r="AC84" s="24">
        <f>SUM(Table2[[#This Row],[Training $]:[Casual $]])</f>
        <v>1555.1999999999998</v>
      </c>
      <c r="AD84" s="24">
        <f>Table2[[#This Row],[Total Line A $]]/Table2[[#This Row],[Total Inspected]]</f>
        <v>1.8232121922626023</v>
      </c>
      <c r="AE84" s="21">
        <v>105</v>
      </c>
      <c r="AF84" s="21">
        <v>134</v>
      </c>
      <c r="AG84" s="21">
        <v>134</v>
      </c>
      <c r="AH84" s="21">
        <v>16</v>
      </c>
      <c r="AI84" s="21">
        <f>Table2[[#This Row],[Received Inspected3]]+Table2[[#This Row],[Leftover Inspected4]]</f>
        <v>150</v>
      </c>
      <c r="AJ84" s="21">
        <v>162</v>
      </c>
      <c r="AK84" s="21">
        <v>0</v>
      </c>
      <c r="AL84" s="21">
        <v>16</v>
      </c>
      <c r="AM84" s="21">
        <v>144</v>
      </c>
      <c r="AN84" s="21">
        <f>Table2[[#This Row],[Total Inspected2]]-Table2[[#This Row],[Inspect Pass8]]</f>
        <v>6</v>
      </c>
      <c r="AO84" s="21">
        <f>Table2[[#This Row],[Received2]]-Table2[[#This Row],[Total Inspected2]]</f>
        <v>-16</v>
      </c>
      <c r="AP84" s="23">
        <f>Table2[[#This Row],[Inspect Pass8]]/Table2[[#This Row],[Received2]]</f>
        <v>1.0746268656716418</v>
      </c>
      <c r="AQ84" s="21">
        <v>6</v>
      </c>
      <c r="AR84" s="21">
        <v>6</v>
      </c>
      <c r="AS84" s="21">
        <v>0</v>
      </c>
      <c r="AT84" s="21">
        <v>4</v>
      </c>
      <c r="AU84" s="21">
        <f>Table2[[#This Row],[Inspectors11]]-Table2[[#This Row],[Training12]]-Table2[[#This Row],[Regular13]]</f>
        <v>2</v>
      </c>
      <c r="AV84" s="21"/>
      <c r="AW84" s="21"/>
      <c r="AX84" s="21"/>
      <c r="AY84" s="21"/>
      <c r="AZ84" s="21"/>
      <c r="BA84" s="21"/>
      <c r="BB84" s="21">
        <v>2</v>
      </c>
      <c r="BC84" s="21">
        <v>1</v>
      </c>
      <c r="BD84" s="21"/>
      <c r="BE84" s="21"/>
      <c r="BF84" s="21"/>
    </row>
    <row r="85" spans="2:58" hidden="1" x14ac:dyDescent="0.3">
      <c r="B85" s="21">
        <v>963</v>
      </c>
      <c r="C85" s="22">
        <v>45098</v>
      </c>
      <c r="D85" s="21">
        <f>WEEKDAY(Table2[[#This Row],[Date]])</f>
        <v>4</v>
      </c>
      <c r="E85" s="21">
        <v>3</v>
      </c>
      <c r="F85" s="21">
        <v>119</v>
      </c>
      <c r="G85" s="21">
        <v>556</v>
      </c>
      <c r="H85" s="21">
        <v>556</v>
      </c>
      <c r="I85" s="21">
        <v>77</v>
      </c>
      <c r="J85" s="21">
        <f t="shared" si="2"/>
        <v>633</v>
      </c>
      <c r="K85" s="21">
        <v>1049.9999999999998</v>
      </c>
      <c r="L85" s="21">
        <v>0</v>
      </c>
      <c r="M85" s="21">
        <v>77</v>
      </c>
      <c r="N85" s="21">
        <v>588</v>
      </c>
      <c r="O85" s="21">
        <f>Table2[[#This Row],[Total Inspected]]-Table2[[#This Row],[Inspect Pass]]</f>
        <v>45</v>
      </c>
      <c r="P85" s="21">
        <f t="shared" si="3"/>
        <v>-77</v>
      </c>
      <c r="Q85" s="23">
        <f>(Table2[[#This Row],[Inspect Pass]]/Table2[[#This Row],[Total Inspected]])</f>
        <v>0.92890995260663511</v>
      </c>
      <c r="R85" s="24">
        <f>Table2[[#This Row],[Inspect Pass]]*VLOOKUP(Table2[[#This Row],[LineA-ProdType]],'Other Lists'!$B$17:$H$19,7,FALSE)</f>
        <v>18816</v>
      </c>
      <c r="S85" s="24">
        <f>Table2[[#This Row],[Received]]*((VLOOKUP(Table2[[#This Row],[LineA-ProdType]],'Other Lists'!$B$16:$G$19,5,FALSE)+(VLOOKUP(Table2[[#This Row],[LineA-ProdType]],'Other Lists'!$B$16:$G$19,6,FALSE))))</f>
        <v>16012.800000000001</v>
      </c>
      <c r="T85" s="24">
        <f>Table2[[#This Row],[Possible Supplier Income]]-Table2[[#This Row],[Supplier Cost of Parts]]</f>
        <v>2803.1999999999989</v>
      </c>
      <c r="U85" s="24">
        <f>Table2[[#This Row],[Inspect Not Pass]]*((VLOOKUP(Table2[[#This Row],[LineA-ProdType]],'Other Lists'!$B$17:$G$19,5,FALSE)+VLOOKUP(Table2[[#This Row],[LineA-ProdType]],'Other Lists'!$B$17:$G$19,6,FALSE)))</f>
        <v>1296</v>
      </c>
      <c r="V85" s="21">
        <v>6</v>
      </c>
      <c r="W85" s="21">
        <v>0</v>
      </c>
      <c r="X85" s="21">
        <v>3</v>
      </c>
      <c r="Y85" s="21">
        <f>Table2[[#This Row],[Inspectors]]-Table2[[#This Row],[Training]]-Table2[[#This Row],[Regular]]</f>
        <v>3</v>
      </c>
      <c r="Z85" s="24">
        <f>VLOOKUP(Table2[[#This Row],[Shift]],'Other Lists'!$B$31:$H$36,7,FALSE)*8*Table2[[#This Row],[Training]]</f>
        <v>0</v>
      </c>
      <c r="AA85" s="24">
        <f>VLOOKUP(Table2[[#This Row],[Shift]],'Other Lists'!$B$31:$H$36,7,FALSE)*8*Table2[[#This Row],[Regular]]</f>
        <v>777.59999999999991</v>
      </c>
      <c r="AB85" s="24">
        <f>VLOOKUP(Table2[[#This Row],[Shift]],'Other Lists'!$B$31:$H$36,7,FALSE)*8*Table2[[#This Row],[Casual]]</f>
        <v>777.59999999999991</v>
      </c>
      <c r="AC85" s="24">
        <f>SUM(Table2[[#This Row],[Training $]:[Casual $]])</f>
        <v>1555.1999999999998</v>
      </c>
      <c r="AD85" s="24">
        <f>Table2[[#This Row],[Total Line A $]]/Table2[[#This Row],[Total Inspected]]</f>
        <v>2.4568720379146916</v>
      </c>
      <c r="AE85" s="21">
        <v>105</v>
      </c>
      <c r="AF85" s="21">
        <v>150</v>
      </c>
      <c r="AG85" s="21">
        <v>128</v>
      </c>
      <c r="AH85" s="21">
        <v>11</v>
      </c>
      <c r="AI85" s="21">
        <f>Table2[[#This Row],[Received Inspected3]]+Table2[[#This Row],[Leftover Inspected4]]</f>
        <v>139</v>
      </c>
      <c r="AJ85" s="21">
        <v>162</v>
      </c>
      <c r="AK85" s="21">
        <v>0</v>
      </c>
      <c r="AL85" s="21">
        <v>11</v>
      </c>
      <c r="AM85" s="21">
        <v>132</v>
      </c>
      <c r="AN85" s="21">
        <f>Table2[[#This Row],[Total Inspected2]]-Table2[[#This Row],[Inspect Pass8]]</f>
        <v>7</v>
      </c>
      <c r="AO85" s="21">
        <f>Table2[[#This Row],[Received2]]-Table2[[#This Row],[Total Inspected2]]</f>
        <v>11</v>
      </c>
      <c r="AP85" s="23">
        <f>Table2[[#This Row],[Inspect Pass8]]/Table2[[#This Row],[Received2]]</f>
        <v>0.88</v>
      </c>
      <c r="AQ85" s="21">
        <v>6</v>
      </c>
      <c r="AR85" s="21">
        <v>5</v>
      </c>
      <c r="AS85" s="21">
        <v>0</v>
      </c>
      <c r="AT85" s="21">
        <v>4</v>
      </c>
      <c r="AU85" s="21">
        <f>Table2[[#This Row],[Inspectors11]]-Table2[[#This Row],[Training12]]-Table2[[#This Row],[Regular13]]</f>
        <v>1</v>
      </c>
      <c r="AV85" s="21"/>
      <c r="AW85" s="21"/>
      <c r="AX85" s="21"/>
      <c r="AY85" s="21"/>
      <c r="AZ85" s="21"/>
      <c r="BA85" s="21"/>
      <c r="BB85" s="21">
        <v>2</v>
      </c>
      <c r="BC85" s="21">
        <v>1</v>
      </c>
      <c r="BD85" s="21"/>
      <c r="BE85" s="21"/>
      <c r="BF85" s="21"/>
    </row>
    <row r="86" spans="2:58" hidden="1" x14ac:dyDescent="0.3">
      <c r="B86" s="21">
        <v>964</v>
      </c>
      <c r="C86" s="22">
        <v>45099</v>
      </c>
      <c r="D86" s="21">
        <f>WEEKDAY(Table2[[#This Row],[Date]])</f>
        <v>5</v>
      </c>
      <c r="E86" s="21">
        <v>3</v>
      </c>
      <c r="F86" s="21">
        <v>201</v>
      </c>
      <c r="G86" s="21">
        <v>373</v>
      </c>
      <c r="H86" s="21">
        <v>373</v>
      </c>
      <c r="I86" s="21">
        <v>0</v>
      </c>
      <c r="J86" s="21">
        <f t="shared" si="2"/>
        <v>373</v>
      </c>
      <c r="K86" s="21">
        <v>420</v>
      </c>
      <c r="L86" s="21">
        <v>0</v>
      </c>
      <c r="M86" s="21">
        <v>0</v>
      </c>
      <c r="N86" s="21">
        <v>365</v>
      </c>
      <c r="O86" s="21">
        <f>Table2[[#This Row],[Total Inspected]]-Table2[[#This Row],[Inspect Pass]]</f>
        <v>8</v>
      </c>
      <c r="P86" s="21">
        <f t="shared" si="3"/>
        <v>0</v>
      </c>
      <c r="Q86" s="23">
        <f>(Table2[[#This Row],[Inspect Pass]]/Table2[[#This Row],[Total Inspected]])</f>
        <v>0.97855227882037532</v>
      </c>
      <c r="R86" s="24">
        <f>Table2[[#This Row],[Inspect Pass]]*VLOOKUP(Table2[[#This Row],[LineA-ProdType]],'Other Lists'!$B$17:$H$19,7,FALSE)</f>
        <v>25915</v>
      </c>
      <c r="S86" s="24">
        <f>Table2[[#This Row],[Received]]*((VLOOKUP(Table2[[#This Row],[LineA-ProdType]],'Other Lists'!$B$16:$G$19,5,FALSE)+(VLOOKUP(Table2[[#This Row],[LineA-ProdType]],'Other Lists'!$B$16:$G$19,6,FALSE))))</f>
        <v>18314.3</v>
      </c>
      <c r="T86" s="24">
        <f>Table2[[#This Row],[Possible Supplier Income]]-Table2[[#This Row],[Supplier Cost of Parts]]</f>
        <v>7600.7000000000007</v>
      </c>
      <c r="U86" s="24">
        <f>Table2[[#This Row],[Inspect Not Pass]]*((VLOOKUP(Table2[[#This Row],[LineA-ProdType]],'Other Lists'!$B$17:$G$19,5,FALSE)+VLOOKUP(Table2[[#This Row],[LineA-ProdType]],'Other Lists'!$B$17:$G$19,6,FALSE)))</f>
        <v>392.8</v>
      </c>
      <c r="V86" s="21">
        <v>6</v>
      </c>
      <c r="W86" s="21">
        <v>0</v>
      </c>
      <c r="X86" s="21">
        <v>3</v>
      </c>
      <c r="Y86" s="21">
        <f>Table2[[#This Row],[Inspectors]]-Table2[[#This Row],[Training]]-Table2[[#This Row],[Regular]]</f>
        <v>3</v>
      </c>
      <c r="Z86" s="24">
        <f>VLOOKUP(Table2[[#This Row],[Shift]],'Other Lists'!$B$31:$H$36,7,FALSE)*8*Table2[[#This Row],[Training]]</f>
        <v>0</v>
      </c>
      <c r="AA86" s="24">
        <f>VLOOKUP(Table2[[#This Row],[Shift]],'Other Lists'!$B$31:$H$36,7,FALSE)*8*Table2[[#This Row],[Regular]]</f>
        <v>777.59999999999991</v>
      </c>
      <c r="AB86" s="24">
        <f>VLOOKUP(Table2[[#This Row],[Shift]],'Other Lists'!$B$31:$H$36,7,FALSE)*8*Table2[[#This Row],[Casual]]</f>
        <v>777.59999999999991</v>
      </c>
      <c r="AC86" s="24">
        <f>SUM(Table2[[#This Row],[Training $]:[Casual $]])</f>
        <v>1555.1999999999998</v>
      </c>
      <c r="AD86" s="24">
        <f>Table2[[#This Row],[Total Line A $]]/Table2[[#This Row],[Total Inspected]]</f>
        <v>4.1694369973190346</v>
      </c>
      <c r="AE86" s="21">
        <v>105</v>
      </c>
      <c r="AF86" s="21">
        <v>186</v>
      </c>
      <c r="AG86" s="21">
        <v>135</v>
      </c>
      <c r="AH86" s="21">
        <v>0</v>
      </c>
      <c r="AI86" s="21">
        <f>Table2[[#This Row],[Received Inspected3]]+Table2[[#This Row],[Leftover Inspected4]]</f>
        <v>135</v>
      </c>
      <c r="AJ86" s="21">
        <v>162</v>
      </c>
      <c r="AK86" s="21">
        <v>0</v>
      </c>
      <c r="AL86" s="21">
        <v>0</v>
      </c>
      <c r="AM86" s="21">
        <v>125</v>
      </c>
      <c r="AN86" s="21">
        <f>Table2[[#This Row],[Total Inspected2]]-Table2[[#This Row],[Inspect Pass8]]</f>
        <v>10</v>
      </c>
      <c r="AO86" s="21">
        <f>Table2[[#This Row],[Received2]]-Table2[[#This Row],[Total Inspected2]]</f>
        <v>51</v>
      </c>
      <c r="AP86" s="23">
        <f>Table2[[#This Row],[Inspect Pass8]]/Table2[[#This Row],[Received2]]</f>
        <v>0.67204301075268813</v>
      </c>
      <c r="AQ86" s="21">
        <v>6</v>
      </c>
      <c r="AR86" s="21">
        <v>5</v>
      </c>
      <c r="AS86" s="21">
        <v>0</v>
      </c>
      <c r="AT86" s="21">
        <v>4</v>
      </c>
      <c r="AU86" s="21">
        <f>Table2[[#This Row],[Inspectors11]]-Table2[[#This Row],[Training12]]-Table2[[#This Row],[Regular13]]</f>
        <v>1</v>
      </c>
      <c r="AV86" s="21"/>
      <c r="AW86" s="21"/>
      <c r="AX86" s="21"/>
      <c r="AY86" s="21"/>
      <c r="AZ86" s="21"/>
      <c r="BA86" s="21"/>
      <c r="BB86" s="21">
        <v>2</v>
      </c>
      <c r="BC86" s="21">
        <v>1</v>
      </c>
      <c r="BD86" s="21"/>
      <c r="BE86" s="21"/>
      <c r="BF86" s="21"/>
    </row>
    <row r="87" spans="2:58" hidden="1" x14ac:dyDescent="0.3">
      <c r="B87" s="21">
        <v>965</v>
      </c>
      <c r="C87" s="22">
        <v>45100</v>
      </c>
      <c r="D87" s="21">
        <f>WEEKDAY(Table2[[#This Row],[Date]])</f>
        <v>6</v>
      </c>
      <c r="E87" s="21">
        <v>3</v>
      </c>
      <c r="F87" s="21">
        <v>201</v>
      </c>
      <c r="G87" s="21">
        <v>369</v>
      </c>
      <c r="H87" s="21">
        <v>369</v>
      </c>
      <c r="I87" s="21">
        <v>93</v>
      </c>
      <c r="J87" s="21">
        <f t="shared" si="2"/>
        <v>462</v>
      </c>
      <c r="K87" s="21">
        <v>420</v>
      </c>
      <c r="L87" s="21">
        <v>58</v>
      </c>
      <c r="M87" s="21">
        <v>151</v>
      </c>
      <c r="N87" s="21">
        <v>448</v>
      </c>
      <c r="O87" s="21">
        <f>Table2[[#This Row],[Total Inspected]]-Table2[[#This Row],[Inspect Pass]]</f>
        <v>14</v>
      </c>
      <c r="P87" s="21">
        <f t="shared" si="3"/>
        <v>-93</v>
      </c>
      <c r="Q87" s="23">
        <f>(Table2[[#This Row],[Inspect Pass]]/Table2[[#This Row],[Total Inspected]])</f>
        <v>0.96969696969696972</v>
      </c>
      <c r="R87" s="24">
        <f>Table2[[#This Row],[Inspect Pass]]*VLOOKUP(Table2[[#This Row],[LineA-ProdType]],'Other Lists'!$B$17:$H$19,7,FALSE)</f>
        <v>31808</v>
      </c>
      <c r="S87" s="24">
        <f>Table2[[#This Row],[Received]]*((VLOOKUP(Table2[[#This Row],[LineA-ProdType]],'Other Lists'!$B$16:$G$19,5,FALSE)+(VLOOKUP(Table2[[#This Row],[LineA-ProdType]],'Other Lists'!$B$16:$G$19,6,FALSE))))</f>
        <v>18117.900000000001</v>
      </c>
      <c r="T87" s="24">
        <f>Table2[[#This Row],[Possible Supplier Income]]-Table2[[#This Row],[Supplier Cost of Parts]]</f>
        <v>13690.099999999999</v>
      </c>
      <c r="U87" s="24">
        <f>Table2[[#This Row],[Inspect Not Pass]]*((VLOOKUP(Table2[[#This Row],[LineA-ProdType]],'Other Lists'!$B$17:$G$19,5,FALSE)+VLOOKUP(Table2[[#This Row],[LineA-ProdType]],'Other Lists'!$B$17:$G$19,6,FALSE)))</f>
        <v>687.4</v>
      </c>
      <c r="V87" s="21">
        <v>6</v>
      </c>
      <c r="W87" s="21">
        <v>0</v>
      </c>
      <c r="X87" s="21">
        <v>4</v>
      </c>
      <c r="Y87" s="21">
        <f>Table2[[#This Row],[Inspectors]]-Table2[[#This Row],[Training]]-Table2[[#This Row],[Regular]]</f>
        <v>2</v>
      </c>
      <c r="Z87" s="24">
        <f>VLOOKUP(Table2[[#This Row],[Shift]],'Other Lists'!$B$31:$H$36,7,FALSE)*8*Table2[[#This Row],[Training]]</f>
        <v>0</v>
      </c>
      <c r="AA87" s="24">
        <f>VLOOKUP(Table2[[#This Row],[Shift]],'Other Lists'!$B$31:$H$36,7,FALSE)*8*Table2[[#This Row],[Regular]]</f>
        <v>1036.8</v>
      </c>
      <c r="AB87" s="24">
        <f>VLOOKUP(Table2[[#This Row],[Shift]],'Other Lists'!$B$31:$H$36,7,FALSE)*8*Table2[[#This Row],[Casual]]</f>
        <v>518.4</v>
      </c>
      <c r="AC87" s="24">
        <f>SUM(Table2[[#This Row],[Training $]:[Casual $]])</f>
        <v>1555.1999999999998</v>
      </c>
      <c r="AD87" s="24">
        <f>Table2[[#This Row],[Total Line A $]]/Table2[[#This Row],[Total Inspected]]</f>
        <v>3.366233766233766</v>
      </c>
      <c r="AE87" s="21">
        <v>105</v>
      </c>
      <c r="AF87" s="21">
        <v>179</v>
      </c>
      <c r="AG87" s="21">
        <v>160</v>
      </c>
      <c r="AH87" s="21">
        <v>18</v>
      </c>
      <c r="AI87" s="21">
        <f>Table2[[#This Row],[Received Inspected3]]+Table2[[#This Row],[Leftover Inspected4]]</f>
        <v>178</v>
      </c>
      <c r="AJ87" s="21">
        <v>162</v>
      </c>
      <c r="AK87" s="21">
        <v>35</v>
      </c>
      <c r="AL87" s="21">
        <v>53</v>
      </c>
      <c r="AM87" s="21">
        <v>174</v>
      </c>
      <c r="AN87" s="21">
        <f>Table2[[#This Row],[Total Inspected2]]-Table2[[#This Row],[Inspect Pass8]]</f>
        <v>4</v>
      </c>
      <c r="AO87" s="21">
        <f>Table2[[#This Row],[Received2]]-Table2[[#This Row],[Total Inspected2]]</f>
        <v>1</v>
      </c>
      <c r="AP87" s="23">
        <f>Table2[[#This Row],[Inspect Pass8]]/Table2[[#This Row],[Received2]]</f>
        <v>0.97206703910614523</v>
      </c>
      <c r="AQ87" s="21">
        <v>6</v>
      </c>
      <c r="AR87" s="21">
        <v>6</v>
      </c>
      <c r="AS87" s="21">
        <v>0</v>
      </c>
      <c r="AT87" s="21">
        <v>3</v>
      </c>
      <c r="AU87" s="21">
        <f>Table2[[#This Row],[Inspectors11]]-Table2[[#This Row],[Training12]]-Table2[[#This Row],[Regular13]]</f>
        <v>3</v>
      </c>
      <c r="AV87" s="21"/>
      <c r="AW87" s="21"/>
      <c r="AX87" s="21"/>
      <c r="AY87" s="21"/>
      <c r="AZ87" s="21"/>
      <c r="BA87" s="21"/>
      <c r="BB87" s="21">
        <v>2</v>
      </c>
      <c r="BC87" s="21">
        <v>1</v>
      </c>
      <c r="BD87" s="21"/>
      <c r="BE87" s="21"/>
      <c r="BF87" s="21"/>
    </row>
    <row r="88" spans="2:58" hidden="1" x14ac:dyDescent="0.3">
      <c r="B88" s="21">
        <v>966</v>
      </c>
      <c r="C88" s="22">
        <v>45101</v>
      </c>
      <c r="D88" s="21">
        <f>WEEKDAY(Table2[[#This Row],[Date]])</f>
        <v>7</v>
      </c>
      <c r="E88" s="21">
        <v>3</v>
      </c>
      <c r="F88" s="21">
        <v>119</v>
      </c>
      <c r="G88" s="21">
        <v>766</v>
      </c>
      <c r="H88" s="21">
        <v>766</v>
      </c>
      <c r="I88" s="21">
        <v>235</v>
      </c>
      <c r="J88" s="21">
        <f t="shared" si="2"/>
        <v>1001</v>
      </c>
      <c r="K88" s="21">
        <v>1049.9999999999998</v>
      </c>
      <c r="L88" s="21">
        <v>0</v>
      </c>
      <c r="M88" s="21">
        <v>235</v>
      </c>
      <c r="N88" s="21">
        <v>980</v>
      </c>
      <c r="O88" s="21">
        <f>Table2[[#This Row],[Total Inspected]]-Table2[[#This Row],[Inspect Pass]]</f>
        <v>21</v>
      </c>
      <c r="P88" s="21">
        <f t="shared" si="3"/>
        <v>-235</v>
      </c>
      <c r="Q88" s="23">
        <f>(Table2[[#This Row],[Inspect Pass]]/Table2[[#This Row],[Total Inspected]])</f>
        <v>0.97902097902097907</v>
      </c>
      <c r="R88" s="24">
        <f>Table2[[#This Row],[Inspect Pass]]*VLOOKUP(Table2[[#This Row],[LineA-ProdType]],'Other Lists'!$B$17:$H$19,7,FALSE)</f>
        <v>31360</v>
      </c>
      <c r="S88" s="24">
        <f>Table2[[#This Row],[Received]]*((VLOOKUP(Table2[[#This Row],[LineA-ProdType]],'Other Lists'!$B$16:$G$19,5,FALSE)+(VLOOKUP(Table2[[#This Row],[LineA-ProdType]],'Other Lists'!$B$16:$G$19,6,FALSE))))</f>
        <v>22060.799999999999</v>
      </c>
      <c r="T88" s="24">
        <f>Table2[[#This Row],[Possible Supplier Income]]-Table2[[#This Row],[Supplier Cost of Parts]]</f>
        <v>9299.2000000000007</v>
      </c>
      <c r="U88" s="24">
        <f>Table2[[#This Row],[Inspect Not Pass]]*((VLOOKUP(Table2[[#This Row],[LineA-ProdType]],'Other Lists'!$B$17:$G$19,5,FALSE)+VLOOKUP(Table2[[#This Row],[LineA-ProdType]],'Other Lists'!$B$17:$G$19,6,FALSE)))</f>
        <v>604.80000000000007</v>
      </c>
      <c r="V88" s="21">
        <v>6</v>
      </c>
      <c r="W88" s="21">
        <v>0</v>
      </c>
      <c r="X88" s="21">
        <v>3</v>
      </c>
      <c r="Y88" s="21">
        <f>Table2[[#This Row],[Inspectors]]-Table2[[#This Row],[Training]]-Table2[[#This Row],[Regular]]</f>
        <v>3</v>
      </c>
      <c r="Z88" s="24">
        <f>VLOOKUP(Table2[[#This Row],[Shift]],'Other Lists'!$B$31:$H$36,7,FALSE)*8*Table2[[#This Row],[Training]]</f>
        <v>0</v>
      </c>
      <c r="AA88" s="24">
        <f>VLOOKUP(Table2[[#This Row],[Shift]],'Other Lists'!$B$31:$H$36,7,FALSE)*8*Table2[[#This Row],[Regular]]</f>
        <v>777.59999999999991</v>
      </c>
      <c r="AB88" s="24">
        <f>VLOOKUP(Table2[[#This Row],[Shift]],'Other Lists'!$B$31:$H$36,7,FALSE)*8*Table2[[#This Row],[Casual]]</f>
        <v>777.59999999999991</v>
      </c>
      <c r="AC88" s="24">
        <f>SUM(Table2[[#This Row],[Training $]:[Casual $]])</f>
        <v>1555.1999999999998</v>
      </c>
      <c r="AD88" s="24">
        <f>Table2[[#This Row],[Total Line A $]]/Table2[[#This Row],[Total Inspected]]</f>
        <v>1.5536463536463534</v>
      </c>
      <c r="AE88" s="21">
        <v>105</v>
      </c>
      <c r="AF88" s="21">
        <v>179</v>
      </c>
      <c r="AG88" s="21">
        <v>166</v>
      </c>
      <c r="AH88" s="21">
        <v>12</v>
      </c>
      <c r="AI88" s="21">
        <f>Table2[[#This Row],[Received Inspected3]]+Table2[[#This Row],[Leftover Inspected4]]</f>
        <v>178</v>
      </c>
      <c r="AJ88" s="21">
        <v>162</v>
      </c>
      <c r="AK88" s="21">
        <v>33</v>
      </c>
      <c r="AL88" s="21">
        <v>45</v>
      </c>
      <c r="AM88" s="21">
        <v>165</v>
      </c>
      <c r="AN88" s="21">
        <f>Table2[[#This Row],[Total Inspected2]]-Table2[[#This Row],[Inspect Pass8]]</f>
        <v>13</v>
      </c>
      <c r="AO88" s="21">
        <f>Table2[[#This Row],[Received2]]-Table2[[#This Row],[Total Inspected2]]</f>
        <v>1</v>
      </c>
      <c r="AP88" s="23">
        <f>Table2[[#This Row],[Inspect Pass8]]/Table2[[#This Row],[Received2]]</f>
        <v>0.92178770949720668</v>
      </c>
      <c r="AQ88" s="21">
        <v>6</v>
      </c>
      <c r="AR88" s="21">
        <v>6</v>
      </c>
      <c r="AS88" s="21">
        <v>0</v>
      </c>
      <c r="AT88" s="21">
        <v>3</v>
      </c>
      <c r="AU88" s="21">
        <f>Table2[[#This Row],[Inspectors11]]-Table2[[#This Row],[Training12]]-Table2[[#This Row],[Regular13]]</f>
        <v>3</v>
      </c>
      <c r="AV88" s="21"/>
      <c r="AW88" s="21"/>
      <c r="AX88" s="21"/>
      <c r="AY88" s="21"/>
      <c r="AZ88" s="21"/>
      <c r="BA88" s="21"/>
      <c r="BB88" s="21">
        <v>2</v>
      </c>
      <c r="BC88" s="21">
        <v>1</v>
      </c>
      <c r="BD88" s="21"/>
      <c r="BE88" s="21"/>
      <c r="BF88" s="21"/>
    </row>
    <row r="89" spans="2:58" hidden="1" x14ac:dyDescent="0.3">
      <c r="B89" s="21">
        <v>967</v>
      </c>
      <c r="C89" s="22">
        <v>45102</v>
      </c>
      <c r="D89" s="21">
        <f>WEEKDAY(Table2[[#This Row],[Date]])</f>
        <v>1</v>
      </c>
      <c r="E89" s="21">
        <v>3</v>
      </c>
      <c r="F89" s="21">
        <v>201</v>
      </c>
      <c r="G89" s="21">
        <v>0</v>
      </c>
      <c r="H89" s="21">
        <v>0</v>
      </c>
      <c r="I89" s="21">
        <v>0</v>
      </c>
      <c r="J89" s="21">
        <f t="shared" si="2"/>
        <v>0</v>
      </c>
      <c r="K89" s="21">
        <v>0</v>
      </c>
      <c r="L89" s="21">
        <v>35</v>
      </c>
      <c r="M89" s="21">
        <v>35</v>
      </c>
      <c r="N89" s="21">
        <v>0</v>
      </c>
      <c r="O89" s="21">
        <f>Table2[[#This Row],[Total Inspected]]-Table2[[#This Row],[Inspect Pass]]</f>
        <v>0</v>
      </c>
      <c r="P89" s="21">
        <f t="shared" si="3"/>
        <v>0</v>
      </c>
      <c r="Q89" s="23" t="e">
        <f>(Table2[[#This Row],[Inspect Pass]]/Table2[[#This Row],[Total Inspected]])</f>
        <v>#DIV/0!</v>
      </c>
      <c r="R89" s="24">
        <f>Table2[[#This Row],[Inspect Pass]]*VLOOKUP(Table2[[#This Row],[LineA-ProdType]],'Other Lists'!$B$17:$H$19,7,FALSE)</f>
        <v>0</v>
      </c>
      <c r="S89" s="24">
        <f>Table2[[#This Row],[Received]]*((VLOOKUP(Table2[[#This Row],[LineA-ProdType]],'Other Lists'!$B$16:$G$19,5,FALSE)+(VLOOKUP(Table2[[#This Row],[LineA-ProdType]],'Other Lists'!$B$16:$G$19,6,FALSE))))</f>
        <v>0</v>
      </c>
      <c r="T89" s="24">
        <f>Table2[[#This Row],[Possible Supplier Income]]-Table2[[#This Row],[Supplier Cost of Parts]]</f>
        <v>0</v>
      </c>
      <c r="U89" s="24">
        <f>Table2[[#This Row],[Inspect Not Pass]]*((VLOOKUP(Table2[[#This Row],[LineA-ProdType]],'Other Lists'!$B$17:$G$19,5,FALSE)+VLOOKUP(Table2[[#This Row],[LineA-ProdType]],'Other Lists'!$B$17:$G$19,6,FALSE)))</f>
        <v>0</v>
      </c>
      <c r="V89" s="21">
        <v>0</v>
      </c>
      <c r="W89" s="21">
        <v>0</v>
      </c>
      <c r="X89" s="21">
        <v>0</v>
      </c>
      <c r="Y89" s="21">
        <f>Table2[[#This Row],[Inspectors]]-Table2[[#This Row],[Training]]-Table2[[#This Row],[Regular]]</f>
        <v>0</v>
      </c>
      <c r="Z89" s="24">
        <f>VLOOKUP(Table2[[#This Row],[Shift]],'Other Lists'!$B$31:$H$36,7,FALSE)*8*Table2[[#This Row],[Training]]</f>
        <v>0</v>
      </c>
      <c r="AA89" s="24">
        <f>VLOOKUP(Table2[[#This Row],[Shift]],'Other Lists'!$B$31:$H$36,7,FALSE)*8*Table2[[#This Row],[Regular]]</f>
        <v>0</v>
      </c>
      <c r="AB89" s="24">
        <f>VLOOKUP(Table2[[#This Row],[Shift]],'Other Lists'!$B$31:$H$36,7,FALSE)*8*Table2[[#This Row],[Casual]]</f>
        <v>0</v>
      </c>
      <c r="AC89" s="24">
        <f>SUM(Table2[[#This Row],[Training $]:[Casual $]])</f>
        <v>0</v>
      </c>
      <c r="AD89" s="24" t="e">
        <f>Table2[[#This Row],[Total Line A $]]/Table2[[#This Row],[Total Inspected]]</f>
        <v>#DIV/0!</v>
      </c>
      <c r="AE89" s="21">
        <v>105</v>
      </c>
      <c r="AF89" s="21">
        <v>0</v>
      </c>
      <c r="AG89" s="21">
        <v>0</v>
      </c>
      <c r="AH89" s="21">
        <v>0</v>
      </c>
      <c r="AI89" s="21">
        <f>Table2[[#This Row],[Received Inspected3]]+Table2[[#This Row],[Leftover Inspected4]]</f>
        <v>0</v>
      </c>
      <c r="AJ89" s="21">
        <v>0</v>
      </c>
      <c r="AK89" s="21">
        <v>6</v>
      </c>
      <c r="AL89" s="21">
        <v>6</v>
      </c>
      <c r="AM89" s="21">
        <v>0</v>
      </c>
      <c r="AN89" s="21">
        <f>Table2[[#This Row],[Total Inspected2]]-Table2[[#This Row],[Inspect Pass8]]</f>
        <v>0</v>
      </c>
      <c r="AO89" s="21">
        <f>Table2[[#This Row],[Received2]]-Table2[[#This Row],[Total Inspected2]]</f>
        <v>0</v>
      </c>
      <c r="AP89" s="23" t="e">
        <f>Table2[[#This Row],[Inspect Pass8]]/Table2[[#This Row],[Received2]]</f>
        <v>#DIV/0!</v>
      </c>
      <c r="AQ89" s="21">
        <v>0</v>
      </c>
      <c r="AR89" s="21">
        <v>0</v>
      </c>
      <c r="AS89" s="21">
        <v>0</v>
      </c>
      <c r="AT89" s="21">
        <v>0</v>
      </c>
      <c r="AU89" s="21">
        <f>Table2[[#This Row],[Inspectors11]]-Table2[[#This Row],[Training12]]-Table2[[#This Row],[Regular13]]</f>
        <v>0</v>
      </c>
      <c r="AV89" s="21"/>
      <c r="AW89" s="21"/>
      <c r="AX89" s="21"/>
      <c r="AY89" s="21"/>
      <c r="AZ89" s="21"/>
      <c r="BA89" s="21"/>
      <c r="BB89" s="21">
        <v>0</v>
      </c>
      <c r="BC89" s="21">
        <v>-1</v>
      </c>
      <c r="BD89" s="21"/>
      <c r="BE89" s="21"/>
      <c r="BF89" s="21"/>
    </row>
    <row r="90" spans="2:58" hidden="1" x14ac:dyDescent="0.3">
      <c r="B90" s="21">
        <v>968</v>
      </c>
      <c r="C90" s="22">
        <v>45103</v>
      </c>
      <c r="D90" s="21">
        <f>WEEKDAY(Table2[[#This Row],[Date]])</f>
        <v>2</v>
      </c>
      <c r="E90" s="21">
        <v>3</v>
      </c>
      <c r="F90" s="21">
        <v>201</v>
      </c>
      <c r="G90" s="21">
        <v>0</v>
      </c>
      <c r="H90" s="21">
        <v>0</v>
      </c>
      <c r="I90" s="21">
        <v>0</v>
      </c>
      <c r="J90" s="21">
        <f t="shared" si="2"/>
        <v>0</v>
      </c>
      <c r="K90" s="21">
        <v>0</v>
      </c>
      <c r="L90" s="21">
        <v>4</v>
      </c>
      <c r="M90" s="21">
        <v>4</v>
      </c>
      <c r="N90" s="21">
        <v>0</v>
      </c>
      <c r="O90" s="21">
        <f>Table2[[#This Row],[Total Inspected]]-Table2[[#This Row],[Inspect Pass]]</f>
        <v>0</v>
      </c>
      <c r="P90" s="21">
        <f t="shared" si="3"/>
        <v>0</v>
      </c>
      <c r="Q90" s="23" t="e">
        <f>(Table2[[#This Row],[Inspect Pass]]/Table2[[#This Row],[Total Inspected]])</f>
        <v>#DIV/0!</v>
      </c>
      <c r="R90" s="24">
        <f>Table2[[#This Row],[Inspect Pass]]*VLOOKUP(Table2[[#This Row],[LineA-ProdType]],'Other Lists'!$B$17:$H$19,7,FALSE)</f>
        <v>0</v>
      </c>
      <c r="S90" s="24">
        <f>Table2[[#This Row],[Received]]*((VLOOKUP(Table2[[#This Row],[LineA-ProdType]],'Other Lists'!$B$16:$G$19,5,FALSE)+(VLOOKUP(Table2[[#This Row],[LineA-ProdType]],'Other Lists'!$B$16:$G$19,6,FALSE))))</f>
        <v>0</v>
      </c>
      <c r="T90" s="24">
        <f>Table2[[#This Row],[Possible Supplier Income]]-Table2[[#This Row],[Supplier Cost of Parts]]</f>
        <v>0</v>
      </c>
      <c r="U90" s="24">
        <f>Table2[[#This Row],[Inspect Not Pass]]*((VLOOKUP(Table2[[#This Row],[LineA-ProdType]],'Other Lists'!$B$17:$G$19,5,FALSE)+VLOOKUP(Table2[[#This Row],[LineA-ProdType]],'Other Lists'!$B$17:$G$19,6,FALSE)))</f>
        <v>0</v>
      </c>
      <c r="V90" s="21">
        <v>0</v>
      </c>
      <c r="W90" s="21">
        <v>0</v>
      </c>
      <c r="X90" s="21">
        <v>0</v>
      </c>
      <c r="Y90" s="21">
        <f>Table2[[#This Row],[Inspectors]]-Table2[[#This Row],[Training]]-Table2[[#This Row],[Regular]]</f>
        <v>0</v>
      </c>
      <c r="Z90" s="24">
        <f>VLOOKUP(Table2[[#This Row],[Shift]],'Other Lists'!$B$31:$H$36,7,FALSE)*8*Table2[[#This Row],[Training]]</f>
        <v>0</v>
      </c>
      <c r="AA90" s="24">
        <f>VLOOKUP(Table2[[#This Row],[Shift]],'Other Lists'!$B$31:$H$36,7,FALSE)*8*Table2[[#This Row],[Regular]]</f>
        <v>0</v>
      </c>
      <c r="AB90" s="24">
        <f>VLOOKUP(Table2[[#This Row],[Shift]],'Other Lists'!$B$31:$H$36,7,FALSE)*8*Table2[[#This Row],[Casual]]</f>
        <v>0</v>
      </c>
      <c r="AC90" s="24">
        <f>SUM(Table2[[#This Row],[Training $]:[Casual $]])</f>
        <v>0</v>
      </c>
      <c r="AD90" s="24" t="e">
        <f>Table2[[#This Row],[Total Line A $]]/Table2[[#This Row],[Total Inspected]]</f>
        <v>#DIV/0!</v>
      </c>
      <c r="AE90" s="21">
        <v>105</v>
      </c>
      <c r="AF90" s="21">
        <v>0</v>
      </c>
      <c r="AG90" s="21">
        <v>0</v>
      </c>
      <c r="AH90" s="21">
        <v>0</v>
      </c>
      <c r="AI90" s="21">
        <f>Table2[[#This Row],[Received Inspected3]]+Table2[[#This Row],[Leftover Inspected4]]</f>
        <v>0</v>
      </c>
      <c r="AJ90" s="21">
        <v>0</v>
      </c>
      <c r="AK90" s="21">
        <v>10</v>
      </c>
      <c r="AL90" s="21">
        <v>10</v>
      </c>
      <c r="AM90" s="21">
        <v>0</v>
      </c>
      <c r="AN90" s="21">
        <f>Table2[[#This Row],[Total Inspected2]]-Table2[[#This Row],[Inspect Pass8]]</f>
        <v>0</v>
      </c>
      <c r="AO90" s="21">
        <f>Table2[[#This Row],[Received2]]-Table2[[#This Row],[Total Inspected2]]</f>
        <v>0</v>
      </c>
      <c r="AP90" s="23" t="e">
        <f>Table2[[#This Row],[Inspect Pass8]]/Table2[[#This Row],[Received2]]</f>
        <v>#DIV/0!</v>
      </c>
      <c r="AQ90" s="21">
        <v>0</v>
      </c>
      <c r="AR90" s="21">
        <v>0</v>
      </c>
      <c r="AS90" s="21">
        <v>0</v>
      </c>
      <c r="AT90" s="21">
        <v>0</v>
      </c>
      <c r="AU90" s="21">
        <f>Table2[[#This Row],[Inspectors11]]-Table2[[#This Row],[Training12]]-Table2[[#This Row],[Regular13]]</f>
        <v>0</v>
      </c>
      <c r="AV90" s="21"/>
      <c r="AW90" s="21"/>
      <c r="AX90" s="21"/>
      <c r="AY90" s="21"/>
      <c r="AZ90" s="21"/>
      <c r="BA90" s="21"/>
      <c r="BB90" s="21">
        <v>0</v>
      </c>
      <c r="BC90" s="21">
        <v>0</v>
      </c>
      <c r="BD90" s="21"/>
      <c r="BE90" s="21"/>
      <c r="BF90" s="21"/>
    </row>
    <row r="91" spans="2:58" hidden="1" x14ac:dyDescent="0.3">
      <c r="B91" s="21">
        <v>969</v>
      </c>
      <c r="C91" s="22">
        <v>45104</v>
      </c>
      <c r="D91" s="21">
        <f>WEEKDAY(Table2[[#This Row],[Date]])</f>
        <v>3</v>
      </c>
      <c r="E91" s="21">
        <v>3</v>
      </c>
      <c r="F91" s="21">
        <v>119</v>
      </c>
      <c r="G91" s="21">
        <v>819</v>
      </c>
      <c r="H91" s="21">
        <v>819</v>
      </c>
      <c r="I91" s="21">
        <v>17</v>
      </c>
      <c r="J91" s="21">
        <f t="shared" si="2"/>
        <v>836</v>
      </c>
      <c r="K91" s="21">
        <v>1049.9999999999998</v>
      </c>
      <c r="L91" s="21">
        <v>0</v>
      </c>
      <c r="M91" s="21">
        <v>17</v>
      </c>
      <c r="N91" s="21">
        <v>802</v>
      </c>
      <c r="O91" s="21">
        <f>Table2[[#This Row],[Total Inspected]]-Table2[[#This Row],[Inspect Pass]]</f>
        <v>34</v>
      </c>
      <c r="P91" s="21">
        <f t="shared" si="3"/>
        <v>-17</v>
      </c>
      <c r="Q91" s="23">
        <f>(Table2[[#This Row],[Inspect Pass]]/Table2[[#This Row],[Total Inspected]])</f>
        <v>0.95933014354066981</v>
      </c>
      <c r="R91" s="24">
        <f>Table2[[#This Row],[Inspect Pass]]*VLOOKUP(Table2[[#This Row],[LineA-ProdType]],'Other Lists'!$B$17:$H$19,7,FALSE)</f>
        <v>25664</v>
      </c>
      <c r="S91" s="24">
        <f>Table2[[#This Row],[Received]]*((VLOOKUP(Table2[[#This Row],[LineA-ProdType]],'Other Lists'!$B$16:$G$19,5,FALSE)+(VLOOKUP(Table2[[#This Row],[LineA-ProdType]],'Other Lists'!$B$16:$G$19,6,FALSE))))</f>
        <v>23587.200000000001</v>
      </c>
      <c r="T91" s="24">
        <f>Table2[[#This Row],[Possible Supplier Income]]-Table2[[#This Row],[Supplier Cost of Parts]]</f>
        <v>2076.7999999999993</v>
      </c>
      <c r="U91" s="24">
        <f>Table2[[#This Row],[Inspect Not Pass]]*((VLOOKUP(Table2[[#This Row],[LineA-ProdType]],'Other Lists'!$B$17:$G$19,5,FALSE)+VLOOKUP(Table2[[#This Row],[LineA-ProdType]],'Other Lists'!$B$17:$G$19,6,FALSE)))</f>
        <v>979.2</v>
      </c>
      <c r="V91" s="21">
        <v>6</v>
      </c>
      <c r="W91" s="21">
        <v>0</v>
      </c>
      <c r="X91" s="21">
        <v>3</v>
      </c>
      <c r="Y91" s="21">
        <f>Table2[[#This Row],[Inspectors]]-Table2[[#This Row],[Training]]-Table2[[#This Row],[Regular]]</f>
        <v>3</v>
      </c>
      <c r="Z91" s="24">
        <f>VLOOKUP(Table2[[#This Row],[Shift]],'Other Lists'!$B$31:$H$36,7,FALSE)*8*Table2[[#This Row],[Training]]</f>
        <v>0</v>
      </c>
      <c r="AA91" s="24">
        <f>VLOOKUP(Table2[[#This Row],[Shift]],'Other Lists'!$B$31:$H$36,7,FALSE)*8*Table2[[#This Row],[Regular]]</f>
        <v>777.59999999999991</v>
      </c>
      <c r="AB91" s="24">
        <f>VLOOKUP(Table2[[#This Row],[Shift]],'Other Lists'!$B$31:$H$36,7,FALSE)*8*Table2[[#This Row],[Casual]]</f>
        <v>777.59999999999991</v>
      </c>
      <c r="AC91" s="24">
        <f>SUM(Table2[[#This Row],[Training $]:[Casual $]])</f>
        <v>1555.1999999999998</v>
      </c>
      <c r="AD91" s="24">
        <f>Table2[[#This Row],[Total Line A $]]/Table2[[#This Row],[Total Inspected]]</f>
        <v>1.8602870813397128</v>
      </c>
      <c r="AE91" s="21">
        <v>105</v>
      </c>
      <c r="AF91" s="21">
        <v>142</v>
      </c>
      <c r="AG91" s="21">
        <v>142</v>
      </c>
      <c r="AH91" s="21">
        <v>36</v>
      </c>
      <c r="AI91" s="21">
        <f>Table2[[#This Row],[Received Inspected3]]+Table2[[#This Row],[Leftover Inspected4]]</f>
        <v>178</v>
      </c>
      <c r="AJ91" s="21">
        <v>162</v>
      </c>
      <c r="AK91" s="21">
        <v>1</v>
      </c>
      <c r="AL91" s="21">
        <v>37</v>
      </c>
      <c r="AM91" s="21">
        <v>169</v>
      </c>
      <c r="AN91" s="21">
        <f>Table2[[#This Row],[Total Inspected2]]-Table2[[#This Row],[Inspect Pass8]]</f>
        <v>9</v>
      </c>
      <c r="AO91" s="21">
        <f>Table2[[#This Row],[Received2]]-Table2[[#This Row],[Total Inspected2]]</f>
        <v>-36</v>
      </c>
      <c r="AP91" s="23">
        <f>Table2[[#This Row],[Inspect Pass8]]/Table2[[#This Row],[Received2]]</f>
        <v>1.1901408450704225</v>
      </c>
      <c r="AQ91" s="21">
        <v>6</v>
      </c>
      <c r="AR91" s="21">
        <v>6</v>
      </c>
      <c r="AS91" s="21">
        <v>0</v>
      </c>
      <c r="AT91" s="21">
        <v>3</v>
      </c>
      <c r="AU91" s="21">
        <f>Table2[[#This Row],[Inspectors11]]-Table2[[#This Row],[Training12]]-Table2[[#This Row],[Regular13]]</f>
        <v>3</v>
      </c>
      <c r="AV91" s="21"/>
      <c r="AW91" s="21"/>
      <c r="AX91" s="21"/>
      <c r="AY91" s="21"/>
      <c r="AZ91" s="21"/>
      <c r="BA91" s="21"/>
      <c r="BB91" s="21">
        <v>2</v>
      </c>
      <c r="BC91" s="21">
        <v>1</v>
      </c>
      <c r="BD91" s="21"/>
      <c r="BE91" s="21"/>
      <c r="BF91" s="21"/>
    </row>
    <row r="92" spans="2:58" hidden="1" x14ac:dyDescent="0.3">
      <c r="B92" s="21">
        <v>970</v>
      </c>
      <c r="C92" s="22">
        <v>45105</v>
      </c>
      <c r="D92" s="21">
        <f>WEEKDAY(Table2[[#This Row],[Date]])</f>
        <v>4</v>
      </c>
      <c r="E92" s="21">
        <v>3</v>
      </c>
      <c r="F92" s="21">
        <v>201</v>
      </c>
      <c r="G92" s="21">
        <v>247</v>
      </c>
      <c r="H92" s="21">
        <v>247</v>
      </c>
      <c r="I92" s="21">
        <v>215</v>
      </c>
      <c r="J92" s="21">
        <f t="shared" si="2"/>
        <v>462</v>
      </c>
      <c r="K92" s="21">
        <v>420</v>
      </c>
      <c r="L92" s="21">
        <v>205</v>
      </c>
      <c r="M92" s="21">
        <v>420</v>
      </c>
      <c r="N92" s="21">
        <v>448</v>
      </c>
      <c r="O92" s="21">
        <f>Table2[[#This Row],[Total Inspected]]-Table2[[#This Row],[Inspect Pass]]</f>
        <v>14</v>
      </c>
      <c r="P92" s="21">
        <f t="shared" si="3"/>
        <v>-215</v>
      </c>
      <c r="Q92" s="23">
        <f>(Table2[[#This Row],[Inspect Pass]]/Table2[[#This Row],[Total Inspected]])</f>
        <v>0.96969696969696972</v>
      </c>
      <c r="R92" s="24">
        <f>Table2[[#This Row],[Inspect Pass]]*VLOOKUP(Table2[[#This Row],[LineA-ProdType]],'Other Lists'!$B$17:$H$19,7,FALSE)</f>
        <v>31808</v>
      </c>
      <c r="S92" s="24">
        <f>Table2[[#This Row],[Received]]*((VLOOKUP(Table2[[#This Row],[LineA-ProdType]],'Other Lists'!$B$16:$G$19,5,FALSE)+(VLOOKUP(Table2[[#This Row],[LineA-ProdType]],'Other Lists'!$B$16:$G$19,6,FALSE))))</f>
        <v>12127.7</v>
      </c>
      <c r="T92" s="24">
        <f>Table2[[#This Row],[Possible Supplier Income]]-Table2[[#This Row],[Supplier Cost of Parts]]</f>
        <v>19680.3</v>
      </c>
      <c r="U92" s="24">
        <f>Table2[[#This Row],[Inspect Not Pass]]*((VLOOKUP(Table2[[#This Row],[LineA-ProdType]],'Other Lists'!$B$17:$G$19,5,FALSE)+VLOOKUP(Table2[[#This Row],[LineA-ProdType]],'Other Lists'!$B$17:$G$19,6,FALSE)))</f>
        <v>687.4</v>
      </c>
      <c r="V92" s="21">
        <v>6</v>
      </c>
      <c r="W92" s="21">
        <v>0</v>
      </c>
      <c r="X92" s="21">
        <v>3</v>
      </c>
      <c r="Y92" s="21">
        <f>Table2[[#This Row],[Inspectors]]-Table2[[#This Row],[Training]]-Table2[[#This Row],[Regular]]</f>
        <v>3</v>
      </c>
      <c r="Z92" s="24">
        <f>VLOOKUP(Table2[[#This Row],[Shift]],'Other Lists'!$B$31:$H$36,7,FALSE)*8*Table2[[#This Row],[Training]]</f>
        <v>0</v>
      </c>
      <c r="AA92" s="24">
        <f>VLOOKUP(Table2[[#This Row],[Shift]],'Other Lists'!$B$31:$H$36,7,FALSE)*8*Table2[[#This Row],[Regular]]</f>
        <v>777.59999999999991</v>
      </c>
      <c r="AB92" s="24">
        <f>VLOOKUP(Table2[[#This Row],[Shift]],'Other Lists'!$B$31:$H$36,7,FALSE)*8*Table2[[#This Row],[Casual]]</f>
        <v>777.59999999999991</v>
      </c>
      <c r="AC92" s="24">
        <f>SUM(Table2[[#This Row],[Training $]:[Casual $]])</f>
        <v>1555.1999999999998</v>
      </c>
      <c r="AD92" s="24">
        <f>Table2[[#This Row],[Total Line A $]]/Table2[[#This Row],[Total Inspected]]</f>
        <v>3.366233766233766</v>
      </c>
      <c r="AE92" s="21">
        <v>105</v>
      </c>
      <c r="AF92" s="21">
        <v>139</v>
      </c>
      <c r="AG92" s="21">
        <v>139</v>
      </c>
      <c r="AH92" s="21">
        <v>8</v>
      </c>
      <c r="AI92" s="21">
        <f>Table2[[#This Row],[Received Inspected3]]+Table2[[#This Row],[Leftover Inspected4]]</f>
        <v>147</v>
      </c>
      <c r="AJ92" s="21">
        <v>162</v>
      </c>
      <c r="AK92" s="21">
        <v>0</v>
      </c>
      <c r="AL92" s="21">
        <v>8</v>
      </c>
      <c r="AM92" s="21">
        <v>141</v>
      </c>
      <c r="AN92" s="21">
        <f>Table2[[#This Row],[Total Inspected2]]-Table2[[#This Row],[Inspect Pass8]]</f>
        <v>6</v>
      </c>
      <c r="AO92" s="21">
        <f>Table2[[#This Row],[Received2]]-Table2[[#This Row],[Total Inspected2]]</f>
        <v>-8</v>
      </c>
      <c r="AP92" s="23">
        <f>Table2[[#This Row],[Inspect Pass8]]/Table2[[#This Row],[Received2]]</f>
        <v>1.014388489208633</v>
      </c>
      <c r="AQ92" s="21">
        <v>6</v>
      </c>
      <c r="AR92" s="21">
        <v>6</v>
      </c>
      <c r="AS92" s="21">
        <v>0</v>
      </c>
      <c r="AT92" s="21">
        <v>3</v>
      </c>
      <c r="AU92" s="21">
        <f>Table2[[#This Row],[Inspectors11]]-Table2[[#This Row],[Training12]]-Table2[[#This Row],[Regular13]]</f>
        <v>3</v>
      </c>
      <c r="AV92" s="21"/>
      <c r="AW92" s="21"/>
      <c r="AX92" s="21"/>
      <c r="AY92" s="21"/>
      <c r="AZ92" s="21"/>
      <c r="BA92" s="21"/>
      <c r="BB92" s="21">
        <v>2</v>
      </c>
      <c r="BC92" s="21">
        <v>1</v>
      </c>
      <c r="BD92" s="21"/>
      <c r="BE92" s="21"/>
      <c r="BF92" s="21"/>
    </row>
    <row r="93" spans="2:58" hidden="1" x14ac:dyDescent="0.3">
      <c r="B93" s="21">
        <v>971</v>
      </c>
      <c r="C93" s="22">
        <v>45106</v>
      </c>
      <c r="D93" s="21">
        <f>WEEKDAY(Table2[[#This Row],[Date]])</f>
        <v>5</v>
      </c>
      <c r="E93" s="21">
        <v>3</v>
      </c>
      <c r="F93" s="21">
        <v>119</v>
      </c>
      <c r="G93" s="21">
        <v>934</v>
      </c>
      <c r="H93" s="21">
        <v>934</v>
      </c>
      <c r="I93" s="21">
        <v>56</v>
      </c>
      <c r="J93" s="21">
        <f t="shared" si="2"/>
        <v>990</v>
      </c>
      <c r="K93" s="21">
        <v>1049.9999999999998</v>
      </c>
      <c r="L93" s="21">
        <v>0</v>
      </c>
      <c r="M93" s="21">
        <v>56</v>
      </c>
      <c r="N93" s="21">
        <v>930</v>
      </c>
      <c r="O93" s="21">
        <f>Table2[[#This Row],[Total Inspected]]-Table2[[#This Row],[Inspect Pass]]</f>
        <v>60</v>
      </c>
      <c r="P93" s="21">
        <f t="shared" si="3"/>
        <v>-56</v>
      </c>
      <c r="Q93" s="23">
        <f>(Table2[[#This Row],[Inspect Pass]]/Table2[[#This Row],[Total Inspected]])</f>
        <v>0.93939393939393945</v>
      </c>
      <c r="R93" s="24">
        <f>Table2[[#This Row],[Inspect Pass]]*VLOOKUP(Table2[[#This Row],[LineA-ProdType]],'Other Lists'!$B$17:$H$19,7,FALSE)</f>
        <v>29760</v>
      </c>
      <c r="S93" s="24">
        <f>Table2[[#This Row],[Received]]*((VLOOKUP(Table2[[#This Row],[LineA-ProdType]],'Other Lists'!$B$16:$G$19,5,FALSE)+(VLOOKUP(Table2[[#This Row],[LineA-ProdType]],'Other Lists'!$B$16:$G$19,6,FALSE))))</f>
        <v>26899.200000000001</v>
      </c>
      <c r="T93" s="24">
        <f>Table2[[#This Row],[Possible Supplier Income]]-Table2[[#This Row],[Supplier Cost of Parts]]</f>
        <v>2860.7999999999993</v>
      </c>
      <c r="U93" s="24">
        <f>Table2[[#This Row],[Inspect Not Pass]]*((VLOOKUP(Table2[[#This Row],[LineA-ProdType]],'Other Lists'!$B$17:$G$19,5,FALSE)+VLOOKUP(Table2[[#This Row],[LineA-ProdType]],'Other Lists'!$B$17:$G$19,6,FALSE)))</f>
        <v>1728</v>
      </c>
      <c r="V93" s="21">
        <v>6</v>
      </c>
      <c r="W93" s="21">
        <v>0</v>
      </c>
      <c r="X93" s="21">
        <v>3</v>
      </c>
      <c r="Y93" s="21">
        <f>Table2[[#This Row],[Inspectors]]-Table2[[#This Row],[Training]]-Table2[[#This Row],[Regular]]</f>
        <v>3</v>
      </c>
      <c r="Z93" s="24">
        <f>VLOOKUP(Table2[[#This Row],[Shift]],'Other Lists'!$B$31:$H$36,7,FALSE)*8*Table2[[#This Row],[Training]]</f>
        <v>0</v>
      </c>
      <c r="AA93" s="24">
        <f>VLOOKUP(Table2[[#This Row],[Shift]],'Other Lists'!$B$31:$H$36,7,FALSE)*8*Table2[[#This Row],[Regular]]</f>
        <v>777.59999999999991</v>
      </c>
      <c r="AB93" s="24">
        <f>VLOOKUP(Table2[[#This Row],[Shift]],'Other Lists'!$B$31:$H$36,7,FALSE)*8*Table2[[#This Row],[Casual]]</f>
        <v>777.59999999999991</v>
      </c>
      <c r="AC93" s="24">
        <f>SUM(Table2[[#This Row],[Training $]:[Casual $]])</f>
        <v>1555.1999999999998</v>
      </c>
      <c r="AD93" s="24">
        <f>Table2[[#This Row],[Total Line A $]]/Table2[[#This Row],[Total Inspected]]</f>
        <v>1.5709090909090908</v>
      </c>
      <c r="AE93" s="21">
        <v>105</v>
      </c>
      <c r="AF93" s="21">
        <v>140</v>
      </c>
      <c r="AG93" s="21">
        <v>140</v>
      </c>
      <c r="AH93" s="21">
        <v>25</v>
      </c>
      <c r="AI93" s="21">
        <f>Table2[[#This Row],[Received Inspected3]]+Table2[[#This Row],[Leftover Inspected4]]</f>
        <v>165</v>
      </c>
      <c r="AJ93" s="21">
        <v>162</v>
      </c>
      <c r="AK93" s="21">
        <v>0</v>
      </c>
      <c r="AL93" s="21">
        <v>25</v>
      </c>
      <c r="AM93" s="21">
        <v>155</v>
      </c>
      <c r="AN93" s="21">
        <f>Table2[[#This Row],[Total Inspected2]]-Table2[[#This Row],[Inspect Pass8]]</f>
        <v>10</v>
      </c>
      <c r="AO93" s="21">
        <f>Table2[[#This Row],[Received2]]-Table2[[#This Row],[Total Inspected2]]</f>
        <v>-25</v>
      </c>
      <c r="AP93" s="23">
        <f>Table2[[#This Row],[Inspect Pass8]]/Table2[[#This Row],[Received2]]</f>
        <v>1.1071428571428572</v>
      </c>
      <c r="AQ93" s="21">
        <v>6</v>
      </c>
      <c r="AR93" s="21">
        <v>6</v>
      </c>
      <c r="AS93" s="21">
        <v>0</v>
      </c>
      <c r="AT93" s="21">
        <v>4</v>
      </c>
      <c r="AU93" s="21">
        <f>Table2[[#This Row],[Inspectors11]]-Table2[[#This Row],[Training12]]-Table2[[#This Row],[Regular13]]</f>
        <v>2</v>
      </c>
      <c r="AV93" s="21"/>
      <c r="AW93" s="21"/>
      <c r="AX93" s="21"/>
      <c r="AY93" s="21"/>
      <c r="AZ93" s="21"/>
      <c r="BA93" s="21"/>
      <c r="BB93" s="21">
        <v>2</v>
      </c>
      <c r="BC93" s="21">
        <v>1</v>
      </c>
      <c r="BD93" s="21"/>
      <c r="BE93" s="21"/>
      <c r="BF93" s="21"/>
    </row>
    <row r="94" spans="2:58" hidden="1" x14ac:dyDescent="0.3">
      <c r="B94" s="21">
        <v>972</v>
      </c>
      <c r="C94" s="22">
        <v>45107</v>
      </c>
      <c r="D94" s="21">
        <f>WEEKDAY(Table2[[#This Row],[Date]])</f>
        <v>6</v>
      </c>
      <c r="E94" s="21">
        <v>3</v>
      </c>
      <c r="F94" s="21">
        <v>119</v>
      </c>
      <c r="G94" s="21">
        <v>598</v>
      </c>
      <c r="H94" s="21">
        <v>598</v>
      </c>
      <c r="I94" s="21">
        <v>0</v>
      </c>
      <c r="J94" s="21">
        <f t="shared" si="2"/>
        <v>598</v>
      </c>
      <c r="K94" s="21">
        <v>1049.9999999999998</v>
      </c>
      <c r="L94" s="21">
        <v>0</v>
      </c>
      <c r="M94" s="21">
        <v>0</v>
      </c>
      <c r="N94" s="21">
        <v>562</v>
      </c>
      <c r="O94" s="21">
        <f>Table2[[#This Row],[Total Inspected]]-Table2[[#This Row],[Inspect Pass]]</f>
        <v>36</v>
      </c>
      <c r="P94" s="21">
        <f t="shared" si="3"/>
        <v>0</v>
      </c>
      <c r="Q94" s="23">
        <f>(Table2[[#This Row],[Inspect Pass]]/Table2[[#This Row],[Total Inspected]])</f>
        <v>0.93979933110367897</v>
      </c>
      <c r="R94" s="24">
        <f>Table2[[#This Row],[Inspect Pass]]*VLOOKUP(Table2[[#This Row],[LineA-ProdType]],'Other Lists'!$B$17:$H$19,7,FALSE)</f>
        <v>17984</v>
      </c>
      <c r="S94" s="24">
        <f>Table2[[#This Row],[Received]]*((VLOOKUP(Table2[[#This Row],[LineA-ProdType]],'Other Lists'!$B$16:$G$19,5,FALSE)+(VLOOKUP(Table2[[#This Row],[LineA-ProdType]],'Other Lists'!$B$16:$G$19,6,FALSE))))</f>
        <v>17222.400000000001</v>
      </c>
      <c r="T94" s="24">
        <f>Table2[[#This Row],[Possible Supplier Income]]-Table2[[#This Row],[Supplier Cost of Parts]]</f>
        <v>761.59999999999854</v>
      </c>
      <c r="U94" s="24">
        <f>Table2[[#This Row],[Inspect Not Pass]]*((VLOOKUP(Table2[[#This Row],[LineA-ProdType]],'Other Lists'!$B$17:$G$19,5,FALSE)+VLOOKUP(Table2[[#This Row],[LineA-ProdType]],'Other Lists'!$B$17:$G$19,6,FALSE)))</f>
        <v>1036.8</v>
      </c>
      <c r="V94" s="21">
        <v>6</v>
      </c>
      <c r="W94" s="21">
        <v>0</v>
      </c>
      <c r="X94" s="21">
        <v>4</v>
      </c>
      <c r="Y94" s="21">
        <f>Table2[[#This Row],[Inspectors]]-Table2[[#This Row],[Training]]-Table2[[#This Row],[Regular]]</f>
        <v>2</v>
      </c>
      <c r="Z94" s="24">
        <f>VLOOKUP(Table2[[#This Row],[Shift]],'Other Lists'!$B$31:$H$36,7,FALSE)*8*Table2[[#This Row],[Training]]</f>
        <v>0</v>
      </c>
      <c r="AA94" s="24">
        <f>VLOOKUP(Table2[[#This Row],[Shift]],'Other Lists'!$B$31:$H$36,7,FALSE)*8*Table2[[#This Row],[Regular]]</f>
        <v>1036.8</v>
      </c>
      <c r="AB94" s="24">
        <f>VLOOKUP(Table2[[#This Row],[Shift]],'Other Lists'!$B$31:$H$36,7,FALSE)*8*Table2[[#This Row],[Casual]]</f>
        <v>518.4</v>
      </c>
      <c r="AC94" s="24">
        <f>SUM(Table2[[#This Row],[Training $]:[Casual $]])</f>
        <v>1555.1999999999998</v>
      </c>
      <c r="AD94" s="24">
        <f>Table2[[#This Row],[Total Line A $]]/Table2[[#This Row],[Total Inspected]]</f>
        <v>2.60066889632107</v>
      </c>
      <c r="AE94" s="21">
        <v>105</v>
      </c>
      <c r="AF94" s="21">
        <v>178</v>
      </c>
      <c r="AG94" s="21">
        <v>136</v>
      </c>
      <c r="AH94" s="21">
        <v>0</v>
      </c>
      <c r="AI94" s="21">
        <f>Table2[[#This Row],[Received Inspected3]]+Table2[[#This Row],[Leftover Inspected4]]</f>
        <v>136</v>
      </c>
      <c r="AJ94" s="21">
        <v>162</v>
      </c>
      <c r="AK94" s="21">
        <v>0</v>
      </c>
      <c r="AL94" s="21">
        <v>0</v>
      </c>
      <c r="AM94" s="21">
        <v>127</v>
      </c>
      <c r="AN94" s="21">
        <f>Table2[[#This Row],[Total Inspected2]]-Table2[[#This Row],[Inspect Pass8]]</f>
        <v>9</v>
      </c>
      <c r="AO94" s="21">
        <f>Table2[[#This Row],[Received2]]-Table2[[#This Row],[Total Inspected2]]</f>
        <v>42</v>
      </c>
      <c r="AP94" s="23">
        <f>Table2[[#This Row],[Inspect Pass8]]/Table2[[#This Row],[Received2]]</f>
        <v>0.7134831460674157</v>
      </c>
      <c r="AQ94" s="21">
        <v>6</v>
      </c>
      <c r="AR94" s="21">
        <v>5</v>
      </c>
      <c r="AS94" s="21">
        <v>0</v>
      </c>
      <c r="AT94" s="21">
        <v>4</v>
      </c>
      <c r="AU94" s="21">
        <f>Table2[[#This Row],[Inspectors11]]-Table2[[#This Row],[Training12]]-Table2[[#This Row],[Regular13]]</f>
        <v>1</v>
      </c>
      <c r="AV94" s="21"/>
      <c r="AW94" s="21"/>
      <c r="AX94" s="21"/>
      <c r="AY94" s="21"/>
      <c r="AZ94" s="21"/>
      <c r="BA94" s="21"/>
      <c r="BB94" s="21">
        <v>2</v>
      </c>
      <c r="BC94" s="21">
        <v>1</v>
      </c>
      <c r="BD94" s="21"/>
      <c r="BE94" s="21"/>
      <c r="BF94" s="21"/>
    </row>
    <row r="95" spans="2:58" hidden="1" x14ac:dyDescent="0.3">
      <c r="B95" s="21">
        <v>973</v>
      </c>
      <c r="C95" s="22">
        <v>45108</v>
      </c>
      <c r="D95" s="21">
        <f>WEEKDAY(Table2[[#This Row],[Date]])</f>
        <v>7</v>
      </c>
      <c r="E95" s="21">
        <v>3</v>
      </c>
      <c r="F95" s="21">
        <v>201</v>
      </c>
      <c r="G95" s="21">
        <v>260</v>
      </c>
      <c r="H95" s="21">
        <v>260</v>
      </c>
      <c r="I95" s="21">
        <v>60</v>
      </c>
      <c r="J95" s="21">
        <f t="shared" si="2"/>
        <v>320</v>
      </c>
      <c r="K95" s="21">
        <v>420</v>
      </c>
      <c r="L95" s="21">
        <v>0</v>
      </c>
      <c r="M95" s="21">
        <v>60</v>
      </c>
      <c r="N95" s="21">
        <v>300</v>
      </c>
      <c r="O95" s="21">
        <f>Table2[[#This Row],[Total Inspected]]-Table2[[#This Row],[Inspect Pass]]</f>
        <v>20</v>
      </c>
      <c r="P95" s="21">
        <f t="shared" si="3"/>
        <v>-60</v>
      </c>
      <c r="Q95" s="23">
        <f>(Table2[[#This Row],[Inspect Pass]]/Table2[[#This Row],[Total Inspected]])</f>
        <v>0.9375</v>
      </c>
      <c r="R95" s="24">
        <f>Table2[[#This Row],[Inspect Pass]]*VLOOKUP(Table2[[#This Row],[LineA-ProdType]],'Other Lists'!$B$17:$H$19,7,FALSE)</f>
        <v>21300</v>
      </c>
      <c r="S95" s="24">
        <f>Table2[[#This Row],[Received]]*((VLOOKUP(Table2[[#This Row],[LineA-ProdType]],'Other Lists'!$B$16:$G$19,5,FALSE)+(VLOOKUP(Table2[[#This Row],[LineA-ProdType]],'Other Lists'!$B$16:$G$19,6,FALSE))))</f>
        <v>12766</v>
      </c>
      <c r="T95" s="24">
        <f>Table2[[#This Row],[Possible Supplier Income]]-Table2[[#This Row],[Supplier Cost of Parts]]</f>
        <v>8534</v>
      </c>
      <c r="U95" s="24">
        <f>Table2[[#This Row],[Inspect Not Pass]]*((VLOOKUP(Table2[[#This Row],[LineA-ProdType]],'Other Lists'!$B$17:$G$19,5,FALSE)+VLOOKUP(Table2[[#This Row],[LineA-ProdType]],'Other Lists'!$B$17:$G$19,6,FALSE)))</f>
        <v>982</v>
      </c>
      <c r="V95" s="21">
        <v>5</v>
      </c>
      <c r="W95" s="21">
        <v>0</v>
      </c>
      <c r="X95" s="21">
        <v>4</v>
      </c>
      <c r="Y95" s="21">
        <f>Table2[[#This Row],[Inspectors]]-Table2[[#This Row],[Training]]-Table2[[#This Row],[Regular]]</f>
        <v>1</v>
      </c>
      <c r="Z95" s="24">
        <f>VLOOKUP(Table2[[#This Row],[Shift]],'Other Lists'!$B$31:$H$36,7,FALSE)*8*Table2[[#This Row],[Training]]</f>
        <v>0</v>
      </c>
      <c r="AA95" s="24">
        <f>VLOOKUP(Table2[[#This Row],[Shift]],'Other Lists'!$B$31:$H$36,7,FALSE)*8*Table2[[#This Row],[Regular]]</f>
        <v>1036.8</v>
      </c>
      <c r="AB95" s="24">
        <f>VLOOKUP(Table2[[#This Row],[Shift]],'Other Lists'!$B$31:$H$36,7,FALSE)*8*Table2[[#This Row],[Casual]]</f>
        <v>259.2</v>
      </c>
      <c r="AC95" s="24">
        <f>SUM(Table2[[#This Row],[Training $]:[Casual $]])</f>
        <v>1296</v>
      </c>
      <c r="AD95" s="24">
        <f>Table2[[#This Row],[Total Line A $]]/Table2[[#This Row],[Total Inspected]]</f>
        <v>4.05</v>
      </c>
      <c r="AE95" s="21">
        <v>105</v>
      </c>
      <c r="AF95" s="21">
        <v>145</v>
      </c>
      <c r="AG95" s="21">
        <v>145</v>
      </c>
      <c r="AH95" s="21">
        <v>33</v>
      </c>
      <c r="AI95" s="21">
        <f>Table2[[#This Row],[Received Inspected3]]+Table2[[#This Row],[Leftover Inspected4]]</f>
        <v>178</v>
      </c>
      <c r="AJ95" s="21">
        <v>162</v>
      </c>
      <c r="AK95" s="21">
        <v>36</v>
      </c>
      <c r="AL95" s="21">
        <v>69</v>
      </c>
      <c r="AM95" s="21">
        <v>167</v>
      </c>
      <c r="AN95" s="21">
        <f>Table2[[#This Row],[Total Inspected2]]-Table2[[#This Row],[Inspect Pass8]]</f>
        <v>11</v>
      </c>
      <c r="AO95" s="21">
        <f>Table2[[#This Row],[Received2]]-Table2[[#This Row],[Total Inspected2]]</f>
        <v>-33</v>
      </c>
      <c r="AP95" s="23">
        <f>Table2[[#This Row],[Inspect Pass8]]/Table2[[#This Row],[Received2]]</f>
        <v>1.1517241379310346</v>
      </c>
      <c r="AQ95" s="21">
        <v>6</v>
      </c>
      <c r="AR95" s="21">
        <v>6</v>
      </c>
      <c r="AS95" s="21">
        <v>0</v>
      </c>
      <c r="AT95" s="21">
        <v>3</v>
      </c>
      <c r="AU95" s="21">
        <f>Table2[[#This Row],[Inspectors11]]-Table2[[#This Row],[Training12]]-Table2[[#This Row],[Regular13]]</f>
        <v>3</v>
      </c>
      <c r="AV95" s="21"/>
      <c r="AW95" s="21"/>
      <c r="AX95" s="21"/>
      <c r="AY95" s="21"/>
      <c r="AZ95" s="21"/>
      <c r="BA95" s="21"/>
      <c r="BB95" s="21">
        <v>2</v>
      </c>
      <c r="BC95" s="21">
        <v>1</v>
      </c>
      <c r="BD95" s="21"/>
      <c r="BE95" s="21"/>
      <c r="BF95" s="21"/>
    </row>
    <row r="96" spans="2:58" hidden="1" x14ac:dyDescent="0.3">
      <c r="B96" s="21">
        <v>974</v>
      </c>
      <c r="C96" s="22">
        <v>45109</v>
      </c>
      <c r="D96" s="21">
        <f>WEEKDAY(Table2[[#This Row],[Date]])</f>
        <v>1</v>
      </c>
      <c r="E96" s="21">
        <v>3</v>
      </c>
      <c r="F96" s="21">
        <v>119</v>
      </c>
      <c r="G96" s="21">
        <v>0</v>
      </c>
      <c r="H96" s="21">
        <v>0</v>
      </c>
      <c r="I96" s="21">
        <v>0</v>
      </c>
      <c r="J96" s="21">
        <f t="shared" si="2"/>
        <v>0</v>
      </c>
      <c r="K96" s="21">
        <v>0</v>
      </c>
      <c r="L96" s="21">
        <v>24</v>
      </c>
      <c r="M96" s="21">
        <v>24</v>
      </c>
      <c r="N96" s="21">
        <v>0</v>
      </c>
      <c r="O96" s="21">
        <f>Table2[[#This Row],[Total Inspected]]-Table2[[#This Row],[Inspect Pass]]</f>
        <v>0</v>
      </c>
      <c r="P96" s="21">
        <f t="shared" si="3"/>
        <v>0</v>
      </c>
      <c r="Q96" s="23" t="e">
        <f>(Table2[[#This Row],[Inspect Pass]]/Table2[[#This Row],[Total Inspected]])</f>
        <v>#DIV/0!</v>
      </c>
      <c r="R96" s="24">
        <f>Table2[[#This Row],[Inspect Pass]]*VLOOKUP(Table2[[#This Row],[LineA-ProdType]],'Other Lists'!$B$17:$H$19,7,FALSE)</f>
        <v>0</v>
      </c>
      <c r="S96" s="24">
        <f>Table2[[#This Row],[Received]]*((VLOOKUP(Table2[[#This Row],[LineA-ProdType]],'Other Lists'!$B$16:$G$19,5,FALSE)+(VLOOKUP(Table2[[#This Row],[LineA-ProdType]],'Other Lists'!$B$16:$G$19,6,FALSE))))</f>
        <v>0</v>
      </c>
      <c r="T96" s="24">
        <f>Table2[[#This Row],[Possible Supplier Income]]-Table2[[#This Row],[Supplier Cost of Parts]]</f>
        <v>0</v>
      </c>
      <c r="U96" s="24">
        <f>Table2[[#This Row],[Inspect Not Pass]]*((VLOOKUP(Table2[[#This Row],[LineA-ProdType]],'Other Lists'!$B$17:$G$19,5,FALSE)+VLOOKUP(Table2[[#This Row],[LineA-ProdType]],'Other Lists'!$B$17:$G$19,6,FALSE)))</f>
        <v>0</v>
      </c>
      <c r="V96" s="21">
        <v>0</v>
      </c>
      <c r="W96" s="21">
        <v>0</v>
      </c>
      <c r="X96" s="21">
        <v>0</v>
      </c>
      <c r="Y96" s="21">
        <f>Table2[[#This Row],[Inspectors]]-Table2[[#This Row],[Training]]-Table2[[#This Row],[Regular]]</f>
        <v>0</v>
      </c>
      <c r="Z96" s="24">
        <f>VLOOKUP(Table2[[#This Row],[Shift]],'Other Lists'!$B$31:$H$36,7,FALSE)*8*Table2[[#This Row],[Training]]</f>
        <v>0</v>
      </c>
      <c r="AA96" s="24">
        <f>VLOOKUP(Table2[[#This Row],[Shift]],'Other Lists'!$B$31:$H$36,7,FALSE)*8*Table2[[#This Row],[Regular]]</f>
        <v>0</v>
      </c>
      <c r="AB96" s="24">
        <f>VLOOKUP(Table2[[#This Row],[Shift]],'Other Lists'!$B$31:$H$36,7,FALSE)*8*Table2[[#This Row],[Casual]]</f>
        <v>0</v>
      </c>
      <c r="AC96" s="24">
        <f>SUM(Table2[[#This Row],[Training $]:[Casual $]])</f>
        <v>0</v>
      </c>
      <c r="AD96" s="24" t="e">
        <f>Table2[[#This Row],[Total Line A $]]/Table2[[#This Row],[Total Inspected]]</f>
        <v>#DIV/0!</v>
      </c>
      <c r="AE96" s="21">
        <v>105</v>
      </c>
      <c r="AF96" s="21">
        <v>0</v>
      </c>
      <c r="AG96" s="21">
        <v>0</v>
      </c>
      <c r="AH96" s="21">
        <v>0</v>
      </c>
      <c r="AI96" s="21">
        <f>Table2[[#This Row],[Received Inspected3]]+Table2[[#This Row],[Leftover Inspected4]]</f>
        <v>0</v>
      </c>
      <c r="AJ96" s="21">
        <v>0</v>
      </c>
      <c r="AK96" s="21">
        <v>8</v>
      </c>
      <c r="AL96" s="21">
        <v>8</v>
      </c>
      <c r="AM96" s="21">
        <v>0</v>
      </c>
      <c r="AN96" s="21">
        <f>Table2[[#This Row],[Total Inspected2]]-Table2[[#This Row],[Inspect Pass8]]</f>
        <v>0</v>
      </c>
      <c r="AO96" s="21">
        <f>Table2[[#This Row],[Received2]]-Table2[[#This Row],[Total Inspected2]]</f>
        <v>0</v>
      </c>
      <c r="AP96" s="23" t="e">
        <f>Table2[[#This Row],[Inspect Pass8]]/Table2[[#This Row],[Received2]]</f>
        <v>#DIV/0!</v>
      </c>
      <c r="AQ96" s="21">
        <v>0</v>
      </c>
      <c r="AR96" s="21">
        <v>0</v>
      </c>
      <c r="AS96" s="21">
        <v>0</v>
      </c>
      <c r="AT96" s="21">
        <v>0</v>
      </c>
      <c r="AU96" s="21">
        <f>Table2[[#This Row],[Inspectors11]]-Table2[[#This Row],[Training12]]-Table2[[#This Row],[Regular13]]</f>
        <v>0</v>
      </c>
      <c r="AV96" s="21"/>
      <c r="AW96" s="21"/>
      <c r="AX96" s="21"/>
      <c r="AY96" s="21"/>
      <c r="AZ96" s="21"/>
      <c r="BA96" s="21"/>
      <c r="BB96" s="21">
        <v>0</v>
      </c>
      <c r="BC96" s="21">
        <v>0</v>
      </c>
      <c r="BD96" s="21"/>
      <c r="BE96" s="21"/>
      <c r="BF96" s="21"/>
    </row>
    <row r="97" spans="2:58" hidden="1" x14ac:dyDescent="0.3">
      <c r="B97" s="21">
        <v>975</v>
      </c>
      <c r="C97" s="22">
        <v>45110</v>
      </c>
      <c r="D97" s="21">
        <f>WEEKDAY(Table2[[#This Row],[Date]])</f>
        <v>2</v>
      </c>
      <c r="E97" s="21">
        <v>3</v>
      </c>
      <c r="F97" s="21">
        <v>201</v>
      </c>
      <c r="G97" s="21">
        <v>0</v>
      </c>
      <c r="H97" s="21">
        <v>0</v>
      </c>
      <c r="I97" s="21">
        <v>0</v>
      </c>
      <c r="J97" s="21">
        <f t="shared" si="2"/>
        <v>0</v>
      </c>
      <c r="K97" s="21">
        <v>0</v>
      </c>
      <c r="L97" s="21">
        <v>129</v>
      </c>
      <c r="M97" s="21">
        <v>129</v>
      </c>
      <c r="N97" s="21">
        <v>0</v>
      </c>
      <c r="O97" s="21">
        <f>Table2[[#This Row],[Total Inspected]]-Table2[[#This Row],[Inspect Pass]]</f>
        <v>0</v>
      </c>
      <c r="P97" s="21">
        <f t="shared" si="3"/>
        <v>0</v>
      </c>
      <c r="Q97" s="23" t="e">
        <f>(Table2[[#This Row],[Inspect Pass]]/Table2[[#This Row],[Total Inspected]])</f>
        <v>#DIV/0!</v>
      </c>
      <c r="R97" s="24">
        <f>Table2[[#This Row],[Inspect Pass]]*VLOOKUP(Table2[[#This Row],[LineA-ProdType]],'Other Lists'!$B$17:$H$19,7,FALSE)</f>
        <v>0</v>
      </c>
      <c r="S97" s="24">
        <f>Table2[[#This Row],[Received]]*((VLOOKUP(Table2[[#This Row],[LineA-ProdType]],'Other Lists'!$B$16:$G$19,5,FALSE)+(VLOOKUP(Table2[[#This Row],[LineA-ProdType]],'Other Lists'!$B$16:$G$19,6,FALSE))))</f>
        <v>0</v>
      </c>
      <c r="T97" s="24">
        <f>Table2[[#This Row],[Possible Supplier Income]]-Table2[[#This Row],[Supplier Cost of Parts]]</f>
        <v>0</v>
      </c>
      <c r="U97" s="24">
        <f>Table2[[#This Row],[Inspect Not Pass]]*((VLOOKUP(Table2[[#This Row],[LineA-ProdType]],'Other Lists'!$B$17:$G$19,5,FALSE)+VLOOKUP(Table2[[#This Row],[LineA-ProdType]],'Other Lists'!$B$17:$G$19,6,FALSE)))</f>
        <v>0</v>
      </c>
      <c r="V97" s="21">
        <v>0</v>
      </c>
      <c r="W97" s="21">
        <v>0</v>
      </c>
      <c r="X97" s="21">
        <v>0</v>
      </c>
      <c r="Y97" s="21">
        <f>Table2[[#This Row],[Inspectors]]-Table2[[#This Row],[Training]]-Table2[[#This Row],[Regular]]</f>
        <v>0</v>
      </c>
      <c r="Z97" s="24">
        <f>VLOOKUP(Table2[[#This Row],[Shift]],'Other Lists'!$B$31:$H$36,7,FALSE)*8*Table2[[#This Row],[Training]]</f>
        <v>0</v>
      </c>
      <c r="AA97" s="24">
        <f>VLOOKUP(Table2[[#This Row],[Shift]],'Other Lists'!$B$31:$H$36,7,FALSE)*8*Table2[[#This Row],[Regular]]</f>
        <v>0</v>
      </c>
      <c r="AB97" s="24">
        <f>VLOOKUP(Table2[[#This Row],[Shift]],'Other Lists'!$B$31:$H$36,7,FALSE)*8*Table2[[#This Row],[Casual]]</f>
        <v>0</v>
      </c>
      <c r="AC97" s="24">
        <f>SUM(Table2[[#This Row],[Training $]:[Casual $]])</f>
        <v>0</v>
      </c>
      <c r="AD97" s="24" t="e">
        <f>Table2[[#This Row],[Total Line A $]]/Table2[[#This Row],[Total Inspected]]</f>
        <v>#DIV/0!</v>
      </c>
      <c r="AE97" s="21">
        <v>105</v>
      </c>
      <c r="AF97" s="21">
        <v>0</v>
      </c>
      <c r="AG97" s="21">
        <v>0</v>
      </c>
      <c r="AH97" s="21">
        <v>0</v>
      </c>
      <c r="AI97" s="21">
        <f>Table2[[#This Row],[Received Inspected3]]+Table2[[#This Row],[Leftover Inspected4]]</f>
        <v>0</v>
      </c>
      <c r="AJ97" s="21">
        <v>0</v>
      </c>
      <c r="AK97" s="21">
        <v>10</v>
      </c>
      <c r="AL97" s="21">
        <v>10</v>
      </c>
      <c r="AM97" s="21">
        <v>0</v>
      </c>
      <c r="AN97" s="21">
        <f>Table2[[#This Row],[Total Inspected2]]-Table2[[#This Row],[Inspect Pass8]]</f>
        <v>0</v>
      </c>
      <c r="AO97" s="21">
        <f>Table2[[#This Row],[Received2]]-Table2[[#This Row],[Total Inspected2]]</f>
        <v>0</v>
      </c>
      <c r="AP97" s="23" t="e">
        <f>Table2[[#This Row],[Inspect Pass8]]/Table2[[#This Row],[Received2]]</f>
        <v>#DIV/0!</v>
      </c>
      <c r="AQ97" s="21">
        <v>0</v>
      </c>
      <c r="AR97" s="21">
        <v>0</v>
      </c>
      <c r="AS97" s="21">
        <v>0</v>
      </c>
      <c r="AT97" s="21">
        <v>0</v>
      </c>
      <c r="AU97" s="21">
        <f>Table2[[#This Row],[Inspectors11]]-Table2[[#This Row],[Training12]]-Table2[[#This Row],[Regular13]]</f>
        <v>0</v>
      </c>
      <c r="AV97" s="21"/>
      <c r="AW97" s="21"/>
      <c r="AX97" s="21"/>
      <c r="AY97" s="21"/>
      <c r="AZ97" s="21"/>
      <c r="BA97" s="21"/>
      <c r="BB97" s="21">
        <v>0</v>
      </c>
      <c r="BC97" s="21">
        <v>0</v>
      </c>
      <c r="BD97" s="21"/>
      <c r="BE97" s="21"/>
      <c r="BF97" s="21"/>
    </row>
    <row r="98" spans="2:58" hidden="1" x14ac:dyDescent="0.3">
      <c r="B98" s="21">
        <v>976</v>
      </c>
      <c r="C98" s="22">
        <v>45111</v>
      </c>
      <c r="D98" s="21">
        <f>WEEKDAY(Table2[[#This Row],[Date]])</f>
        <v>3</v>
      </c>
      <c r="E98" s="21">
        <v>3</v>
      </c>
      <c r="F98" s="21">
        <v>201</v>
      </c>
      <c r="G98" s="21">
        <v>344</v>
      </c>
      <c r="H98" s="21">
        <v>344</v>
      </c>
      <c r="I98" s="21">
        <v>96</v>
      </c>
      <c r="J98" s="21">
        <f t="shared" si="2"/>
        <v>440</v>
      </c>
      <c r="K98" s="21">
        <v>420</v>
      </c>
      <c r="L98" s="21">
        <v>0</v>
      </c>
      <c r="M98" s="21">
        <v>96</v>
      </c>
      <c r="N98" s="21">
        <v>413</v>
      </c>
      <c r="O98" s="21">
        <f>Table2[[#This Row],[Total Inspected]]-Table2[[#This Row],[Inspect Pass]]</f>
        <v>27</v>
      </c>
      <c r="P98" s="21">
        <f t="shared" si="3"/>
        <v>-96</v>
      </c>
      <c r="Q98" s="23">
        <f>(Table2[[#This Row],[Inspect Pass]]/Table2[[#This Row],[Total Inspected]])</f>
        <v>0.9386363636363636</v>
      </c>
      <c r="R98" s="24">
        <f>Table2[[#This Row],[Inspect Pass]]*VLOOKUP(Table2[[#This Row],[LineA-ProdType]],'Other Lists'!$B$17:$H$19,7,FALSE)</f>
        <v>29323</v>
      </c>
      <c r="S98" s="24">
        <f>Table2[[#This Row],[Received]]*((VLOOKUP(Table2[[#This Row],[LineA-ProdType]],'Other Lists'!$B$16:$G$19,5,FALSE)+(VLOOKUP(Table2[[#This Row],[LineA-ProdType]],'Other Lists'!$B$16:$G$19,6,FALSE))))</f>
        <v>16890.400000000001</v>
      </c>
      <c r="T98" s="24">
        <f>Table2[[#This Row],[Possible Supplier Income]]-Table2[[#This Row],[Supplier Cost of Parts]]</f>
        <v>12432.599999999999</v>
      </c>
      <c r="U98" s="24">
        <f>Table2[[#This Row],[Inspect Not Pass]]*((VLOOKUP(Table2[[#This Row],[LineA-ProdType]],'Other Lists'!$B$17:$G$19,5,FALSE)+VLOOKUP(Table2[[#This Row],[LineA-ProdType]],'Other Lists'!$B$17:$G$19,6,FALSE)))</f>
        <v>1325.7</v>
      </c>
      <c r="V98" s="21">
        <v>6</v>
      </c>
      <c r="W98" s="21">
        <v>0</v>
      </c>
      <c r="X98" s="21">
        <v>3</v>
      </c>
      <c r="Y98" s="21">
        <f>Table2[[#This Row],[Inspectors]]-Table2[[#This Row],[Training]]-Table2[[#This Row],[Regular]]</f>
        <v>3</v>
      </c>
      <c r="Z98" s="24">
        <f>VLOOKUP(Table2[[#This Row],[Shift]],'Other Lists'!$B$31:$H$36,7,FALSE)*8*Table2[[#This Row],[Training]]</f>
        <v>0</v>
      </c>
      <c r="AA98" s="24">
        <f>VLOOKUP(Table2[[#This Row],[Shift]],'Other Lists'!$B$31:$H$36,7,FALSE)*8*Table2[[#This Row],[Regular]]</f>
        <v>777.59999999999991</v>
      </c>
      <c r="AB98" s="24">
        <f>VLOOKUP(Table2[[#This Row],[Shift]],'Other Lists'!$B$31:$H$36,7,FALSE)*8*Table2[[#This Row],[Casual]]</f>
        <v>777.59999999999991</v>
      </c>
      <c r="AC98" s="24">
        <f>SUM(Table2[[#This Row],[Training $]:[Casual $]])</f>
        <v>1555.1999999999998</v>
      </c>
      <c r="AD98" s="24">
        <f>Table2[[#This Row],[Total Line A $]]/Table2[[#This Row],[Total Inspected]]</f>
        <v>3.5345454545454542</v>
      </c>
      <c r="AE98" s="21">
        <v>105</v>
      </c>
      <c r="AF98" s="21">
        <v>178</v>
      </c>
      <c r="AG98" s="21">
        <v>155</v>
      </c>
      <c r="AH98" s="21">
        <v>15</v>
      </c>
      <c r="AI98" s="21">
        <f>Table2[[#This Row],[Received Inspected3]]+Table2[[#This Row],[Leftover Inspected4]]</f>
        <v>170</v>
      </c>
      <c r="AJ98" s="21">
        <v>162</v>
      </c>
      <c r="AK98" s="21">
        <v>0</v>
      </c>
      <c r="AL98" s="21">
        <v>15</v>
      </c>
      <c r="AM98" s="21">
        <v>158</v>
      </c>
      <c r="AN98" s="21">
        <f>Table2[[#This Row],[Total Inspected2]]-Table2[[#This Row],[Inspect Pass8]]</f>
        <v>12</v>
      </c>
      <c r="AO98" s="21">
        <f>Table2[[#This Row],[Received2]]-Table2[[#This Row],[Total Inspected2]]</f>
        <v>8</v>
      </c>
      <c r="AP98" s="23">
        <f>Table2[[#This Row],[Inspect Pass8]]/Table2[[#This Row],[Received2]]</f>
        <v>0.88764044943820219</v>
      </c>
      <c r="AQ98" s="21">
        <v>6</v>
      </c>
      <c r="AR98" s="21">
        <v>6</v>
      </c>
      <c r="AS98" s="21">
        <v>0</v>
      </c>
      <c r="AT98" s="21">
        <v>3</v>
      </c>
      <c r="AU98" s="21">
        <f>Table2[[#This Row],[Inspectors11]]-Table2[[#This Row],[Training12]]-Table2[[#This Row],[Regular13]]</f>
        <v>3</v>
      </c>
      <c r="AV98" s="21"/>
      <c r="AW98" s="21"/>
      <c r="AX98" s="21"/>
      <c r="AY98" s="21"/>
      <c r="AZ98" s="21"/>
      <c r="BA98" s="21"/>
      <c r="BB98" s="21">
        <v>2</v>
      </c>
      <c r="BC98" s="21">
        <v>1</v>
      </c>
      <c r="BD98" s="21"/>
      <c r="BE98" s="21"/>
      <c r="BF98" s="21"/>
    </row>
  </sheetData>
  <mergeCells count="3">
    <mergeCell ref="A1:B1"/>
    <mergeCell ref="H1:I1"/>
    <mergeCell ref="A2:B2"/>
  </mergeCells>
  <phoneticPr fontId="10" type="noConversion"/>
  <hyperlinks>
    <hyperlink ref="A2:B2" location="ReadMeFirst!A1" display="Return to ReadMeFirst" xr:uid="{5E086D75-19F0-4D49-8569-CBEF0D9B86A4}"/>
  </hyperlinks>
  <pageMargins left="0.7" right="0.7" top="0.75" bottom="0.75" header="0.3" footer="0.3"/>
  <pageSetup orientation="landscape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9B2A5-E731-4BEF-ACD2-A80F48ABACEA}">
  <dimension ref="A1:I12"/>
  <sheetViews>
    <sheetView workbookViewId="0">
      <selection sqref="A1:B1"/>
    </sheetView>
  </sheetViews>
  <sheetFormatPr defaultRowHeight="14.4" x14ac:dyDescent="0.3"/>
  <cols>
    <col min="2" max="2" width="11.21875" customWidth="1"/>
    <col min="3" max="3" width="39.88671875" customWidth="1"/>
    <col min="4" max="4" width="71.21875" customWidth="1"/>
    <col min="5" max="5" width="10.33203125" bestFit="1" customWidth="1"/>
  </cols>
  <sheetData>
    <row r="1" spans="1:9" ht="21" x14ac:dyDescent="0.4">
      <c r="A1" s="42" t="s">
        <v>854</v>
      </c>
      <c r="B1" s="42"/>
      <c r="D1" t="s">
        <v>852</v>
      </c>
      <c r="E1" s="15">
        <v>45390</v>
      </c>
      <c r="G1" t="s">
        <v>853</v>
      </c>
      <c r="H1" s="44" t="s">
        <v>849</v>
      </c>
      <c r="I1" s="44"/>
    </row>
    <row r="2" spans="1:9" x14ac:dyDescent="0.3">
      <c r="A2" s="43" t="s">
        <v>851</v>
      </c>
      <c r="B2" s="43"/>
    </row>
    <row r="7" spans="1:9" x14ac:dyDescent="0.3">
      <c r="B7" s="30" t="s">
        <v>826</v>
      </c>
      <c r="C7" s="31" t="s">
        <v>827</v>
      </c>
      <c r="D7" s="32" t="s">
        <v>828</v>
      </c>
    </row>
    <row r="8" spans="1:9" ht="28.8" x14ac:dyDescent="0.3">
      <c r="B8" s="28">
        <v>1</v>
      </c>
      <c r="C8" s="18" t="s">
        <v>830</v>
      </c>
      <c r="D8" s="29" t="s">
        <v>829</v>
      </c>
    </row>
    <row r="9" spans="1:9" ht="43.2" x14ac:dyDescent="0.3">
      <c r="B9" s="28">
        <v>2</v>
      </c>
      <c r="C9" s="18" t="s">
        <v>835</v>
      </c>
      <c r="D9" s="29" t="s">
        <v>836</v>
      </c>
    </row>
    <row r="10" spans="1:9" ht="43.2" x14ac:dyDescent="0.3">
      <c r="B10" s="28">
        <v>3</v>
      </c>
      <c r="C10" s="18" t="s">
        <v>839</v>
      </c>
      <c r="D10" s="29" t="s">
        <v>840</v>
      </c>
    </row>
    <row r="11" spans="1:9" ht="28.8" x14ac:dyDescent="0.3">
      <c r="B11" s="28">
        <v>4</v>
      </c>
      <c r="C11" s="18" t="s">
        <v>843</v>
      </c>
      <c r="D11" s="29" t="s">
        <v>842</v>
      </c>
    </row>
    <row r="12" spans="1:9" ht="28.8" x14ac:dyDescent="0.3">
      <c r="B12" s="33">
        <v>5</v>
      </c>
      <c r="C12" s="34" t="s">
        <v>845</v>
      </c>
      <c r="D12" s="35" t="s">
        <v>846</v>
      </c>
    </row>
  </sheetData>
  <mergeCells count="3">
    <mergeCell ref="A1:B1"/>
    <mergeCell ref="H1:I1"/>
    <mergeCell ref="A2:B2"/>
  </mergeCells>
  <hyperlinks>
    <hyperlink ref="A2:B2" location="ReadMeFirst!A1" display="Return to ReadMeFirst" xr:uid="{F2139889-AE3E-4F0B-9722-B73C8CE953E1}"/>
  </hyperlinks>
  <pageMargins left="0.7" right="0.7" top="0.75" bottom="0.75" header="0.3" footer="0.3"/>
  <pageSetup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4BDE-948B-45EB-B3CD-4C3A82809EA9}">
  <dimension ref="A1:I19"/>
  <sheetViews>
    <sheetView workbookViewId="0">
      <selection activeCell="A2" sqref="A2:B2"/>
    </sheetView>
  </sheetViews>
  <sheetFormatPr defaultRowHeight="14.4" x14ac:dyDescent="0.3"/>
  <cols>
    <col min="2" max="2" width="17.77734375" customWidth="1"/>
    <col min="3" max="3" width="17.33203125" bestFit="1" customWidth="1"/>
    <col min="4" max="4" width="14.77734375" bestFit="1" customWidth="1"/>
    <col min="5" max="5" width="19.6640625" bestFit="1" customWidth="1"/>
    <col min="6" max="6" width="4" bestFit="1" customWidth="1"/>
    <col min="7" max="7" width="7.109375" bestFit="1" customWidth="1"/>
    <col min="8" max="8" width="8.44140625" customWidth="1"/>
    <col min="9" max="9" width="5.33203125" customWidth="1"/>
    <col min="10" max="10" width="4" bestFit="1" customWidth="1"/>
    <col min="11" max="12" width="11" bestFit="1" customWidth="1"/>
  </cols>
  <sheetData>
    <row r="1" spans="1:9" ht="21" x14ac:dyDescent="0.4">
      <c r="A1" s="42" t="s">
        <v>855</v>
      </c>
      <c r="B1" s="42"/>
      <c r="D1" t="s">
        <v>852</v>
      </c>
      <c r="E1" s="15">
        <v>45390</v>
      </c>
      <c r="G1" t="s">
        <v>853</v>
      </c>
      <c r="H1" s="44" t="s">
        <v>849</v>
      </c>
      <c r="I1" s="44"/>
    </row>
    <row r="2" spans="1:9" x14ac:dyDescent="0.3">
      <c r="A2" s="43" t="s">
        <v>851</v>
      </c>
      <c r="B2" s="43"/>
    </row>
    <row r="5" spans="1:9" x14ac:dyDescent="0.3">
      <c r="B5" t="s">
        <v>834</v>
      </c>
    </row>
    <row r="7" spans="1:9" x14ac:dyDescent="0.3">
      <c r="B7" s="25" t="s">
        <v>158</v>
      </c>
      <c r="C7" t="s">
        <v>825</v>
      </c>
    </row>
    <row r="8" spans="1:9" x14ac:dyDescent="0.3">
      <c r="B8" s="25" t="s">
        <v>179</v>
      </c>
      <c r="C8" s="26">
        <v>2</v>
      </c>
    </row>
    <row r="10" spans="1:9" x14ac:dyDescent="0.3">
      <c r="B10" s="25" t="s">
        <v>823</v>
      </c>
      <c r="C10" t="s">
        <v>831</v>
      </c>
      <c r="D10" t="s">
        <v>832</v>
      </c>
      <c r="E10" t="s">
        <v>833</v>
      </c>
    </row>
    <row r="11" spans="1:9" x14ac:dyDescent="0.3">
      <c r="B11" s="27">
        <v>45088</v>
      </c>
      <c r="C11">
        <v>148</v>
      </c>
      <c r="D11">
        <v>140</v>
      </c>
      <c r="E11">
        <v>8</v>
      </c>
    </row>
    <row r="12" spans="1:9" x14ac:dyDescent="0.3">
      <c r="B12" s="27">
        <v>45089</v>
      </c>
      <c r="C12">
        <v>339</v>
      </c>
      <c r="D12">
        <v>349.99999999999994</v>
      </c>
      <c r="E12">
        <v>0</v>
      </c>
    </row>
    <row r="13" spans="1:9" x14ac:dyDescent="0.3">
      <c r="B13" s="27">
        <v>45095</v>
      </c>
      <c r="C13">
        <v>371</v>
      </c>
      <c r="D13">
        <v>349.99999999999994</v>
      </c>
      <c r="E13">
        <v>4</v>
      </c>
    </row>
    <row r="14" spans="1:9" x14ac:dyDescent="0.3">
      <c r="B14" s="27">
        <v>45096</v>
      </c>
      <c r="C14">
        <v>322</v>
      </c>
      <c r="D14">
        <v>349.99999999999994</v>
      </c>
      <c r="E14">
        <v>0</v>
      </c>
    </row>
    <row r="15" spans="1:9" x14ac:dyDescent="0.3">
      <c r="B15" s="27">
        <v>45102</v>
      </c>
      <c r="C15">
        <v>385</v>
      </c>
      <c r="D15">
        <v>349.99999999999994</v>
      </c>
      <c r="E15">
        <v>35</v>
      </c>
    </row>
    <row r="16" spans="1:9" x14ac:dyDescent="0.3">
      <c r="B16" s="27">
        <v>45103</v>
      </c>
      <c r="C16">
        <v>149</v>
      </c>
      <c r="D16">
        <v>140</v>
      </c>
      <c r="E16">
        <v>4</v>
      </c>
    </row>
    <row r="17" spans="2:5" x14ac:dyDescent="0.3">
      <c r="B17" s="27">
        <v>45109</v>
      </c>
      <c r="C17">
        <v>159</v>
      </c>
      <c r="D17">
        <v>140</v>
      </c>
      <c r="E17">
        <v>24</v>
      </c>
    </row>
    <row r="18" spans="2:5" x14ac:dyDescent="0.3">
      <c r="B18" s="27">
        <v>45110</v>
      </c>
      <c r="C18">
        <v>388</v>
      </c>
      <c r="D18">
        <v>349.99999999999994</v>
      </c>
      <c r="E18">
        <v>56</v>
      </c>
    </row>
    <row r="19" spans="2:5" x14ac:dyDescent="0.3">
      <c r="B19" s="27" t="s">
        <v>824</v>
      </c>
      <c r="C19">
        <v>2261</v>
      </c>
      <c r="D19">
        <v>2169.9999999999995</v>
      </c>
      <c r="E19">
        <v>131</v>
      </c>
    </row>
  </sheetData>
  <mergeCells count="3">
    <mergeCell ref="A1:B1"/>
    <mergeCell ref="H1:I1"/>
    <mergeCell ref="A2:B2"/>
  </mergeCells>
  <hyperlinks>
    <hyperlink ref="A2:B2" location="ReadMeFirst!A1" display="Return to ReadMeFirst" xr:uid="{5412E73A-2A71-4AFA-BE09-668AC35870C0}"/>
  </hyperlinks>
  <pageMargins left="0.7" right="0.7" top="0.75" bottom="0.75" header="0.3" footer="0.3"/>
  <pageSetup orientation="landscape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ABCE4-120A-4CB9-B416-F7DFF3699D96}">
  <dimension ref="A1:I16"/>
  <sheetViews>
    <sheetView workbookViewId="0">
      <selection activeCell="A2" sqref="A2:B2"/>
    </sheetView>
  </sheetViews>
  <sheetFormatPr defaultRowHeight="14.4" x14ac:dyDescent="0.3"/>
  <cols>
    <col min="1" max="1" width="12.5546875" customWidth="1"/>
    <col min="2" max="2" width="16.109375" customWidth="1"/>
    <col min="3" max="3" width="21" bestFit="1" customWidth="1"/>
    <col min="4" max="4" width="14.77734375" bestFit="1" customWidth="1"/>
    <col min="5" max="5" width="18.88671875" bestFit="1" customWidth="1"/>
    <col min="6" max="6" width="21" bestFit="1" customWidth="1"/>
    <col min="7" max="7" width="23.77734375" bestFit="1" customWidth="1"/>
    <col min="8" max="8" width="25.77734375" bestFit="1" customWidth="1"/>
    <col min="9" max="11" width="4" bestFit="1" customWidth="1"/>
    <col min="12" max="12" width="8.6640625" bestFit="1" customWidth="1"/>
    <col min="13" max="13" width="11" bestFit="1" customWidth="1"/>
  </cols>
  <sheetData>
    <row r="1" spans="1:9" ht="21" x14ac:dyDescent="0.4">
      <c r="A1" s="42" t="s">
        <v>859</v>
      </c>
      <c r="B1" s="42"/>
      <c r="D1" t="s">
        <v>852</v>
      </c>
      <c r="E1" s="15">
        <v>45390</v>
      </c>
      <c r="G1" t="s">
        <v>853</v>
      </c>
      <c r="H1" s="44" t="s">
        <v>849</v>
      </c>
      <c r="I1" s="44"/>
    </row>
    <row r="2" spans="1:9" x14ac:dyDescent="0.3">
      <c r="A2" s="43" t="s">
        <v>851</v>
      </c>
      <c r="B2" s="43"/>
    </row>
    <row r="4" spans="1:9" x14ac:dyDescent="0.3">
      <c r="B4" s="25" t="s">
        <v>179</v>
      </c>
      <c r="C4" s="26">
        <v>2</v>
      </c>
    </row>
    <row r="5" spans="1:9" x14ac:dyDescent="0.3">
      <c r="B5" s="25" t="s">
        <v>158</v>
      </c>
      <c r="C5" t="s">
        <v>825</v>
      </c>
    </row>
    <row r="7" spans="1:9" x14ac:dyDescent="0.3">
      <c r="B7" s="25" t="s">
        <v>823</v>
      </c>
      <c r="C7" t="s">
        <v>838</v>
      </c>
      <c r="D7" t="s">
        <v>832</v>
      </c>
      <c r="E7" t="s">
        <v>837</v>
      </c>
    </row>
    <row r="8" spans="1:9" x14ac:dyDescent="0.3">
      <c r="B8" s="27">
        <v>45088</v>
      </c>
      <c r="C8">
        <v>140</v>
      </c>
      <c r="D8">
        <v>140</v>
      </c>
      <c r="E8">
        <v>8</v>
      </c>
    </row>
    <row r="9" spans="1:9" x14ac:dyDescent="0.3">
      <c r="B9" s="27">
        <v>45089</v>
      </c>
      <c r="C9">
        <v>339</v>
      </c>
      <c r="D9">
        <v>349.99999999999994</v>
      </c>
      <c r="E9">
        <v>0</v>
      </c>
    </row>
    <row r="10" spans="1:9" x14ac:dyDescent="0.3">
      <c r="B10" s="27">
        <v>45095</v>
      </c>
      <c r="C10">
        <v>367</v>
      </c>
      <c r="D10">
        <v>349.99999999999994</v>
      </c>
      <c r="E10">
        <v>4</v>
      </c>
    </row>
    <row r="11" spans="1:9" x14ac:dyDescent="0.3">
      <c r="B11" s="27">
        <v>45096</v>
      </c>
      <c r="C11">
        <v>322</v>
      </c>
      <c r="D11">
        <v>349.99999999999994</v>
      </c>
      <c r="E11">
        <v>0</v>
      </c>
    </row>
    <row r="12" spans="1:9" x14ac:dyDescent="0.3">
      <c r="B12" s="27">
        <v>45102</v>
      </c>
      <c r="C12">
        <v>350</v>
      </c>
      <c r="D12">
        <v>349.99999999999994</v>
      </c>
      <c r="E12">
        <v>35</v>
      </c>
    </row>
    <row r="13" spans="1:9" x14ac:dyDescent="0.3">
      <c r="B13" s="27">
        <v>45103</v>
      </c>
      <c r="C13">
        <v>145</v>
      </c>
      <c r="D13">
        <v>140</v>
      </c>
      <c r="E13">
        <v>4</v>
      </c>
    </row>
    <row r="14" spans="1:9" x14ac:dyDescent="0.3">
      <c r="B14" s="27">
        <v>45109</v>
      </c>
      <c r="C14">
        <v>135</v>
      </c>
      <c r="D14">
        <v>140</v>
      </c>
      <c r="E14">
        <v>24</v>
      </c>
    </row>
    <row r="15" spans="1:9" x14ac:dyDescent="0.3">
      <c r="B15" s="27">
        <v>45110</v>
      </c>
      <c r="C15">
        <v>332</v>
      </c>
      <c r="D15">
        <v>349.99999999999994</v>
      </c>
      <c r="E15">
        <v>56</v>
      </c>
    </row>
    <row r="16" spans="1:9" x14ac:dyDescent="0.3">
      <c r="B16" s="27" t="s">
        <v>824</v>
      </c>
      <c r="C16">
        <v>2130</v>
      </c>
      <c r="D16">
        <v>2169.9999999999995</v>
      </c>
      <c r="E16">
        <v>131</v>
      </c>
    </row>
  </sheetData>
  <mergeCells count="3">
    <mergeCell ref="A1:B1"/>
    <mergeCell ref="H1:I1"/>
    <mergeCell ref="A2:B2"/>
  </mergeCells>
  <hyperlinks>
    <hyperlink ref="A2:B2" location="ReadMeFirst!A1" display="Return to ReadMeFirst" xr:uid="{347A0745-9C08-4A89-9117-94686EDE4F51}"/>
  </hyperlinks>
  <pageMargins left="0.7" right="0.7" top="0.75" bottom="0.75" header="0.3" footer="0.3"/>
  <pageSetup orientation="landscape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CD417-4B63-4677-A0EB-A4839E9FC28D}">
  <dimension ref="A1:I16"/>
  <sheetViews>
    <sheetView workbookViewId="0">
      <selection sqref="A1:B1"/>
    </sheetView>
  </sheetViews>
  <sheetFormatPr defaultRowHeight="14.4" x14ac:dyDescent="0.3"/>
  <cols>
    <col min="1" max="1" width="13.5546875" customWidth="1"/>
    <col min="2" max="2" width="12.77734375" bestFit="1" customWidth="1"/>
    <col min="3" max="3" width="29.6640625" bestFit="1" customWidth="1"/>
    <col min="5" max="5" width="10.33203125" bestFit="1" customWidth="1"/>
  </cols>
  <sheetData>
    <row r="1" spans="1:9" ht="21" x14ac:dyDescent="0.4">
      <c r="A1" s="42" t="s">
        <v>858</v>
      </c>
      <c r="B1" s="42"/>
      <c r="D1" t="s">
        <v>852</v>
      </c>
      <c r="E1" s="15">
        <v>45390</v>
      </c>
      <c r="G1" t="s">
        <v>853</v>
      </c>
      <c r="H1" s="44" t="s">
        <v>849</v>
      </c>
      <c r="I1" s="44"/>
    </row>
    <row r="2" spans="1:9" x14ac:dyDescent="0.3">
      <c r="A2" s="43" t="s">
        <v>851</v>
      </c>
      <c r="B2" s="43"/>
    </row>
    <row r="4" spans="1:9" x14ac:dyDescent="0.3">
      <c r="B4" s="25" t="s">
        <v>158</v>
      </c>
      <c r="C4" t="s">
        <v>825</v>
      </c>
    </row>
    <row r="5" spans="1:9" x14ac:dyDescent="0.3">
      <c r="B5" s="25" t="s">
        <v>179</v>
      </c>
      <c r="C5" s="26">
        <v>2</v>
      </c>
    </row>
    <row r="7" spans="1:9" x14ac:dyDescent="0.3">
      <c r="B7" s="25" t="s">
        <v>823</v>
      </c>
      <c r="C7" t="s">
        <v>841</v>
      </c>
    </row>
    <row r="8" spans="1:9" x14ac:dyDescent="0.3">
      <c r="B8" s="27">
        <v>45088</v>
      </c>
      <c r="C8">
        <v>9230</v>
      </c>
    </row>
    <row r="9" spans="1:9" x14ac:dyDescent="0.3">
      <c r="B9" s="27">
        <v>45089</v>
      </c>
      <c r="C9">
        <v>10080</v>
      </c>
    </row>
    <row r="10" spans="1:9" x14ac:dyDescent="0.3">
      <c r="B10" s="27">
        <v>45095</v>
      </c>
      <c r="C10">
        <v>11360</v>
      </c>
    </row>
    <row r="11" spans="1:9" x14ac:dyDescent="0.3">
      <c r="B11" s="27">
        <v>45096</v>
      </c>
      <c r="C11">
        <v>9760</v>
      </c>
    </row>
    <row r="12" spans="1:9" x14ac:dyDescent="0.3">
      <c r="B12" s="27">
        <v>45102</v>
      </c>
      <c r="C12">
        <v>10976</v>
      </c>
    </row>
    <row r="13" spans="1:9" x14ac:dyDescent="0.3">
      <c r="B13" s="27">
        <v>45103</v>
      </c>
      <c r="C13">
        <v>9514</v>
      </c>
    </row>
    <row r="14" spans="1:9" x14ac:dyDescent="0.3">
      <c r="B14" s="27">
        <v>45109</v>
      </c>
      <c r="C14">
        <v>8946</v>
      </c>
    </row>
    <row r="15" spans="1:9" x14ac:dyDescent="0.3">
      <c r="B15" s="27">
        <v>45110</v>
      </c>
      <c r="C15">
        <v>10400</v>
      </c>
    </row>
    <row r="16" spans="1:9" x14ac:dyDescent="0.3">
      <c r="B16" s="27" t="s">
        <v>824</v>
      </c>
      <c r="C16">
        <v>80266</v>
      </c>
    </row>
  </sheetData>
  <mergeCells count="3">
    <mergeCell ref="A1:B1"/>
    <mergeCell ref="H1:I1"/>
    <mergeCell ref="A2:B2"/>
  </mergeCells>
  <hyperlinks>
    <hyperlink ref="A2:B2" location="ReadMeFirst!A1" display="Return to ReadMeFirst" xr:uid="{CEBBDEEB-4B98-435A-9B96-4924C826F5E0}"/>
  </hyperlinks>
  <pageMargins left="0.7" right="0.7" top="0.75" bottom="0.75" header="0.3" footer="0.3"/>
  <pageSetup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ReadMeFirst</vt:lpstr>
      <vt:lpstr>Other Lists</vt:lpstr>
      <vt:lpstr>A Batches</vt:lpstr>
      <vt:lpstr>B Batches</vt:lpstr>
      <vt:lpstr>Inspect DM</vt:lpstr>
      <vt:lpstr>Why's</vt:lpstr>
      <vt:lpstr>Why#1 Visualization</vt:lpstr>
      <vt:lpstr>Why#2 Visualization</vt:lpstr>
      <vt:lpstr>Why#3 Visualization</vt:lpstr>
      <vt:lpstr>Why#4 Visualization</vt:lpstr>
      <vt:lpstr>Why#5 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Nixon</dc:creator>
  <cp:lastModifiedBy>Siddhesh Otari</cp:lastModifiedBy>
  <dcterms:created xsi:type="dcterms:W3CDTF">2024-04-02T18:09:52Z</dcterms:created>
  <dcterms:modified xsi:type="dcterms:W3CDTF">2024-04-12T22:43:32Z</dcterms:modified>
</cp:coreProperties>
</file>