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soworld.sharepoint.com/Shared Documents/Travel/"/>
    </mc:Choice>
  </mc:AlternateContent>
  <xr:revisionPtr revIDLastSave="61" documentId="8_{B27B1B6C-EAD6-40BA-976A-C4010EBAD934}" xr6:coauthVersionLast="47" xr6:coauthVersionMax="47" xr10:uidLastSave="{3C17F305-1E58-4A67-BC54-D6229DC8C70D}"/>
  <bookViews>
    <workbookView xWindow="-120" yWindow="-120" windowWidth="29040" windowHeight="15840" xr2:uid="{62F74C4A-9A25-4EFE-89B9-EB660C214910}"/>
  </bookViews>
  <sheets>
    <sheet name="Overview" sheetId="4" r:id="rId1"/>
    <sheet name="Drive and Lodging Plan" sheetId="1" r:id="rId2"/>
    <sheet name="Transport Plan" sheetId="2" r:id="rId3"/>
    <sheet name="Attraction Plan" sheetId="8" r:id="rId4"/>
    <sheet name="Car Mileage" sheetId="5" r:id="rId5"/>
    <sheet name="Lists" sheetId="3" r:id="rId6"/>
  </sheets>
  <definedNames>
    <definedName name="CAR_GALLONS">'Car Mileage'!$C$2</definedName>
    <definedName name="CAR_MPG">'Car Mileage'!$C$3</definedName>
    <definedName name="DAY_COUNT">'Drive and Lodging Plan'!$A$32</definedName>
    <definedName name="GAS_PRICE">'Car Mileage'!$C$4</definedName>
    <definedName name="OwnCar">Lists!$N$40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C33" i="1"/>
  <c r="H7" i="1"/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6" i="1"/>
  <c r="X31" i="1"/>
  <c r="Q31" i="1"/>
  <c r="AM7" i="1"/>
  <c r="AM8" i="1"/>
  <c r="AM9" i="1"/>
  <c r="C11" i="4"/>
  <c r="AM6" i="1"/>
  <c r="AQ6" i="1" s="1"/>
  <c r="F4" i="2"/>
  <c r="Y5" i="1"/>
  <c r="F3" i="2"/>
  <c r="Q4" i="2"/>
  <c r="R4" i="2" s="1"/>
  <c r="D3" i="4"/>
  <c r="AQ5" i="1"/>
  <c r="AM10" i="1"/>
  <c r="A7" i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M30" i="1"/>
  <c r="AQ30" i="1" s="1"/>
  <c r="AM29" i="1"/>
  <c r="AQ29" i="1" s="1"/>
  <c r="AM28" i="1"/>
  <c r="AQ28" i="1" s="1"/>
  <c r="AM27" i="1"/>
  <c r="AQ27" i="1" s="1"/>
  <c r="AM26" i="1"/>
  <c r="AQ26" i="1" s="1"/>
  <c r="AM25" i="1"/>
  <c r="AQ25" i="1" s="1"/>
  <c r="AM24" i="1"/>
  <c r="AQ24" i="1" s="1"/>
  <c r="AM23" i="1"/>
  <c r="AQ23" i="1" s="1"/>
  <c r="AM22" i="1"/>
  <c r="AQ22" i="1" s="1"/>
  <c r="AM21" i="1"/>
  <c r="AQ21" i="1" s="1"/>
  <c r="AM20" i="1"/>
  <c r="AQ20" i="1" s="1"/>
  <c r="AM19" i="1"/>
  <c r="AQ19" i="1" s="1"/>
  <c r="AM18" i="1"/>
  <c r="AQ18" i="1" s="1"/>
  <c r="AM17" i="1"/>
  <c r="AQ17" i="1" s="1"/>
  <c r="AM16" i="1"/>
  <c r="AQ16" i="1" s="1"/>
  <c r="AM15" i="1"/>
  <c r="AQ15" i="1" s="1"/>
  <c r="AM11" i="1"/>
  <c r="AQ11" i="1" s="1"/>
  <c r="AM12" i="1"/>
  <c r="AM13" i="1"/>
  <c r="AM14" i="1"/>
  <c r="AQ14" i="1" s="1"/>
  <c r="AQ10" i="1" l="1"/>
  <c r="AQ9" i="1" s="1"/>
  <c r="AQ8" i="1" s="1"/>
  <c r="AQ7" i="1" s="1"/>
  <c r="AQ13" i="1"/>
  <c r="AQ12" i="1" s="1"/>
  <c r="H11" i="1"/>
  <c r="O31" i="1"/>
  <c r="C34" i="1"/>
  <c r="E3" i="4"/>
  <c r="K8" i="5" l="1"/>
  <c r="N31" i="1"/>
  <c r="H8" i="1"/>
  <c r="K8" i="1"/>
  <c r="M8" i="1" s="1"/>
  <c r="P8" i="1" s="1"/>
  <c r="AS8" i="1"/>
  <c r="AM31" i="1"/>
  <c r="B10" i="4" s="1"/>
  <c r="AS5" i="1"/>
  <c r="AS6" i="1"/>
  <c r="AS7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F5" i="1"/>
  <c r="AG9" i="1"/>
  <c r="AG10" i="1"/>
  <c r="AG11" i="1"/>
  <c r="AG12" i="1"/>
  <c r="AG13" i="1"/>
  <c r="AG14" i="1"/>
  <c r="AG15" i="1"/>
  <c r="AG16" i="1"/>
  <c r="AG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I5" i="1"/>
  <c r="I6" i="1" s="1"/>
  <c r="I7" i="1" s="1"/>
  <c r="K5" i="1"/>
  <c r="M5" i="1" s="1"/>
  <c r="P5" i="1" s="1"/>
  <c r="K6" i="1"/>
  <c r="M6" i="1" s="1"/>
  <c r="P6" i="1" s="1"/>
  <c r="K7" i="1"/>
  <c r="M7" i="1" s="1"/>
  <c r="P7" i="1" s="1"/>
  <c r="K9" i="1"/>
  <c r="M9" i="1" s="1"/>
  <c r="P9" i="1" s="1"/>
  <c r="K10" i="1"/>
  <c r="M10" i="1" s="1"/>
  <c r="P10" i="1" s="1"/>
  <c r="K11" i="1"/>
  <c r="M11" i="1" s="1"/>
  <c r="P11" i="1" s="1"/>
  <c r="K12" i="1"/>
  <c r="M12" i="1" s="1"/>
  <c r="P12" i="1" s="1"/>
  <c r="K13" i="1"/>
  <c r="M13" i="1" s="1"/>
  <c r="P13" i="1" s="1"/>
  <c r="K14" i="1"/>
  <c r="M14" i="1" s="1"/>
  <c r="P14" i="1" s="1"/>
  <c r="K15" i="1"/>
  <c r="M15" i="1" s="1"/>
  <c r="P15" i="1" s="1"/>
  <c r="K16" i="1"/>
  <c r="M16" i="1" s="1"/>
  <c r="P16" i="1" s="1"/>
  <c r="K17" i="1"/>
  <c r="M17" i="1" s="1"/>
  <c r="P17" i="1" s="1"/>
  <c r="K18" i="1"/>
  <c r="M18" i="1" s="1"/>
  <c r="P18" i="1" s="1"/>
  <c r="K19" i="1"/>
  <c r="M19" i="1" s="1"/>
  <c r="P19" i="1" s="1"/>
  <c r="K20" i="1"/>
  <c r="M20" i="1" s="1"/>
  <c r="P20" i="1" s="1"/>
  <c r="K21" i="1"/>
  <c r="M21" i="1" s="1"/>
  <c r="P21" i="1" s="1"/>
  <c r="K22" i="1"/>
  <c r="M22" i="1" s="1"/>
  <c r="P22" i="1" s="1"/>
  <c r="K23" i="1"/>
  <c r="M23" i="1" s="1"/>
  <c r="P23" i="1" s="1"/>
  <c r="K24" i="1"/>
  <c r="M24" i="1" s="1"/>
  <c r="P24" i="1" s="1"/>
  <c r="K25" i="1"/>
  <c r="M25" i="1" s="1"/>
  <c r="P25" i="1" s="1"/>
  <c r="K26" i="1"/>
  <c r="M26" i="1" s="1"/>
  <c r="P26" i="1" s="1"/>
  <c r="K27" i="1"/>
  <c r="M27" i="1" s="1"/>
  <c r="P27" i="1" s="1"/>
  <c r="K28" i="1"/>
  <c r="M28" i="1" s="1"/>
  <c r="P28" i="1" s="1"/>
  <c r="K29" i="1"/>
  <c r="M29" i="1" s="1"/>
  <c r="P29" i="1" s="1"/>
  <c r="K30" i="1"/>
  <c r="M30" i="1" s="1"/>
  <c r="P30" i="1" s="1"/>
  <c r="S5" i="2"/>
  <c r="C8" i="4" a="1"/>
  <c r="C8" i="4" s="1"/>
  <c r="J17" i="2"/>
  <c r="C12" i="4" s="1"/>
  <c r="E42" i="2"/>
  <c r="C15" i="4" s="1"/>
  <c r="J30" i="2"/>
  <c r="C14" i="4" s="1"/>
  <c r="C42" i="2"/>
  <c r="B15" i="4" s="1"/>
  <c r="F3" i="8"/>
  <c r="B13" i="4" s="1"/>
  <c r="G3" i="8"/>
  <c r="C13" i="4" s="1"/>
  <c r="Y31" i="1"/>
  <c r="C9" i="4" s="1"/>
  <c r="AT31" i="1"/>
  <c r="C10" i="4" s="1"/>
  <c r="AQ31" i="1"/>
  <c r="I17" i="2"/>
  <c r="B12" i="4" s="1"/>
  <c r="I30" i="2"/>
  <c r="B14" i="4" s="1"/>
  <c r="H5" i="2"/>
  <c r="O5" i="2"/>
  <c r="F31" i="1"/>
  <c r="B3" i="4"/>
  <c r="H3" i="4"/>
  <c r="J8" i="5"/>
  <c r="I8" i="5"/>
  <c r="H8" i="5"/>
  <c r="G8" i="5"/>
  <c r="F8" i="5"/>
  <c r="E8" i="5"/>
  <c r="K7" i="5"/>
  <c r="J7" i="5"/>
  <c r="I7" i="5"/>
  <c r="H7" i="5"/>
  <c r="G7" i="5"/>
  <c r="F7" i="5"/>
  <c r="E7" i="5"/>
  <c r="D7" i="5"/>
  <c r="D8" i="5" s="1"/>
  <c r="C7" i="5"/>
  <c r="K9" i="5" s="1"/>
  <c r="Q3" i="2"/>
  <c r="R3" i="2" s="1"/>
  <c r="AG5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5" i="1"/>
  <c r="H6" i="1"/>
  <c r="H10" i="1"/>
  <c r="H9" i="1"/>
  <c r="P31" i="1" l="1"/>
  <c r="C16" i="4"/>
  <c r="W8" i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W6" i="1"/>
  <c r="AS31" i="1"/>
  <c r="M31" i="1"/>
  <c r="H31" i="1"/>
  <c r="U31" i="1"/>
  <c r="T31" i="1"/>
  <c r="V31" i="1"/>
  <c r="Q5" i="2"/>
  <c r="R5" i="2"/>
  <c r="B11" i="4" s="1"/>
  <c r="C9" i="5"/>
  <c r="D9" i="5"/>
  <c r="E9" i="5"/>
  <c r="F9" i="5"/>
  <c r="H9" i="5"/>
  <c r="I9" i="5"/>
  <c r="G9" i="5"/>
  <c r="C8" i="5"/>
  <c r="J9" i="5"/>
  <c r="W21" i="1"/>
  <c r="W15" i="1"/>
  <c r="W18" i="1"/>
  <c r="W13" i="1"/>
  <c r="W5" i="1"/>
  <c r="W12" i="1"/>
  <c r="W28" i="1"/>
  <c r="W25" i="1"/>
  <c r="W16" i="1"/>
  <c r="W19" i="1"/>
  <c r="W29" i="1"/>
  <c r="W22" i="1"/>
  <c r="W26" i="1"/>
  <c r="W10" i="1"/>
  <c r="W23" i="1"/>
  <c r="W7" i="1"/>
  <c r="W20" i="1"/>
  <c r="W17" i="1"/>
  <c r="W9" i="1"/>
  <c r="W14" i="1"/>
  <c r="W30" i="1"/>
  <c r="W11" i="1"/>
  <c r="W27" i="1"/>
  <c r="W24" i="1"/>
  <c r="W31" i="1" l="1"/>
  <c r="B9" i="4" s="1"/>
  <c r="I31" i="1" l="1"/>
  <c r="C2" i="1" s="1"/>
  <c r="A12" i="1" l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2" i="1" l="1"/>
  <c r="I3" i="4" s="1" a="1"/>
  <c r="I3" i="4" s="1"/>
  <c r="B8" i="4" s="1" a="1"/>
  <c r="B8" i="4" s="1"/>
  <c r="B16" i="4" s="1"/>
  <c r="C1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O</author>
  </authors>
  <commentList>
    <comment ref="N4" authorId="0" shapeId="0" xr:uid="{9A990450-24E1-4B20-9264-C022588ADCDD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Calulate tolls for all roads on route and enter manually here.  Use websites to calculate</t>
        </r>
      </text>
    </comment>
    <comment ref="O4" authorId="0" shapeId="0" xr:uid="{CB700871-4C0F-48DF-864A-402B00C25DCF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Does not include Airport Parking or </t>
        </r>
        <r>
          <rPr>
            <b/>
            <sz val="9"/>
            <color indexed="81"/>
            <rFont val="Tahoma"/>
            <family val="2"/>
          </rPr>
          <t xml:space="preserve">packaged </t>
        </r>
        <r>
          <rPr>
            <sz val="9"/>
            <color indexed="81"/>
            <rFont val="Tahoma"/>
            <family val="2"/>
          </rPr>
          <t>Hotel Parking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O</author>
  </authors>
  <commentList>
    <comment ref="B2" authorId="0" shapeId="0" xr:uid="{95472C4D-99CA-47AF-907E-83F910310487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Type in class name (generic or airline specific), reference "Lists" for the selection based on airline</t>
        </r>
      </text>
    </comment>
    <comment ref="F2" authorId="0" shapeId="0" xr:uid="{21BDA1D4-4F4E-401F-8DA7-B13EEE8F830B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Calculated based on List on "Lists" tab, change the times there as needed</t>
        </r>
      </text>
    </comment>
    <comment ref="G2" authorId="0" shapeId="0" xr:uid="{07143AF7-6D56-447B-8A1F-9D14925AB16C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Varies by airport and airline.  Enter board time from your pass.</t>
        </r>
      </text>
    </comment>
    <comment ref="Q2" authorId="0" shapeId="0" xr:uid="{E26D8492-0ACC-471D-988F-7CFB11F978E4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Will enter 30 (nominal rate by most US airlines)
If different, overwrite the formula in the cell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tc={7BC83958-991A-43F4-8ADA-6D07C7E01939}</author>
    <author>Scott O</author>
  </authors>
  <commentList>
    <comment ref="H2" authorId="0" shapeId="0" xr:uid="{7BC83958-991A-43F4-8ADA-6D07C7E01939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book 5-star hotels on cash</t>
      </text>
    </comment>
    <comment ref="R17" authorId="1" shapeId="0" xr:uid="{FB6A63FF-22F7-4526-8E14-2925D13A5C11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United First covers US and Canada, United Business is equiv for rest of NA and SA </t>
        </r>
      </text>
    </comment>
    <comment ref="R19" authorId="1" shapeId="0" xr:uid="{91900E11-7D67-4FF8-8366-21F3603EAED6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Transcontinental only</t>
        </r>
      </text>
    </comment>
    <comment ref="R20" authorId="1" shapeId="0" xr:uid="{271F6EDD-1D73-4EF6-9BB1-99B9C1BCDD02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Business Class to Non-US North Am and select South Am</t>
        </r>
      </text>
    </comment>
    <comment ref="Q21" authorId="1" shapeId="0" xr:uid="{EB9C3AFA-BEFF-41C0-9892-43D987A1FA9F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Premium Seat on 767s and 717s, Extra Comfort at HNL, SEA, LGB, JFK, OAK, SAN, PDX</t>
        </r>
      </text>
    </comment>
    <comment ref="O27" authorId="1" shapeId="0" xr:uid="{04B8A3CA-9D62-45DC-8957-BAF7ABAC2574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Covered (Lot F)</t>
        </r>
      </text>
    </comment>
    <comment ref="O28" authorId="1" shapeId="0" xr:uid="{19A913E9-7DEE-49DE-B4E0-17CED0FCB08D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Economy Lot</t>
        </r>
      </text>
    </comment>
    <comment ref="O30" authorId="1" shapeId="0" xr:uid="{3A5B0013-3BE7-4431-90D1-3EEF26683B31}">
      <text>
        <r>
          <rPr>
            <b/>
            <sz val="9"/>
            <color indexed="81"/>
            <rFont val="Tahoma"/>
            <family val="2"/>
          </rPr>
          <t>Scott O:</t>
        </r>
        <r>
          <rPr>
            <sz val="9"/>
            <color indexed="81"/>
            <rFont val="Tahoma"/>
            <family val="2"/>
          </rPr>
          <t xml:space="preserve">
Ramp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<sst xmlns="http://schemas.openxmlformats.org/spreadsheetml/2006/main" count="302" uniqueCount="238">
  <si>
    <t>Breakfast</t>
  </si>
  <si>
    <t>Meal Rate Types</t>
  </si>
  <si>
    <t>Standard</t>
  </si>
  <si>
    <t>Premium</t>
  </si>
  <si>
    <t>Lunch</t>
  </si>
  <si>
    <t>Dinner</t>
  </si>
  <si>
    <t>Cat Boarding</t>
  </si>
  <si>
    <t>Site Price</t>
  </si>
  <si>
    <t>Taxed</t>
  </si>
  <si>
    <t>Road Meet Standard</t>
  </si>
  <si>
    <t>Road meet Premium</t>
  </si>
  <si>
    <t>Date Range</t>
  </si>
  <si>
    <t>Start</t>
  </si>
  <si>
    <t>Start DOW</t>
  </si>
  <si>
    <t>End DOW</t>
  </si>
  <si>
    <t>Start Date</t>
  </si>
  <si>
    <t>End Date</t>
  </si>
  <si>
    <t>Yes_No</t>
  </si>
  <si>
    <t>Yes</t>
  </si>
  <si>
    <t>No</t>
  </si>
  <si>
    <t>Column1</t>
  </si>
  <si>
    <t>Drop-Off before</t>
  </si>
  <si>
    <t>Pick-up after</t>
  </si>
  <si>
    <t>Utilize</t>
  </si>
  <si>
    <t>Gallons</t>
  </si>
  <si>
    <t>Value varies on car used, prioiritize Rental over own if applicable</t>
  </si>
  <si>
    <t>MPG (optimal for 70 mph)</t>
  </si>
  <si>
    <t>$/Gal (National Average)</t>
  </si>
  <si>
    <t>F</t>
  </si>
  <si>
    <t>E</t>
  </si>
  <si>
    <t>Gallons in tank</t>
  </si>
  <si>
    <t>Range (miles)</t>
  </si>
  <si>
    <t>Cost to fill</t>
  </si>
  <si>
    <t>updated 4/25/2021</t>
  </si>
  <si>
    <t>Date</t>
  </si>
  <si>
    <t>Air Travel</t>
  </si>
  <si>
    <t>Airline</t>
  </si>
  <si>
    <t>Connector 1</t>
  </si>
  <si>
    <t>Connector 2</t>
  </si>
  <si>
    <t>Fare</t>
  </si>
  <si>
    <t>Bag Fee</t>
  </si>
  <si>
    <t>Baggage Fees by airline</t>
  </si>
  <si>
    <t>Fee</t>
  </si>
  <si>
    <t>Delta</t>
  </si>
  <si>
    <t>United</t>
  </si>
  <si>
    <t>Alaska</t>
  </si>
  <si>
    <t>JetBlue</t>
  </si>
  <si>
    <t>American</t>
  </si>
  <si>
    <t>Hawaiian</t>
  </si>
  <si>
    <t>For 1 checked bag.</t>
  </si>
  <si>
    <t>Island Hopping only</t>
  </si>
  <si>
    <t>Notes</t>
  </si>
  <si>
    <t>No carryon for basic</t>
  </si>
  <si>
    <t>Economy</t>
  </si>
  <si>
    <t>Premium Econ</t>
  </si>
  <si>
    <t>Entry</t>
  </si>
  <si>
    <t>Baggage Fee Notes</t>
  </si>
  <si>
    <t>Domestic First</t>
  </si>
  <si>
    <t>Intl Prem</t>
  </si>
  <si>
    <t>Business</t>
  </si>
  <si>
    <t>Int'l First</t>
  </si>
  <si>
    <t>Basic Economy</t>
  </si>
  <si>
    <t>Main cabin</t>
  </si>
  <si>
    <t>Delta Comfort+</t>
  </si>
  <si>
    <t>First Class</t>
  </si>
  <si>
    <t>Delta Premium Select</t>
  </si>
  <si>
    <t>Delta One</t>
  </si>
  <si>
    <t>Delta One with privacy</t>
  </si>
  <si>
    <t>Airline Class Names (Header indicates the "generic name" Each entry is the airline branded name for the cabin class)</t>
  </si>
  <si>
    <t>Economy Plus</t>
  </si>
  <si>
    <t>United First/United Business</t>
  </si>
  <si>
    <t>N/A</t>
  </si>
  <si>
    <t>United Polaris</t>
  </si>
  <si>
    <t>Saver Fare</t>
  </si>
  <si>
    <t>Premium Class</t>
  </si>
  <si>
    <t>Blue Basic</t>
  </si>
  <si>
    <t>Core Experience</t>
  </si>
  <si>
    <t>Even More Space</t>
  </si>
  <si>
    <t>Mint Premium</t>
  </si>
  <si>
    <t>Main Cabin Extra</t>
  </si>
  <si>
    <t>First Class/Business Class</t>
  </si>
  <si>
    <t>Premium Economy</t>
  </si>
  <si>
    <t>Flagship Business</t>
  </si>
  <si>
    <t>Flagship First</t>
  </si>
  <si>
    <t>Main Cabin Basic</t>
  </si>
  <si>
    <t>Premium Seat/Extra Comfort</t>
  </si>
  <si>
    <t>Business Class</t>
  </si>
  <si>
    <t>Parking Fee</t>
  </si>
  <si>
    <t>ORD</t>
  </si>
  <si>
    <t>MSP</t>
  </si>
  <si>
    <t>MSN</t>
  </si>
  <si>
    <t>DBQ</t>
  </si>
  <si>
    <t>MLI</t>
  </si>
  <si>
    <t>O'Hare</t>
  </si>
  <si>
    <t>MDW</t>
  </si>
  <si>
    <t>Midway</t>
  </si>
  <si>
    <t>Minneapolis</t>
  </si>
  <si>
    <t>Madison</t>
  </si>
  <si>
    <t>Dubuque</t>
  </si>
  <si>
    <t>Quad City</t>
  </si>
  <si>
    <t>MKE</t>
  </si>
  <si>
    <t>Milwaukee</t>
  </si>
  <si>
    <t>Daily</t>
  </si>
  <si>
    <t>Weekly</t>
  </si>
  <si>
    <t>IATA</t>
  </si>
  <si>
    <t>Full Name</t>
  </si>
  <si>
    <t>Supported Airlines</t>
  </si>
  <si>
    <t>Airport Information</t>
  </si>
  <si>
    <t>Delta, United, American</t>
  </si>
  <si>
    <r>
      <rPr>
        <b/>
        <sz val="11"/>
        <color theme="1"/>
        <rFont val="Calibri"/>
        <family val="2"/>
        <scheme val="minor"/>
      </rPr>
      <t>United, American</t>
    </r>
    <r>
      <rPr>
        <sz val="11"/>
        <color theme="1"/>
        <rFont val="Calibri"/>
        <family val="2"/>
        <scheme val="minor"/>
      </rPr>
      <t>, Delta, JetBlue, Alaska, Hawaiian</t>
    </r>
  </si>
  <si>
    <t>Bold: Hub; Italics: Regional support only</t>
  </si>
  <si>
    <r>
      <rPr>
        <sz val="11"/>
        <color theme="1"/>
        <rFont val="Calibri"/>
        <family val="2"/>
        <scheme val="minor"/>
      </rPr>
      <t xml:space="preserve">Delta, </t>
    </r>
    <r>
      <rPr>
        <i/>
        <sz val="11"/>
        <color theme="1"/>
        <rFont val="Calibri"/>
        <family val="2"/>
        <scheme val="minor"/>
      </rPr>
      <t>United, American</t>
    </r>
  </si>
  <si>
    <t>Delta, United, American, Alaska</t>
  </si>
  <si>
    <t>Car Rental</t>
  </si>
  <si>
    <t>Enterprise</t>
  </si>
  <si>
    <t>Hertz</t>
  </si>
  <si>
    <t>Budget</t>
  </si>
  <si>
    <t>Alamo</t>
  </si>
  <si>
    <t>National</t>
  </si>
  <si>
    <t>Agency</t>
  </si>
  <si>
    <t>Pick-up date</t>
  </si>
  <si>
    <t>Pick-up Time</t>
  </si>
  <si>
    <t>Pick-up Location</t>
  </si>
  <si>
    <t>Drop-off Date</t>
  </si>
  <si>
    <t>Drop-off Time</t>
  </si>
  <si>
    <t>Drop-off location</t>
  </si>
  <si>
    <t>Class</t>
  </si>
  <si>
    <t>Rate</t>
  </si>
  <si>
    <t>Location:</t>
  </si>
  <si>
    <t>Family Pet Hospital</t>
  </si>
  <si>
    <t>Start Point</t>
  </si>
  <si>
    <t>End Point</t>
  </si>
  <si>
    <t>Route Details</t>
  </si>
  <si>
    <t>Miles</t>
  </si>
  <si>
    <t>Car Owner</t>
  </si>
  <si>
    <t>You</t>
  </si>
  <si>
    <t>ODO</t>
  </si>
  <si>
    <t>Alt Price/Gal</t>
  </si>
  <si>
    <t>Fuel</t>
  </si>
  <si>
    <t>Tolls</t>
  </si>
  <si>
    <t>Parking</t>
  </si>
  <si>
    <t>Total</t>
  </si>
  <si>
    <t>Meal Class</t>
  </si>
  <si>
    <t>Own</t>
  </si>
  <si>
    <t>Start Time</t>
  </si>
  <si>
    <t>Duration</t>
  </si>
  <si>
    <t>Column2</t>
  </si>
  <si>
    <t>Idle Time</t>
  </si>
  <si>
    <t>Total Time</t>
  </si>
  <si>
    <t>Arrival</t>
  </si>
  <si>
    <t>Value varies by location. Use most expensive average; if renting use the destination's average (even when driving own to airport)</t>
  </si>
  <si>
    <t>Total Cost</t>
  </si>
  <si>
    <t>Does not include BoB meal or additional baggage fees</t>
  </si>
  <si>
    <t>Checked bag</t>
  </si>
  <si>
    <t>Dest Airport</t>
  </si>
  <si>
    <t>Origin Airport</t>
  </si>
  <si>
    <t>Conn 1 Layover</t>
  </si>
  <si>
    <t>Conn 2 Layover</t>
  </si>
  <si>
    <t>Arrival Time</t>
  </si>
  <si>
    <t>Board Time</t>
  </si>
  <si>
    <t>Check-in Time</t>
  </si>
  <si>
    <t>Depart Time</t>
  </si>
  <si>
    <t>Arrive Time</t>
  </si>
  <si>
    <t>Type</t>
  </si>
  <si>
    <t>Flight Type</t>
  </si>
  <si>
    <t>Domestic</t>
  </si>
  <si>
    <t>International</t>
  </si>
  <si>
    <t>Check-in advance hour</t>
  </si>
  <si>
    <t>Time</t>
  </si>
  <si>
    <t>Air</t>
  </si>
  <si>
    <t>Attractions</t>
  </si>
  <si>
    <t>Intercity Train</t>
  </si>
  <si>
    <t>Transit</t>
  </si>
  <si>
    <t>Does not include add-ons</t>
  </si>
  <si>
    <t>Train Travel</t>
  </si>
  <si>
    <t>Route Name</t>
  </si>
  <si>
    <t>Start Point Station</t>
  </si>
  <si>
    <t>End Point Station</t>
  </si>
  <si>
    <t>Checked Baggage</t>
  </si>
  <si>
    <t>Starting ODO (Your car only)</t>
  </si>
  <si>
    <t>Service (Your car only)</t>
  </si>
  <si>
    <t>Hotel</t>
  </si>
  <si>
    <t>Hotel Name</t>
  </si>
  <si>
    <t>Holding Group</t>
  </si>
  <si>
    <t>Column3</t>
  </si>
  <si>
    <t>Column4</t>
  </si>
  <si>
    <t>Column5</t>
  </si>
  <si>
    <t>Column6</t>
  </si>
  <si>
    <t>Fuel, Tolls, Parking</t>
  </si>
  <si>
    <t>Same as previous</t>
  </si>
  <si>
    <t>Nightly Rate with Taxes</t>
  </si>
  <si>
    <t>Hotel Rate</t>
  </si>
  <si>
    <t>Budget Plan</t>
  </si>
  <si>
    <t>Departure</t>
  </si>
  <si>
    <t>Drive and Lodging Plan</t>
  </si>
  <si>
    <t>HotelPaid</t>
  </si>
  <si>
    <t>Paid</t>
  </si>
  <si>
    <t>Meals</t>
  </si>
  <si>
    <t>Drive Time</t>
  </si>
  <si>
    <t>Distance and details</t>
  </si>
  <si>
    <t>Driving and Meals</t>
  </si>
  <si>
    <t>Due</t>
  </si>
  <si>
    <t>City</t>
  </si>
  <si>
    <t>Attraction name</t>
  </si>
  <si>
    <t>Admission</t>
  </si>
  <si>
    <t>Actual</t>
  </si>
  <si>
    <t>Time Required</t>
  </si>
  <si>
    <t>Transit Passes</t>
  </si>
  <si>
    <t>Fare Payment Method</t>
  </si>
  <si>
    <t>Fare Total</t>
  </si>
  <si>
    <t>Intercity and Commuter only. Does not include Subway/Light Rail fares</t>
  </si>
  <si>
    <t>Focus on daily or weekly rates. Commuter and Intercity entered above</t>
  </si>
  <si>
    <t>TZ Ahead</t>
  </si>
  <si>
    <t>TZ Behind</t>
  </si>
  <si>
    <t>Category</t>
  </si>
  <si>
    <t>Nights</t>
  </si>
  <si>
    <t>Gas Price Avg</t>
  </si>
  <si>
    <t>Car Mileage</t>
  </si>
  <si>
    <t>Base Rate</t>
  </si>
  <si>
    <t>Tax %</t>
  </si>
  <si>
    <t>Tax Flat</t>
  </si>
  <si>
    <t>Terms of Stay</t>
  </si>
  <si>
    <t>PHI</t>
  </si>
  <si>
    <t>Philadephia</t>
  </si>
  <si>
    <t>Meals Paid</t>
  </si>
  <si>
    <t>Driving Paid</t>
  </si>
  <si>
    <t>Driving Total</t>
  </si>
  <si>
    <t>Compact</t>
  </si>
  <si>
    <t>Bagged Lunch, no breakfast other than OJ</t>
  </si>
  <si>
    <t>basic ff breakfast and lunch, standard dinner</t>
  </si>
  <si>
    <t>standard lunch and dinner</t>
  </si>
  <si>
    <t>basic ff breakfast, standard lunch and dinner</t>
  </si>
  <si>
    <t>No breakfast other than OJ, ff lunch, standard dinner</t>
  </si>
  <si>
    <t>Notes - Meals</t>
  </si>
  <si>
    <t>Notes - Hotel</t>
  </si>
  <si>
    <t>Upscale Hotel (3 or 4 star)</t>
  </si>
  <si>
    <t>Limited Service hotel (1 or 2 star)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</si>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</sst>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?_);_(@_)"/>
    <numFmt numFmtId="165" formatCode="[h]"/>
    <numFmt numFmtId="166" formatCode="[h]:mm"/>
    <numFmt numFmtId="167" formatCode="[$-409]h:mm\ AM/P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/>
    <xf numFmtId="0" fontId="2" fillId="2" borderId="1" xfId="0" applyFont="1" applyFill="1" applyBorder="1"/>
    <xf numFmtId="44" fontId="0" fillId="0" borderId="0" xfId="2" applyFont="1" applyFill="1" applyBorder="1"/>
    <xf numFmtId="14" fontId="5" fillId="0" borderId="0" xfId="2" applyNumberFormat="1" applyFont="1" applyFill="1" applyBorder="1"/>
    <xf numFmtId="44" fontId="5" fillId="0" borderId="0" xfId="2" applyFont="1" applyFill="1" applyBorder="1"/>
    <xf numFmtId="44" fontId="4" fillId="3" borderId="0" xfId="2" applyFont="1" applyFill="1"/>
    <xf numFmtId="44" fontId="0" fillId="4" borderId="0" xfId="2" applyFont="1" applyFill="1"/>
    <xf numFmtId="44" fontId="0" fillId="5" borderId="0" xfId="2" applyFont="1" applyFill="1"/>
    <xf numFmtId="44" fontId="0" fillId="6" borderId="0" xfId="2" applyFont="1" applyFill="1"/>
    <xf numFmtId="44" fontId="0" fillId="7" borderId="0" xfId="2" applyFont="1" applyFill="1"/>
    <xf numFmtId="44" fontId="0" fillId="8" borderId="0" xfId="2" applyFont="1" applyFill="1"/>
    <xf numFmtId="44" fontId="0" fillId="9" borderId="0" xfId="2" applyFont="1" applyFill="1"/>
    <xf numFmtId="44" fontId="0" fillId="10" borderId="0" xfId="2" applyFont="1" applyFill="1"/>
    <xf numFmtId="44" fontId="4" fillId="11" borderId="0" xfId="2" applyFont="1" applyFill="1"/>
    <xf numFmtId="164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44" fontId="0" fillId="0" borderId="0" xfId="0" applyNumberFormat="1"/>
    <xf numFmtId="18" fontId="0" fillId="0" borderId="0" xfId="2" applyNumberFormat="1" applyFont="1"/>
    <xf numFmtId="20" fontId="0" fillId="0" borderId="0" xfId="2" applyNumberFormat="1" applyFont="1"/>
    <xf numFmtId="46" fontId="0" fillId="0" borderId="0" xfId="2" applyNumberFormat="1" applyFont="1"/>
    <xf numFmtId="165" fontId="0" fillId="0" borderId="0" xfId="2" applyNumberFormat="1" applyFont="1"/>
    <xf numFmtId="166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18" fontId="0" fillId="0" borderId="0" xfId="0" applyNumberFormat="1"/>
    <xf numFmtId="0" fontId="0" fillId="12" borderId="0" xfId="0" applyFill="1"/>
    <xf numFmtId="0" fontId="0" fillId="11" borderId="0" xfId="0" applyFill="1"/>
    <xf numFmtId="0" fontId="2" fillId="2" borderId="0" xfId="0" applyFont="1" applyFill="1"/>
    <xf numFmtId="0" fontId="10" fillId="0" borderId="0" xfId="0" applyFont="1"/>
    <xf numFmtId="44" fontId="0" fillId="13" borderId="0" xfId="2" applyFont="1" applyFill="1"/>
    <xf numFmtId="0" fontId="5" fillId="13" borderId="0" xfId="0" applyFont="1" applyFill="1"/>
    <xf numFmtId="44" fontId="5" fillId="13" borderId="0" xfId="2" applyFont="1" applyFill="1"/>
    <xf numFmtId="44" fontId="0" fillId="13" borderId="0" xfId="0" applyNumberFormat="1" applyFill="1"/>
    <xf numFmtId="44" fontId="5" fillId="13" borderId="0" xfId="0" applyNumberFormat="1" applyFont="1" applyFill="1"/>
    <xf numFmtId="44" fontId="4" fillId="14" borderId="0" xfId="2" applyFont="1" applyFill="1"/>
    <xf numFmtId="0" fontId="11" fillId="13" borderId="0" xfId="0" applyFont="1" applyFill="1"/>
    <xf numFmtId="14" fontId="11" fillId="13" borderId="0" xfId="2" applyNumberFormat="1" applyFont="1" applyFill="1" applyBorder="1"/>
    <xf numFmtId="2" fontId="0" fillId="0" borderId="0" xfId="0" applyNumberFormat="1"/>
    <xf numFmtId="18" fontId="0" fillId="13" borderId="0" xfId="2" applyNumberFormat="1" applyFont="1" applyFill="1"/>
    <xf numFmtId="2" fontId="0" fillId="10" borderId="0" xfId="1" applyNumberFormat="1" applyFont="1" applyFill="1"/>
    <xf numFmtId="2" fontId="4" fillId="3" borderId="0" xfId="1" applyNumberFormat="1" applyFont="1" applyFill="1"/>
    <xf numFmtId="2" fontId="0" fillId="4" borderId="0" xfId="1" applyNumberFormat="1" applyFont="1" applyFill="1"/>
    <xf numFmtId="2" fontId="0" fillId="5" borderId="0" xfId="1" applyNumberFormat="1" applyFont="1" applyFill="1"/>
    <xf numFmtId="2" fontId="0" fillId="6" borderId="0" xfId="1" applyNumberFormat="1" applyFont="1" applyFill="1"/>
    <xf numFmtId="2" fontId="0" fillId="7" borderId="0" xfId="1" applyNumberFormat="1" applyFont="1" applyFill="1"/>
    <xf numFmtId="2" fontId="0" fillId="8" borderId="0" xfId="1" applyNumberFormat="1" applyFont="1" applyFill="1"/>
    <xf numFmtId="2" fontId="0" fillId="9" borderId="0" xfId="1" applyNumberFormat="1" applyFont="1" applyFill="1"/>
    <xf numFmtId="2" fontId="4" fillId="11" borderId="0" xfId="1" applyNumberFormat="1" applyFont="1" applyFill="1"/>
    <xf numFmtId="0" fontId="5" fillId="0" borderId="0" xfId="2" applyNumberFormat="1" applyFont="1" applyFill="1" applyBorder="1"/>
    <xf numFmtId="10" fontId="0" fillId="0" borderId="0" xfId="3" applyNumberFormat="1" applyFont="1"/>
    <xf numFmtId="0" fontId="12" fillId="0" borderId="0" xfId="0" applyFont="1"/>
    <xf numFmtId="16" fontId="0" fillId="0" borderId="0" xfId="0" applyNumberFormat="1"/>
    <xf numFmtId="44" fontId="3" fillId="0" borderId="0" xfId="0" applyNumberFormat="1" applyFont="1"/>
    <xf numFmtId="44" fontId="1" fillId="0" borderId="0" xfId="0" applyNumberFormat="1" applyFont="1"/>
    <xf numFmtId="44" fontId="4" fillId="15" borderId="0" xfId="0" applyNumberFormat="1" applyFont="1" applyFill="1"/>
    <xf numFmtId="44" fontId="4" fillId="15" borderId="0" xfId="2" applyFont="1" applyFill="1"/>
    <xf numFmtId="0" fontId="13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9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numFmt numFmtId="166" formatCode="[h]:mm"/>
    </dxf>
    <dxf>
      <numFmt numFmtId="166" formatCode="[h]:mm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66" formatCode="[h]:mm"/>
    </dxf>
    <dxf>
      <numFmt numFmtId="166" formatCode="[h]:mm"/>
    </dxf>
    <dxf>
      <numFmt numFmtId="23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67" formatCode="[$-409]h:mm\ AM/PM;@"/>
    </dxf>
    <dxf>
      <numFmt numFmtId="167" formatCode="[$-409]h:mm\ AM/PM;@"/>
    </dxf>
    <dxf>
      <numFmt numFmtId="167" formatCode="[$-409]h:mm\ AM/PM;@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3" formatCode="h:mm\ AM/PM"/>
      <fill>
        <patternFill patternType="solid">
          <fgColor indexed="64"/>
          <bgColor theme="1"/>
        </patternFill>
      </fill>
    </dxf>
    <dxf>
      <numFmt numFmtId="23" formatCode="h:mm\ AM/PM"/>
    </dxf>
    <dxf>
      <numFmt numFmtId="166" formatCode="[h]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0"/>
      </font>
      <fill>
        <patternFill patternType="solid">
          <fgColor indexed="64"/>
          <bgColor theme="4" tint="-0.249977111117893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19" formatCode="m/d/yyyy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. Onson" id="{5B2FECEB-534A-4EDD-96BF-33DF0E5ACDDF}" userId="Scott S. Onso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DD41FF-F96D-42E6-A719-E14C02D3B0BF}" name="TripBasics" displayName="TripBasics" ref="A2:M3" totalsRowShown="0" headerRowDxfId="92" dataDxfId="91">
  <autoFilter ref="A2:M3" xr:uid="{5F47A1DA-2813-44A8-8BCE-ADCB28353611}"/>
  <tableColumns count="13">
    <tableColumn id="1" xr3:uid="{1B2E4283-4F71-4A69-A51C-A5949F3AD6F5}" name="Start Date" dataDxfId="90" dataCellStyle="Currency"/>
    <tableColumn id="2" xr3:uid="{F6D2212D-DA6F-484D-BC2F-7BE4759584E3}" name="Start DOW" dataDxfId="89" dataCellStyle="Currency">
      <calculatedColumnFormula>CHOOSE(WEEKDAY(A3),"Sunday","Monday","Tuesday", "Wednesday", "Thursday", "Friday", "Saturday")</calculatedColumnFormula>
    </tableColumn>
    <tableColumn id="3" xr3:uid="{788B1873-4434-4157-AA30-82032A024765}" name="End Date" dataDxfId="88" dataCellStyle="Currency"/>
    <tableColumn id="4" xr3:uid="{D804D5B9-288C-4CC1-8621-B5FB4F555886}" name="End DOW" dataDxfId="87" dataCellStyle="Currency">
      <calculatedColumnFormula>CHOOSE(WEEKDAY(C3),"Sunday","Monday","Tuesday", "Wednesday", "Thursday", "Friday", "Saturday")</calculatedColumnFormula>
    </tableColumn>
    <tableColumn id="13" xr3:uid="{FA84BF8F-25DB-4609-95AA-C9C9B57EB777}" name="Nights" dataDxfId="86" dataCellStyle="Currency">
      <calculatedColumnFormula>TripBasics[[#This Row],[End Date]]-TripBasics[[#This Row],[Start Date]]</calculatedColumnFormula>
    </tableColumn>
    <tableColumn id="11" xr3:uid="{947AC09F-5CB5-4801-AF20-8B8087EAEF5A}" name="Column1" dataDxfId="85" dataCellStyle="Currency"/>
    <tableColumn id="5" xr3:uid="{11D37EF8-95FF-4E7C-9DED-B6C8BD34025B}" name="Site Price" dataDxfId="84" dataCellStyle="Currency"/>
    <tableColumn id="6" xr3:uid="{E74EFAB8-CD81-4BC7-8E28-4DF54C0498F9}" name="Taxed" dataDxfId="83" dataCellStyle="Currency">
      <calculatedColumnFormula>G3*1.055</calculatedColumnFormula>
    </tableColumn>
    <tableColumn id="12" xr3:uid="{E029CC9F-A249-4EA7-A4C0-BA8CF2E9A5D1}" name="Total" dataDxfId="82" dataCellStyle="Currency">
      <calculatedColumnFormula array="1">(DAY_COUNT-1+IF(TripBasics[Drop-Off before]="Yes",1,0)+IF(TripBasics[Pick-up after]="Yes",1,0))*TripBasics[[#This Row],[Taxed]]</calculatedColumnFormula>
    </tableColumn>
    <tableColumn id="7" xr3:uid="{358513FE-0960-4494-A300-9B70FF46BF4D}" name="Utilize" dataDxfId="81"/>
    <tableColumn id="8" xr3:uid="{5D6CDCE1-AE41-4020-B405-1A8824B3BAAB}" name="Drop-Off before" dataDxfId="80"/>
    <tableColumn id="9" xr3:uid="{8435D1C6-19C7-4050-B74F-C8AD26DB14AD}" name="Pick-up after" dataDxfId="79"/>
    <tableColumn id="10" xr3:uid="{81FC8361-1E5E-4B54-B709-C35D7158F6A4}" name="Actual" dataDxfId="78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EC1945-2383-4B2C-BF48-11D784E04925}" name="Table17" displayName="Table17" ref="A7:C16" totalsRowCount="1">
  <autoFilter ref="A7:C15" xr:uid="{13855A3C-7236-4393-A565-1F95B4A7581B}"/>
  <tableColumns count="3">
    <tableColumn id="1" xr3:uid="{E1077A16-6B7E-48D0-9725-E5FAB4378997}" name="Category" totalsRowLabel="Total"/>
    <tableColumn id="2" xr3:uid="{ED875533-8077-4A9A-9DC1-DE0F2649AF29}" name="Due" totalsRowFunction="sum" dataDxfId="77" totalsRowDxfId="76" dataCellStyle="Currency"/>
    <tableColumn id="3" xr3:uid="{69604B95-3489-407F-8274-7D90C3325D9E}" name="Paid" totalsRowFunction="sum" dataDxfId="75" totalsRowDxfId="74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A65911-8115-4045-94A6-586B933707AF}" name="Table12" displayName="Table12" ref="A4:AT31" totalsRowCount="1">
  <autoFilter ref="A4:AT30" xr:uid="{CDEDCE79-D23F-45D0-AD75-3E2BBA2283FD}"/>
  <tableColumns count="46">
    <tableColumn id="1" xr3:uid="{2FE69A17-4E66-4133-9A72-B38EA11ACB79}" name="Date" totalsRowLabel="Total" dataDxfId="73">
      <calculatedColumnFormula array="1">IF(A4&lt;TripBasics[End Date],A4+1,"")</calculatedColumnFormula>
    </tableColumn>
    <tableColumn id="2" xr3:uid="{265E9036-CD45-41FF-A1FA-29767E617F4A}" name="Start Point"/>
    <tableColumn id="3" xr3:uid="{955D2084-F05D-489A-8578-E3919B7FD7F7}" name="End Point"/>
    <tableColumn id="44" xr3:uid="{09C54AB3-53DF-47A7-84E0-20D80C9F6B93}" name="Column2" dataDxfId="72" totalsRowDxfId="71"/>
    <tableColumn id="4" xr3:uid="{7B98D85A-1E65-466E-9E09-7D1FC7612CD9}" name="Route Details"/>
    <tableColumn id="5" xr3:uid="{1C201FD7-D5B2-46FE-9842-5B4190F29451}" name="Miles" totalsRowFunction="sum"/>
    <tableColumn id="6" xr3:uid="{CA4B8798-CA3B-470B-8A87-CD871EEA58D1}" name="Car Owner"/>
    <tableColumn id="20" xr3:uid="{2294426D-9CB8-4378-A11D-74C1CB5741B8}" name="Own" totalsRowFunction="sum" dataDxfId="70">
      <calculatedColumnFormula>IF(Table12[[#This Row],[Car Owner]]=OwnCar,Table12[[#This Row],[Miles]],0)</calculatedColumnFormula>
    </tableColumn>
    <tableColumn id="7" xr3:uid="{FA46B23B-0EB6-4DD7-9619-D74F3CFD1A9A}" name="ODO" totalsRowFunction="max" dataDxfId="69">
      <calculatedColumnFormula>F5+I4</calculatedColumnFormula>
    </tableColumn>
    <tableColumn id="34" xr3:uid="{906D6DDE-46C6-4D6C-9F02-0094DDA8655A}" name="Column6" dataDxfId="68" totalsRowDxfId="67"/>
    <tableColumn id="8" xr3:uid="{EB62B828-D903-4F5C-A08A-847210A92597}" name="Gallons" dataDxfId="66">
      <calculatedColumnFormula>Table12[[#This Row],[Miles]]/CAR_MPG</calculatedColumnFormula>
    </tableColumn>
    <tableColumn id="9" xr3:uid="{F33C9DC7-098E-413F-B3FE-8A601E9A2938}" name="Alt Price/Gal"/>
    <tableColumn id="10" xr3:uid="{D09D661E-0C6A-4A41-A7F2-0194370DD6A4}" name="Fuel" totalsRowFunction="sum" dataDxfId="65" totalsRowDxfId="64" dataCellStyle="Currency">
      <calculatedColumnFormula>IF(ISBLANK(Table12[[#This Row],[Alt Price/Gal]]),Table12[[#This Row],[Gallons]]*GAS_PRICE,Table12[[#This Row],[Alt Price/Gal]])</calculatedColumnFormula>
    </tableColumn>
    <tableColumn id="11" xr3:uid="{FB2FA987-444F-47B0-B73E-377688C50E6B}" name="Tolls" totalsRowFunction="sum" totalsRowDxfId="63" dataCellStyle="Currency"/>
    <tableColumn id="12" xr3:uid="{E13CA2A1-E828-4682-A3A9-40BFDE70E5AF}" name="Parking" totalsRowFunction="sum" dataDxfId="62" totalsRowDxfId="61" dataCellStyle="Currency"/>
    <tableColumn id="47" xr3:uid="{B3EA61FF-1956-4F9E-9FCE-16980238D85D}" name="Driving Total" totalsRowFunction="sum" dataDxfId="60" totalsRowDxfId="59" dataCellStyle="Currency">
      <calculatedColumnFormula>SUM(Table12[[#This Row],[Fuel]:[Parking]])</calculatedColumnFormula>
    </tableColumn>
    <tableColumn id="43" xr3:uid="{99E1C355-169A-4CFC-94FD-06EDDA3EF6C3}" name="Driving Paid" totalsRowFunction="sum" dataDxfId="58" totalsRowDxfId="57" dataCellStyle="Currency"/>
    <tableColumn id="31" xr3:uid="{44603D48-66CA-417A-8CF6-662F7C37F246}" name="Column3" dataDxfId="56" totalsRowDxfId="55" dataCellStyle="Currency"/>
    <tableColumn id="13" xr3:uid="{2F2C2BC7-FEE3-4AF6-936E-E13047DDF8A1}" name="Meal Class"/>
    <tableColumn id="14" xr3:uid="{8363531E-8420-4C9A-AB85-14FCECFFA556}" name="Breakfast" totalsRowFunction="sum" dataDxfId="54" totalsRowDxfId="53" dataCellStyle="Currency">
      <calculatedColumnFormula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calculatedColumnFormula>
    </tableColumn>
    <tableColumn id="15" xr3:uid="{921CEA6B-0802-4043-A4DC-3F2A109DA93F}" name="Lunch" totalsRowFunction="sum" dataDxfId="52" totalsRowDxfId="51" dataCellStyle="Currency">
      <calculatedColumnFormula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calculatedColumnFormula>
    </tableColumn>
    <tableColumn id="16" xr3:uid="{7E3DCF32-88B5-4247-886A-57D613477694}" name="Dinner" totalsRowFunction="sum" dataDxfId="50" totalsRowDxfId="49" dataCellStyle="Currency">
      <calculatedColumnFormula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calculatedColumnFormula>
    </tableColumn>
    <tableColumn id="17" xr3:uid="{E1B1BEB4-7F2D-480F-B006-879FF0F520BC}" name="Total" totalsRowFunction="sum" dataDxfId="48" totalsRowDxfId="47">
      <calculatedColumnFormula>SUM(Table12[[#This Row],[Alt Price/Gal]],Table12[[#This Row],[Fuel]],Table12[[#This Row],[Tolls]],Table12[[#This Row],[Parking]],Table12[[#This Row],[Breakfast]],Table12[[#This Row],[Lunch]],Table12[[#This Row],[Dinner]])</calculatedColumnFormula>
    </tableColumn>
    <tableColumn id="45" xr3:uid="{C28D6756-1D13-407A-9B16-5BBFC40AC2EE}" name="Meals Paid" totalsRowFunction="sum" dataDxfId="46" totalsRowDxfId="45"/>
    <tableColumn id="41" xr3:uid="{38971F61-78E6-4583-B72B-2CB0720BF7F6}" name="Paid" totalsRowFunction="sum" dataDxfId="44" totalsRowDxfId="43">
      <calculatedColumnFormula>40.85+5.2+15+25</calculatedColumnFormula>
    </tableColumn>
    <tableColumn id="33" xr3:uid="{E66CDFF5-135F-45AF-B159-F42A75680CA4}" name="Column5" dataDxfId="42" totalsRowDxfId="41"/>
    <tableColumn id="22" xr3:uid="{DD6DC8B0-AF04-4253-8278-DFCF3EB6B3C4}" name="Start Time" dataCellStyle="Currency"/>
    <tableColumn id="23" xr3:uid="{5F809C96-199E-4B3F-BC77-2B0172182B13}" name="Duration" dataCellStyle="Currency"/>
    <tableColumn id="46" xr3:uid="{90237585-923D-49E5-9359-41CAE32E89D2}" name="TZ Behind" dataDxfId="40" dataCellStyle="Currency"/>
    <tableColumn id="24" xr3:uid="{FE890DA5-F9CA-4F78-AD63-8570CAFCE299}" name="TZ Ahead" dataCellStyle="Currency"/>
    <tableColumn id="25" xr3:uid="{7276185D-CEF9-4219-AF26-2D1D2C82FAEE}" name="Idle Time" dataCellStyle="Currency"/>
    <tableColumn id="26" xr3:uid="{8E1DAA45-2B15-4E96-8071-0102AFC09269}" name="Total Time" dataDxfId="39" dataCellStyle="Currency">
      <calculatedColumnFormula>IF(NOT(ISBLANK(Table12[[#This Row],[Start Time]])),Table12[[#This Row],[Duration]]+Table12[[#This Row],[TZ Ahead]]-Table12[[#This Row],[TZ Behind]]+Table12[[#This Row],[Idle Time]],"")</calculatedColumnFormula>
    </tableColumn>
    <tableColumn id="27" xr3:uid="{54CF604C-ACB3-4F4C-8FCF-F389486A3EF2}" name="Arrival" dataDxfId="38" dataCellStyle="Currency">
      <calculatedColumnFormula>IF(NOT(ISBLANK(Table12[[#This Row],[Start Time]])),Table12[[#This Row],[Start Time]]+Table12[[#This Row],[Total Time]],"")</calculatedColumnFormula>
    </tableColumn>
    <tableColumn id="32" xr3:uid="{C8E14CC4-4386-4F7B-BE02-5102759C7FDB}" name="Column4" dataDxfId="37" dataCellStyle="Currency"/>
    <tableColumn id="28" xr3:uid="{57F6E76E-B484-4D10-A7A4-0D15F697F26E}" name="Hotel Name" dataCellStyle="Currency"/>
    <tableColumn id="29" xr3:uid="{99AD6F12-6F52-486B-9D8E-64C48843853C}" name="Holding Group" dataCellStyle="Currency"/>
    <tableColumn id="42" xr3:uid="{86845348-1035-46CC-B0ED-4DC4B9B39D87}" name="Terms of Stay" dataDxfId="36" dataCellStyle="Currency"/>
    <tableColumn id="30" xr3:uid="{76400ACE-56C1-4F45-82A2-A06C70B14839}" name="Same as previous" dataCellStyle="Currency"/>
    <tableColumn id="35" xr3:uid="{E236A419-F166-49F0-8BAF-943604C29A8A}" name="Nightly Rate with Taxes" totalsRowFunction="sum" dataDxfId="35" totalsRowDxfId="34" dataCellStyle="Currency"/>
    <tableColumn id="21" xr3:uid="{E61C046F-D1DE-4B82-920C-E2080155EB47}" name="Base Rate" dataDxfId="33" dataCellStyle="Currency"/>
    <tableColumn id="19" xr3:uid="{8E577C83-D4C7-42ED-9258-43531680D78E}" name="Tax %" dataDxfId="32" dataCellStyle="Currency"/>
    <tableColumn id="40" xr3:uid="{3FE0F3F8-486D-43ED-8AC1-A7A3472201BF}" name="Tax Flat" dataDxfId="31" dataCellStyle="Percent"/>
    <tableColumn id="36" xr3:uid="{578EE102-9942-4D8F-AA93-3130D58E8D69}" name="Total Cost" totalsRowFunction="sum" dataDxfId="30" totalsRowDxfId="29" dataCellStyle="Currency">
      <calculatedColumnFormula>IF(AL6="Yes",Table12[[#This Row],[Nightly Rate with Taxes]]+AQ6,Table12[[#This Row],[Nightly Rate with Taxes]])</calculatedColumnFormula>
    </tableColumn>
    <tableColumn id="37" xr3:uid="{708AA816-3806-4918-BCAE-486A025ABD08}" name="Budget Plan" dataCellStyle="Currency"/>
    <tableColumn id="38" xr3:uid="{070CE714-9A97-4C60-B592-92D871129CBA}" name="Departure" totalsRowFunction="sum" dataDxfId="28" totalsRowDxfId="27" dataCellStyle="Currency">
      <calculatedColumnFormula>IF(Table12[[#This Row],[Budget Plan]]=Lists!$B$4,Table12[[#This Row],[Nightly Rate with Taxes]]-Lists!$F$4,IF(Table12[[#This Row],[Budget Plan]]=Lists!$B$5,Table12[[#This Row],[Nightly Rate with Taxes]]-Lists!$F$5,""))</calculatedColumnFormula>
    </tableColumn>
    <tableColumn id="39" xr3:uid="{30461B1A-BD0C-42DF-85A1-556B03088F09}" name="HotelPaid" totalsRowFunction="sum" totalsRowDxfId="26" dataCellStyle="Currency"/>
  </tableColumns>
  <tableStyleInfo name="TableStyleMedium2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C271FB-354B-40E2-9E52-FC4BC865C321}" name="AirTravel" displayName="AirTravel" ref="A2:S5" totalsRowCount="1">
  <autoFilter ref="A2:S4" xr:uid="{445B3637-EBB4-4FEE-BC7D-35B79E97440B}"/>
  <tableColumns count="19">
    <tableColumn id="1" xr3:uid="{ECB06F14-26F3-4259-9883-E93F4468557E}" name="Airline" totalsRowLabel="Total"/>
    <tableColumn id="18" xr3:uid="{60C0F85B-31C9-4D24-8E3C-6A7594799EDA}" name="Class"/>
    <tableColumn id="2" xr3:uid="{F738DAD1-AA4A-45A2-9056-2F96ED2A7B42}" name="Origin Airport"/>
    <tableColumn id="17" xr3:uid="{98F4A704-AA89-421F-9D09-C6C530113F70}" name="Type"/>
    <tableColumn id="15" xr3:uid="{5C6AA256-F3B4-489F-B29E-C76D79D0C71F}" name="Depart Time" dataDxfId="25"/>
    <tableColumn id="13" xr3:uid="{614D4F25-1099-4679-8115-F850C6D3B3EC}" name="Check-in Time" dataDxfId="24">
      <calculatedColumnFormula>IF(NOT(ISBLANK(AirTravel[[#This Row],[Depart Time]])),AirTravel[[#This Row],[Depart Time]]-IF(AirTravel[[#This Row],[Type]]=Lists!$N$48,Lists!$O$48,Lists!$O$50),"")</calculatedColumnFormula>
    </tableColumn>
    <tableColumn id="14" xr3:uid="{42A76291-F355-467A-8B25-C83C325C9DC4}" name="Board Time" dataDxfId="23"/>
    <tableColumn id="3" xr3:uid="{A839AB62-B78C-4087-992E-597D91E4F583}" name="Parking Fee" totalsRowFunction="sum" totalsRowDxfId="22"/>
    <tableColumn id="4" xr3:uid="{16C1E162-1D0E-40CB-AE10-C4DA119E8FA6}" name="Dest Airport"/>
    <tableColumn id="16" xr3:uid="{82E61C1C-0A71-47C8-B2BE-AA1E0627B5D5}" name="Arrive Time" dataDxfId="21"/>
    <tableColumn id="5" xr3:uid="{86AB3476-DC28-4551-A24F-2A321B782BEB}" name="Connector 1"/>
    <tableColumn id="11" xr3:uid="{E06D8831-CED1-40F7-BA12-A90923C3CD9A}" name="Conn 1 Layover" dataDxfId="20"/>
    <tableColumn id="6" xr3:uid="{492F4FA8-82EE-448C-BFD2-0C8BC3EDB74F}" name="Connector 2"/>
    <tableColumn id="12" xr3:uid="{EC48D134-9569-4A04-9946-E179C625B5F3}" name="Conn 2 Layover" dataDxfId="19"/>
    <tableColumn id="7" xr3:uid="{7F8BE125-1ED9-4316-9E52-36B1A387082C}" name="Fare" totalsRowFunction="sum" totalsRowDxfId="18"/>
    <tableColumn id="8" xr3:uid="{6BFC991A-B941-4E07-BE79-69059347A7A5}" name="Checked bag"/>
    <tableColumn id="9" xr3:uid="{3D36DF29-0842-453E-AD11-33E7FFBDD63C}" name="Bag Fee" totalsRowFunction="sum" totalsRowDxfId="17">
      <calculatedColumnFormula>IF(AirTravel[[#This Row],[Checked bag]]="Yes",30,0)</calculatedColumnFormula>
    </tableColumn>
    <tableColumn id="10" xr3:uid="{54CD2807-6340-443C-B3A8-E1BC8D0F2669}" name="Total Cost" totalsRowFunction="sum" totalsRowDxfId="16">
      <calculatedColumnFormula>AirTravel[[#This Row],[Parking Fee]]+AirTravel[[#This Row],[Bag Fee]]+AirTravel[[#This Row],[Fare]]</calculatedColumnFormula>
    </tableColumn>
    <tableColumn id="19" xr3:uid="{6A17EA4F-3489-40F5-89E1-28770D8907D9}" name="Actual" totalsRowFunction="sum" dataDxfId="15" totalsRowDxfId="14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DF1880-D68C-41F2-9D0A-5B1526F80E56}" name="CarRental" displayName="CarRental" ref="A15:J17" totalsRowCount="1">
  <autoFilter ref="A15:J16" xr:uid="{41F100E6-1AD7-48BE-BB87-2C30237F3AD6}"/>
  <tableColumns count="10">
    <tableColumn id="1" xr3:uid="{A05FD868-4D4F-4B1A-B2C9-5B28B8267FB8}" name="Agency" totalsRowLabel="Total"/>
    <tableColumn id="2" xr3:uid="{E47AFC7B-C471-4E71-BF92-17147FCBD72D}" name="Pick-up date"/>
    <tableColumn id="3" xr3:uid="{B379A2E5-A6AC-41BA-8356-642D79168BF0}" name="Pick-up Time"/>
    <tableColumn id="4" xr3:uid="{CDBD1480-8B85-4CEF-B165-71985CFE06A2}" name="Pick-up Location"/>
    <tableColumn id="5" xr3:uid="{A95A6B63-9969-4C32-9276-775B8E42D325}" name="Drop-off Date"/>
    <tableColumn id="6" xr3:uid="{F68D2F98-4665-489F-B5DD-38CCBC6F23E8}" name="Drop-off Time"/>
    <tableColumn id="7" xr3:uid="{9203445C-5F7C-47A4-8DA4-167056ABD640}" name="Drop-off location"/>
    <tableColumn id="8" xr3:uid="{979D1778-AA02-4E32-836B-1220B6DC67C1}" name="Class"/>
    <tableColumn id="9" xr3:uid="{B786449F-D4CF-4350-865F-FF9A6453A694}" name="Rate" totalsRowFunction="sum" totalsRowDxfId="13" totalsRowCellStyle="Currency"/>
    <tableColumn id="10" xr3:uid="{E50C935B-17B1-4EB9-9BEF-17B65D316649}" name="Actual" totalsRowFunction="sum" dataDxfId="12" totalsRowDxfId="11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000F19-DB3D-405A-9BF4-9E4A4B29CEF5}" name="TrainTravel" displayName="TrainTravel" ref="A28:J30" totalsRowCount="1">
  <autoFilter ref="A28:J29" xr:uid="{4AE1E1AE-6E38-41B1-819A-07D41F393F41}"/>
  <tableColumns count="10">
    <tableColumn id="1" xr3:uid="{2574DD88-4AB7-4FB8-8F3F-E6C79467C815}" name="Agency" totalsRowLabel="Total"/>
    <tableColumn id="2" xr3:uid="{AD3C2405-F4F8-4253-900B-B83BC262E58D}" name="Route Name"/>
    <tableColumn id="3" xr3:uid="{4A24A278-99C5-42CA-A79B-AA4683EAD5A1}" name="Start Point Station"/>
    <tableColumn id="4" xr3:uid="{CBD9343C-7972-4899-B426-18A06ACCBAC3}" name="Depart Time" dataDxfId="10"/>
    <tableColumn id="5" xr3:uid="{9ABB64C1-30CE-4BB3-BCA6-5D6E8E249E5B}" name="End Point Station"/>
    <tableColumn id="6" xr3:uid="{DD864E64-4E67-43C6-B73F-D5AD9CE3C564}" name="Arrival Time" dataDxfId="9"/>
    <tableColumn id="7" xr3:uid="{834501AF-5DFA-4791-A2EA-877C819EFE80}" name="Notes"/>
    <tableColumn id="8" xr3:uid="{0F18E5ED-BC9F-4575-B120-A3F144D84FE5}" name="Checked Baggage"/>
    <tableColumn id="9" xr3:uid="{0DC96816-13DE-481D-B7A2-219B564C2DEE}" name="Fare" totalsRowFunction="sum" totalsRowCellStyle="Currency"/>
    <tableColumn id="10" xr3:uid="{4C120B31-37EA-4004-9601-602EF8116C8A}" name="Actual" totalsRowFunction="sum" dataDxfId="8" dataCellStyle="Currency" totalsRow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31345A0-E01B-4A23-9EA3-A2953603101D}" name="Table16" displayName="Table16" ref="A40:E42" totalsRowCount="1">
  <autoFilter ref="A40:E41" xr:uid="{55EFE6C4-C537-412A-B8A1-BEC4AF64BD64}"/>
  <tableColumns count="5">
    <tableColumn id="1" xr3:uid="{417C21C1-E344-4501-ACCE-99BB51B65D0E}" name="Agency" totalsRowLabel="Total"/>
    <tableColumn id="2" xr3:uid="{13CED698-5EEB-4C5B-AB41-5C759369F7E6}" name="Fare Payment Method"/>
    <tableColumn id="3" xr3:uid="{7BDCE133-C89B-40E7-AF06-2BD81189A72F}" name="Fare Total" totalsRowFunction="sum" totalsRowCellStyle="Currency"/>
    <tableColumn id="4" xr3:uid="{E93CA224-AA83-49C8-8AAE-9A3BFB73876D}" name="Date"/>
    <tableColumn id="6" xr3:uid="{7DC5361C-56F8-41C9-B5BE-A5E620705E1C}" name="Actual" totalsRowFunction="sum" dataDxfId="7" dataCellStyle="Currency" totalsRowCellStyle="Currenc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DE30D1-3DAC-4ABA-B9C9-60FD4EC77114}" name="Table15" displayName="Table15" ref="A1:I3" totalsRowCount="1">
  <autoFilter ref="A1:I2" xr:uid="{057AECA3-002C-403D-BFB3-7D73E2484CF7}"/>
  <tableColumns count="9">
    <tableColumn id="1" xr3:uid="{AF2822A4-9EBC-45CC-9905-B873D0A2B6D1}" name="Date" totalsRowLabel="Total"/>
    <tableColumn id="2" xr3:uid="{E768BCE8-2515-47FE-AF20-9E691C64E9D6}" name="City"/>
    <tableColumn id="3" xr3:uid="{3CC4DCCA-C354-4BF3-99CD-02CCCEB800C9}" name="Attraction name"/>
    <tableColumn id="4" xr3:uid="{F7D4674D-21BE-429B-897D-99A1898625CE}" name="Admission"/>
    <tableColumn id="5" xr3:uid="{D5CD9EE0-0AD5-4499-9A14-EB094C9FC4FE}" name="Agency"/>
    <tableColumn id="6" xr3:uid="{2360D520-9613-4265-8B95-D7924068814D}" name="Total" totalsRowFunction="sum" totalsRowDxfId="6" totalsRowCellStyle="Currency"/>
    <tableColumn id="7" xr3:uid="{4A8357E4-DE0D-45E9-9914-6435E0417267}" name="Actual" totalsRowFunction="sum" dataDxfId="5" totalsRowDxfId="4" dataCellStyle="Currency" totalsRowCellStyle="Currency"/>
    <tableColumn id="8" xr3:uid="{FD06FA2E-0EDD-4EBE-9D5B-73907857654C}" name="Time Required"/>
    <tableColumn id="9" xr3:uid="{A9996F85-D1BC-4EA7-B234-991CCE69CA4D}" name="No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C2C09-3162-40A3-A078-E42613A6BA03}" name="YesNo" displayName="YesNo" ref="J15:J17" totalsRowShown="0">
  <autoFilter ref="J15:J17" xr:uid="{A0D00B83-F6BC-4BCD-8F6E-EAD359AAFCB3}"/>
  <tableColumns count="1">
    <tableColumn id="1" xr3:uid="{F8177B33-B5B9-4FF0-8E8B-D88FA71D8E0C}" name="Yes_N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1A1F74-3202-4DBB-97E5-D5067C46A9F7}" name="Airlines" displayName="Airlines" ref="L15:U21" totalsRowShown="0">
  <autoFilter ref="L15:U21" xr:uid="{CAE29C42-3B20-4CD0-9F8B-794564D8A12C}"/>
  <tableColumns count="10">
    <tableColumn id="1" xr3:uid="{166470AD-41ED-477F-B962-38559944E56F}" name="Airline"/>
    <tableColumn id="2" xr3:uid="{55A31F96-54C7-42A4-A6CA-090208A0D15F}" name="Fee"/>
    <tableColumn id="3" xr3:uid="{ACC278D0-9E09-4B29-A96D-E12E73B103F6}" name="Baggage Fee Notes"/>
    <tableColumn id="4" xr3:uid="{BD76A4DD-2AD2-4FDD-90DB-2B929DEEC1A7}" name="Entry"/>
    <tableColumn id="5" xr3:uid="{CC1A4F5D-D53E-4B32-A681-A3BB98A4A3BB}" name="Economy"/>
    <tableColumn id="6" xr3:uid="{7157324F-C698-4B8D-AEAB-CB9DA6B51549}" name="Premium Econ"/>
    <tableColumn id="7" xr3:uid="{BC83D159-C7E4-4DD1-899E-5FB10C2D0F84}" name="Domestic First"/>
    <tableColumn id="8" xr3:uid="{8F26B360-F9B0-4AD6-BFF7-26C74EFB5620}" name="Intl Prem"/>
    <tableColumn id="9" xr3:uid="{AB736F84-D949-47F8-91C8-D3A8447CC189}" name="Business"/>
    <tableColumn id="10" xr3:uid="{ED8D1BD5-88D0-4CAD-BF5F-4AC3BB911B60}" name="Int'l Firs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1C1FC3-3F9E-4017-BB3D-B10D0D5DD6E9}" name="Airports" displayName="Airports" ref="M26:R34" totalsRowShown="0">
  <autoFilter ref="M26:R34" xr:uid="{44696383-BB67-41B1-822A-D241EEFE98EA}"/>
  <tableColumns count="6">
    <tableColumn id="1" xr3:uid="{8C25A076-6F49-4119-99C8-0131B83F9C6E}" name="IATA"/>
    <tableColumn id="2" xr3:uid="{EB21E834-A6D9-4FDA-83D3-B44442196308}" name="Full Name"/>
    <tableColumn id="3" xr3:uid="{6DAACD10-B9F2-4DA4-BC7C-A96DED5010AA}" name="Daily" dataDxfId="3" dataCellStyle="Currency"/>
    <tableColumn id="4" xr3:uid="{E66646DE-3533-4B6E-A896-D61C353B3968}" name="Weekly" dataDxfId="2" dataCellStyle="Currency"/>
    <tableColumn id="5" xr3:uid="{1E0E487B-2D33-4846-9FA9-82648D099ACD}" name="Supported Airlines" dataDxfId="1"/>
    <tableColumn id="6" xr3:uid="{18598096-15CB-425D-B8D1-D9F8DE8C4505}" name="Check-in advance hour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7156D0-8177-4DA7-897A-30BDD4D56239}" name="CarOwner" displayName="CarOwner" ref="N39:N45" totalsRowShown="0">
  <autoFilter ref="N39:N45" xr:uid="{C53BA720-389F-4724-95D8-3B307A96CB77}"/>
  <tableColumns count="1">
    <tableColumn id="1" xr3:uid="{BDE44EEA-9C09-49D0-B158-DB8190E21AD1}" name="Car Owne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78DE34-25B8-48A2-9BBC-9714B02947BD}" name="MealList" displayName="MealList" ref="B2:H7" totalsRowShown="0">
  <autoFilter ref="B2:H7" xr:uid="{E3C48651-D670-474E-AE6D-0BE9B4D63F14}"/>
  <tableColumns count="7">
    <tableColumn id="1" xr3:uid="{C9C70711-E7AE-4547-B283-6813D3FA7D70}" name="Meal Rate Types"/>
    <tableColumn id="2" xr3:uid="{72042281-1A4B-4499-91D2-F169A2689915}" name="Breakfast" dataCellStyle="Currency"/>
    <tableColumn id="3" xr3:uid="{7589D1A2-7E45-435B-BDBC-58271D7A9EDE}" name="Lunch" dataCellStyle="Currency"/>
    <tableColumn id="4" xr3:uid="{AD7D52F4-FDE5-4BC3-B023-DE336AE4571E}" name="Dinner" dataCellStyle="Currency"/>
    <tableColumn id="6" xr3:uid="{CDD11B39-5884-4EF5-A397-CACE02911D92}" name="Hotel Rate" dataCellStyle="Currency"/>
    <tableColumn id="5" xr3:uid="{321345CA-CC0B-4F9F-A737-C78F7B6E71BE}" name="Notes - Meals" dataCellStyle="Currency"/>
    <tableColumn id="7" xr3:uid="{142EF103-60CF-4468-AA73-E0A9971EFE98}" name="Notes - Hotel" dataCellStyle="Currenc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DBD314-2264-4804-B50D-192E119F8F9E}" name="Table13" displayName="Table13" ref="N47:O49" totalsRowShown="0">
  <autoFilter ref="N47:O49" xr:uid="{C1810C7D-37D0-4191-B2DE-1E12B94006C1}"/>
  <tableColumns count="2">
    <tableColumn id="1" xr3:uid="{C1DF9242-A4B5-4E7A-9B20-865AD1EFC7BF}" name="Flight Type"/>
    <tableColumn id="2" xr3:uid="{64E9E31B-2797-49C2-847F-4E66C36B2144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10-06T02:17:34.05" personId="{5B2FECEB-534A-4EDD-96BF-33DF0E5ACDDF}" id="{7BC83958-991A-43F4-8ADA-6D07C7E01939}">
    <text>Do not book 5-star hotels on cash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3.v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0B65-5DAF-4C70-B694-BBE7118B6F48}">
  <sheetPr>
    <outlinePr summaryRight="0"/>
  </sheetPr>
  <dimension ref="A1:M19"/>
  <sheetViews>
    <sheetView tabSelected="1" zoomScale="130" zoomScaleNormal="130" workbookViewId="0">
      <selection activeCell="G18" sqref="G18"/>
    </sheetView>
  </sheetViews>
  <sheetFormatPr defaultRowHeight="15" x14ac:dyDescent="0.25"/>
  <cols>
    <col min="1" max="1" width="16.7109375" customWidth="1"/>
    <col min="2" max="2" width="13.42578125" bestFit="1" customWidth="1"/>
    <col min="3" max="3" width="11.140625" bestFit="1" customWidth="1"/>
    <col min="4" max="4" width="11.7109375" bestFit="1" customWidth="1"/>
    <col min="5" max="5" width="9" bestFit="1" customWidth="1"/>
    <col min="6" max="6" width="2.7109375" customWidth="1"/>
    <col min="7" max="7" width="12.140625" bestFit="1" customWidth="1"/>
    <col min="8" max="8" width="9" bestFit="1" customWidth="1"/>
    <col min="9" max="9" width="18.28515625" bestFit="1" customWidth="1"/>
    <col min="10" max="10" width="9.140625" bestFit="1" customWidth="1"/>
    <col min="11" max="11" width="17.7109375" bestFit="1" customWidth="1"/>
    <col min="12" max="12" width="14.5703125" bestFit="1" customWidth="1"/>
    <col min="13" max="13" width="16.7109375" customWidth="1"/>
    <col min="14" max="14" width="22.5703125" customWidth="1"/>
  </cols>
  <sheetData>
    <row r="1" spans="1:13" x14ac:dyDescent="0.25">
      <c r="A1" s="63" t="s">
        <v>11</v>
      </c>
      <c r="B1" s="63"/>
      <c r="C1" s="63"/>
      <c r="D1" s="63"/>
      <c r="E1" s="1"/>
      <c r="G1" t="s">
        <v>6</v>
      </c>
      <c r="H1" t="s">
        <v>128</v>
      </c>
      <c r="I1" t="s">
        <v>129</v>
      </c>
    </row>
    <row r="2" spans="1:13" x14ac:dyDescent="0.25">
      <c r="A2" s="17" t="s">
        <v>15</v>
      </c>
      <c r="B2" s="17" t="s">
        <v>13</v>
      </c>
      <c r="C2" s="17" t="s">
        <v>16</v>
      </c>
      <c r="D2" s="17" t="s">
        <v>14</v>
      </c>
      <c r="E2" s="17" t="s">
        <v>215</v>
      </c>
      <c r="F2" s="41" t="s">
        <v>20</v>
      </c>
      <c r="G2" s="17" t="s">
        <v>7</v>
      </c>
      <c r="H2" s="17" t="s">
        <v>8</v>
      </c>
      <c r="I2" s="17" t="s">
        <v>141</v>
      </c>
      <c r="J2" s="17" t="s">
        <v>23</v>
      </c>
      <c r="K2" s="17" t="s">
        <v>21</v>
      </c>
      <c r="L2" s="17" t="s">
        <v>22</v>
      </c>
      <c r="M2" s="17" t="s">
        <v>205</v>
      </c>
    </row>
    <row r="3" spans="1:13" x14ac:dyDescent="0.25">
      <c r="A3" s="5">
        <v>44837</v>
      </c>
      <c r="B3" s="5" t="str">
        <f>CHOOSE(WEEKDAY(A3),"Sunday","Monday","Tuesday", "Wednesday", "Thursday", "Friday", "Saturday")</f>
        <v>Monday</v>
      </c>
      <c r="C3" s="5">
        <v>44839</v>
      </c>
      <c r="D3" s="5" t="str">
        <f>CHOOSE(WEEKDAY(C3),"Sunday","Monday","Tuesday", "Wednesday", "Thursday", "Friday", "Saturday")</f>
        <v>Wednesday</v>
      </c>
      <c r="E3" s="54">
        <f>TripBasics[[#This Row],[End Date]]-TripBasics[[#This Row],[Start Date]]</f>
        <v>2</v>
      </c>
      <c r="F3" s="42"/>
      <c r="G3" s="6">
        <v>31.75</v>
      </c>
      <c r="H3" s="4">
        <f>G3*1.055</f>
        <v>33.496249999999996</v>
      </c>
      <c r="I3" s="4" cm="1">
        <f t="array" ref="I3">(DAY_COUNT-1+IF(TripBasics[Drop-Off before]="Yes",1,0)+IF(TripBasics[Pick-up after]="Yes",1,0))*TripBasics[[#This Row],[Taxed]]</f>
        <v>66.992499999999993</v>
      </c>
      <c r="J3" t="s">
        <v>19</v>
      </c>
      <c r="K3" t="s">
        <v>19</v>
      </c>
      <c r="L3" t="s">
        <v>19</v>
      </c>
      <c r="M3" s="40"/>
    </row>
    <row r="7" spans="1:13" x14ac:dyDescent="0.25">
      <c r="A7" t="s">
        <v>214</v>
      </c>
      <c r="B7" t="s">
        <v>201</v>
      </c>
      <c r="C7" t="s">
        <v>196</v>
      </c>
    </row>
    <row r="8" spans="1:13" x14ac:dyDescent="0.25">
      <c r="A8" t="s">
        <v>6</v>
      </c>
      <c r="B8" s="22" cm="1">
        <f t="array" ref="B8">IF(TripBasics[Utilize]="Yes",TripBasics[Total],0)</f>
        <v>0</v>
      </c>
      <c r="C8" s="22" cm="1">
        <f t="array" ref="C8">TripBasics[Actual]</f>
        <v>0</v>
      </c>
    </row>
    <row r="9" spans="1:13" x14ac:dyDescent="0.25">
      <c r="A9" t="s">
        <v>200</v>
      </c>
      <c r="B9" s="22">
        <f>Table12[[#Totals],[Total]]</f>
        <v>0</v>
      </c>
      <c r="C9" s="22">
        <f>Table12[[#Totals],[Paid]]</f>
        <v>0</v>
      </c>
    </row>
    <row r="10" spans="1:13" x14ac:dyDescent="0.25">
      <c r="A10" t="s">
        <v>181</v>
      </c>
      <c r="B10" s="2">
        <f>Table12[[#Totals],[Nightly Rate with Taxes]]</f>
        <v>0</v>
      </c>
      <c r="C10" s="22">
        <f>Table12[[#Totals],[HotelPaid]]</f>
        <v>0</v>
      </c>
    </row>
    <row r="11" spans="1:13" x14ac:dyDescent="0.25">
      <c r="A11" t="s">
        <v>169</v>
      </c>
      <c r="B11" s="2">
        <f>AirTravel[[#Totals],[Total Cost]]</f>
        <v>0</v>
      </c>
      <c r="C11" s="2">
        <f>AirTravel[[#Totals],[Total Cost]]</f>
        <v>0</v>
      </c>
    </row>
    <row r="12" spans="1:13" x14ac:dyDescent="0.25">
      <c r="A12" t="s">
        <v>113</v>
      </c>
      <c r="B12" s="2">
        <f>CarRental[[#Totals],[Rate]]</f>
        <v>0</v>
      </c>
      <c r="C12" s="2">
        <f>CarRental[[#Totals],[Actual]]</f>
        <v>0</v>
      </c>
    </row>
    <row r="13" spans="1:13" x14ac:dyDescent="0.25">
      <c r="A13" t="s">
        <v>170</v>
      </c>
      <c r="B13" s="2">
        <f>Table15[[#Totals],[Total]]</f>
        <v>0</v>
      </c>
      <c r="C13" s="2">
        <f>Table15[[#Totals],[Actual]]</f>
        <v>0</v>
      </c>
    </row>
    <row r="14" spans="1:13" x14ac:dyDescent="0.25">
      <c r="A14" t="s">
        <v>171</v>
      </c>
      <c r="B14" s="2">
        <f>TrainTravel[[#Totals],[Fare]]</f>
        <v>0</v>
      </c>
      <c r="C14" s="2">
        <f>TrainTravel[[#Totals],[Actual]]</f>
        <v>0</v>
      </c>
    </row>
    <row r="15" spans="1:13" x14ac:dyDescent="0.25">
      <c r="A15" t="s">
        <v>172</v>
      </c>
      <c r="B15" s="2">
        <f>Table16[[#Totals],[Fare Total]]</f>
        <v>0</v>
      </c>
      <c r="C15" s="2">
        <f>Table16[[#Totals],[Actual]]</f>
        <v>0</v>
      </c>
    </row>
    <row r="16" spans="1:13" x14ac:dyDescent="0.25">
      <c r="A16" t="s">
        <v>141</v>
      </c>
      <c r="B16" s="22">
        <f>SUBTOTAL(109,Table17[Due])</f>
        <v>0</v>
      </c>
      <c r="C16" s="22">
        <f>SUBTOTAL(109,Table17[Paid])</f>
        <v>0</v>
      </c>
    </row>
    <row r="17" spans="1:3" x14ac:dyDescent="0.25">
      <c r="C17" s="58">
        <f>Table17[[#Totals],[Due]]-Table17[[#Totals],[Paid]]</f>
        <v>0</v>
      </c>
    </row>
    <row r="19" spans="1:3" x14ac:dyDescent="0.25">
      <c r="A19" s="56"/>
    </row>
  </sheetData>
  <mergeCells count="1">
    <mergeCell ref="A1:D1"/>
  </mergeCells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116E2-3257-4668-AE26-98AA2AF9DC62}">
          <x14:formula1>
            <xm:f>Lists!$J$16:$J$17</xm:f>
          </x14:formula1>
          <xm:sqref>J3:L3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6D13-DE6B-4728-B857-84560FDE7D9D}">
  <sheetPr codeName="Sheet1">
    <outlinePr summaryBelow="0" summaryRight="0"/>
  </sheetPr>
  <dimension ref="A1:AT34"/>
  <sheetViews>
    <sheetView zoomScaleNormal="100" workbookViewId="0">
      <pane xSplit="3" ySplit="5" topLeftCell="U6" activePane="bottomRight" state="frozen"/>
      <selection pane="topRight" activeCell="D1" sqref="D1"/>
      <selection pane="bottomLeft" activeCell="A6" sqref="A6"/>
      <selection pane="bottomRight" activeCell="AI6" sqref="AI6"/>
    </sheetView>
  </sheetViews>
  <sheetFormatPr defaultRowHeight="15" outlineLevelCol="1" x14ac:dyDescent="0.25"/>
  <cols>
    <col min="1" max="1" width="10.42578125" customWidth="1"/>
    <col min="2" max="3" width="30.85546875" customWidth="1"/>
    <col min="4" max="4" width="3.5703125" customWidth="1"/>
    <col min="5" max="5" width="47.28515625" customWidth="1" outlineLevel="1"/>
    <col min="6" max="6" width="8.28515625" customWidth="1" outlineLevel="1"/>
    <col min="7" max="7" width="12.5703125" customWidth="1" outlineLevel="1"/>
    <col min="8" max="9" width="7.42578125" customWidth="1" outlineLevel="1"/>
    <col min="10" max="10" width="3.7109375" customWidth="1"/>
    <col min="11" max="11" width="10" customWidth="1" outlineLevel="1"/>
    <col min="12" max="12" width="14.5703125" customWidth="1" outlineLevel="1"/>
    <col min="13" max="13" width="11.5703125" customWidth="1" outlineLevel="1"/>
    <col min="14" max="14" width="9" customWidth="1" outlineLevel="1"/>
    <col min="15" max="16" width="9.85546875" customWidth="1" outlineLevel="1"/>
    <col min="17" max="17" width="14.140625" customWidth="1" outlineLevel="1"/>
    <col min="18" max="18" width="3.42578125" customWidth="1"/>
    <col min="19" max="20" width="19.140625" customWidth="1" outlineLevel="1"/>
    <col min="21" max="22" width="12" customWidth="1" outlineLevel="1"/>
    <col min="23" max="24" width="11.7109375" customWidth="1" outlineLevel="1"/>
    <col min="25" max="25" width="12.28515625" customWidth="1" outlineLevel="1"/>
    <col min="26" max="26" width="3" customWidth="1"/>
    <col min="27" max="27" width="12.28515625" bestFit="1" customWidth="1" outlineLevel="1"/>
    <col min="28" max="28" width="12.28515625" customWidth="1" outlineLevel="1"/>
    <col min="29" max="29" width="11" customWidth="1" outlineLevel="1"/>
    <col min="30" max="30" width="12" customWidth="1" outlineLevel="1"/>
    <col min="31" max="31" width="11.42578125" customWidth="1" outlineLevel="1"/>
    <col min="32" max="32" width="11.5703125" customWidth="1" outlineLevel="1"/>
    <col min="33" max="33" width="12.5703125" customWidth="1" outlineLevel="1"/>
    <col min="34" max="34" width="4.28515625" customWidth="1"/>
    <col min="35" max="35" width="23.7109375" customWidth="1" outlineLevel="1"/>
    <col min="36" max="36" width="25.140625" customWidth="1" outlineLevel="1"/>
    <col min="37" max="37" width="16.28515625" customWidth="1" outlineLevel="1"/>
    <col min="38" max="38" width="20.7109375" customWidth="1" outlineLevel="1"/>
    <col min="39" max="39" width="18.7109375" customWidth="1" outlineLevel="1"/>
    <col min="40" max="40" width="13.85546875" customWidth="1" outlineLevel="1"/>
    <col min="41" max="41" width="11.85546875" customWidth="1" outlineLevel="1"/>
    <col min="42" max="44" width="12" customWidth="1" outlineLevel="1"/>
    <col min="45" max="45" width="12.28515625" customWidth="1" outlineLevel="1"/>
    <col min="46" max="46" width="12" customWidth="1" outlineLevel="1"/>
    <col min="47" max="47" width="9.140625" customWidth="1"/>
  </cols>
  <sheetData>
    <row r="1" spans="1:46" x14ac:dyDescent="0.25">
      <c r="B1" s="3" t="s">
        <v>179</v>
      </c>
      <c r="C1">
        <v>0</v>
      </c>
    </row>
    <row r="2" spans="1:46" x14ac:dyDescent="0.25">
      <c r="B2" s="33" t="s">
        <v>180</v>
      </c>
      <c r="C2">
        <f>IF(Table12[[#Totals],[ODO]]&gt;5000,50,0)</f>
        <v>0</v>
      </c>
    </row>
    <row r="3" spans="1:46" x14ac:dyDescent="0.25">
      <c r="A3" t="s">
        <v>194</v>
      </c>
      <c r="E3" t="s">
        <v>199</v>
      </c>
      <c r="K3" t="s">
        <v>188</v>
      </c>
      <c r="R3" t="s">
        <v>197</v>
      </c>
      <c r="Z3" t="s">
        <v>198</v>
      </c>
      <c r="AH3" t="s">
        <v>181</v>
      </c>
    </row>
    <row r="4" spans="1:46" x14ac:dyDescent="0.25">
      <c r="A4" t="s">
        <v>34</v>
      </c>
      <c r="B4" t="s">
        <v>130</v>
      </c>
      <c r="C4" t="s">
        <v>131</v>
      </c>
      <c r="D4" s="41" t="s">
        <v>146</v>
      </c>
      <c r="E4" t="s">
        <v>132</v>
      </c>
      <c r="F4" t="s">
        <v>133</v>
      </c>
      <c r="G4" t="s">
        <v>134</v>
      </c>
      <c r="H4" t="s">
        <v>143</v>
      </c>
      <c r="I4" t="s">
        <v>136</v>
      </c>
      <c r="J4" s="36" t="s">
        <v>187</v>
      </c>
      <c r="K4" t="s">
        <v>24</v>
      </c>
      <c r="L4" t="s">
        <v>137</v>
      </c>
      <c r="M4" t="s">
        <v>138</v>
      </c>
      <c r="N4" t="s">
        <v>139</v>
      </c>
      <c r="O4" t="s">
        <v>140</v>
      </c>
      <c r="P4" t="s">
        <v>226</v>
      </c>
      <c r="Q4" t="s">
        <v>225</v>
      </c>
      <c r="R4" s="36" t="s">
        <v>184</v>
      </c>
      <c r="S4" t="s">
        <v>142</v>
      </c>
      <c r="T4" t="s">
        <v>0</v>
      </c>
      <c r="U4" t="s">
        <v>4</v>
      </c>
      <c r="V4" t="s">
        <v>5</v>
      </c>
      <c r="W4" t="s">
        <v>141</v>
      </c>
      <c r="X4" t="s">
        <v>224</v>
      </c>
      <c r="Y4" t="s">
        <v>196</v>
      </c>
      <c r="Z4" s="36" t="s">
        <v>186</v>
      </c>
      <c r="AA4" t="s">
        <v>144</v>
      </c>
      <c r="AB4" t="s">
        <v>145</v>
      </c>
      <c r="AC4" t="s">
        <v>213</v>
      </c>
      <c r="AD4" t="s">
        <v>212</v>
      </c>
      <c r="AE4" t="s">
        <v>147</v>
      </c>
      <c r="AF4" t="s">
        <v>148</v>
      </c>
      <c r="AG4" t="s">
        <v>149</v>
      </c>
      <c r="AH4" s="36" t="s">
        <v>185</v>
      </c>
      <c r="AI4" t="s">
        <v>182</v>
      </c>
      <c r="AJ4" t="s">
        <v>183</v>
      </c>
      <c r="AK4" t="s">
        <v>221</v>
      </c>
      <c r="AL4" t="s">
        <v>189</v>
      </c>
      <c r="AM4" t="s">
        <v>190</v>
      </c>
      <c r="AN4" t="s">
        <v>218</v>
      </c>
      <c r="AO4" t="s">
        <v>219</v>
      </c>
      <c r="AP4" t="s">
        <v>220</v>
      </c>
      <c r="AQ4" t="s">
        <v>151</v>
      </c>
      <c r="AR4" t="s">
        <v>192</v>
      </c>
      <c r="AS4" t="s">
        <v>193</v>
      </c>
      <c r="AT4" t="s">
        <v>195</v>
      </c>
    </row>
    <row r="5" spans="1:46" hidden="1" x14ac:dyDescent="0.25">
      <c r="A5" s="18" t="s">
        <v>12</v>
      </c>
      <c r="D5" s="41"/>
      <c r="F5">
        <v>0</v>
      </c>
      <c r="H5">
        <f>IF(Table12[[#This Row],[Car Owner]]=OwnCar,Table12[[#This Row],[Miles]],0)</f>
        <v>0</v>
      </c>
      <c r="I5">
        <f>C1</f>
        <v>0</v>
      </c>
      <c r="J5" s="36"/>
      <c r="K5">
        <f>Table12[[#This Row],[Miles]]/CAR_MPG</f>
        <v>0</v>
      </c>
      <c r="M5" s="2">
        <f>IF(ISBLANK(Table12[[#This Row],[Alt Price/Gal]]),Table12[[#This Row],[Gallons]]*GAS_PRICE,Table12[[#This Row],[Alt Price/Gal]])</f>
        <v>0</v>
      </c>
      <c r="N5" s="2"/>
      <c r="O5" s="2"/>
      <c r="P5" s="2">
        <f>SUM(Table12[[#This Row],[Fuel]:[Parking]])</f>
        <v>0</v>
      </c>
      <c r="Q5" s="2"/>
      <c r="R5" s="37"/>
      <c r="T5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5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5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5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5" s="22"/>
      <c r="Y5" s="22">
        <f t="shared" ref="Y5" si="0">40.85+5.2+15+25</f>
        <v>86.050000000000011</v>
      </c>
      <c r="Z5" s="39"/>
      <c r="AA5" s="2"/>
      <c r="AB5" s="2"/>
      <c r="AC5" s="2"/>
      <c r="AD5" s="2"/>
      <c r="AE5" s="2"/>
      <c r="AF5" s="25" t="str">
        <f>IF(NOT(ISBLANK(Table12[[#This Row],[Start Time]])),Table12[[#This Row],[Duration]]+Table12[[#This Row],[TZ Ahead]]-Table12[[#This Row],[TZ Behind]]+Table12[[#This Row],[Idle Time]],"")</f>
        <v/>
      </c>
      <c r="AG5" s="23" t="str">
        <f>IF(NOT(ISBLANK(Table12[[#This Row],[Start Time]])),Table12[[#This Row],[Start Time]]+Table12[[#This Row],[Total Time]],"")</f>
        <v/>
      </c>
      <c r="AH5" s="37"/>
      <c r="AI5" s="2"/>
      <c r="AJ5" s="2"/>
      <c r="AK5" s="2"/>
      <c r="AL5" s="2"/>
      <c r="AM5" s="2"/>
      <c r="AN5" s="2"/>
      <c r="AO5" s="2"/>
      <c r="AP5" s="2"/>
      <c r="AQ5" s="2">
        <f>IF(AL6="Yes",Table12[[#This Row],[Nightly Rate with Taxes]]+AQ6,Table12[[#This Row],[Nightly Rate with Taxes]])</f>
        <v>0</v>
      </c>
      <c r="AR5" s="2"/>
      <c r="AS5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5" s="2"/>
    </row>
    <row r="6" spans="1:46" x14ac:dyDescent="0.25">
      <c r="A6" s="18" cm="1">
        <f t="array" ref="A6">TripBasics[Start Date]</f>
        <v>44837</v>
      </c>
      <c r="D6" s="41"/>
      <c r="E6" s="56"/>
      <c r="H6">
        <f>IF(Table12[[#This Row],[Car Owner]]=OwnCar,Table12[[#This Row],[Miles]],0)</f>
        <v>0</v>
      </c>
      <c r="I6">
        <f t="shared" ref="I6:I30" si="1">F6+I5</f>
        <v>0</v>
      </c>
      <c r="J6" s="36"/>
      <c r="K6" s="43">
        <f>Table12[[#This Row],[Miles]]/CAR_MPG</f>
        <v>0</v>
      </c>
      <c r="M6" s="2">
        <f>IF(ISBLANK(Table12[[#This Row],[Alt Price/Gal]]),Table12[[#This Row],[Gallons]]*GAS_PRICE,Table12[[#This Row],[Alt Price/Gal]])</f>
        <v>0</v>
      </c>
      <c r="N6" s="2">
        <v>0</v>
      </c>
      <c r="O6" s="2">
        <v>0</v>
      </c>
      <c r="P6" s="2">
        <f>SUM(Table12[[#This Row],[Fuel]:[Parking]])</f>
        <v>0</v>
      </c>
      <c r="Q6" s="61"/>
      <c r="R6" s="37"/>
      <c r="T6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6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6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6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6" s="60">
        <v>0</v>
      </c>
      <c r="Y6" s="40">
        <f>Table12[[#This Row],[Driving Paid]]+Table12[[#This Row],[Meals Paid]]</f>
        <v>0</v>
      </c>
      <c r="Z6" s="39"/>
      <c r="AA6" s="23"/>
      <c r="AB6" s="27"/>
      <c r="AC6" s="26"/>
      <c r="AD6" s="26"/>
      <c r="AE6" s="27"/>
      <c r="AF6" s="27"/>
      <c r="AG6" s="23"/>
      <c r="AH6" s="37"/>
      <c r="AI6" s="2"/>
      <c r="AJ6" s="2"/>
      <c r="AK6" s="2"/>
      <c r="AL6" s="2"/>
      <c r="AM6" s="2">
        <f>Table12[[#This Row],[Base Rate]]*(1+Table12[[#This Row],[Tax %]])+Table12[[#This Row],[Tax Flat]]</f>
        <v>0</v>
      </c>
      <c r="AN6" s="2">
        <v>0</v>
      </c>
      <c r="AO6" s="55">
        <v>0</v>
      </c>
      <c r="AP6" s="2"/>
      <c r="AQ6" s="2">
        <f>IF(AL7="Yes",Table12[[#This Row],[Nightly Rate with Taxes]]+AQ7,Table12[[#This Row],[Nightly Rate with Taxes]])</f>
        <v>0</v>
      </c>
      <c r="AR6" s="2"/>
      <c r="AS6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6" s="40"/>
    </row>
    <row r="7" spans="1:46" x14ac:dyDescent="0.25">
      <c r="A7" s="18" cm="1">
        <f t="array" ref="A7">IF(A6&lt;TripBasics[End Date],A6+1,"")</f>
        <v>44838</v>
      </c>
      <c r="D7" s="41"/>
      <c r="H7">
        <f>IF(Table12[[#This Row],[Car Owner]]=OwnCar,Table12[[#This Row],[Miles]],0)</f>
        <v>0</v>
      </c>
      <c r="I7">
        <f t="shared" si="1"/>
        <v>0</v>
      </c>
      <c r="J7" s="36"/>
      <c r="K7" s="43">
        <f>Table12[[#This Row],[Miles]]/CAR_MPG</f>
        <v>0</v>
      </c>
      <c r="M7" s="2">
        <f>IF(ISBLANK(Table12[[#This Row],[Alt Price/Gal]]),Table12[[#This Row],[Gallons]]*GAS_PRICE,Table12[[#This Row],[Alt Price/Gal]])</f>
        <v>0</v>
      </c>
      <c r="N7" s="2">
        <v>0</v>
      </c>
      <c r="O7" s="2">
        <v>0</v>
      </c>
      <c r="P7" s="2">
        <f>SUM(Table12[[#This Row],[Fuel]:[Parking]])</f>
        <v>0</v>
      </c>
      <c r="Q7" s="61"/>
      <c r="R7" s="37"/>
      <c r="T7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7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7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7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7" s="60">
        <v>0</v>
      </c>
      <c r="Y7" s="40">
        <f>Table12[[#This Row],[Driving Paid]]+Table12[[#This Row],[Meals Paid]]</f>
        <v>0</v>
      </c>
      <c r="Z7" s="38"/>
      <c r="AA7" s="23"/>
      <c r="AB7" s="24"/>
      <c r="AC7" s="26"/>
      <c r="AD7" s="26"/>
      <c r="AE7" s="27"/>
      <c r="AF7" s="27"/>
      <c r="AG7" s="23"/>
      <c r="AH7" s="35"/>
      <c r="AI7" s="2"/>
      <c r="AJ7" s="2"/>
      <c r="AK7" s="2"/>
      <c r="AL7" s="2"/>
      <c r="AM7" s="2">
        <f>Table12[[#This Row],[Base Rate]]*(1+Table12[[#This Row],[Tax %]])+Table12[[#This Row],[Tax Flat]]</f>
        <v>0</v>
      </c>
      <c r="AN7" s="2"/>
      <c r="AO7" s="55"/>
      <c r="AP7" s="2"/>
      <c r="AQ7" s="2">
        <f>IF(AL8="Yes",Table12[[#This Row],[Nightly Rate with Taxes]]+AQ8,Table12[[#This Row],[Nightly Rate with Taxes]])</f>
        <v>0</v>
      </c>
      <c r="AR7" s="2"/>
      <c r="AS7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7" s="40"/>
    </row>
    <row r="8" spans="1:46" x14ac:dyDescent="0.25">
      <c r="A8" s="18" cm="1">
        <f t="array" ref="A8">IF(A7&lt;TripBasics[End Date],A7+1,"")</f>
        <v>44839</v>
      </c>
      <c r="D8" s="41"/>
      <c r="H8">
        <f>IF(Table12[[#This Row],[Car Owner]]=OwnCar,Table12[[#This Row],[Miles]],0)</f>
        <v>0</v>
      </c>
      <c r="I8">
        <f>F8+I7</f>
        <v>0</v>
      </c>
      <c r="J8" s="36"/>
      <c r="K8" s="43">
        <f>Table12[[#This Row],[Miles]]/CAR_MPG</f>
        <v>0</v>
      </c>
      <c r="M8" s="2">
        <f>IF(ISBLANK(Table12[[#This Row],[Alt Price/Gal]]),Table12[[#This Row],[Gallons]]*GAS_PRICE,Table12[[#This Row],[Alt Price/Gal]])</f>
        <v>0</v>
      </c>
      <c r="N8" s="2">
        <v>0</v>
      </c>
      <c r="O8" s="2">
        <v>0</v>
      </c>
      <c r="P8" s="2">
        <f>SUM(Table12[[#This Row],[Fuel]:[Parking]])</f>
        <v>0</v>
      </c>
      <c r="Q8" s="61"/>
      <c r="R8" s="37"/>
      <c r="T8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8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8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8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8" s="60">
        <v>0</v>
      </c>
      <c r="Y8" s="40">
        <f>Table12[[#This Row],[Driving Paid]]+Table12[[#This Row],[Meals Paid]]</f>
        <v>0</v>
      </c>
      <c r="Z8" s="38"/>
      <c r="AA8" s="23"/>
      <c r="AB8" s="24"/>
      <c r="AC8" s="2"/>
      <c r="AD8" s="2"/>
      <c r="AE8" s="27"/>
      <c r="AF8" s="27"/>
      <c r="AG8" s="23"/>
      <c r="AH8" s="44"/>
      <c r="AI8" s="2"/>
      <c r="AJ8" s="2"/>
      <c r="AK8" s="2"/>
      <c r="AL8" s="2"/>
      <c r="AM8" s="2">
        <f>Table12[[#This Row],[Base Rate]]*(1+Table12[[#This Row],[Tax %]])+Table12[[#This Row],[Tax Flat]]</f>
        <v>0</v>
      </c>
      <c r="AN8" s="2"/>
      <c r="AO8" s="55"/>
      <c r="AP8" s="2"/>
      <c r="AQ8" s="2">
        <f>IF(AL9="Yes",Table12[[#This Row],[Nightly Rate with Taxes]]+AQ9,Table12[[#This Row],[Nightly Rate with Taxes]])</f>
        <v>0</v>
      </c>
      <c r="AR8" s="2"/>
      <c r="AS8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8" s="40"/>
    </row>
    <row r="9" spans="1:46" x14ac:dyDescent="0.25">
      <c r="A9" s="18" t="str" cm="1">
        <f t="array" ref="A9">IF(A8&lt;TripBasics[End Date],A8+1,"")</f>
        <v/>
      </c>
      <c r="D9" s="41"/>
      <c r="H9">
        <f>IF(Table12[[#This Row],[Car Owner]]=OwnCar,Table12[[#This Row],[Miles]],0)</f>
        <v>0</v>
      </c>
      <c r="I9">
        <f>F9+I8</f>
        <v>0</v>
      </c>
      <c r="J9" s="36"/>
      <c r="K9" s="43">
        <f>Table12[[#This Row],[Miles]]/CAR_MPG</f>
        <v>0</v>
      </c>
      <c r="M9" s="2">
        <f>IF(ISBLANK(Table12[[#This Row],[Alt Price/Gal]]),Table12[[#This Row],[Gallons]]*GAS_PRICE,Table12[[#This Row],[Alt Price/Gal]])</f>
        <v>0</v>
      </c>
      <c r="N9" s="2">
        <v>0</v>
      </c>
      <c r="O9" s="2">
        <v>0</v>
      </c>
      <c r="P9" s="2">
        <f>SUM(Table12[[#This Row],[Fuel]:[Parking]])</f>
        <v>0</v>
      </c>
      <c r="Q9" s="61"/>
      <c r="R9" s="37"/>
      <c r="T9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9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9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9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9" s="60"/>
      <c r="Y9" s="40">
        <f>Table12[[#This Row],[Driving Paid]]+Table12[[#This Row],[Meals Paid]]</f>
        <v>0</v>
      </c>
      <c r="Z9" s="38"/>
      <c r="AA9" s="23"/>
      <c r="AB9" s="24"/>
      <c r="AC9" s="26"/>
      <c r="AD9" s="26"/>
      <c r="AE9" s="27"/>
      <c r="AF9" s="27"/>
      <c r="AG9" s="23" t="str">
        <f>IF(NOT(ISBLANK(Table12[[#This Row],[Start Time]])),Table12[[#This Row],[Start Time]]+Table12[[#This Row],[Total Time]],"")</f>
        <v/>
      </c>
      <c r="AH9" s="35"/>
      <c r="AI9" s="2"/>
      <c r="AJ9" s="2"/>
      <c r="AK9" s="2"/>
      <c r="AL9" s="2"/>
      <c r="AM9" s="2">
        <f>Table12[[#This Row],[Base Rate]]*(1+Table12[[#This Row],[Tax %]])+Table12[[#This Row],[Tax Flat]]</f>
        <v>0</v>
      </c>
      <c r="AN9" s="2"/>
      <c r="AO9" s="55"/>
      <c r="AP9" s="2"/>
      <c r="AQ9" s="2">
        <f>IF(AL10="Yes",Table12[[#This Row],[Nightly Rate with Taxes]]+AQ10,Table12[[#This Row],[Nightly Rate with Taxes]])</f>
        <v>0</v>
      </c>
      <c r="AR9" s="2"/>
      <c r="AS9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9" s="40"/>
    </row>
    <row r="10" spans="1:46" x14ac:dyDescent="0.25">
      <c r="A10" s="18" t="str" cm="1">
        <f t="array" ref="A10">IF(A9&lt;TripBasics[End Date],A9+1,"")</f>
        <v/>
      </c>
      <c r="D10" s="41"/>
      <c r="H10">
        <f>IF(Table12[[#This Row],[Car Owner]]=OwnCar,Table12[[#This Row],[Miles]],0)</f>
        <v>0</v>
      </c>
      <c r="I10">
        <f t="shared" si="1"/>
        <v>0</v>
      </c>
      <c r="J10" s="36"/>
      <c r="K10" s="43">
        <f>Table12[[#This Row],[Miles]]/CAR_MPG</f>
        <v>0</v>
      </c>
      <c r="M10" s="2">
        <f>IF(ISBLANK(Table12[[#This Row],[Alt Price/Gal]]),Table12[[#This Row],[Gallons]]*GAS_PRICE,Table12[[#This Row],[Alt Price/Gal]])</f>
        <v>0</v>
      </c>
      <c r="N10" s="2">
        <v>0</v>
      </c>
      <c r="O10" s="2">
        <v>0</v>
      </c>
      <c r="P10" s="2">
        <f>SUM(Table12[[#This Row],[Fuel]:[Parking]])</f>
        <v>0</v>
      </c>
      <c r="Q10" s="61"/>
      <c r="R10" s="37"/>
      <c r="T10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0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0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0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0" s="60"/>
      <c r="Y10" s="40">
        <f>Table12[[#This Row],[Driving Paid]]+Table12[[#This Row],[Meals Paid]]</f>
        <v>0</v>
      </c>
      <c r="Z10" s="38"/>
      <c r="AA10" s="23"/>
      <c r="AB10" s="24"/>
      <c r="AC10" s="26"/>
      <c r="AD10" s="26"/>
      <c r="AE10" s="27"/>
      <c r="AF10" s="27"/>
      <c r="AG10" s="23" t="str">
        <f>IF(NOT(ISBLANK(Table12[[#This Row],[Start Time]])),Table12[[#This Row],[Start Time]]+Table12[[#This Row],[Total Time]],"")</f>
        <v/>
      </c>
      <c r="AH10" s="35"/>
      <c r="AI10" s="2"/>
      <c r="AJ10" s="2"/>
      <c r="AK10" s="2"/>
      <c r="AL10" s="2"/>
      <c r="AM10" s="2">
        <f>Table12[[#This Row],[Base Rate]]*(1+Table12[[#This Row],[Tax %]])+Table12[[#This Row],[Tax Flat]]</f>
        <v>0</v>
      </c>
      <c r="AN10" s="2"/>
      <c r="AO10" s="55"/>
      <c r="AP10" s="2"/>
      <c r="AQ10" s="2">
        <f>IF(AL11="Yes",Table12[[#This Row],[Nightly Rate with Taxes]]+AQ11,Table12[[#This Row],[Nightly Rate with Taxes]])</f>
        <v>0</v>
      </c>
      <c r="AR10" s="2"/>
      <c r="AS10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0" s="40"/>
    </row>
    <row r="11" spans="1:46" x14ac:dyDescent="0.25">
      <c r="A11" s="18" t="str" cm="1">
        <f t="array" ref="A11">IF(A10&lt;TripBasics[End Date],A10+1,"")</f>
        <v/>
      </c>
      <c r="D11" s="41"/>
      <c r="H11">
        <f>IF(Table12[[#This Row],[Car Owner]]=OwnCar,Table12[[#This Row],[Miles]],0)</f>
        <v>0</v>
      </c>
      <c r="I11">
        <f t="shared" si="1"/>
        <v>0</v>
      </c>
      <c r="J11" s="36"/>
      <c r="K11" s="43">
        <f>Table12[[#This Row],[Miles]]/CAR_MPG</f>
        <v>0</v>
      </c>
      <c r="M11" s="2">
        <f>IF(ISBLANK(Table12[[#This Row],[Alt Price/Gal]]),Table12[[#This Row],[Gallons]]*GAS_PRICE,Table12[[#This Row],[Alt Price/Gal]])</f>
        <v>0</v>
      </c>
      <c r="N11" s="2">
        <v>0</v>
      </c>
      <c r="O11" s="2">
        <v>0</v>
      </c>
      <c r="P11" s="2">
        <f>SUM(Table12[[#This Row],[Fuel]:[Parking]])</f>
        <v>0</v>
      </c>
      <c r="Q11" s="61"/>
      <c r="R11" s="37"/>
      <c r="T11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1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1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1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1" s="60"/>
      <c r="Y11" s="40">
        <f>Table12[[#This Row],[Driving Paid]]+Table12[[#This Row],[Meals Paid]]</f>
        <v>0</v>
      </c>
      <c r="Z11" s="38"/>
      <c r="AA11" s="23"/>
      <c r="AB11" s="24"/>
      <c r="AC11" s="26"/>
      <c r="AD11" s="26"/>
      <c r="AE11" s="27"/>
      <c r="AF11" s="27"/>
      <c r="AG11" s="23" t="str">
        <f>IF(NOT(ISBLANK(Table12[[#This Row],[Start Time]])),Table12[[#This Row],[Start Time]]+Table12[[#This Row],[Total Time]],"")</f>
        <v/>
      </c>
      <c r="AH11" s="35"/>
      <c r="AI11" s="2"/>
      <c r="AJ11" s="2"/>
      <c r="AK11" s="2"/>
      <c r="AL11" s="2"/>
      <c r="AM11" s="2">
        <f>Table12[[#This Row],[Base Rate]]*(1+Table12[[#This Row],[Tax %]])+Table12[[#This Row],[Tax Flat]]</f>
        <v>0</v>
      </c>
      <c r="AN11" s="2"/>
      <c r="AO11" s="55"/>
      <c r="AP11" s="2"/>
      <c r="AQ11" s="2">
        <f>IF(AL12="Yes",Table12[[#This Row],[Nightly Rate with Taxes]]+AQ12,Table12[[#This Row],[Nightly Rate with Taxes]])</f>
        <v>0</v>
      </c>
      <c r="AR11" s="2"/>
      <c r="AS11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1" s="40"/>
    </row>
    <row r="12" spans="1:46" x14ac:dyDescent="0.25">
      <c r="A12" s="18" t="str" cm="1">
        <f t="array" ref="A12">IF(A11&lt;TripBasics[End Date],A11+1,"")</f>
        <v/>
      </c>
      <c r="D12" s="41"/>
      <c r="H12">
        <f>IF(Table12[[#This Row],[Car Owner]]=OwnCar,Table12[[#This Row],[Miles]],0)</f>
        <v>0</v>
      </c>
      <c r="I12">
        <f t="shared" si="1"/>
        <v>0</v>
      </c>
      <c r="J12" s="36"/>
      <c r="K12" s="43">
        <f>Table12[[#This Row],[Miles]]/CAR_MPG</f>
        <v>0</v>
      </c>
      <c r="M12" s="2">
        <f>IF(ISBLANK(Table12[[#This Row],[Alt Price/Gal]]),Table12[[#This Row],[Gallons]]*GAS_PRICE,Table12[[#This Row],[Alt Price/Gal]])</f>
        <v>0</v>
      </c>
      <c r="N12" s="2">
        <v>0</v>
      </c>
      <c r="O12" s="2">
        <v>0</v>
      </c>
      <c r="P12" s="2">
        <f>SUM(Table12[[#This Row],[Fuel]:[Parking]])</f>
        <v>0</v>
      </c>
      <c r="Q12" s="61"/>
      <c r="R12" s="37"/>
      <c r="T12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2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2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2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2" s="60"/>
      <c r="Y12" s="40">
        <f>Table12[[#This Row],[Driving Paid]]+Table12[[#This Row],[Meals Paid]]</f>
        <v>0</v>
      </c>
      <c r="Z12" s="38"/>
      <c r="AA12" s="23"/>
      <c r="AB12" s="24"/>
      <c r="AC12" s="26"/>
      <c r="AD12" s="26"/>
      <c r="AE12" s="27"/>
      <c r="AF12" s="27"/>
      <c r="AG12" s="23" t="str">
        <f>IF(NOT(ISBLANK(Table12[[#This Row],[Start Time]])),Table12[[#This Row],[Start Time]]+Table12[[#This Row],[Total Time]],"")</f>
        <v/>
      </c>
      <c r="AH12" s="35"/>
      <c r="AI12" s="2"/>
      <c r="AJ12" s="2"/>
      <c r="AK12" s="2"/>
      <c r="AL12" s="2"/>
      <c r="AM12" s="2">
        <f>Table12[[#This Row],[Base Rate]]*(1+Table12[[#This Row],[Tax %]])+Table12[[#This Row],[Tax Flat]]</f>
        <v>0</v>
      </c>
      <c r="AN12" s="2"/>
      <c r="AO12" s="55"/>
      <c r="AP12" s="2"/>
      <c r="AQ12" s="2">
        <f>IF(AL13="Yes",Table12[[#This Row],[Nightly Rate with Taxes]]+AQ13,Table12[[#This Row],[Nightly Rate with Taxes]])</f>
        <v>0</v>
      </c>
      <c r="AR12" s="2"/>
      <c r="AS12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2" s="40"/>
    </row>
    <row r="13" spans="1:46" x14ac:dyDescent="0.25">
      <c r="A13" s="18" t="str" cm="1">
        <f t="array" ref="A13">IF(A12&lt;TripBasics[End Date],A12+1,"")</f>
        <v/>
      </c>
      <c r="D13" s="41"/>
      <c r="H13">
        <f>IF(Table12[[#This Row],[Car Owner]]=OwnCar,Table12[[#This Row],[Miles]],0)</f>
        <v>0</v>
      </c>
      <c r="I13">
        <f t="shared" si="1"/>
        <v>0</v>
      </c>
      <c r="J13" s="36"/>
      <c r="K13" s="43">
        <f>Table12[[#This Row],[Miles]]/CAR_MPG</f>
        <v>0</v>
      </c>
      <c r="M13" s="2">
        <f>IF(ISBLANK(Table12[[#This Row],[Alt Price/Gal]]),Table12[[#This Row],[Gallons]]*GAS_PRICE,Table12[[#This Row],[Alt Price/Gal]])</f>
        <v>0</v>
      </c>
      <c r="N13" s="2">
        <v>0</v>
      </c>
      <c r="O13" s="2">
        <v>0</v>
      </c>
      <c r="P13" s="2">
        <f>SUM(Table12[[#This Row],[Fuel]:[Parking]])</f>
        <v>0</v>
      </c>
      <c r="Q13" s="61"/>
      <c r="R13" s="37"/>
      <c r="T13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3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3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3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3" s="60"/>
      <c r="Y13" s="40">
        <f>Table12[[#This Row],[Driving Paid]]+Table12[[#This Row],[Meals Paid]]</f>
        <v>0</v>
      </c>
      <c r="Z13" s="38"/>
      <c r="AA13" s="23"/>
      <c r="AB13" s="24"/>
      <c r="AC13" s="26"/>
      <c r="AD13" s="26"/>
      <c r="AE13" s="27"/>
      <c r="AF13" s="27"/>
      <c r="AG13" s="23" t="str">
        <f>IF(NOT(ISBLANK(Table12[[#This Row],[Start Time]])),Table12[[#This Row],[Start Time]]+Table12[[#This Row],[Total Time]],"")</f>
        <v/>
      </c>
      <c r="AH13" s="35"/>
      <c r="AI13" s="2"/>
      <c r="AJ13" s="2"/>
      <c r="AK13" s="2"/>
      <c r="AL13" s="2"/>
      <c r="AM13" s="2">
        <f>Table12[[#This Row],[Base Rate]]*(1+Table12[[#This Row],[Tax %]])+Table12[[#This Row],[Tax Flat]]</f>
        <v>0</v>
      </c>
      <c r="AN13" s="2"/>
      <c r="AO13" s="55"/>
      <c r="AP13" s="2"/>
      <c r="AQ13" s="2">
        <f>IF(AL14="Yes",Table12[[#This Row],[Nightly Rate with Taxes]]+AQ14,Table12[[#This Row],[Nightly Rate with Taxes]])</f>
        <v>0</v>
      </c>
      <c r="AR13" s="2"/>
      <c r="AS13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3" s="40"/>
    </row>
    <row r="14" spans="1:46" x14ac:dyDescent="0.25">
      <c r="A14" s="18" t="str" cm="1">
        <f t="array" ref="A14">IF(A13&lt;TripBasics[End Date],A13+1,"")</f>
        <v/>
      </c>
      <c r="D14" s="41"/>
      <c r="H14">
        <f>IF(Table12[[#This Row],[Car Owner]]=OwnCar,Table12[[#This Row],[Miles]],0)</f>
        <v>0</v>
      </c>
      <c r="I14">
        <f t="shared" si="1"/>
        <v>0</v>
      </c>
      <c r="J14" s="36"/>
      <c r="K14" s="43">
        <f>Table12[[#This Row],[Miles]]/CAR_MPG</f>
        <v>0</v>
      </c>
      <c r="M14" s="2">
        <f>IF(ISBLANK(Table12[[#This Row],[Alt Price/Gal]]),Table12[[#This Row],[Gallons]]*GAS_PRICE,Table12[[#This Row],[Alt Price/Gal]])</f>
        <v>0</v>
      </c>
      <c r="N14" s="2">
        <v>0</v>
      </c>
      <c r="O14" s="2">
        <v>0</v>
      </c>
      <c r="P14" s="2">
        <f>SUM(Table12[[#This Row],[Fuel]:[Parking]])</f>
        <v>0</v>
      </c>
      <c r="Q14" s="61"/>
      <c r="R14" s="37"/>
      <c r="T14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4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4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4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4" s="60"/>
      <c r="Y14" s="40">
        <f>Table12[[#This Row],[Driving Paid]]+Table12[[#This Row],[Meals Paid]]</f>
        <v>0</v>
      </c>
      <c r="Z14" s="38"/>
      <c r="AA14" s="23"/>
      <c r="AB14" s="24"/>
      <c r="AC14" s="26"/>
      <c r="AD14" s="26"/>
      <c r="AE14" s="27"/>
      <c r="AF14" s="27"/>
      <c r="AG14" s="23" t="str">
        <f>IF(NOT(ISBLANK(Table12[[#This Row],[Start Time]])),Table12[[#This Row],[Start Time]]+Table12[[#This Row],[Total Time]],"")</f>
        <v/>
      </c>
      <c r="AH14" s="35"/>
      <c r="AI14" s="2"/>
      <c r="AJ14" s="2"/>
      <c r="AK14" s="2"/>
      <c r="AL14" s="2"/>
      <c r="AM14" s="2">
        <f>Table12[[#This Row],[Base Rate]]*(1+Table12[[#This Row],[Tax %]])+Table12[[#This Row],[Tax Flat]]</f>
        <v>0</v>
      </c>
      <c r="AN14" s="2"/>
      <c r="AO14" s="55"/>
      <c r="AP14" s="55"/>
      <c r="AQ14" s="2">
        <f>IF(AL15="Yes",Table12[[#This Row],[Nightly Rate with Taxes]]+AQ15,Table12[[#This Row],[Nightly Rate with Taxes]])</f>
        <v>0</v>
      </c>
      <c r="AR14" s="2"/>
      <c r="AS14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4" s="40"/>
    </row>
    <row r="15" spans="1:46" x14ac:dyDescent="0.25">
      <c r="A15" s="18" t="str" cm="1">
        <f t="array" ref="A15">IF(A14&lt;TripBasics[End Date],A14+1,"")</f>
        <v/>
      </c>
      <c r="D15" s="41"/>
      <c r="H15">
        <f>IF(Table12[[#This Row],[Car Owner]]=OwnCar,Table12[[#This Row],[Miles]],0)</f>
        <v>0</v>
      </c>
      <c r="I15">
        <f t="shared" si="1"/>
        <v>0</v>
      </c>
      <c r="J15" s="36"/>
      <c r="K15" s="43">
        <f>Table12[[#This Row],[Miles]]/CAR_MPG</f>
        <v>0</v>
      </c>
      <c r="M15" s="2">
        <f>IF(ISBLANK(Table12[[#This Row],[Alt Price/Gal]]),Table12[[#This Row],[Gallons]]*GAS_PRICE,Table12[[#This Row],[Alt Price/Gal]])</f>
        <v>0</v>
      </c>
      <c r="N15" s="2">
        <v>0</v>
      </c>
      <c r="O15" s="2">
        <v>0</v>
      </c>
      <c r="P15" s="2">
        <f>SUM(Table12[[#This Row],[Fuel]:[Parking]])</f>
        <v>0</v>
      </c>
      <c r="Q15" s="61"/>
      <c r="R15" s="37"/>
      <c r="T15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5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5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5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5" s="60"/>
      <c r="Y15" s="40">
        <f>Table12[[#This Row],[Driving Paid]]+Table12[[#This Row],[Meals Paid]]</f>
        <v>0</v>
      </c>
      <c r="Z15" s="38"/>
      <c r="AA15" s="23"/>
      <c r="AB15" s="24"/>
      <c r="AC15" s="26"/>
      <c r="AD15" s="26"/>
      <c r="AE15" s="27"/>
      <c r="AF15" s="27"/>
      <c r="AG15" s="23" t="str">
        <f>IF(NOT(ISBLANK(Table12[[#This Row],[Start Time]])),Table12[[#This Row],[Start Time]]+Table12[[#This Row],[Total Time]],"")</f>
        <v/>
      </c>
      <c r="AH15" s="35"/>
      <c r="AI15" s="2"/>
      <c r="AJ15" s="2"/>
      <c r="AK15" s="2"/>
      <c r="AL15" s="2"/>
      <c r="AM15" s="2">
        <f>Table12[[#This Row],[Base Rate]]*(1+Table12[[#This Row],[Tax %]])+Table12[[#This Row],[Tax Flat]]</f>
        <v>0</v>
      </c>
      <c r="AN15" s="2"/>
      <c r="AO15" s="55"/>
      <c r="AP15" s="55"/>
      <c r="AQ15" s="2">
        <f>IF(AL16="Yes",Table12[[#This Row],[Nightly Rate with Taxes]]+AQ16,Table12[[#This Row],[Nightly Rate with Taxes]])</f>
        <v>0</v>
      </c>
      <c r="AR15" s="2"/>
      <c r="AS15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5" s="40"/>
    </row>
    <row r="16" spans="1:46" x14ac:dyDescent="0.25">
      <c r="A16" s="18" t="str" cm="1">
        <f t="array" ref="A16">IF(A15&lt;TripBasics[End Date],A15+1,"")</f>
        <v/>
      </c>
      <c r="D16" s="41"/>
      <c r="H16">
        <f>IF(Table12[[#This Row],[Car Owner]]=OwnCar,Table12[[#This Row],[Miles]],0)</f>
        <v>0</v>
      </c>
      <c r="I16">
        <f t="shared" si="1"/>
        <v>0</v>
      </c>
      <c r="J16" s="36"/>
      <c r="K16" s="43">
        <f>Table12[[#This Row],[Miles]]/CAR_MPG</f>
        <v>0</v>
      </c>
      <c r="M16" s="2">
        <f>IF(ISBLANK(Table12[[#This Row],[Alt Price/Gal]]),Table12[[#This Row],[Gallons]]*GAS_PRICE,Table12[[#This Row],[Alt Price/Gal]])</f>
        <v>0</v>
      </c>
      <c r="N16" s="2">
        <v>0</v>
      </c>
      <c r="O16" s="2">
        <v>0</v>
      </c>
      <c r="P16" s="2">
        <f>SUM(Table12[[#This Row],[Fuel]:[Parking]])</f>
        <v>0</v>
      </c>
      <c r="Q16" s="61"/>
      <c r="R16" s="37"/>
      <c r="T16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6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6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6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6" s="60"/>
      <c r="Y16" s="40">
        <f>Table12[[#This Row],[Driving Paid]]+Table12[[#This Row],[Meals Paid]]</f>
        <v>0</v>
      </c>
      <c r="Z16" s="38"/>
      <c r="AA16" s="23"/>
      <c r="AB16" s="24"/>
      <c r="AC16" s="2"/>
      <c r="AD16" s="26"/>
      <c r="AE16" s="27"/>
      <c r="AF16" s="27"/>
      <c r="AG16" s="23" t="str">
        <f>IF(NOT(ISBLANK(Table12[[#This Row],[Start Time]])),Table12[[#This Row],[Start Time]]+Table12[[#This Row],[Total Time]],"")</f>
        <v/>
      </c>
      <c r="AH16" s="35"/>
      <c r="AI16" s="2"/>
      <c r="AJ16" s="2"/>
      <c r="AK16" s="2"/>
      <c r="AL16" s="2"/>
      <c r="AM16" s="2">
        <f>Table12[[#This Row],[Base Rate]]*(1+Table12[[#This Row],[Tax %]])+Table12[[#This Row],[Tax Flat]]</f>
        <v>0</v>
      </c>
      <c r="AN16" s="2"/>
      <c r="AO16" s="55"/>
      <c r="AP16" s="55"/>
      <c r="AQ16" s="2">
        <f>IF(AL17="Yes",Table12[[#This Row],[Nightly Rate with Taxes]]+AQ17,Table12[[#This Row],[Nightly Rate with Taxes]])</f>
        <v>0</v>
      </c>
      <c r="AR16" s="2"/>
      <c r="AS16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6" s="40"/>
    </row>
    <row r="17" spans="1:46" x14ac:dyDescent="0.25">
      <c r="A17" s="18" t="str" cm="1">
        <f t="array" ref="A17">IF(A16&lt;TripBasics[End Date],A16+1,"")</f>
        <v/>
      </c>
      <c r="D17" s="41"/>
      <c r="H17">
        <f>IF(Table12[[#This Row],[Car Owner]]=OwnCar,Table12[[#This Row],[Miles]],0)</f>
        <v>0</v>
      </c>
      <c r="I17">
        <f t="shared" si="1"/>
        <v>0</v>
      </c>
      <c r="J17" s="36"/>
      <c r="K17" s="43">
        <f>Table12[[#This Row],[Miles]]/CAR_MPG</f>
        <v>0</v>
      </c>
      <c r="M17" s="2">
        <f>IF(ISBLANK(Table12[[#This Row],[Alt Price/Gal]]),Table12[[#This Row],[Gallons]]*GAS_PRICE,Table12[[#This Row],[Alt Price/Gal]])</f>
        <v>0</v>
      </c>
      <c r="N17" s="2">
        <v>0</v>
      </c>
      <c r="O17" s="2">
        <v>0</v>
      </c>
      <c r="P17" s="2">
        <f>SUM(Table12[[#This Row],[Fuel]:[Parking]])</f>
        <v>0</v>
      </c>
      <c r="Q17" s="61"/>
      <c r="R17" s="37"/>
      <c r="T17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7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7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7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7" s="60"/>
      <c r="Y17" s="40">
        <f>Table12[[#This Row],[Driving Paid]]+Table12[[#This Row],[Meals Paid]]</f>
        <v>0</v>
      </c>
      <c r="Z17" s="38"/>
      <c r="AA17" s="23"/>
      <c r="AB17" s="24"/>
      <c r="AC17" s="26"/>
      <c r="AD17" s="26"/>
      <c r="AE17" s="27"/>
      <c r="AF17" s="27"/>
      <c r="AG17" s="23" t="str">
        <f>IF(NOT(ISBLANK(Table12[[#This Row],[Start Time]])),Table12[[#This Row],[Start Time]]+Table12[[#This Row],[Total Time]],"")</f>
        <v/>
      </c>
      <c r="AH17" s="35"/>
      <c r="AI17" s="2"/>
      <c r="AJ17" s="2"/>
      <c r="AK17" s="2"/>
      <c r="AL17" s="2"/>
      <c r="AM17" s="2">
        <f>Table12[[#This Row],[Base Rate]]*(1+Table12[[#This Row],[Tax %]])+Table12[[#This Row],[Tax Flat]]</f>
        <v>0</v>
      </c>
      <c r="AN17" s="2"/>
      <c r="AO17" s="55"/>
      <c r="AP17" s="55"/>
      <c r="AQ17" s="2">
        <f>IF(AL18="Yes",Table12[[#This Row],[Nightly Rate with Taxes]]+AQ18,Table12[[#This Row],[Nightly Rate with Taxes]])</f>
        <v>0</v>
      </c>
      <c r="AR17" s="2"/>
      <c r="AS17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7" s="40"/>
    </row>
    <row r="18" spans="1:46" x14ac:dyDescent="0.25">
      <c r="A18" s="18" t="str" cm="1">
        <f t="array" ref="A18">IF(A17&lt;TripBasics[End Date],A17+1,"")</f>
        <v/>
      </c>
      <c r="D18" s="41"/>
      <c r="H18">
        <f>IF(Table12[[#This Row],[Car Owner]]=OwnCar,Table12[[#This Row],[Miles]],0)</f>
        <v>0</v>
      </c>
      <c r="I18">
        <f t="shared" si="1"/>
        <v>0</v>
      </c>
      <c r="J18" s="36"/>
      <c r="K18" s="43">
        <f>Table12[[#This Row],[Miles]]/CAR_MPG</f>
        <v>0</v>
      </c>
      <c r="M18" s="2">
        <f>IF(ISBLANK(Table12[[#This Row],[Alt Price/Gal]]),Table12[[#This Row],[Gallons]]*GAS_PRICE,Table12[[#This Row],[Alt Price/Gal]])</f>
        <v>0</v>
      </c>
      <c r="N18" s="2"/>
      <c r="O18" s="2"/>
      <c r="P18" s="2">
        <f>SUM(Table12[[#This Row],[Fuel]:[Parking]])</f>
        <v>0</v>
      </c>
      <c r="Q18" s="61"/>
      <c r="R18" s="37"/>
      <c r="T18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8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8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8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8" s="60"/>
      <c r="Y18" s="40">
        <f>Table12[[#This Row],[Driving Paid]]+Table12[[#This Row],[Meals Paid]]</f>
        <v>0</v>
      </c>
      <c r="Z18" s="38"/>
      <c r="AA18" s="23"/>
      <c r="AB18" s="2"/>
      <c r="AC18" s="26"/>
      <c r="AD18" s="26"/>
      <c r="AE18" s="27"/>
      <c r="AF18" s="27" t="str">
        <f>IF(NOT(ISBLANK(Table12[[#This Row],[Start Time]])),Table12[[#This Row],[Duration]]+Table12[[#This Row],[TZ Ahead]]-Table12[[#This Row],[TZ Behind]]+Table12[[#This Row],[Idle Time]],"")</f>
        <v/>
      </c>
      <c r="AG18" s="23" t="str">
        <f>IF(NOT(ISBLANK(Table12[[#This Row],[Start Time]])),Table12[[#This Row],[Start Time]]+Table12[[#This Row],[Total Time]],"")</f>
        <v/>
      </c>
      <c r="AH18" s="35"/>
      <c r="AI18" s="2"/>
      <c r="AJ18" s="2"/>
      <c r="AK18" s="2"/>
      <c r="AL18" s="2"/>
      <c r="AM18" s="2">
        <f>Table12[[#This Row],[Base Rate]]*(1+Table12[[#This Row],[Tax %]])+Table12[[#This Row],[Tax Flat]]</f>
        <v>0</v>
      </c>
      <c r="AN18" s="2"/>
      <c r="AO18" s="55"/>
      <c r="AP18" s="55"/>
      <c r="AQ18" s="2">
        <f>IF(AL19="Yes",Table12[[#This Row],[Nightly Rate with Taxes]]+AQ19,Table12[[#This Row],[Nightly Rate with Taxes]])</f>
        <v>0</v>
      </c>
      <c r="AR18" s="2"/>
      <c r="AS18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8" s="40"/>
    </row>
    <row r="19" spans="1:46" x14ac:dyDescent="0.25">
      <c r="A19" s="18" t="str" cm="1">
        <f t="array" ref="A19">IF(A18&lt;TripBasics[End Date],A18+1,"")</f>
        <v/>
      </c>
      <c r="D19" s="41"/>
      <c r="H19">
        <f>IF(Table12[[#This Row],[Car Owner]]=OwnCar,Table12[[#This Row],[Miles]],0)</f>
        <v>0</v>
      </c>
      <c r="I19">
        <f t="shared" si="1"/>
        <v>0</v>
      </c>
      <c r="J19" s="36"/>
      <c r="K19" s="43">
        <f>Table12[[#This Row],[Miles]]/CAR_MPG</f>
        <v>0</v>
      </c>
      <c r="M19" s="2">
        <f>IF(ISBLANK(Table12[[#This Row],[Alt Price/Gal]]),Table12[[#This Row],[Gallons]]*GAS_PRICE,Table12[[#This Row],[Alt Price/Gal]])</f>
        <v>0</v>
      </c>
      <c r="N19" s="2"/>
      <c r="O19" s="2"/>
      <c r="P19" s="2">
        <f>SUM(Table12[[#This Row],[Fuel]:[Parking]])</f>
        <v>0</v>
      </c>
      <c r="Q19" s="61"/>
      <c r="R19" s="37"/>
      <c r="T19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19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19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19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19" s="60"/>
      <c r="Y19" s="40">
        <f>Table12[[#This Row],[Driving Paid]]+Table12[[#This Row],[Meals Paid]]</f>
        <v>0</v>
      </c>
      <c r="Z19" s="38"/>
      <c r="AA19" s="23"/>
      <c r="AB19" s="2"/>
      <c r="AC19" s="26"/>
      <c r="AD19" s="26"/>
      <c r="AE19" s="27"/>
      <c r="AF19" s="27" t="str">
        <f>IF(NOT(ISBLANK(Table12[[#This Row],[Start Time]])),Table12[[#This Row],[Duration]]+Table12[[#This Row],[TZ Ahead]]-Table12[[#This Row],[TZ Behind]]+Table12[[#This Row],[Idle Time]],"")</f>
        <v/>
      </c>
      <c r="AG19" s="23" t="str">
        <f>IF(NOT(ISBLANK(Table12[[#This Row],[Start Time]])),Table12[[#This Row],[Start Time]]+Table12[[#This Row],[Total Time]],"")</f>
        <v/>
      </c>
      <c r="AH19" s="35"/>
      <c r="AI19" s="2"/>
      <c r="AJ19" s="2"/>
      <c r="AK19" s="2"/>
      <c r="AL19" s="2"/>
      <c r="AM19" s="2">
        <f>Table12[[#This Row],[Base Rate]]*(1+Table12[[#This Row],[Tax %]])+Table12[[#This Row],[Tax Flat]]</f>
        <v>0</v>
      </c>
      <c r="AN19" s="2"/>
      <c r="AO19" s="55"/>
      <c r="AP19" s="55"/>
      <c r="AQ19" s="2">
        <f>IF(AL20="Yes",Table12[[#This Row],[Nightly Rate with Taxes]]+AQ20,Table12[[#This Row],[Nightly Rate with Taxes]])</f>
        <v>0</v>
      </c>
      <c r="AR19" s="2"/>
      <c r="AS19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19" s="40"/>
    </row>
    <row r="20" spans="1:46" x14ac:dyDescent="0.25">
      <c r="A20" s="18" t="str" cm="1">
        <f t="array" ref="A20">IF(A19&lt;TripBasics[End Date],A19+1,"")</f>
        <v/>
      </c>
      <c r="D20" s="41"/>
      <c r="H20">
        <f>IF(Table12[[#This Row],[Car Owner]]=OwnCar,Table12[[#This Row],[Miles]],0)</f>
        <v>0</v>
      </c>
      <c r="I20">
        <f t="shared" si="1"/>
        <v>0</v>
      </c>
      <c r="J20" s="36"/>
      <c r="K20" s="43">
        <f>Table12[[#This Row],[Miles]]/CAR_MPG</f>
        <v>0</v>
      </c>
      <c r="M20" s="2">
        <f>IF(ISBLANK(Table12[[#This Row],[Alt Price/Gal]]),Table12[[#This Row],[Gallons]]*GAS_PRICE,Table12[[#This Row],[Alt Price/Gal]])</f>
        <v>0</v>
      </c>
      <c r="N20" s="2"/>
      <c r="O20" s="2"/>
      <c r="P20" s="2">
        <f>SUM(Table12[[#This Row],[Fuel]:[Parking]])</f>
        <v>0</v>
      </c>
      <c r="Q20" s="61"/>
      <c r="R20" s="37"/>
      <c r="T20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0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0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0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0" s="60"/>
      <c r="Y20" s="40">
        <f>Table12[[#This Row],[Driving Paid]]+Table12[[#This Row],[Meals Paid]]</f>
        <v>0</v>
      </c>
      <c r="Z20" s="38"/>
      <c r="AA20" s="23"/>
      <c r="AB20" s="2"/>
      <c r="AC20" s="26"/>
      <c r="AD20" s="26"/>
      <c r="AE20" s="27"/>
      <c r="AF20" s="27" t="str">
        <f>IF(NOT(ISBLANK(Table12[[#This Row],[Start Time]])),Table12[[#This Row],[Duration]]+Table12[[#This Row],[TZ Ahead]]-Table12[[#This Row],[TZ Behind]]+Table12[[#This Row],[Idle Time]],"")</f>
        <v/>
      </c>
      <c r="AG20" s="23" t="str">
        <f>IF(NOT(ISBLANK(Table12[[#This Row],[Start Time]])),Table12[[#This Row],[Start Time]]+Table12[[#This Row],[Total Time]],"")</f>
        <v/>
      </c>
      <c r="AH20" s="35"/>
      <c r="AI20" s="2"/>
      <c r="AJ20" s="2"/>
      <c r="AK20" s="2"/>
      <c r="AL20" s="2"/>
      <c r="AM20" s="2">
        <f>Table12[[#This Row],[Base Rate]]*(1+Table12[[#This Row],[Tax %]])+Table12[[#This Row],[Tax Flat]]</f>
        <v>0</v>
      </c>
      <c r="AN20" s="2"/>
      <c r="AO20" s="55"/>
      <c r="AP20" s="55"/>
      <c r="AQ20" s="2">
        <f>IF(AL21="Yes",Table12[[#This Row],[Nightly Rate with Taxes]]+AQ21,Table12[[#This Row],[Nightly Rate with Taxes]])</f>
        <v>0</v>
      </c>
      <c r="AR20" s="2"/>
      <c r="AS20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0" s="40"/>
    </row>
    <row r="21" spans="1:46" x14ac:dyDescent="0.25">
      <c r="A21" s="18" t="str" cm="1">
        <f t="array" ref="A21">IF(A20&lt;TripBasics[End Date],A20+1,"")</f>
        <v/>
      </c>
      <c r="D21" s="41"/>
      <c r="H21">
        <f>IF(Table12[[#This Row],[Car Owner]]=OwnCar,Table12[[#This Row],[Miles]],0)</f>
        <v>0</v>
      </c>
      <c r="I21">
        <f t="shared" si="1"/>
        <v>0</v>
      </c>
      <c r="J21" s="36"/>
      <c r="K21" s="43">
        <f>Table12[[#This Row],[Miles]]/CAR_MPG</f>
        <v>0</v>
      </c>
      <c r="M21" s="2">
        <f>IF(ISBLANK(Table12[[#This Row],[Alt Price/Gal]]),Table12[[#This Row],[Gallons]]*GAS_PRICE,Table12[[#This Row],[Alt Price/Gal]])</f>
        <v>0</v>
      </c>
      <c r="N21" s="2"/>
      <c r="O21" s="2"/>
      <c r="P21" s="2">
        <f>SUM(Table12[[#This Row],[Fuel]:[Parking]])</f>
        <v>0</v>
      </c>
      <c r="Q21" s="61"/>
      <c r="R21" s="37"/>
      <c r="T21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1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1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1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1" s="60"/>
      <c r="Y21" s="40">
        <f>Table12[[#This Row],[Driving Paid]]+Table12[[#This Row],[Meals Paid]]</f>
        <v>0</v>
      </c>
      <c r="Z21" s="38"/>
      <c r="AA21" s="23"/>
      <c r="AB21" s="2"/>
      <c r="AC21" s="26"/>
      <c r="AD21" s="26"/>
      <c r="AE21" s="27"/>
      <c r="AF21" s="27" t="str">
        <f>IF(NOT(ISBLANK(Table12[[#This Row],[Start Time]])),Table12[[#This Row],[Duration]]+Table12[[#This Row],[TZ Ahead]]-Table12[[#This Row],[TZ Behind]]+Table12[[#This Row],[Idle Time]],"")</f>
        <v/>
      </c>
      <c r="AG21" s="23" t="str">
        <f>IF(NOT(ISBLANK(Table12[[#This Row],[Start Time]])),Table12[[#This Row],[Start Time]]+Table12[[#This Row],[Total Time]],"")</f>
        <v/>
      </c>
      <c r="AH21" s="35"/>
      <c r="AI21" s="2"/>
      <c r="AJ21" s="2"/>
      <c r="AK21" s="2"/>
      <c r="AL21" s="2"/>
      <c r="AM21" s="2">
        <f>Table12[[#This Row],[Base Rate]]*(1+Table12[[#This Row],[Tax %]])+Table12[[#This Row],[Tax Flat]]</f>
        <v>0</v>
      </c>
      <c r="AN21" s="2"/>
      <c r="AO21" s="55"/>
      <c r="AP21" s="55"/>
      <c r="AQ21" s="2">
        <f>IF(AL22="Yes",Table12[[#This Row],[Nightly Rate with Taxes]]+AQ22,Table12[[#This Row],[Nightly Rate with Taxes]])</f>
        <v>0</v>
      </c>
      <c r="AR21" s="2"/>
      <c r="AS21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1" s="40"/>
    </row>
    <row r="22" spans="1:46" x14ac:dyDescent="0.25">
      <c r="A22" s="18" t="str" cm="1">
        <f t="array" ref="A22">IF(A21&lt;TripBasics[End Date],A21+1,"")</f>
        <v/>
      </c>
      <c r="D22" s="41"/>
      <c r="H22">
        <f>IF(Table12[[#This Row],[Car Owner]]=OwnCar,Table12[[#This Row],[Miles]],0)</f>
        <v>0</v>
      </c>
      <c r="I22">
        <f t="shared" si="1"/>
        <v>0</v>
      </c>
      <c r="J22" s="36"/>
      <c r="K22" s="43">
        <f>Table12[[#This Row],[Miles]]/CAR_MPG</f>
        <v>0</v>
      </c>
      <c r="M22" s="2">
        <f>IF(ISBLANK(Table12[[#This Row],[Alt Price/Gal]]),Table12[[#This Row],[Gallons]]*GAS_PRICE,Table12[[#This Row],[Alt Price/Gal]])</f>
        <v>0</v>
      </c>
      <c r="N22" s="2"/>
      <c r="O22" s="2"/>
      <c r="P22" s="2">
        <f>SUM(Table12[[#This Row],[Fuel]:[Parking]])</f>
        <v>0</v>
      </c>
      <c r="Q22" s="61"/>
      <c r="R22" s="37"/>
      <c r="T22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2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2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2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2" s="60"/>
      <c r="Y22" s="40">
        <f>Table12[[#This Row],[Driving Paid]]+Table12[[#This Row],[Meals Paid]]</f>
        <v>0</v>
      </c>
      <c r="Z22" s="38"/>
      <c r="AA22" s="23"/>
      <c r="AB22" s="2"/>
      <c r="AC22" s="26"/>
      <c r="AD22" s="26"/>
      <c r="AE22" s="27"/>
      <c r="AF22" s="27" t="str">
        <f>IF(NOT(ISBLANK(Table12[[#This Row],[Start Time]])),Table12[[#This Row],[Duration]]+Table12[[#This Row],[TZ Ahead]]-Table12[[#This Row],[TZ Behind]]+Table12[[#This Row],[Idle Time]],"")</f>
        <v/>
      </c>
      <c r="AG22" s="23" t="str">
        <f>IF(NOT(ISBLANK(Table12[[#This Row],[Start Time]])),Table12[[#This Row],[Start Time]]+Table12[[#This Row],[Total Time]],"")</f>
        <v/>
      </c>
      <c r="AH22" s="35"/>
      <c r="AI22" s="2"/>
      <c r="AJ22" s="2"/>
      <c r="AK22" s="2"/>
      <c r="AL22" s="2"/>
      <c r="AM22" s="2">
        <f>Table12[[#This Row],[Base Rate]]*(1+Table12[[#This Row],[Tax %]])+Table12[[#This Row],[Tax Flat]]</f>
        <v>0</v>
      </c>
      <c r="AN22" s="2"/>
      <c r="AO22" s="55"/>
      <c r="AP22" s="55"/>
      <c r="AQ22" s="2">
        <f>IF(AL23="Yes",Table12[[#This Row],[Nightly Rate with Taxes]]+AQ23,Table12[[#This Row],[Nightly Rate with Taxes]])</f>
        <v>0</v>
      </c>
      <c r="AR22" s="2"/>
      <c r="AS22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2" s="40"/>
    </row>
    <row r="23" spans="1:46" x14ac:dyDescent="0.25">
      <c r="A23" s="18" t="str" cm="1">
        <f t="array" ref="A23">IF(A22&lt;TripBasics[End Date],A22+1,"")</f>
        <v/>
      </c>
      <c r="D23" s="41"/>
      <c r="H23">
        <f>IF(Table12[[#This Row],[Car Owner]]=OwnCar,Table12[[#This Row],[Miles]],0)</f>
        <v>0</v>
      </c>
      <c r="I23">
        <f t="shared" si="1"/>
        <v>0</v>
      </c>
      <c r="J23" s="36"/>
      <c r="K23" s="43">
        <f>Table12[[#This Row],[Miles]]/CAR_MPG</f>
        <v>0</v>
      </c>
      <c r="M23" s="2">
        <f>IF(ISBLANK(Table12[[#This Row],[Alt Price/Gal]]),Table12[[#This Row],[Gallons]]*GAS_PRICE,Table12[[#This Row],[Alt Price/Gal]])</f>
        <v>0</v>
      </c>
      <c r="N23" s="2"/>
      <c r="O23" s="2"/>
      <c r="P23" s="2">
        <f>SUM(Table12[[#This Row],[Fuel]:[Parking]])</f>
        <v>0</v>
      </c>
      <c r="Q23" s="61"/>
      <c r="R23" s="37"/>
      <c r="T23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3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3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3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3" s="60"/>
      <c r="Y23" s="40">
        <f>Table12[[#This Row],[Driving Paid]]+Table12[[#This Row],[Meals Paid]]</f>
        <v>0</v>
      </c>
      <c r="Z23" s="38"/>
      <c r="AA23" s="23"/>
      <c r="AB23" s="2"/>
      <c r="AC23" s="26"/>
      <c r="AD23" s="26"/>
      <c r="AE23" s="27"/>
      <c r="AF23" s="27" t="str">
        <f>IF(NOT(ISBLANK(Table12[[#This Row],[Start Time]])),Table12[[#This Row],[Duration]]+Table12[[#This Row],[TZ Ahead]]-Table12[[#This Row],[TZ Behind]]+Table12[[#This Row],[Idle Time]],"")</f>
        <v/>
      </c>
      <c r="AG23" s="23" t="str">
        <f>IF(NOT(ISBLANK(Table12[[#This Row],[Start Time]])),Table12[[#This Row],[Start Time]]+Table12[[#This Row],[Total Time]],"")</f>
        <v/>
      </c>
      <c r="AH23" s="35"/>
      <c r="AI23" s="2"/>
      <c r="AJ23" s="2"/>
      <c r="AK23" s="2"/>
      <c r="AL23" s="2"/>
      <c r="AM23" s="2">
        <f>Table12[[#This Row],[Base Rate]]*(1+Table12[[#This Row],[Tax %]])+Table12[[#This Row],[Tax Flat]]</f>
        <v>0</v>
      </c>
      <c r="AN23" s="2"/>
      <c r="AO23" s="55"/>
      <c r="AP23" s="55"/>
      <c r="AQ23" s="2">
        <f>IF(AL24="Yes",Table12[[#This Row],[Nightly Rate with Taxes]]+AQ24,Table12[[#This Row],[Nightly Rate with Taxes]])</f>
        <v>0</v>
      </c>
      <c r="AR23" s="2"/>
      <c r="AS23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3" s="40"/>
    </row>
    <row r="24" spans="1:46" x14ac:dyDescent="0.25">
      <c r="A24" s="18" t="str" cm="1">
        <f t="array" ref="A24">IF(A23&lt;TripBasics[End Date],A23+1,"")</f>
        <v/>
      </c>
      <c r="D24" s="41"/>
      <c r="H24">
        <f>IF(Table12[[#This Row],[Car Owner]]=OwnCar,Table12[[#This Row],[Miles]],0)</f>
        <v>0</v>
      </c>
      <c r="I24">
        <f t="shared" si="1"/>
        <v>0</v>
      </c>
      <c r="J24" s="36"/>
      <c r="K24" s="43">
        <f>Table12[[#This Row],[Miles]]/CAR_MPG</f>
        <v>0</v>
      </c>
      <c r="M24" s="2">
        <f>IF(ISBLANK(Table12[[#This Row],[Alt Price/Gal]]),Table12[[#This Row],[Gallons]]*GAS_PRICE,Table12[[#This Row],[Alt Price/Gal]])</f>
        <v>0</v>
      </c>
      <c r="N24" s="2"/>
      <c r="O24" s="2"/>
      <c r="P24" s="2">
        <f>SUM(Table12[[#This Row],[Fuel]:[Parking]])</f>
        <v>0</v>
      </c>
      <c r="Q24" s="61"/>
      <c r="R24" s="37"/>
      <c r="T24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4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4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4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4" s="60"/>
      <c r="Y24" s="40">
        <f>Table12[[#This Row],[Driving Paid]]+Table12[[#This Row],[Meals Paid]]</f>
        <v>0</v>
      </c>
      <c r="Z24" s="38"/>
      <c r="AA24" s="23"/>
      <c r="AB24" s="2"/>
      <c r="AC24" s="26"/>
      <c r="AD24" s="26"/>
      <c r="AE24" s="27"/>
      <c r="AF24" s="27" t="str">
        <f>IF(NOT(ISBLANK(Table12[[#This Row],[Start Time]])),Table12[[#This Row],[Duration]]+Table12[[#This Row],[TZ Ahead]]-Table12[[#This Row],[TZ Behind]]+Table12[[#This Row],[Idle Time]],"")</f>
        <v/>
      </c>
      <c r="AG24" s="23" t="str">
        <f>IF(NOT(ISBLANK(Table12[[#This Row],[Start Time]])),Table12[[#This Row],[Start Time]]+Table12[[#This Row],[Total Time]],"")</f>
        <v/>
      </c>
      <c r="AH24" s="35"/>
      <c r="AI24" s="2"/>
      <c r="AJ24" s="2"/>
      <c r="AK24" s="2"/>
      <c r="AL24" s="2"/>
      <c r="AM24" s="2">
        <f>Table12[[#This Row],[Base Rate]]*(1+Table12[[#This Row],[Tax %]])+Table12[[#This Row],[Tax Flat]]</f>
        <v>0</v>
      </c>
      <c r="AN24" s="2"/>
      <c r="AO24" s="55"/>
      <c r="AP24" s="55"/>
      <c r="AQ24" s="2">
        <f>IF(AL25="Yes",Table12[[#This Row],[Nightly Rate with Taxes]]+AQ25,Table12[[#This Row],[Nightly Rate with Taxes]])</f>
        <v>0</v>
      </c>
      <c r="AR24" s="2"/>
      <c r="AS24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4" s="40"/>
    </row>
    <row r="25" spans="1:46" x14ac:dyDescent="0.25">
      <c r="A25" s="18" t="str" cm="1">
        <f t="array" ref="A25">IF(A24&lt;TripBasics[End Date],A24+1,"")</f>
        <v/>
      </c>
      <c r="D25" s="41"/>
      <c r="H25">
        <f>IF(Table12[[#This Row],[Car Owner]]=OwnCar,Table12[[#This Row],[Miles]],0)</f>
        <v>0</v>
      </c>
      <c r="I25">
        <f t="shared" si="1"/>
        <v>0</v>
      </c>
      <c r="J25" s="36"/>
      <c r="K25" s="43">
        <f>Table12[[#This Row],[Miles]]/CAR_MPG</f>
        <v>0</v>
      </c>
      <c r="M25" s="2">
        <f>IF(ISBLANK(Table12[[#This Row],[Alt Price/Gal]]),Table12[[#This Row],[Gallons]]*GAS_PRICE,Table12[[#This Row],[Alt Price/Gal]])</f>
        <v>0</v>
      </c>
      <c r="N25" s="2"/>
      <c r="O25" s="2"/>
      <c r="P25" s="2">
        <f>SUM(Table12[[#This Row],[Fuel]:[Parking]])</f>
        <v>0</v>
      </c>
      <c r="Q25" s="61"/>
      <c r="R25" s="37"/>
      <c r="T25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5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5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5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5" s="60"/>
      <c r="Y25" s="40">
        <f>Table12[[#This Row],[Driving Paid]]+Table12[[#This Row],[Meals Paid]]</f>
        <v>0</v>
      </c>
      <c r="Z25" s="38"/>
      <c r="AA25" s="23"/>
      <c r="AB25" s="2"/>
      <c r="AC25" s="26"/>
      <c r="AD25" s="26"/>
      <c r="AE25" s="27"/>
      <c r="AF25" s="27" t="str">
        <f>IF(NOT(ISBLANK(Table12[[#This Row],[Start Time]])),Table12[[#This Row],[Duration]]+Table12[[#This Row],[TZ Ahead]]-Table12[[#This Row],[TZ Behind]]+Table12[[#This Row],[Idle Time]],"")</f>
        <v/>
      </c>
      <c r="AG25" s="23" t="str">
        <f>IF(NOT(ISBLANK(Table12[[#This Row],[Start Time]])),Table12[[#This Row],[Start Time]]+Table12[[#This Row],[Total Time]],"")</f>
        <v/>
      </c>
      <c r="AH25" s="35"/>
      <c r="AI25" s="2"/>
      <c r="AJ25" s="2"/>
      <c r="AK25" s="2"/>
      <c r="AL25" s="2"/>
      <c r="AM25" s="2">
        <f>Table12[[#This Row],[Base Rate]]*(1+Table12[[#This Row],[Tax %]])+Table12[[#This Row],[Tax Flat]]</f>
        <v>0</v>
      </c>
      <c r="AN25" s="2"/>
      <c r="AO25" s="55"/>
      <c r="AP25" s="55"/>
      <c r="AQ25" s="2">
        <f>IF(AL26="Yes",Table12[[#This Row],[Nightly Rate with Taxes]]+AQ26,Table12[[#This Row],[Nightly Rate with Taxes]])</f>
        <v>0</v>
      </c>
      <c r="AR25" s="2"/>
      <c r="AS25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5" s="40"/>
    </row>
    <row r="26" spans="1:46" x14ac:dyDescent="0.25">
      <c r="A26" s="18" t="str" cm="1">
        <f t="array" ref="A26">IF(A25&lt;TripBasics[End Date],A25+1,"")</f>
        <v/>
      </c>
      <c r="D26" s="41"/>
      <c r="H26">
        <f>IF(Table12[[#This Row],[Car Owner]]=OwnCar,Table12[[#This Row],[Miles]],0)</f>
        <v>0</v>
      </c>
      <c r="I26">
        <f t="shared" si="1"/>
        <v>0</v>
      </c>
      <c r="J26" s="36"/>
      <c r="K26" s="43">
        <f>Table12[[#This Row],[Miles]]/CAR_MPG</f>
        <v>0</v>
      </c>
      <c r="M26" s="2">
        <f>IF(ISBLANK(Table12[[#This Row],[Alt Price/Gal]]),Table12[[#This Row],[Gallons]]*GAS_PRICE,Table12[[#This Row],[Alt Price/Gal]])</f>
        <v>0</v>
      </c>
      <c r="N26" s="2"/>
      <c r="O26" s="2"/>
      <c r="P26" s="2">
        <f>SUM(Table12[[#This Row],[Fuel]:[Parking]])</f>
        <v>0</v>
      </c>
      <c r="Q26" s="61"/>
      <c r="R26" s="37"/>
      <c r="T26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6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6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6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6" s="60"/>
      <c r="Y26" s="40">
        <f>Table12[[#This Row],[Driving Paid]]+Table12[[#This Row],[Meals Paid]]</f>
        <v>0</v>
      </c>
      <c r="Z26" s="38"/>
      <c r="AA26" s="23"/>
      <c r="AB26" s="2"/>
      <c r="AC26" s="26"/>
      <c r="AD26" s="26"/>
      <c r="AE26" s="27"/>
      <c r="AF26" s="27" t="str">
        <f>IF(NOT(ISBLANK(Table12[[#This Row],[Start Time]])),Table12[[#This Row],[Duration]]+Table12[[#This Row],[TZ Ahead]]-Table12[[#This Row],[TZ Behind]]+Table12[[#This Row],[Idle Time]],"")</f>
        <v/>
      </c>
      <c r="AG26" s="23" t="str">
        <f>IF(NOT(ISBLANK(Table12[[#This Row],[Start Time]])),Table12[[#This Row],[Start Time]]+Table12[[#This Row],[Total Time]],"")</f>
        <v/>
      </c>
      <c r="AH26" s="35"/>
      <c r="AI26" s="2"/>
      <c r="AJ26" s="2"/>
      <c r="AK26" s="2"/>
      <c r="AL26" s="2"/>
      <c r="AM26" s="2">
        <f>Table12[[#This Row],[Base Rate]]*(1+Table12[[#This Row],[Tax %]])+Table12[[#This Row],[Tax Flat]]</f>
        <v>0</v>
      </c>
      <c r="AN26" s="2"/>
      <c r="AO26" s="55"/>
      <c r="AP26" s="55"/>
      <c r="AQ26" s="2">
        <f>IF(AL27="Yes",Table12[[#This Row],[Nightly Rate with Taxes]]+AQ27,Table12[[#This Row],[Nightly Rate with Taxes]])</f>
        <v>0</v>
      </c>
      <c r="AR26" s="2"/>
      <c r="AS26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6" s="40"/>
    </row>
    <row r="27" spans="1:46" x14ac:dyDescent="0.25">
      <c r="A27" s="18" t="str" cm="1">
        <f t="array" ref="A27">IF(A26&lt;TripBasics[End Date],A26+1,"")</f>
        <v/>
      </c>
      <c r="D27" s="41"/>
      <c r="H27">
        <f>IF(Table12[[#This Row],[Car Owner]]=OwnCar,Table12[[#This Row],[Miles]],0)</f>
        <v>0</v>
      </c>
      <c r="I27">
        <f t="shared" si="1"/>
        <v>0</v>
      </c>
      <c r="J27" s="36"/>
      <c r="K27" s="43">
        <f>Table12[[#This Row],[Miles]]/CAR_MPG</f>
        <v>0</v>
      </c>
      <c r="M27" s="2">
        <f>IF(ISBLANK(Table12[[#This Row],[Alt Price/Gal]]),Table12[[#This Row],[Gallons]]*GAS_PRICE,Table12[[#This Row],[Alt Price/Gal]])</f>
        <v>0</v>
      </c>
      <c r="N27" s="2"/>
      <c r="O27" s="2"/>
      <c r="P27" s="2">
        <f>SUM(Table12[[#This Row],[Fuel]:[Parking]])</f>
        <v>0</v>
      </c>
      <c r="Q27" s="61"/>
      <c r="R27" s="37"/>
      <c r="T27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7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7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7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7" s="60"/>
      <c r="Y27" s="40">
        <f>Table12[[#This Row],[Driving Paid]]+Table12[[#This Row],[Meals Paid]]</f>
        <v>0</v>
      </c>
      <c r="Z27" s="38"/>
      <c r="AA27" s="23"/>
      <c r="AB27" s="2"/>
      <c r="AC27" s="26"/>
      <c r="AD27" s="26"/>
      <c r="AE27" s="27"/>
      <c r="AF27" s="27" t="str">
        <f>IF(NOT(ISBLANK(Table12[[#This Row],[Start Time]])),Table12[[#This Row],[Duration]]+Table12[[#This Row],[TZ Ahead]]-Table12[[#This Row],[TZ Behind]]+Table12[[#This Row],[Idle Time]],"")</f>
        <v/>
      </c>
      <c r="AG27" s="23" t="str">
        <f>IF(NOT(ISBLANK(Table12[[#This Row],[Start Time]])),Table12[[#This Row],[Start Time]]+Table12[[#This Row],[Total Time]],"")</f>
        <v/>
      </c>
      <c r="AH27" s="35"/>
      <c r="AI27" s="2"/>
      <c r="AJ27" s="2"/>
      <c r="AK27" s="2"/>
      <c r="AL27" s="2"/>
      <c r="AM27" s="2">
        <f>Table12[[#This Row],[Base Rate]]*(1+Table12[[#This Row],[Tax %]])+Table12[[#This Row],[Tax Flat]]</f>
        <v>0</v>
      </c>
      <c r="AN27" s="2"/>
      <c r="AO27" s="55"/>
      <c r="AP27" s="55"/>
      <c r="AQ27" s="2">
        <f>IF(AL28="Yes",Table12[[#This Row],[Nightly Rate with Taxes]]+AQ28,Table12[[#This Row],[Nightly Rate with Taxes]])</f>
        <v>0</v>
      </c>
      <c r="AR27" s="2"/>
      <c r="AS27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7" s="40"/>
    </row>
    <row r="28" spans="1:46" x14ac:dyDescent="0.25">
      <c r="A28" s="18" t="str" cm="1">
        <f t="array" ref="A28">IF(A27&lt;TripBasics[End Date],A27+1,"")</f>
        <v/>
      </c>
      <c r="D28" s="41"/>
      <c r="H28">
        <f>IF(Table12[[#This Row],[Car Owner]]=OwnCar,Table12[[#This Row],[Miles]],0)</f>
        <v>0</v>
      </c>
      <c r="I28">
        <f t="shared" si="1"/>
        <v>0</v>
      </c>
      <c r="J28" s="36"/>
      <c r="K28" s="43">
        <f>Table12[[#This Row],[Miles]]/CAR_MPG</f>
        <v>0</v>
      </c>
      <c r="M28" s="2">
        <f>IF(ISBLANK(Table12[[#This Row],[Alt Price/Gal]]),Table12[[#This Row],[Gallons]]*GAS_PRICE,Table12[[#This Row],[Alt Price/Gal]])</f>
        <v>0</v>
      </c>
      <c r="N28" s="2"/>
      <c r="O28" s="2"/>
      <c r="P28" s="2">
        <f>SUM(Table12[[#This Row],[Fuel]:[Parking]])</f>
        <v>0</v>
      </c>
      <c r="Q28" s="61"/>
      <c r="R28" s="37"/>
      <c r="T28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8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8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8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8" s="60"/>
      <c r="Y28" s="40">
        <f>Table12[[#This Row],[Driving Paid]]+Table12[[#This Row],[Meals Paid]]</f>
        <v>0</v>
      </c>
      <c r="Z28" s="38"/>
      <c r="AA28" s="23"/>
      <c r="AB28" s="2"/>
      <c r="AC28" s="26"/>
      <c r="AD28" s="26"/>
      <c r="AE28" s="27"/>
      <c r="AF28" s="27" t="str">
        <f>IF(NOT(ISBLANK(Table12[[#This Row],[Start Time]])),Table12[[#This Row],[Duration]]+Table12[[#This Row],[TZ Ahead]]-Table12[[#This Row],[TZ Behind]]+Table12[[#This Row],[Idle Time]],"")</f>
        <v/>
      </c>
      <c r="AG28" s="23" t="str">
        <f>IF(NOT(ISBLANK(Table12[[#This Row],[Start Time]])),Table12[[#This Row],[Start Time]]+Table12[[#This Row],[Total Time]],"")</f>
        <v/>
      </c>
      <c r="AH28" s="35"/>
      <c r="AI28" s="2"/>
      <c r="AJ28" s="2"/>
      <c r="AK28" s="2"/>
      <c r="AL28" s="2"/>
      <c r="AM28" s="2">
        <f>Table12[[#This Row],[Base Rate]]*(1+Table12[[#This Row],[Tax %]])+Table12[[#This Row],[Tax Flat]]</f>
        <v>0</v>
      </c>
      <c r="AN28" s="2"/>
      <c r="AO28" s="55"/>
      <c r="AP28" s="55"/>
      <c r="AQ28" s="2">
        <f>IF(AL29="Yes",Table12[[#This Row],[Nightly Rate with Taxes]]+AQ29,Table12[[#This Row],[Nightly Rate with Taxes]])</f>
        <v>0</v>
      </c>
      <c r="AR28" s="2"/>
      <c r="AS28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8" s="40"/>
    </row>
    <row r="29" spans="1:46" x14ac:dyDescent="0.25">
      <c r="A29" s="18" t="str" cm="1">
        <f t="array" ref="A29">IF(A28&lt;TripBasics[End Date],A28+1,"")</f>
        <v/>
      </c>
      <c r="D29" s="41"/>
      <c r="H29">
        <f>IF(Table12[[#This Row],[Car Owner]]=OwnCar,Table12[[#This Row],[Miles]],0)</f>
        <v>0</v>
      </c>
      <c r="I29">
        <f t="shared" si="1"/>
        <v>0</v>
      </c>
      <c r="J29" s="36"/>
      <c r="K29" s="43">
        <f>Table12[[#This Row],[Miles]]/CAR_MPG</f>
        <v>0</v>
      </c>
      <c r="M29" s="2">
        <f>IF(ISBLANK(Table12[[#This Row],[Alt Price/Gal]]),Table12[[#This Row],[Gallons]]*GAS_PRICE,Table12[[#This Row],[Alt Price/Gal]])</f>
        <v>0</v>
      </c>
      <c r="N29" s="2"/>
      <c r="O29" s="2"/>
      <c r="P29" s="2">
        <f>SUM(Table12[[#This Row],[Fuel]:[Parking]])</f>
        <v>0</v>
      </c>
      <c r="Q29" s="61"/>
      <c r="R29" s="37"/>
      <c r="T29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29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29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29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29" s="60"/>
      <c r="Y29" s="40">
        <f>Table12[[#This Row],[Driving Paid]]+Table12[[#This Row],[Meals Paid]]</f>
        <v>0</v>
      </c>
      <c r="Z29" s="38"/>
      <c r="AA29" s="23"/>
      <c r="AB29" s="2"/>
      <c r="AC29" s="26"/>
      <c r="AD29" s="26"/>
      <c r="AE29" s="27"/>
      <c r="AF29" s="27" t="str">
        <f>IF(NOT(ISBLANK(Table12[[#This Row],[Start Time]])),Table12[[#This Row],[Duration]]+Table12[[#This Row],[TZ Ahead]]-Table12[[#This Row],[TZ Behind]]+Table12[[#This Row],[Idle Time]],"")</f>
        <v/>
      </c>
      <c r="AG29" s="23" t="str">
        <f>IF(NOT(ISBLANK(Table12[[#This Row],[Start Time]])),Table12[[#This Row],[Start Time]]+Table12[[#This Row],[Total Time]],"")</f>
        <v/>
      </c>
      <c r="AH29" s="35"/>
      <c r="AI29" s="2"/>
      <c r="AJ29" s="2"/>
      <c r="AK29" s="2"/>
      <c r="AL29" s="2"/>
      <c r="AM29" s="2">
        <f>Table12[[#This Row],[Base Rate]]*(1+Table12[[#This Row],[Tax %]])+Table12[[#This Row],[Tax Flat]]</f>
        <v>0</v>
      </c>
      <c r="AN29" s="2"/>
      <c r="AO29" s="55"/>
      <c r="AP29" s="55"/>
      <c r="AQ29" s="2">
        <f>IF(AL30="Yes",Table12[[#This Row],[Nightly Rate with Taxes]]+AQ30,Table12[[#This Row],[Nightly Rate with Taxes]])</f>
        <v>0</v>
      </c>
      <c r="AR29" s="2"/>
      <c r="AS29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29" s="40"/>
    </row>
    <row r="30" spans="1:46" x14ac:dyDescent="0.25">
      <c r="A30" s="18" t="str" cm="1">
        <f t="array" ref="A30">IF(A29&lt;TripBasics[End Date],A29+1,"")</f>
        <v/>
      </c>
      <c r="D30" s="41"/>
      <c r="H30">
        <f>IF(Table12[[#This Row],[Car Owner]]=OwnCar,Table12[[#This Row],[Miles]],0)</f>
        <v>0</v>
      </c>
      <c r="I30">
        <f t="shared" si="1"/>
        <v>0</v>
      </c>
      <c r="J30" s="36"/>
      <c r="K30" s="43">
        <f>Table12[[#This Row],[Miles]]/CAR_MPG</f>
        <v>0</v>
      </c>
      <c r="M30" s="2">
        <f>IF(ISBLANK(Table12[[#This Row],[Alt Price/Gal]]),Table12[[#This Row],[Gallons]]*GAS_PRICE,Table12[[#This Row],[Alt Price/Gal]])</f>
        <v>0</v>
      </c>
      <c r="N30" s="2"/>
      <c r="O30" s="2"/>
      <c r="P30" s="2">
        <f>SUM(Table12[[#This Row],[Fuel]:[Parking]])</f>
        <v>0</v>
      </c>
      <c r="Q30" s="61"/>
      <c r="R30" s="37"/>
      <c r="T30" s="2">
        <f>IF(Table12[[#This Row],[Meal Class]]=Lists!$B$3,Lists!C$3,IF(Table12[[#This Row],[Meal Class]]=Lists!$B$4,Lists!C$4,IF(Table12[[#This Row],[Meal Class]]=Lists!$B$5,Lists!C$5,IF(Table12[[#This Row],[Meal Class]]=Lists!$B$6,Lists!C$6,IF(Table12[[#This Row],[Meal Class]]=Lists!$B$7,Lists!C$7,0)))))</f>
        <v>0</v>
      </c>
      <c r="U30" s="2">
        <f>IF(Table12[[#This Row],[Meal Class]]=Lists!$B$3,Lists!D$3,IF(Table12[[#This Row],[Meal Class]]=Lists!$B$4,Lists!D$4,IF(Table12[[#This Row],[Meal Class]]=Lists!$B$5,Lists!D$5,IF(Table12[[#This Row],[Meal Class]]=Lists!$B$6,Lists!D$6,IF(Table12[[#This Row],[Meal Class]]=Lists!$B$7,Lists!D$7,0)))))</f>
        <v>0</v>
      </c>
      <c r="V30" s="2">
        <f>IF(Table12[[#This Row],[Meal Class]]=Lists!$B$3,Lists!E$3,IF(Table12[[#This Row],[Meal Class]]=Lists!$B$4,Lists!E$4,IF(Table12[[#This Row],[Meal Class]]=Lists!$B$5,Lists!E$5,IF(Table12[[#This Row],[Meal Class]]=Lists!$B$6,Lists!E$6,IF(Table12[[#This Row],[Meal Class]]=Lists!$B$7,Lists!E$7,0)))))</f>
        <v>0</v>
      </c>
      <c r="W30" s="22">
        <f>SUM(Table12[[#This Row],[Alt Price/Gal]],Table12[[#This Row],[Fuel]],Table12[[#This Row],[Tolls]],Table12[[#This Row],[Parking]],Table12[[#This Row],[Breakfast]],Table12[[#This Row],[Lunch]],Table12[[#This Row],[Dinner]])</f>
        <v>0</v>
      </c>
      <c r="X30" s="60"/>
      <c r="Y30" s="40">
        <f>Table12[[#This Row],[Driving Paid]]+Table12[[#This Row],[Meals Paid]]</f>
        <v>0</v>
      </c>
      <c r="Z30" s="38"/>
      <c r="AA30" s="23"/>
      <c r="AB30" s="2"/>
      <c r="AC30" s="26"/>
      <c r="AD30" s="26"/>
      <c r="AE30" s="27"/>
      <c r="AF30" s="27" t="str">
        <f>IF(NOT(ISBLANK(Table12[[#This Row],[Start Time]])),Table12[[#This Row],[Duration]]+Table12[[#This Row],[TZ Ahead]]-Table12[[#This Row],[TZ Behind]]+Table12[[#This Row],[Idle Time]],"")</f>
        <v/>
      </c>
      <c r="AG30" s="23" t="str">
        <f>IF(NOT(ISBLANK(Table12[[#This Row],[Start Time]])),Table12[[#This Row],[Start Time]]+Table12[[#This Row],[Total Time]],"")</f>
        <v/>
      </c>
      <c r="AH30" s="35"/>
      <c r="AI30" s="2"/>
      <c r="AJ30" s="2"/>
      <c r="AK30" s="2"/>
      <c r="AL30" s="2"/>
      <c r="AM30" s="2">
        <f>Table12[[#This Row],[Base Rate]]*(1+Table12[[#This Row],[Tax %]])+Table12[[#This Row],[Tax Flat]]</f>
        <v>0</v>
      </c>
      <c r="AN30" s="2"/>
      <c r="AO30" s="55"/>
      <c r="AP30" s="55"/>
      <c r="AQ30" s="2">
        <f>IF(AL31="Yes",Table12[[#This Row],[Nightly Rate with Taxes]]+AQ31,Table12[[#This Row],[Nightly Rate with Taxes]])</f>
        <v>0</v>
      </c>
      <c r="AR30" s="2"/>
      <c r="AS30" s="2" t="str">
        <f>IF(Table12[[#This Row],[Budget Plan]]=Lists!$B$4,Table12[[#This Row],[Nightly Rate with Taxes]]-Lists!$F$4,IF(Table12[[#This Row],[Budget Plan]]=Lists!$B$5,Table12[[#This Row],[Nightly Rate with Taxes]]-Lists!$F$5,""))</f>
        <v/>
      </c>
      <c r="AT30" s="40"/>
    </row>
    <row r="31" spans="1:46" x14ac:dyDescent="0.25">
      <c r="A31" t="s">
        <v>141</v>
      </c>
      <c r="D31" s="41"/>
      <c r="F31">
        <f>SUBTOTAL(109,Table12[Miles])</f>
        <v>0</v>
      </c>
      <c r="H31">
        <f>SUBTOTAL(109,Table12[Own])</f>
        <v>0</v>
      </c>
      <c r="I31">
        <f>SUBTOTAL(104,Table12[ODO])</f>
        <v>0</v>
      </c>
      <c r="J31" s="36"/>
      <c r="M31" s="22">
        <f>SUBTOTAL(109,Table12[Fuel])</f>
        <v>0</v>
      </c>
      <c r="N31" s="22">
        <f>SUBTOTAL(109,Table12[Tolls])</f>
        <v>0</v>
      </c>
      <c r="O31" s="22">
        <f>SUBTOTAL(109,Table12[Parking])</f>
        <v>0</v>
      </c>
      <c r="P31" s="22">
        <f>SUBTOTAL(109,Table12[Driving Total])</f>
        <v>0</v>
      </c>
      <c r="Q31" s="22">
        <f>SUBTOTAL(109,Table12[Driving Paid])</f>
        <v>0</v>
      </c>
      <c r="R31" s="36"/>
      <c r="T31" s="22">
        <f>SUBTOTAL(109,Table12[Breakfast])</f>
        <v>0</v>
      </c>
      <c r="U31" s="22">
        <f>SUBTOTAL(109,Table12[Lunch])</f>
        <v>0</v>
      </c>
      <c r="V31" s="22">
        <f>SUBTOTAL(109,Table12[Dinner])</f>
        <v>0</v>
      </c>
      <c r="W31" s="22">
        <f>SUBTOTAL(109,Table12[Total])</f>
        <v>0</v>
      </c>
      <c r="X31" s="22">
        <f>SUBTOTAL(109,Table12[Meals Paid])</f>
        <v>0</v>
      </c>
      <c r="Y31" s="22">
        <f>SUBTOTAL(109,Table12[Paid])</f>
        <v>0</v>
      </c>
      <c r="Z31" s="38"/>
      <c r="AM31" s="22">
        <f>SUBTOTAL(109,Table12[Nightly Rate with Taxes])</f>
        <v>0</v>
      </c>
      <c r="AQ31" s="22">
        <f>SUBTOTAL(109,Table12[Total Cost])</f>
        <v>0</v>
      </c>
      <c r="AS31" s="22">
        <f>SUBTOTAL(109,Table12[Departure])</f>
        <v>0</v>
      </c>
      <c r="AT31" s="22">
        <f>SUBTOTAL(109,Table12[HotelPaid])</f>
        <v>0</v>
      </c>
    </row>
    <row r="32" spans="1:46" x14ac:dyDescent="0.25">
      <c r="A32">
        <f>COUNT(A6:A30)</f>
        <v>3</v>
      </c>
    </row>
    <row r="33" spans="2:3" x14ac:dyDescent="0.25">
      <c r="B33" t="s">
        <v>216</v>
      </c>
      <c r="C33" s="2">
        <f>GAS_PRICE</f>
        <v>5</v>
      </c>
    </row>
    <row r="34" spans="2:3" x14ac:dyDescent="0.25">
      <c r="B34" t="s">
        <v>217</v>
      </c>
      <c r="C34" s="43">
        <f>CAR_MPG</f>
        <v>35</v>
      </c>
    </row>
  </sheetData>
  <phoneticPr fontId="9" type="noConversion"/>
  <pageMargins left="0.7" right="0.7" top="0.75" bottom="0.75" header="0.3" footer="0.3"/>
  <pageSetup orientation="portrait" horizontalDpi="4294967295" verticalDpi="4294967295" r:id="rId1"/>
  <cellWatches>
    <cellWatch r="T7"/>
  </cellWatches>
  <ignoredErrors>
    <ignoredError sqref="Y7" calculatedColumn="1"/>
  </ignoredErrors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4327822-C2F0-48F8-AED2-951246BD8195}">
          <x14:formula1>
            <xm:f>Lists!$N$40:$N$45</xm:f>
          </x14:formula1>
          <xm:sqref>G5:G30</xm:sqref>
        </x14:dataValidation>
        <x14:dataValidation type="list" allowBlank="1" showInputMessage="1" showErrorMessage="1" xr:uid="{3B8919A1-B8E8-41EB-8017-11E7F86BD012}">
          <x14:formula1>
            <xm:f>Lists!$B$3:$B$7</xm:f>
          </x14:formula1>
          <xm:sqref>S5:S30</xm:sqref>
        </x14:dataValidation>
        <x14:dataValidation type="list" allowBlank="1" showInputMessage="1" showErrorMessage="1" xr:uid="{08AFFBBF-1CCE-40A0-8824-B2B9C8739932}">
          <x14:formula1>
            <xm:f>Lists!$B$4:$B$5</xm:f>
          </x14:formula1>
          <xm:sqref>AR6:AR30</xm:sqref>
        </x14:dataValidation>
        <x14:dataValidation type="list" allowBlank="1" showInputMessage="1" showErrorMessage="1" xr:uid="{0F76FF7C-B0A4-4030-80EA-1D67E59C1A3C}">
          <x14:formula1>
            <xm:f>Lists!$J$16:$J$17</xm:f>
          </x14:formula1>
          <xm:sqref>AL6:AL30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E303-6836-4BCA-A403-221037F469DB}">
  <sheetPr codeName="Sheet2"/>
  <dimension ref="A1:S42"/>
  <sheetViews>
    <sheetView topLeftCell="A20" zoomScaleNormal="100" workbookViewId="0">
      <selection activeCell="G36" sqref="G36"/>
    </sheetView>
  </sheetViews>
  <sheetFormatPr defaultRowHeight="15" x14ac:dyDescent="0.25"/>
  <cols>
    <col min="1" max="1" width="24.5703125" customWidth="1"/>
    <col min="2" max="2" width="22.85546875" customWidth="1"/>
    <col min="3" max="3" width="19.5703125" bestFit="1" customWidth="1"/>
    <col min="4" max="4" width="17.140625" customWidth="1"/>
    <col min="5" max="5" width="17.28515625" customWidth="1"/>
    <col min="6" max="6" width="17.140625" customWidth="1"/>
    <col min="7" max="7" width="18.28515625" customWidth="1"/>
    <col min="8" max="8" width="17.85546875" customWidth="1"/>
    <col min="9" max="10" width="17.140625" customWidth="1"/>
    <col min="11" max="11" width="18" customWidth="1"/>
    <col min="12" max="14" width="16.7109375" bestFit="1" customWidth="1"/>
    <col min="15" max="15" width="14.42578125" bestFit="1" customWidth="1"/>
    <col min="16" max="16" width="10.140625" bestFit="1" customWidth="1"/>
    <col min="17" max="17" width="12" bestFit="1" customWidth="1"/>
    <col min="18" max="21" width="10.7109375" customWidth="1"/>
  </cols>
  <sheetData>
    <row r="1" spans="1:19" ht="26.25" x14ac:dyDescent="0.4">
      <c r="A1" s="34" t="s">
        <v>35</v>
      </c>
      <c r="B1" t="s">
        <v>152</v>
      </c>
    </row>
    <row r="2" spans="1:19" x14ac:dyDescent="0.25">
      <c r="A2" t="s">
        <v>36</v>
      </c>
      <c r="B2" t="s">
        <v>126</v>
      </c>
      <c r="C2" s="31" t="s">
        <v>155</v>
      </c>
      <c r="D2" s="31" t="s">
        <v>163</v>
      </c>
      <c r="E2" s="31" t="s">
        <v>161</v>
      </c>
      <c r="F2" s="31" t="s">
        <v>160</v>
      </c>
      <c r="G2" s="31" t="s">
        <v>159</v>
      </c>
      <c r="H2" s="31" t="s">
        <v>87</v>
      </c>
      <c r="I2" s="32" t="s">
        <v>154</v>
      </c>
      <c r="J2" s="32" t="s">
        <v>162</v>
      </c>
      <c r="K2" t="s">
        <v>37</v>
      </c>
      <c r="L2" t="s">
        <v>156</v>
      </c>
      <c r="M2" t="s">
        <v>38</v>
      </c>
      <c r="N2" t="s">
        <v>157</v>
      </c>
      <c r="O2" t="s">
        <v>39</v>
      </c>
      <c r="P2" t="s">
        <v>153</v>
      </c>
      <c r="Q2" t="s">
        <v>40</v>
      </c>
      <c r="R2" t="s">
        <v>151</v>
      </c>
      <c r="S2" t="s">
        <v>205</v>
      </c>
    </row>
    <row r="3" spans="1:19" x14ac:dyDescent="0.25">
      <c r="E3" s="29"/>
      <c r="F3" s="29" t="str">
        <f>IF(NOT(ISBLANK(AirTravel[[#This Row],[Depart Time]])),AirTravel[[#This Row],[Depart Time]]-IF(AirTravel[[#This Row],[Type]]=Lists!$N$48,Lists!$O$48,Lists!$O$50),"")</f>
        <v/>
      </c>
      <c r="G3" s="29"/>
      <c r="J3" s="30"/>
      <c r="L3" s="28"/>
      <c r="N3" s="28"/>
      <c r="Q3">
        <f>IF(AirTravel[[#This Row],[Checked bag]]="Yes",30,0)</f>
        <v>0</v>
      </c>
      <c r="R3">
        <f>AirTravel[[#This Row],[Parking Fee]]+AirTravel[[#This Row],[Bag Fee]]+AirTravel[[#This Row],[Fare]]</f>
        <v>0</v>
      </c>
      <c r="S3" s="40"/>
    </row>
    <row r="4" spans="1:19" x14ac:dyDescent="0.25">
      <c r="E4" s="29"/>
      <c r="F4" s="29" t="str">
        <f>IF(NOT(ISBLANK(AirTravel[[#This Row],[Depart Time]])),AirTravel[[#This Row],[Depart Time]]-IF(AirTravel[[#This Row],[Type]]=Lists!$N$48,Lists!$O$48,Lists!$O$50),"")</f>
        <v/>
      </c>
      <c r="G4" s="29"/>
      <c r="J4" s="30"/>
      <c r="L4" s="28"/>
      <c r="N4" s="28"/>
      <c r="Q4">
        <f>IF(AirTravel[[#This Row],[Checked bag]]="Yes",30,0)</f>
        <v>0</v>
      </c>
      <c r="R4">
        <f>AirTravel[[#This Row],[Parking Fee]]+AirTravel[[#This Row],[Bag Fee]]+AirTravel[[#This Row],[Fare]]</f>
        <v>0</v>
      </c>
      <c r="S4" s="40"/>
    </row>
    <row r="5" spans="1:19" x14ac:dyDescent="0.25">
      <c r="A5" t="s">
        <v>141</v>
      </c>
      <c r="H5" s="59">
        <f>SUBTOTAL(109,AirTravel[Parking Fee])</f>
        <v>0</v>
      </c>
      <c r="O5" s="59">
        <f>SUBTOTAL(109,AirTravel[Fare])</f>
        <v>0</v>
      </c>
      <c r="Q5" s="59">
        <f>SUBTOTAL(109,AirTravel[Bag Fee])</f>
        <v>0</v>
      </c>
      <c r="R5" s="59">
        <f>SUBTOTAL(109,AirTravel[Total Cost])</f>
        <v>0</v>
      </c>
      <c r="S5" s="22">
        <f>SUBTOTAL(109,AirTravel[Actual])</f>
        <v>0</v>
      </c>
    </row>
    <row r="14" spans="1:19" ht="26.25" x14ac:dyDescent="0.4">
      <c r="A14" s="34" t="s">
        <v>113</v>
      </c>
      <c r="B14" t="s">
        <v>173</v>
      </c>
    </row>
    <row r="15" spans="1:19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205</v>
      </c>
    </row>
    <row r="16" spans="1:19" x14ac:dyDescent="0.25">
      <c r="B16" s="57"/>
      <c r="E16" s="18"/>
      <c r="J16" s="40"/>
    </row>
    <row r="17" spans="1:10" x14ac:dyDescent="0.25">
      <c r="A17" t="s">
        <v>141</v>
      </c>
      <c r="I17" s="2">
        <f>SUBTOTAL(109,CarRental[Rate])</f>
        <v>0</v>
      </c>
      <c r="J17" s="22">
        <f>SUBTOTAL(109,CarRental[Actual])</f>
        <v>0</v>
      </c>
    </row>
    <row r="27" spans="1:10" ht="26.25" x14ac:dyDescent="0.4">
      <c r="A27" s="34" t="s">
        <v>174</v>
      </c>
      <c r="B27" t="s">
        <v>210</v>
      </c>
    </row>
    <row r="28" spans="1:10" x14ac:dyDescent="0.25">
      <c r="A28" t="s">
        <v>119</v>
      </c>
      <c r="B28" t="s">
        <v>175</v>
      </c>
      <c r="C28" t="s">
        <v>176</v>
      </c>
      <c r="D28" t="s">
        <v>161</v>
      </c>
      <c r="E28" t="s">
        <v>177</v>
      </c>
      <c r="F28" t="s">
        <v>158</v>
      </c>
      <c r="G28" t="s">
        <v>51</v>
      </c>
      <c r="H28" t="s">
        <v>178</v>
      </c>
      <c r="I28" t="s">
        <v>39</v>
      </c>
      <c r="J28" t="s">
        <v>205</v>
      </c>
    </row>
    <row r="29" spans="1:10" x14ac:dyDescent="0.25">
      <c r="D29" s="28"/>
      <c r="F29" s="28"/>
      <c r="J29" s="40"/>
    </row>
    <row r="30" spans="1:10" x14ac:dyDescent="0.25">
      <c r="A30" t="s">
        <v>141</v>
      </c>
      <c r="I30" s="2">
        <f>SUBTOTAL(109,TrainTravel[Fare])</f>
        <v>0</v>
      </c>
      <c r="J30" s="2">
        <f>SUBTOTAL(109,TrainTravel[Actual])</f>
        <v>0</v>
      </c>
    </row>
    <row r="39" spans="1:5" ht="26.25" x14ac:dyDescent="0.4">
      <c r="A39" s="34" t="s">
        <v>207</v>
      </c>
      <c r="B39" t="s">
        <v>211</v>
      </c>
    </row>
    <row r="40" spans="1:5" x14ac:dyDescent="0.25">
      <c r="A40" t="s">
        <v>119</v>
      </c>
      <c r="B40" t="s">
        <v>208</v>
      </c>
      <c r="C40" t="s">
        <v>209</v>
      </c>
      <c r="D40" t="s">
        <v>34</v>
      </c>
      <c r="E40" t="s">
        <v>205</v>
      </c>
    </row>
    <row r="41" spans="1:5" x14ac:dyDescent="0.25">
      <c r="E41" s="40"/>
    </row>
    <row r="42" spans="1:5" x14ac:dyDescent="0.25">
      <c r="A42" t="s">
        <v>141</v>
      </c>
      <c r="C42" s="2">
        <f>SUBTOTAL(109,Table16[Fare Total])</f>
        <v>0</v>
      </c>
      <c r="E42" s="2">
        <f>SUBTOTAL(109,Table16[Actual])</f>
        <v>0</v>
      </c>
    </row>
  </sheetData>
  <phoneticPr fontId="9" type="noConversion"/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6116E2-3257-4668-AE26-98AA2AF9DC62}">
          <x14:formula1>
            <xm:f>Lists!$J$16:$J$17</xm:f>
          </x14:formula1>
          <xm:sqref>P3:P4</xm:sqref>
        </x14:dataValidation>
        <x14:dataValidation type="list" allowBlank="1" showInputMessage="1" showErrorMessage="1" xr:uid="{1F96D85D-454D-4AB2-9FEE-EB73FEB1158F}">
          <x14:formula1>
            <xm:f>Lists!$N$48:$N$49</xm:f>
          </x14:formula1>
          <xm:sqref>D3:D4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35D9-2B68-4C1D-A879-6F3F415F9F6D}">
  <dimension ref="A1:I3"/>
  <sheetViews>
    <sheetView workbookViewId="0">
      <selection activeCell="G26" sqref="G26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7.42578125" customWidth="1"/>
    <col min="4" max="4" width="12.42578125" customWidth="1"/>
    <col min="5" max="5" width="9.5703125" customWidth="1"/>
    <col min="8" max="8" width="16.140625" customWidth="1"/>
  </cols>
  <sheetData>
    <row r="1" spans="1:9" x14ac:dyDescent="0.25">
      <c r="A1" t="s">
        <v>34</v>
      </c>
      <c r="B1" t="s">
        <v>202</v>
      </c>
      <c r="C1" t="s">
        <v>203</v>
      </c>
      <c r="D1" t="s">
        <v>204</v>
      </c>
      <c r="E1" t="s">
        <v>119</v>
      </c>
      <c r="F1" t="s">
        <v>141</v>
      </c>
      <c r="G1" t="s">
        <v>205</v>
      </c>
      <c r="H1" t="s">
        <v>206</v>
      </c>
      <c r="I1" t="s">
        <v>51</v>
      </c>
    </row>
    <row r="2" spans="1:9" x14ac:dyDescent="0.25">
      <c r="A2" s="18"/>
      <c r="G2" s="40"/>
    </row>
    <row r="3" spans="1:9" x14ac:dyDescent="0.25">
      <c r="A3" t="s">
        <v>141</v>
      </c>
      <c r="F3" s="2">
        <f>SUBTOTAL(109,Table15[Total])</f>
        <v>0</v>
      </c>
      <c r="G3" s="2">
        <f>SUBTOTAL(109,Table15[Actual])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4443-3BA2-4A58-8B0A-3DF6E13593DF}">
  <dimension ref="B2:K11"/>
  <sheetViews>
    <sheetView workbookViewId="0">
      <selection activeCell="C4" sqref="C4"/>
    </sheetView>
  </sheetViews>
  <sheetFormatPr defaultRowHeight="15" x14ac:dyDescent="0.25"/>
  <cols>
    <col min="2" max="2" width="24.140625" bestFit="1" customWidth="1"/>
  </cols>
  <sheetData>
    <row r="2" spans="2:11" x14ac:dyDescent="0.25">
      <c r="B2" t="s">
        <v>24</v>
      </c>
      <c r="C2">
        <v>14</v>
      </c>
      <c r="D2" t="s">
        <v>25</v>
      </c>
    </row>
    <row r="3" spans="2:11" x14ac:dyDescent="0.25">
      <c r="B3" t="s">
        <v>26</v>
      </c>
      <c r="C3">
        <v>35</v>
      </c>
      <c r="D3" t="s">
        <v>25</v>
      </c>
    </row>
    <row r="4" spans="2:11" x14ac:dyDescent="0.25">
      <c r="B4" t="s">
        <v>27</v>
      </c>
      <c r="C4" s="16">
        <v>5</v>
      </c>
      <c r="D4" t="s">
        <v>150</v>
      </c>
    </row>
    <row r="6" spans="2:11" x14ac:dyDescent="0.25">
      <c r="C6" s="1" t="s">
        <v>28</v>
      </c>
      <c r="D6" s="1">
        <v>0.875</v>
      </c>
      <c r="E6" s="1">
        <v>0.75</v>
      </c>
      <c r="F6" s="1">
        <v>0.625</v>
      </c>
      <c r="G6" s="1">
        <v>0.5</v>
      </c>
      <c r="H6" s="1">
        <v>0.375</v>
      </c>
      <c r="I6" s="1">
        <v>0.25</v>
      </c>
      <c r="J6" s="1">
        <v>0.125</v>
      </c>
      <c r="K6" s="1" t="s">
        <v>29</v>
      </c>
    </row>
    <row r="7" spans="2:11" x14ac:dyDescent="0.25">
      <c r="B7" t="s">
        <v>30</v>
      </c>
      <c r="C7" s="46">
        <f>$C$2*1</f>
        <v>14</v>
      </c>
      <c r="D7" s="47">
        <f t="shared" ref="D7:J7" si="0">$C$2*D6</f>
        <v>12.25</v>
      </c>
      <c r="E7" s="48">
        <f t="shared" si="0"/>
        <v>10.5</v>
      </c>
      <c r="F7" s="49">
        <f t="shared" si="0"/>
        <v>8.75</v>
      </c>
      <c r="G7" s="50">
        <f t="shared" si="0"/>
        <v>7</v>
      </c>
      <c r="H7" s="51">
        <f t="shared" si="0"/>
        <v>5.25</v>
      </c>
      <c r="I7" s="52">
        <f t="shared" si="0"/>
        <v>3.5</v>
      </c>
      <c r="J7" s="45">
        <f t="shared" si="0"/>
        <v>1.75</v>
      </c>
      <c r="K7" s="53">
        <f>$C$2*0</f>
        <v>0</v>
      </c>
    </row>
    <row r="8" spans="2:11" x14ac:dyDescent="0.25">
      <c r="B8" t="s">
        <v>31</v>
      </c>
      <c r="C8" s="46">
        <f t="shared" ref="C8:K8" si="1">$C$3*C7</f>
        <v>490</v>
      </c>
      <c r="D8" s="47">
        <f t="shared" si="1"/>
        <v>428.75</v>
      </c>
      <c r="E8" s="48">
        <f t="shared" si="1"/>
        <v>367.5</v>
      </c>
      <c r="F8" s="49">
        <f t="shared" si="1"/>
        <v>306.25</v>
      </c>
      <c r="G8" s="50">
        <f t="shared" si="1"/>
        <v>245</v>
      </c>
      <c r="H8" s="51">
        <f t="shared" si="1"/>
        <v>183.75</v>
      </c>
      <c r="I8" s="52">
        <f t="shared" si="1"/>
        <v>122.5</v>
      </c>
      <c r="J8" s="45">
        <f t="shared" si="1"/>
        <v>61.25</v>
      </c>
      <c r="K8" s="53">
        <f t="shared" si="1"/>
        <v>0</v>
      </c>
    </row>
    <row r="9" spans="2:11" x14ac:dyDescent="0.25">
      <c r="B9" t="s">
        <v>32</v>
      </c>
      <c r="C9" s="7">
        <f>($C$7-C7)*$C$8</f>
        <v>0</v>
      </c>
      <c r="D9" s="8">
        <f t="shared" ref="D9:K9" si="2">($C$7-D7)*$C$4</f>
        <v>8.75</v>
      </c>
      <c r="E9" s="9">
        <f t="shared" si="2"/>
        <v>17.5</v>
      </c>
      <c r="F9" s="10">
        <f t="shared" si="2"/>
        <v>26.25</v>
      </c>
      <c r="G9" s="11">
        <f t="shared" si="2"/>
        <v>35</v>
      </c>
      <c r="H9" s="12">
        <f t="shared" si="2"/>
        <v>43.75</v>
      </c>
      <c r="I9" s="13">
        <f t="shared" si="2"/>
        <v>52.5</v>
      </c>
      <c r="J9" s="14">
        <f t="shared" si="2"/>
        <v>61.25</v>
      </c>
      <c r="K9" s="15">
        <f t="shared" si="2"/>
        <v>70</v>
      </c>
    </row>
    <row r="11" spans="2:11" x14ac:dyDescent="0.25">
      <c r="B1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EAB-8F5F-494C-A870-C2042889AD81}">
  <sheetPr codeName="Sheet3"/>
  <dimension ref="B2:U49"/>
  <sheetViews>
    <sheetView topLeftCell="G14" workbookViewId="0">
      <selection activeCell="Q42" sqref="Q42"/>
    </sheetView>
  </sheetViews>
  <sheetFormatPr defaultRowHeight="15" x14ac:dyDescent="0.25"/>
  <cols>
    <col min="2" max="2" width="19.140625" bestFit="1" customWidth="1"/>
    <col min="6" max="6" width="17.85546875" customWidth="1"/>
    <col min="7" max="7" width="50" bestFit="1" customWidth="1"/>
    <col min="8" max="8" width="32.140625" bestFit="1" customWidth="1"/>
    <col min="9" max="9" width="3" customWidth="1"/>
    <col min="13" max="13" width="19.85546875" customWidth="1"/>
    <col min="14" max="25" width="27.7109375" customWidth="1"/>
  </cols>
  <sheetData>
    <row r="2" spans="2:21" x14ac:dyDescent="0.25">
      <c r="B2" t="s">
        <v>1</v>
      </c>
      <c r="C2" t="s">
        <v>0</v>
      </c>
      <c r="D2" t="s">
        <v>4</v>
      </c>
      <c r="E2" t="s">
        <v>5</v>
      </c>
      <c r="F2" t="s">
        <v>191</v>
      </c>
      <c r="G2" t="s">
        <v>233</v>
      </c>
      <c r="H2" t="s">
        <v>234</v>
      </c>
    </row>
    <row r="3" spans="2:21" x14ac:dyDescent="0.25">
      <c r="B3" t="s">
        <v>227</v>
      </c>
      <c r="C3" s="2">
        <v>0</v>
      </c>
      <c r="D3" s="2">
        <v>0</v>
      </c>
      <c r="E3" s="2">
        <v>20</v>
      </c>
      <c r="F3" s="2">
        <v>130</v>
      </c>
      <c r="G3" s="2" t="s">
        <v>228</v>
      </c>
      <c r="H3" s="2" t="s">
        <v>236</v>
      </c>
      <c r="I3" s="2"/>
    </row>
    <row r="4" spans="2:21" x14ac:dyDescent="0.25">
      <c r="B4" t="s">
        <v>2</v>
      </c>
      <c r="C4" s="2">
        <v>0</v>
      </c>
      <c r="D4" s="2">
        <v>15</v>
      </c>
      <c r="E4" s="2">
        <v>25</v>
      </c>
      <c r="F4" s="2">
        <v>130</v>
      </c>
      <c r="G4" s="2" t="s">
        <v>232</v>
      </c>
      <c r="H4" s="2" t="s">
        <v>236</v>
      </c>
      <c r="I4" s="2"/>
    </row>
    <row r="5" spans="2:21" x14ac:dyDescent="0.25">
      <c r="B5" t="s">
        <v>3</v>
      </c>
      <c r="C5" s="2">
        <v>10</v>
      </c>
      <c r="D5" s="2">
        <v>20</v>
      </c>
      <c r="E5" s="2">
        <v>25</v>
      </c>
      <c r="F5" s="2">
        <v>260</v>
      </c>
      <c r="G5" s="2" t="s">
        <v>229</v>
      </c>
      <c r="H5" s="2" t="s">
        <v>235</v>
      </c>
      <c r="I5" s="2"/>
    </row>
    <row r="6" spans="2:21" x14ac:dyDescent="0.25">
      <c r="B6" t="s">
        <v>9</v>
      </c>
      <c r="C6" s="2">
        <v>0</v>
      </c>
      <c r="D6" s="2">
        <v>25</v>
      </c>
      <c r="E6" s="2">
        <v>25</v>
      </c>
      <c r="F6" s="2" t="s">
        <v>71</v>
      </c>
      <c r="G6" s="2" t="s">
        <v>230</v>
      </c>
      <c r="H6" s="2"/>
      <c r="I6" s="2"/>
    </row>
    <row r="7" spans="2:21" x14ac:dyDescent="0.25">
      <c r="B7" t="s">
        <v>10</v>
      </c>
      <c r="C7" s="2">
        <v>10</v>
      </c>
      <c r="D7" s="2">
        <v>25</v>
      </c>
      <c r="E7" s="2">
        <v>25</v>
      </c>
      <c r="F7" s="2" t="s">
        <v>71</v>
      </c>
      <c r="G7" s="2" t="s">
        <v>231</v>
      </c>
      <c r="H7" s="2"/>
      <c r="I7" s="2"/>
    </row>
    <row r="14" spans="2:21" x14ac:dyDescent="0.25">
      <c r="L14" t="s">
        <v>41</v>
      </c>
      <c r="O14" t="s">
        <v>68</v>
      </c>
    </row>
    <row r="15" spans="2:21" x14ac:dyDescent="0.25">
      <c r="J15" t="s">
        <v>17</v>
      </c>
      <c r="L15" t="s">
        <v>36</v>
      </c>
      <c r="M15" t="s">
        <v>42</v>
      </c>
      <c r="N15" t="s">
        <v>56</v>
      </c>
      <c r="O15" t="s">
        <v>55</v>
      </c>
      <c r="P15" t="s">
        <v>53</v>
      </c>
      <c r="Q15" t="s">
        <v>54</v>
      </c>
      <c r="R15" t="s">
        <v>57</v>
      </c>
      <c r="S15" t="s">
        <v>58</v>
      </c>
      <c r="T15" t="s">
        <v>59</v>
      </c>
      <c r="U15" t="s">
        <v>60</v>
      </c>
    </row>
    <row r="16" spans="2:21" x14ac:dyDescent="0.25">
      <c r="J16" t="s">
        <v>18</v>
      </c>
      <c r="L16" t="s">
        <v>43</v>
      </c>
      <c r="M16">
        <v>30</v>
      </c>
      <c r="N16" t="s">
        <v>52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</row>
    <row r="17" spans="10:21" x14ac:dyDescent="0.25">
      <c r="J17" t="s">
        <v>19</v>
      </c>
      <c r="L17" t="s">
        <v>44</v>
      </c>
      <c r="M17">
        <v>30</v>
      </c>
      <c r="N17" t="s">
        <v>52</v>
      </c>
      <c r="O17" t="s">
        <v>61</v>
      </c>
      <c r="P17" t="s">
        <v>53</v>
      </c>
      <c r="Q17" t="s">
        <v>69</v>
      </c>
      <c r="R17" t="s">
        <v>70</v>
      </c>
      <c r="S17" t="s">
        <v>71</v>
      </c>
      <c r="T17" t="s">
        <v>72</v>
      </c>
      <c r="U17" t="s">
        <v>71</v>
      </c>
    </row>
    <row r="18" spans="10:21" x14ac:dyDescent="0.25">
      <c r="L18" t="s">
        <v>45</v>
      </c>
      <c r="M18">
        <v>30</v>
      </c>
      <c r="O18" t="s">
        <v>73</v>
      </c>
      <c r="P18" t="s">
        <v>62</v>
      </c>
      <c r="Q18" t="s">
        <v>74</v>
      </c>
      <c r="R18" t="s">
        <v>64</v>
      </c>
      <c r="S18" t="s">
        <v>71</v>
      </c>
      <c r="T18" t="s">
        <v>71</v>
      </c>
      <c r="U18" t="s">
        <v>71</v>
      </c>
    </row>
    <row r="19" spans="10:21" x14ac:dyDescent="0.25">
      <c r="L19" t="s">
        <v>46</v>
      </c>
      <c r="M19">
        <v>30</v>
      </c>
      <c r="O19" t="s">
        <v>75</v>
      </c>
      <c r="P19" t="s">
        <v>76</v>
      </c>
      <c r="Q19" t="s">
        <v>77</v>
      </c>
      <c r="R19" t="s">
        <v>78</v>
      </c>
      <c r="S19" t="s">
        <v>71</v>
      </c>
      <c r="T19" t="s">
        <v>71</v>
      </c>
      <c r="U19" t="s">
        <v>71</v>
      </c>
    </row>
    <row r="20" spans="10:21" x14ac:dyDescent="0.25">
      <c r="L20" t="s">
        <v>47</v>
      </c>
      <c r="M20">
        <v>30</v>
      </c>
      <c r="N20" t="s">
        <v>52</v>
      </c>
      <c r="O20" t="s">
        <v>61</v>
      </c>
      <c r="P20" t="s">
        <v>62</v>
      </c>
      <c r="Q20" t="s">
        <v>79</v>
      </c>
      <c r="R20" t="s">
        <v>80</v>
      </c>
      <c r="S20" t="s">
        <v>81</v>
      </c>
      <c r="T20" t="s">
        <v>82</v>
      </c>
      <c r="U20" t="s">
        <v>83</v>
      </c>
    </row>
    <row r="21" spans="10:21" x14ac:dyDescent="0.25">
      <c r="L21" t="s">
        <v>48</v>
      </c>
      <c r="M21">
        <v>25</v>
      </c>
      <c r="N21" t="s">
        <v>50</v>
      </c>
      <c r="O21" t="s">
        <v>84</v>
      </c>
      <c r="P21" t="s">
        <v>62</v>
      </c>
      <c r="Q21" t="s">
        <v>85</v>
      </c>
      <c r="R21" t="s">
        <v>64</v>
      </c>
      <c r="S21" t="s">
        <v>71</v>
      </c>
      <c r="T21" t="s">
        <v>86</v>
      </c>
      <c r="U21" t="s">
        <v>71</v>
      </c>
    </row>
    <row r="23" spans="10:21" x14ac:dyDescent="0.25">
      <c r="L23" t="s">
        <v>49</v>
      </c>
    </row>
    <row r="25" spans="10:21" x14ac:dyDescent="0.25">
      <c r="M25" t="s">
        <v>107</v>
      </c>
    </row>
    <row r="26" spans="10:21" x14ac:dyDescent="0.25">
      <c r="M26" t="s">
        <v>104</v>
      </c>
      <c r="N26" t="s">
        <v>105</v>
      </c>
      <c r="O26" t="s">
        <v>102</v>
      </c>
      <c r="P26" t="s">
        <v>103</v>
      </c>
      <c r="Q26" t="s">
        <v>106</v>
      </c>
      <c r="R26" t="s">
        <v>167</v>
      </c>
    </row>
    <row r="27" spans="10:21" ht="30" x14ac:dyDescent="0.25">
      <c r="M27" t="s">
        <v>88</v>
      </c>
      <c r="N27" t="s">
        <v>93</v>
      </c>
      <c r="O27" s="2">
        <v>22</v>
      </c>
      <c r="P27" s="2" t="s">
        <v>71</v>
      </c>
      <c r="Q27" s="19" t="s">
        <v>109</v>
      </c>
      <c r="R27" s="21"/>
    </row>
    <row r="28" spans="10:21" x14ac:dyDescent="0.25">
      <c r="M28" t="s">
        <v>94</v>
      </c>
      <c r="N28" t="s">
        <v>95</v>
      </c>
      <c r="O28" s="2">
        <v>15</v>
      </c>
      <c r="P28" s="2"/>
      <c r="Q28" s="19" t="s">
        <v>43</v>
      </c>
      <c r="R28" s="21"/>
    </row>
    <row r="29" spans="10:21" x14ac:dyDescent="0.25">
      <c r="M29" t="s">
        <v>89</v>
      </c>
      <c r="N29" t="s">
        <v>96</v>
      </c>
      <c r="O29" s="2"/>
      <c r="P29" s="2"/>
      <c r="Q29" s="20" t="s">
        <v>43</v>
      </c>
      <c r="R29" s="21"/>
    </row>
    <row r="30" spans="10:21" x14ac:dyDescent="0.25">
      <c r="M30" t="s">
        <v>90</v>
      </c>
      <c r="N30" t="s">
        <v>97</v>
      </c>
      <c r="O30" s="2">
        <v>10</v>
      </c>
      <c r="P30" s="2"/>
      <c r="Q30" s="21" t="s">
        <v>111</v>
      </c>
      <c r="R30" s="21"/>
    </row>
    <row r="31" spans="10:21" x14ac:dyDescent="0.25">
      <c r="M31" t="s">
        <v>91</v>
      </c>
      <c r="N31" t="s">
        <v>98</v>
      </c>
      <c r="O31" s="2">
        <v>0</v>
      </c>
      <c r="P31" s="2">
        <v>0</v>
      </c>
      <c r="Q31" s="62" t="s">
        <v>237</v>
      </c>
      <c r="R31" s="21"/>
    </row>
    <row r="32" spans="10:21" x14ac:dyDescent="0.25">
      <c r="M32" t="s">
        <v>92</v>
      </c>
      <c r="N32" t="s">
        <v>99</v>
      </c>
      <c r="O32" s="2">
        <v>7</v>
      </c>
      <c r="P32" s="2">
        <v>35</v>
      </c>
      <c r="Q32" s="21" t="s">
        <v>108</v>
      </c>
      <c r="R32" s="21"/>
    </row>
    <row r="33" spans="13:18" ht="30" x14ac:dyDescent="0.25">
      <c r="M33" t="s">
        <v>100</v>
      </c>
      <c r="N33" t="s">
        <v>101</v>
      </c>
      <c r="O33" s="2">
        <v>14</v>
      </c>
      <c r="P33" s="2" t="s">
        <v>71</v>
      </c>
      <c r="Q33" s="19" t="s">
        <v>112</v>
      </c>
      <c r="R33" s="21"/>
    </row>
    <row r="34" spans="13:18" x14ac:dyDescent="0.25">
      <c r="M34" t="s">
        <v>222</v>
      </c>
      <c r="N34" t="s">
        <v>223</v>
      </c>
      <c r="O34" s="2"/>
      <c r="P34" s="2"/>
      <c r="Q34" s="21"/>
      <c r="R34" s="21"/>
    </row>
    <row r="36" spans="13:18" x14ac:dyDescent="0.25">
      <c r="M36" t="s">
        <v>110</v>
      </c>
    </row>
    <row r="39" spans="13:18" x14ac:dyDescent="0.25">
      <c r="N39" t="s">
        <v>134</v>
      </c>
    </row>
    <row r="40" spans="13:18" x14ac:dyDescent="0.25">
      <c r="N40" t="s">
        <v>135</v>
      </c>
    </row>
    <row r="41" spans="13:18" x14ac:dyDescent="0.25">
      <c r="N41" t="s">
        <v>115</v>
      </c>
    </row>
    <row r="42" spans="13:18" x14ac:dyDescent="0.25">
      <c r="N42" t="s">
        <v>114</v>
      </c>
    </row>
    <row r="43" spans="13:18" x14ac:dyDescent="0.25">
      <c r="N43" t="s">
        <v>116</v>
      </c>
    </row>
    <row r="44" spans="13:18" x14ac:dyDescent="0.25">
      <c r="N44" t="s">
        <v>117</v>
      </c>
    </row>
    <row r="45" spans="13:18" x14ac:dyDescent="0.25">
      <c r="N45" t="s">
        <v>118</v>
      </c>
    </row>
    <row r="47" spans="13:18" x14ac:dyDescent="0.25">
      <c r="N47" t="s">
        <v>164</v>
      </c>
      <c r="O47" t="s">
        <v>168</v>
      </c>
    </row>
    <row r="48" spans="13:18" x14ac:dyDescent="0.25">
      <c r="N48" t="s">
        <v>165</v>
      </c>
      <c r="O48" s="28">
        <v>6.25E-2</v>
      </c>
    </row>
    <row r="49" spans="14:15" x14ac:dyDescent="0.25">
      <c r="N49" t="s">
        <v>166</v>
      </c>
      <c r="O49" s="28">
        <v>0.10416666666666667</v>
      </c>
    </row>
  </sheetData>
  <pageMargins left="0.7" right="0.7" top="0.75" bottom="0.75" header="0.3" footer="0.3"/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304B8FF94EC44A864C41751DD8F70" ma:contentTypeVersion="9" ma:contentTypeDescription="Create a new document." ma:contentTypeScope="" ma:versionID="986558deb1bdac663d5f13be936eea65">
  <xsd:schema xmlns:xsd="http://www.w3.org/2001/XMLSchema" xmlns:xs="http://www.w3.org/2001/XMLSchema" xmlns:p="http://schemas.microsoft.com/office/2006/metadata/properties" xmlns:ns2="e66afc8b-beb2-4f4b-9379-1bde034157e4" targetNamespace="http://schemas.microsoft.com/office/2006/metadata/properties" ma:root="true" ma:fieldsID="f6225b6570a71a8a9ac572c3437561e4" ns2:_="">
    <xsd:import namespace="e66afc8b-beb2-4f4b-9379-1bde03415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fc8b-beb2-4f4b-9379-1bde03415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EB286-EBA3-4229-A128-E493420BE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afc8b-beb2-4f4b-9379-1bde03415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2121E8-7CAD-4636-AFE8-644053FEC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6C5780-B84A-45A4-AF95-827DA95034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Overview</vt:lpstr>
      <vt:lpstr>Drive and Lodging Plan</vt:lpstr>
      <vt:lpstr>Transport Plan</vt:lpstr>
      <vt:lpstr>Attraction Plan</vt:lpstr>
      <vt:lpstr>Car Mileage</vt:lpstr>
      <vt:lpstr>Lists</vt:lpstr>
      <vt:lpstr>CAR_GALLONS</vt:lpstr>
      <vt:lpstr>CAR_MPG</vt:lpstr>
      <vt:lpstr>DAY_COUNT</vt:lpstr>
      <vt:lpstr>GAS_PRICE</vt:lpstr>
      <vt:lpstr>OwnCar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</dc:creator>
  <cp:lastModifiedBy>Scott S. Onson</cp:lastModifiedBy>
  <cp:lastPrinted>2021-11-11T00:14:19Z</cp:lastPrinted>
  <dcterms:created xsi:type="dcterms:W3CDTF">2021-04-25T13:07:27Z</dcterms:created>
  <dcterms:modified xsi:type="dcterms:W3CDTF">2022-10-16T13:13:04Z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0x01010097D304B8FF94EC44A864C41751DD8F70</vt:lpwstr>
  </property>
</Properties>
</file>