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7112240c0c948/Desktop/"/>
    </mc:Choice>
  </mc:AlternateContent>
  <xr:revisionPtr revIDLastSave="0" documentId="8_{159387DC-EC81-4A24-A164-C140309E708A}" xr6:coauthVersionLast="45" xr6:coauthVersionMax="45" xr10:uidLastSave="{00000000-0000-0000-0000-000000000000}"/>
  <bookViews>
    <workbookView xWindow="-120" yWindow="-120" windowWidth="29040" windowHeight="15840" activeTab="1" xr2:uid="{902E8129-377E-4200-9527-4DDE2ED6D044}"/>
  </bookViews>
  <sheets>
    <sheet name="time = 0" sheetId="1" r:id="rId1"/>
    <sheet name="time =576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51" i="3" l="1"/>
  <c r="AJ54" i="3"/>
  <c r="AI54" i="3"/>
  <c r="AH54" i="3"/>
  <c r="AG54" i="3"/>
  <c r="AF54" i="3"/>
  <c r="AJ53" i="3"/>
  <c r="AI53" i="3"/>
  <c r="AH53" i="3"/>
  <c r="AG53" i="3"/>
  <c r="AF53" i="3"/>
  <c r="AJ52" i="3"/>
  <c r="AI52" i="3"/>
  <c r="AH52" i="3"/>
  <c r="AG52" i="3"/>
  <c r="AF52" i="3"/>
  <c r="AJ51" i="3"/>
  <c r="AI51" i="3"/>
  <c r="AH51" i="3"/>
  <c r="AG51" i="3"/>
  <c r="AJ49" i="3"/>
  <c r="AI49" i="3"/>
  <c r="AH49" i="3"/>
  <c r="AG49" i="3"/>
  <c r="AF49" i="3"/>
  <c r="AJ48" i="3"/>
  <c r="AI48" i="3"/>
  <c r="AH48" i="3"/>
  <c r="AG48" i="3"/>
  <c r="AF48" i="3"/>
  <c r="AJ47" i="3"/>
  <c r="AI47" i="3"/>
  <c r="AH47" i="3"/>
  <c r="AG47" i="3"/>
  <c r="AF47" i="3"/>
  <c r="AJ46" i="3"/>
  <c r="AI46" i="3"/>
  <c r="AH46" i="3"/>
  <c r="AG46" i="3"/>
  <c r="AF46" i="3"/>
  <c r="AD53" i="3"/>
  <c r="AC53" i="3"/>
  <c r="AB53" i="3"/>
  <c r="AA53" i="3"/>
  <c r="Z53" i="3"/>
  <c r="Y53" i="3"/>
  <c r="X53" i="3"/>
  <c r="W53" i="3"/>
  <c r="V53" i="3"/>
  <c r="U53" i="3"/>
  <c r="AD52" i="3"/>
  <c r="AC52" i="3"/>
  <c r="AB52" i="3"/>
  <c r="AA52" i="3"/>
  <c r="Z52" i="3"/>
  <c r="Y52" i="3"/>
  <c r="X52" i="3"/>
  <c r="W52" i="3"/>
  <c r="V52" i="3"/>
  <c r="U52" i="3"/>
  <c r="AD51" i="3"/>
  <c r="AC51" i="3"/>
  <c r="AB51" i="3"/>
  <c r="AA51" i="3"/>
  <c r="Z51" i="3"/>
  <c r="Y51" i="3"/>
  <c r="X51" i="3"/>
  <c r="W51" i="3"/>
  <c r="V51" i="3"/>
  <c r="U51" i="3"/>
  <c r="E40" i="3" l="1"/>
  <c r="K33" i="3"/>
  <c r="F40" i="3"/>
  <c r="E7" i="3" s="1"/>
  <c r="E7" i="1"/>
  <c r="F39" i="3"/>
  <c r="U46" i="3"/>
  <c r="AB48" i="3"/>
  <c r="X48" i="3"/>
  <c r="U48" i="3"/>
  <c r="AB9" i="3"/>
  <c r="X9" i="3"/>
  <c r="U9" i="3"/>
  <c r="U7" i="3"/>
  <c r="J48" i="3"/>
  <c r="F48" i="3"/>
  <c r="C48" i="3"/>
  <c r="C46" i="3"/>
  <c r="E41" i="3" l="1"/>
  <c r="F41" i="3" s="1"/>
  <c r="F42" i="3" s="1"/>
  <c r="E9" i="3"/>
  <c r="J8" i="3"/>
  <c r="G23" i="3" s="1"/>
  <c r="F8" i="3"/>
  <c r="J7" i="3"/>
  <c r="F7" i="3"/>
  <c r="C8" i="1"/>
  <c r="D9" i="1"/>
  <c r="D8" i="1"/>
  <c r="J8" i="1"/>
  <c r="J7" i="1"/>
  <c r="F41" i="1"/>
  <c r="E8" i="1" s="1"/>
  <c r="F39" i="1"/>
  <c r="E9" i="1" s="1"/>
  <c r="F40" i="1"/>
  <c r="E41" i="1"/>
  <c r="E40" i="1"/>
  <c r="E39" i="1"/>
  <c r="F8" i="1"/>
  <c r="F24" i="1" s="1"/>
  <c r="F7" i="1"/>
  <c r="F23" i="1" s="1"/>
  <c r="AB7" i="3" l="1"/>
  <c r="AB46" i="3" s="1"/>
  <c r="J46" i="3"/>
  <c r="G24" i="3"/>
  <c r="J47" i="3"/>
  <c r="AB8" i="3"/>
  <c r="F24" i="3"/>
  <c r="F47" i="3"/>
  <c r="X8" i="3"/>
  <c r="X47" i="3" s="1"/>
  <c r="F23" i="3"/>
  <c r="X7" i="3"/>
  <c r="F46" i="3"/>
  <c r="W7" i="3"/>
  <c r="E46" i="3"/>
  <c r="E48" i="3"/>
  <c r="W9" i="3"/>
  <c r="W48" i="3" s="1"/>
  <c r="E8" i="3"/>
  <c r="G9" i="3"/>
  <c r="G24" i="1"/>
  <c r="G23" i="1"/>
  <c r="G26" i="1" s="1"/>
  <c r="F26" i="3" l="1"/>
  <c r="H13" i="3" s="1"/>
  <c r="C8" i="3" s="1"/>
  <c r="U8" i="3" s="1"/>
  <c r="G26" i="3"/>
  <c r="AB10" i="3"/>
  <c r="AB47" i="3"/>
  <c r="AB49" i="3" s="1"/>
  <c r="X10" i="3"/>
  <c r="X46" i="3"/>
  <c r="X49" i="3" s="1"/>
  <c r="Y9" i="3"/>
  <c r="Y48" i="3" s="1"/>
  <c r="G48" i="3"/>
  <c r="G8" i="3"/>
  <c r="W8" i="3"/>
  <c r="W47" i="3" s="1"/>
  <c r="E47" i="3"/>
  <c r="W46" i="3"/>
  <c r="G7" i="3"/>
  <c r="H9" i="3"/>
  <c r="F26" i="1"/>
  <c r="H13" i="1" s="1"/>
  <c r="G7" i="1"/>
  <c r="W49" i="3" l="1"/>
  <c r="W10" i="3"/>
  <c r="C47" i="3"/>
  <c r="U47" i="3"/>
  <c r="U49" i="3" s="1"/>
  <c r="U10" i="3"/>
  <c r="G47" i="3"/>
  <c r="Y8" i="3"/>
  <c r="Y47" i="3" s="1"/>
  <c r="H8" i="3"/>
  <c r="G46" i="3"/>
  <c r="Y7" i="3"/>
  <c r="I9" i="3"/>
  <c r="H48" i="3"/>
  <c r="Z9" i="3"/>
  <c r="Z48" i="3" s="1"/>
  <c r="H7" i="3"/>
  <c r="H7" i="1"/>
  <c r="I7" i="1" s="1"/>
  <c r="K7" i="1" s="1"/>
  <c r="L7" i="1" s="1"/>
  <c r="D7" i="1" s="1"/>
  <c r="G8" i="1"/>
  <c r="H8" i="1" s="1"/>
  <c r="K9" i="3" l="1"/>
  <c r="I48" i="3"/>
  <c r="AA9" i="3"/>
  <c r="AA48" i="3" s="1"/>
  <c r="I8" i="3"/>
  <c r="H47" i="3"/>
  <c r="Z8" i="3"/>
  <c r="Z47" i="3" s="1"/>
  <c r="Y46" i="3"/>
  <c r="Y49" i="3" s="1"/>
  <c r="Y10" i="3"/>
  <c r="I7" i="3"/>
  <c r="H46" i="3"/>
  <c r="Z7" i="3"/>
  <c r="I8" i="1"/>
  <c r="K8" i="1" s="1"/>
  <c r="L8" i="1" s="1"/>
  <c r="G9" i="1"/>
  <c r="H9" i="1" s="1"/>
  <c r="I9" i="1" s="1"/>
  <c r="K9" i="1" s="1"/>
  <c r="L9" i="1" s="1"/>
  <c r="K8" i="3" l="1"/>
  <c r="AA8" i="3"/>
  <c r="AA47" i="3" s="1"/>
  <c r="I47" i="3"/>
  <c r="Z46" i="3"/>
  <c r="Z49" i="3" s="1"/>
  <c r="Z10" i="3"/>
  <c r="K7" i="3"/>
  <c r="AA7" i="3"/>
  <c r="I46" i="3"/>
  <c r="L9" i="3"/>
  <c r="AC9" i="3"/>
  <c r="AC48" i="3" s="1"/>
  <c r="K48" i="3"/>
  <c r="L7" i="3" l="1"/>
  <c r="AC7" i="3"/>
  <c r="K46" i="3"/>
  <c r="AA46" i="3"/>
  <c r="AA49" i="3" s="1"/>
  <c r="AA10" i="3"/>
  <c r="D9" i="3"/>
  <c r="L48" i="3"/>
  <c r="AD9" i="3"/>
  <c r="AD48" i="3" s="1"/>
  <c r="L8" i="3"/>
  <c r="K47" i="3"/>
  <c r="AC8" i="3"/>
  <c r="AC47" i="3" s="1"/>
  <c r="V9" i="3" l="1"/>
  <c r="V48" i="3" s="1"/>
  <c r="D48" i="3"/>
  <c r="AC10" i="3"/>
  <c r="AC46" i="3"/>
  <c r="AC49" i="3" s="1"/>
  <c r="D8" i="3"/>
  <c r="L47" i="3"/>
  <c r="AD8" i="3"/>
  <c r="AD47" i="3" s="1"/>
  <c r="D7" i="3"/>
  <c r="L46" i="3"/>
  <c r="AD7" i="3"/>
  <c r="AD10" i="3" l="1"/>
  <c r="AD46" i="3"/>
  <c r="AD49" i="3" s="1"/>
  <c r="V7" i="3"/>
  <c r="D46" i="3"/>
  <c r="D47" i="3"/>
  <c r="V8" i="3"/>
  <c r="V47" i="3" s="1"/>
  <c r="V10" i="3" l="1"/>
  <c r="V46" i="3"/>
  <c r="V49" i="3" s="1"/>
</calcChain>
</file>

<file path=xl/sharedStrings.xml><?xml version="1.0" encoding="utf-8"?>
<sst xmlns="http://schemas.openxmlformats.org/spreadsheetml/2006/main" count="136" uniqueCount="57">
  <si>
    <t>Ethanol</t>
  </si>
  <si>
    <t>mass balance solutes</t>
  </si>
  <si>
    <t>Water</t>
  </si>
  <si>
    <t>Solutes</t>
  </si>
  <si>
    <t>all mass in grams</t>
  </si>
  <si>
    <t>split ratio</t>
  </si>
  <si>
    <t>Ethanol permeate rate</t>
  </si>
  <si>
    <t>Water permeate rate</t>
  </si>
  <si>
    <t>membrane 1</t>
  </si>
  <si>
    <t>membrane 2</t>
  </si>
  <si>
    <t>basis 1 second</t>
  </si>
  <si>
    <t>solutes</t>
  </si>
  <si>
    <t>total volume stream 6</t>
  </si>
  <si>
    <t>assuming incompressible fluid</t>
  </si>
  <si>
    <t>total flow rate</t>
  </si>
  <si>
    <t>g/ s</t>
  </si>
  <si>
    <t>m3</t>
  </si>
  <si>
    <t>Density of ethanol at 5 deg C</t>
  </si>
  <si>
    <t>kg/m3</t>
  </si>
  <si>
    <t>from NIST database</t>
  </si>
  <si>
    <t>Density of water at 5 degree C</t>
  </si>
  <si>
    <t>assuming volume of solutes is negligible</t>
  </si>
  <si>
    <t>other</t>
  </si>
  <si>
    <t>volume 4+8</t>
  </si>
  <si>
    <t>Stream</t>
  </si>
  <si>
    <t>obtained from python simulation</t>
  </si>
  <si>
    <t>feed solutes</t>
  </si>
  <si>
    <t>feed ethanol</t>
  </si>
  <si>
    <t>Feed water</t>
  </si>
  <si>
    <t>mass flow rates</t>
  </si>
  <si>
    <t>molar flow rates</t>
  </si>
  <si>
    <t>molar mass pof solutes</t>
  </si>
  <si>
    <t>g/mol</t>
  </si>
  <si>
    <t>mol/s</t>
  </si>
  <si>
    <t>in kg/hr</t>
  </si>
  <si>
    <t>kmol/hr</t>
  </si>
  <si>
    <t>Total</t>
  </si>
  <si>
    <t>Liquid fraction</t>
  </si>
  <si>
    <t>kg/hr</t>
  </si>
  <si>
    <t>Stream #</t>
  </si>
  <si>
    <t>Pressure (psi)</t>
  </si>
  <si>
    <t>Tempreature (°C)</t>
  </si>
  <si>
    <t>membrane area =  909000 cm2</t>
  </si>
  <si>
    <t>batch feed =  1815000 g</t>
  </si>
  <si>
    <t>flow out of tank =  1400 g/s</t>
  </si>
  <si>
    <t>Product in BPY =  69994.74619859419</t>
  </si>
  <si>
    <t>time for a batch =  5763 s</t>
  </si>
  <si>
    <t>initial mass flow rates (g/s):  [996.41121519] [582.29713058] [403.58878481] [404.14997246] [807.73875727]</t>
  </si>
  <si>
    <t>endpoint mass flow rates (g/s):  [1008.88170427] [607.62091611] [391.11829573] [391.17197112] [782.29026685]</t>
  </si>
  <si>
    <t>t = 0: permeate 1 water =  389.73375</t>
  </si>
  <si>
    <t>t = 0: permeate 1 ethanol =  [13.85503481]</t>
  </si>
  <si>
    <t>t = 0: permeate 2 water =  389.73375</t>
  </si>
  <si>
    <t>t = 0: permeate 2 ethanol =  [14.41622246]</t>
  </si>
  <si>
    <t>t = final: permeate 1 water =  389.73375</t>
  </si>
  <si>
    <t>t = final: permeate 1 ethanol =  [1.38454573]</t>
  </si>
  <si>
    <t>t = final: permeate 2 water =  389.73375</t>
  </si>
  <si>
    <t>t = final: permeate 2 ethanol =  [1.43822112]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</si>
</sst>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1" fillId="3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20" xfId="0" applyFill="1" applyBorder="1"/>
    <xf numFmtId="0" fontId="1" fillId="0" borderId="8" xfId="0" applyFont="1" applyFill="1" applyBorder="1"/>
    <xf numFmtId="0" fontId="1" fillId="0" borderId="20" xfId="0" applyFont="1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24" xfId="0" applyNumberFormat="1" applyFill="1" applyBorder="1"/>
    <xf numFmtId="2" fontId="0" fillId="0" borderId="25" xfId="0" applyNumberFormat="1" applyFill="1" applyBorder="1"/>
    <xf numFmtId="2" fontId="0" fillId="0" borderId="5" xfId="0" applyNumberFormat="1" applyFill="1" applyBorder="1"/>
    <xf numFmtId="2" fontId="0" fillId="0" borderId="6" xfId="0" applyNumberFormat="1" applyFill="1" applyBorder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D219-28F4-4F72-B53C-D50F00EC4B94}">
  <dimension ref="A3:L41"/>
  <sheetViews>
    <sheetView topLeftCell="B4" zoomScale="51" workbookViewId="0">
      <selection activeCell="E7" sqref="E7"/>
    </sheetView>
  </sheetViews>
  <sheetFormatPr defaultRowHeight="15" x14ac:dyDescent="0.25"/>
  <cols>
    <col min="3" max="3" width="20.140625" customWidth="1"/>
    <col min="4" max="4" width="21.7109375" customWidth="1"/>
    <col min="5" max="5" width="23.5703125" customWidth="1"/>
    <col min="6" max="6" width="20.140625" customWidth="1"/>
    <col min="7" max="7" width="27.7109375" customWidth="1"/>
    <col min="8" max="8" width="13.28515625" bestFit="1" customWidth="1"/>
    <col min="9" max="9" width="12.85546875" customWidth="1"/>
    <col min="10" max="10" width="13.42578125" customWidth="1"/>
    <col min="11" max="11" width="13.7109375" customWidth="1"/>
    <col min="12" max="12" width="14.28515625" customWidth="1"/>
  </cols>
  <sheetData>
    <row r="3" spans="1:12" x14ac:dyDescent="0.25">
      <c r="C3" s="1" t="s">
        <v>10</v>
      </c>
    </row>
    <row r="4" spans="1:12" x14ac:dyDescent="0.25">
      <c r="C4" t="s">
        <v>1</v>
      </c>
      <c r="F4" t="s">
        <v>4</v>
      </c>
    </row>
    <row r="5" spans="1:12" ht="15.75" thickBot="1" x14ac:dyDescent="0.3"/>
    <row r="6" spans="1:12" ht="15.75" thickBot="1" x14ac:dyDescent="0.3">
      <c r="C6" s="4">
        <v>1</v>
      </c>
      <c r="D6" s="5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7">
        <v>10</v>
      </c>
    </row>
    <row r="7" spans="1:12" x14ac:dyDescent="0.25">
      <c r="B7" s="17" t="s">
        <v>0</v>
      </c>
      <c r="C7" s="8">
        <v>0</v>
      </c>
      <c r="D7" s="9">
        <f>E7-C7-L7</f>
        <v>30.060000000000002</v>
      </c>
      <c r="E7" s="8">
        <f>$E$10*$F$40</f>
        <v>35.514000000000003</v>
      </c>
      <c r="F7" s="8">
        <f>H15</f>
        <v>14.25</v>
      </c>
      <c r="G7" s="8">
        <f>E7-F7</f>
        <v>21.264000000000003</v>
      </c>
      <c r="H7" s="8">
        <f>G7*$H$14</f>
        <v>1.0632000000000001</v>
      </c>
      <c r="I7" s="8">
        <f>G7-H7</f>
        <v>20.200800000000001</v>
      </c>
      <c r="J7" s="8">
        <f>H17</f>
        <v>15.81</v>
      </c>
      <c r="K7" s="8">
        <f>I7-J7</f>
        <v>4.3908000000000005</v>
      </c>
      <c r="L7" s="10">
        <f>K7+H7</f>
        <v>5.4540000000000006</v>
      </c>
    </row>
    <row r="8" spans="1:12" x14ac:dyDescent="0.25">
      <c r="B8" s="18" t="s">
        <v>2</v>
      </c>
      <c r="C8" s="11">
        <f>$H$13*997000</f>
        <v>1342.6029565182259</v>
      </c>
      <c r="D8" s="12">
        <f>E8-C8-L8</f>
        <v>-525.40695651822625</v>
      </c>
      <c r="E8" s="11">
        <f>E10*F41</f>
        <v>8665.2732000000015</v>
      </c>
      <c r="F8" s="11">
        <f>H16</f>
        <v>408.59800000000001</v>
      </c>
      <c r="G8" s="11">
        <f>E8-F8</f>
        <v>8256.6752000000015</v>
      </c>
      <c r="H8" s="11">
        <f t="shared" ref="H8:H9" si="0">G8*$H$14</f>
        <v>412.8337600000001</v>
      </c>
      <c r="I8" s="11">
        <f t="shared" ref="I8:I9" si="1">G8-H8</f>
        <v>7843.8414400000011</v>
      </c>
      <c r="J8" s="11">
        <f>H18</f>
        <v>408.59800000000001</v>
      </c>
      <c r="K8" s="11">
        <f t="shared" ref="K8:K9" si="2">I8-J8</f>
        <v>7435.2434400000011</v>
      </c>
      <c r="L8" s="13">
        <f t="shared" ref="L8:L9" si="3">K8+H8</f>
        <v>7848.0772000000015</v>
      </c>
    </row>
    <row r="9" spans="1:12" ht="15.75" thickBot="1" x14ac:dyDescent="0.3">
      <c r="A9" t="s">
        <v>22</v>
      </c>
      <c r="B9" s="19" t="s">
        <v>3</v>
      </c>
      <c r="C9" s="14">
        <v>0</v>
      </c>
      <c r="D9" s="15">
        <f>E9-C9-L9</f>
        <v>0</v>
      </c>
      <c r="E9" s="14">
        <f>$E$10*$F$39</f>
        <v>299.21280000000002</v>
      </c>
      <c r="F9" s="14">
        <v>0</v>
      </c>
      <c r="G9" s="14">
        <f>E9-F9</f>
        <v>299.21280000000002</v>
      </c>
      <c r="H9" s="14">
        <f t="shared" si="0"/>
        <v>14.960640000000001</v>
      </c>
      <c r="I9" s="14">
        <f t="shared" si="1"/>
        <v>284.25216</v>
      </c>
      <c r="J9" s="14">
        <v>0</v>
      </c>
      <c r="K9" s="14">
        <f t="shared" si="2"/>
        <v>284.25216</v>
      </c>
      <c r="L9" s="16">
        <f t="shared" si="3"/>
        <v>299.21280000000002</v>
      </c>
    </row>
    <row r="10" spans="1:12" x14ac:dyDescent="0.25">
      <c r="B10" t="s">
        <v>14</v>
      </c>
      <c r="E10">
        <v>900</v>
      </c>
    </row>
    <row r="13" spans="1:12" x14ac:dyDescent="0.25">
      <c r="G13" t="s">
        <v>23</v>
      </c>
      <c r="H13">
        <f>F26+G26</f>
        <v>1.3466428851737471E-3</v>
      </c>
      <c r="I13" t="s">
        <v>16</v>
      </c>
    </row>
    <row r="14" spans="1:12" x14ac:dyDescent="0.25">
      <c r="G14" t="s">
        <v>5</v>
      </c>
      <c r="H14">
        <v>0.05</v>
      </c>
    </row>
    <row r="15" spans="1:12" x14ac:dyDescent="0.25">
      <c r="F15" t="s">
        <v>8</v>
      </c>
      <c r="G15" t="s">
        <v>6</v>
      </c>
      <c r="H15" s="2">
        <v>14.25</v>
      </c>
      <c r="I15" t="s">
        <v>15</v>
      </c>
      <c r="J15" t="s">
        <v>25</v>
      </c>
    </row>
    <row r="16" spans="1:12" x14ac:dyDescent="0.25">
      <c r="G16" t="s">
        <v>7</v>
      </c>
      <c r="H16" s="2">
        <v>408.59800000000001</v>
      </c>
      <c r="I16" t="s">
        <v>15</v>
      </c>
    </row>
    <row r="17" spans="3:9" x14ac:dyDescent="0.25">
      <c r="F17" t="s">
        <v>9</v>
      </c>
      <c r="G17" t="s">
        <v>6</v>
      </c>
      <c r="H17" s="2">
        <v>15.81</v>
      </c>
      <c r="I17" t="s">
        <v>15</v>
      </c>
    </row>
    <row r="18" spans="3:9" x14ac:dyDescent="0.25">
      <c r="G18" t="s">
        <v>7</v>
      </c>
      <c r="H18" s="2">
        <v>408.59800000000001</v>
      </c>
      <c r="I18" t="s">
        <v>15</v>
      </c>
    </row>
    <row r="20" spans="3:9" x14ac:dyDescent="0.25">
      <c r="G20" s="3"/>
      <c r="H20" s="3"/>
      <c r="I20" s="3"/>
    </row>
    <row r="22" spans="3:9" x14ac:dyDescent="0.25">
      <c r="E22" t="s">
        <v>24</v>
      </c>
      <c r="F22">
        <v>4</v>
      </c>
      <c r="G22">
        <v>8</v>
      </c>
    </row>
    <row r="23" spans="3:9" x14ac:dyDescent="0.25">
      <c r="C23" t="s">
        <v>13</v>
      </c>
      <c r="E23" t="s">
        <v>0</v>
      </c>
      <c r="F23">
        <f>F7/802000</f>
        <v>1.7768079800498752E-5</v>
      </c>
      <c r="G23">
        <f>J8/802400</f>
        <v>5.0921984047856434E-4</v>
      </c>
    </row>
    <row r="24" spans="3:9" x14ac:dyDescent="0.25">
      <c r="C24" t="s">
        <v>21</v>
      </c>
      <c r="E24" t="s">
        <v>2</v>
      </c>
      <c r="F24">
        <f>F8/997000</f>
        <v>4.0982748244734204E-4</v>
      </c>
      <c r="G24">
        <f>J8/997000</f>
        <v>4.0982748244734204E-4</v>
      </c>
    </row>
    <row r="25" spans="3:9" x14ac:dyDescent="0.25">
      <c r="E25" t="s">
        <v>11</v>
      </c>
      <c r="F25">
        <v>0</v>
      </c>
      <c r="G25">
        <v>0</v>
      </c>
    </row>
    <row r="26" spans="3:9" x14ac:dyDescent="0.25">
      <c r="E26" t="s">
        <v>12</v>
      </c>
      <c r="F26">
        <f>SUM(F23:F25)</f>
        <v>4.275955622478408E-4</v>
      </c>
      <c r="G26">
        <f>SUM(G23:G25)</f>
        <v>9.1904732292590638E-4</v>
      </c>
      <c r="H26" t="s">
        <v>16</v>
      </c>
    </row>
    <row r="30" spans="3:9" x14ac:dyDescent="0.25">
      <c r="E30" t="s">
        <v>17</v>
      </c>
      <c r="F30">
        <v>802.4</v>
      </c>
      <c r="G30" t="s">
        <v>18</v>
      </c>
      <c r="H30" t="s">
        <v>19</v>
      </c>
    </row>
    <row r="31" spans="3:9" x14ac:dyDescent="0.25">
      <c r="E31" t="s">
        <v>20</v>
      </c>
      <c r="F31">
        <v>997</v>
      </c>
      <c r="G31" t="s">
        <v>18</v>
      </c>
    </row>
    <row r="39" spans="4:6" x14ac:dyDescent="0.25">
      <c r="D39" t="s">
        <v>26</v>
      </c>
      <c r="E39">
        <f>12.4672*10000/375</f>
        <v>332.45866666666666</v>
      </c>
      <c r="F39">
        <f t="shared" ref="F39" si="4">E39/1000</f>
        <v>0.33245866666666668</v>
      </c>
    </row>
    <row r="40" spans="4:6" x14ac:dyDescent="0.25">
      <c r="D40" t="s">
        <v>27</v>
      </c>
      <c r="E40">
        <f>0.03946*1000</f>
        <v>39.46</v>
      </c>
      <c r="F40">
        <f>E40/1000</f>
        <v>3.9460000000000002E-2</v>
      </c>
    </row>
    <row r="41" spans="4:6" x14ac:dyDescent="0.25">
      <c r="D41" t="s">
        <v>28</v>
      </c>
      <c r="E41">
        <f>10000-E40-E39</f>
        <v>9628.0813333333335</v>
      </c>
      <c r="F41">
        <f t="shared" ref="F41" si="5">E41/1000</f>
        <v>9.6280813333333342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83C8-1203-428B-AC55-6DD7D62FDB4F}">
  <dimension ref="A3:AJ72"/>
  <sheetViews>
    <sheetView tabSelected="1" topLeftCell="E28" zoomScale="62" workbookViewId="0">
      <selection activeCell="AE39" sqref="AE39:AJ54"/>
    </sheetView>
  </sheetViews>
  <sheetFormatPr defaultRowHeight="15" x14ac:dyDescent="0.25"/>
  <cols>
    <col min="3" max="3" width="20.140625" customWidth="1"/>
    <col min="4" max="4" width="21.7109375" customWidth="1"/>
    <col min="5" max="5" width="23.5703125" customWidth="1"/>
    <col min="6" max="6" width="20.140625" customWidth="1"/>
    <col min="7" max="7" width="27.7109375" customWidth="1"/>
    <col min="8" max="8" width="13.28515625" bestFit="1" customWidth="1"/>
    <col min="9" max="9" width="12.85546875" customWidth="1"/>
    <col min="10" max="10" width="13.42578125" customWidth="1"/>
    <col min="11" max="11" width="13.7109375" customWidth="1"/>
    <col min="12" max="12" width="14.28515625" customWidth="1"/>
    <col min="16" max="16" width="24.140625" customWidth="1"/>
    <col min="20" max="20" width="28.28515625" customWidth="1"/>
    <col min="21" max="21" width="9" customWidth="1"/>
    <col min="22" max="22" width="9.140625" hidden="1" customWidth="1"/>
    <col min="23" max="23" width="13.5703125" bestFit="1" customWidth="1"/>
    <col min="24" max="24" width="13" bestFit="1" customWidth="1"/>
    <col min="25" max="25" width="12.5703125" bestFit="1" customWidth="1"/>
    <col min="26" max="26" width="11.140625" bestFit="1" customWidth="1"/>
    <col min="27" max="28" width="13" bestFit="1" customWidth="1"/>
    <col min="29" max="29" width="11.42578125" bestFit="1" customWidth="1"/>
    <col min="30" max="30" width="11.85546875" bestFit="1" customWidth="1"/>
    <col min="31" max="31" width="22" customWidth="1"/>
  </cols>
  <sheetData>
    <row r="3" spans="1:30" x14ac:dyDescent="0.25">
      <c r="C3" s="1" t="s">
        <v>10</v>
      </c>
    </row>
    <row r="4" spans="1:30" x14ac:dyDescent="0.25">
      <c r="C4" t="s">
        <v>1</v>
      </c>
      <c r="F4" t="s">
        <v>4</v>
      </c>
    </row>
    <row r="5" spans="1:30" ht="15.75" thickBot="1" x14ac:dyDescent="0.3">
      <c r="B5" t="s">
        <v>29</v>
      </c>
      <c r="T5" t="s">
        <v>34</v>
      </c>
    </row>
    <row r="6" spans="1:30" ht="15.75" thickBot="1" x14ac:dyDescent="0.3">
      <c r="C6" s="4">
        <v>1</v>
      </c>
      <c r="D6" s="5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7">
        <v>10</v>
      </c>
      <c r="U6" s="4">
        <v>1</v>
      </c>
      <c r="V6" s="5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  <c r="AD6" s="7">
        <v>10</v>
      </c>
    </row>
    <row r="7" spans="1:30" ht="15.75" thickBot="1" x14ac:dyDescent="0.3">
      <c r="B7" s="17" t="s">
        <v>0</v>
      </c>
      <c r="C7" s="8">
        <v>0</v>
      </c>
      <c r="D7" s="9">
        <f>E7-C7-L7</f>
        <v>2.8100000000000023</v>
      </c>
      <c r="E7" s="8">
        <f>$E$10*$F$40</f>
        <v>35.549729999999997</v>
      </c>
      <c r="F7" s="8">
        <f>H15</f>
        <v>1.38</v>
      </c>
      <c r="G7" s="8">
        <f>E7-F7</f>
        <v>34.169729999999994</v>
      </c>
      <c r="H7" s="8">
        <f>G7*$H$14</f>
        <v>1.7084864999999998</v>
      </c>
      <c r="I7" s="8">
        <f>G7-H7</f>
        <v>32.461243499999995</v>
      </c>
      <c r="J7" s="8">
        <f>H17</f>
        <v>1.43</v>
      </c>
      <c r="K7" s="8">
        <f>I7-J7</f>
        <v>31.031243499999995</v>
      </c>
      <c r="L7" s="10">
        <f>K7+H7</f>
        <v>32.739729999999994</v>
      </c>
      <c r="T7" s="20" t="s">
        <v>0</v>
      </c>
      <c r="U7" s="23">
        <f>C7*3600/1000</f>
        <v>0</v>
      </c>
      <c r="V7" s="24">
        <f t="shared" ref="V7:V9" si="0">D7*3600/1000</f>
        <v>10.116000000000007</v>
      </c>
      <c r="W7" s="24">
        <f t="shared" ref="W7:W9" si="1">E7*3600/1000</f>
        <v>127.97902799999999</v>
      </c>
      <c r="X7" s="24">
        <f t="shared" ref="X7:X9" si="2">F7*3600/1000</f>
        <v>4.968</v>
      </c>
      <c r="Y7" s="24">
        <f t="shared" ref="Y7:Y9" si="3">G7*3600/1000</f>
        <v>123.01102799999998</v>
      </c>
      <c r="Z7" s="24">
        <f t="shared" ref="Z7:Z9" si="4">H7*3600/1000</f>
        <v>6.1505513999999994</v>
      </c>
      <c r="AA7" s="24">
        <f t="shared" ref="AA7:AA9" si="5">I7*3600/1000</f>
        <v>116.86047659999998</v>
      </c>
      <c r="AB7" s="24">
        <f t="shared" ref="AB7:AB9" si="6">J7*3600/1000</f>
        <v>5.1479999999999997</v>
      </c>
      <c r="AC7" s="24">
        <f t="shared" ref="AC7:AC9" si="7">K7*3600/1000</f>
        <v>111.71247659999997</v>
      </c>
      <c r="AD7" s="25">
        <f t="shared" ref="AD7:AD9" si="8">L7*3600/1000</f>
        <v>117.86302799999997</v>
      </c>
    </row>
    <row r="8" spans="1:30" ht="15.75" thickBot="1" x14ac:dyDescent="0.3">
      <c r="B8" s="18" t="s">
        <v>2</v>
      </c>
      <c r="C8" s="11">
        <f>$H$13*997000</f>
        <v>1265.4335314238083</v>
      </c>
      <c r="D8" s="12">
        <f>E8-C8-L8</f>
        <v>-485.96753142380828</v>
      </c>
      <c r="E8" s="11">
        <f>E10*F41</f>
        <v>834.57027000000016</v>
      </c>
      <c r="F8" s="11">
        <f>H16</f>
        <v>389.733</v>
      </c>
      <c r="G8" s="11">
        <f>E8-F8</f>
        <v>444.83727000000016</v>
      </c>
      <c r="H8" s="11">
        <f t="shared" ref="H8:H9" si="9">G8*$H$14</f>
        <v>22.241863500000008</v>
      </c>
      <c r="I8" s="11">
        <f t="shared" ref="I8:I9" si="10">G8-H8</f>
        <v>422.59540650000014</v>
      </c>
      <c r="J8" s="11">
        <f>H18</f>
        <v>389.733</v>
      </c>
      <c r="K8" s="11">
        <f t="shared" ref="K8:K9" si="11">I8-J8</f>
        <v>32.862406500000134</v>
      </c>
      <c r="L8" s="13">
        <f t="shared" ref="L8:L9" si="12">K8+H8</f>
        <v>55.104270000000142</v>
      </c>
      <c r="T8" s="21" t="s">
        <v>2</v>
      </c>
      <c r="U8" s="26">
        <f t="shared" ref="U8:U9" si="13">C8*3600/1000</f>
        <v>4555.5607131257093</v>
      </c>
      <c r="V8" s="8">
        <f t="shared" si="0"/>
        <v>-1749.4831131257099</v>
      </c>
      <c r="W8" s="8">
        <f t="shared" si="1"/>
        <v>3004.4529720000005</v>
      </c>
      <c r="X8" s="8">
        <f t="shared" si="2"/>
        <v>1403.0388</v>
      </c>
      <c r="Y8" s="8">
        <f t="shared" si="3"/>
        <v>1601.4141720000005</v>
      </c>
      <c r="Z8" s="8">
        <f t="shared" si="4"/>
        <v>80.070708600000032</v>
      </c>
      <c r="AA8" s="8">
        <f t="shared" si="5"/>
        <v>1521.3434634000005</v>
      </c>
      <c r="AB8" s="8">
        <f t="shared" si="6"/>
        <v>1403.0388</v>
      </c>
      <c r="AC8" s="8">
        <f t="shared" si="7"/>
        <v>118.30466340000048</v>
      </c>
      <c r="AD8" s="27">
        <f t="shared" si="8"/>
        <v>198.37537200000051</v>
      </c>
    </row>
    <row r="9" spans="1:30" ht="15.75" thickBot="1" x14ac:dyDescent="0.3">
      <c r="A9" t="s">
        <v>22</v>
      </c>
      <c r="B9" s="19" t="s">
        <v>3</v>
      </c>
      <c r="C9" s="14">
        <v>0</v>
      </c>
      <c r="D9" s="15">
        <f>E9-C9-L9</f>
        <v>0</v>
      </c>
      <c r="E9" s="14">
        <f>$E$10*$F$39</f>
        <v>29.88</v>
      </c>
      <c r="F9" s="14">
        <v>0</v>
      </c>
      <c r="G9" s="14">
        <f>E9-F9</f>
        <v>29.88</v>
      </c>
      <c r="H9" s="14">
        <f t="shared" si="9"/>
        <v>1.494</v>
      </c>
      <c r="I9" s="14">
        <f t="shared" si="10"/>
        <v>28.385999999999999</v>
      </c>
      <c r="J9" s="14">
        <v>0</v>
      </c>
      <c r="K9" s="14">
        <f t="shared" si="11"/>
        <v>28.385999999999999</v>
      </c>
      <c r="L9" s="16">
        <f t="shared" si="12"/>
        <v>29.88</v>
      </c>
      <c r="T9" s="22" t="s">
        <v>3</v>
      </c>
      <c r="U9" s="28">
        <f t="shared" si="13"/>
        <v>0</v>
      </c>
      <c r="V9" s="29">
        <f t="shared" si="0"/>
        <v>0</v>
      </c>
      <c r="W9" s="29">
        <f t="shared" si="1"/>
        <v>107.568</v>
      </c>
      <c r="X9" s="29">
        <f t="shared" si="2"/>
        <v>0</v>
      </c>
      <c r="Y9" s="29">
        <f t="shared" si="3"/>
        <v>107.568</v>
      </c>
      <c r="Z9" s="29">
        <f t="shared" si="4"/>
        <v>5.3784000000000001</v>
      </c>
      <c r="AA9" s="29">
        <f t="shared" si="5"/>
        <v>102.18959999999998</v>
      </c>
      <c r="AB9" s="29">
        <f t="shared" si="6"/>
        <v>0</v>
      </c>
      <c r="AC9" s="29">
        <f t="shared" si="7"/>
        <v>102.18959999999998</v>
      </c>
      <c r="AD9" s="30">
        <f t="shared" si="8"/>
        <v>107.568</v>
      </c>
    </row>
    <row r="10" spans="1:30" x14ac:dyDescent="0.25">
      <c r="B10" t="s">
        <v>14</v>
      </c>
      <c r="E10">
        <v>900</v>
      </c>
      <c r="T10" s="31" t="s">
        <v>36</v>
      </c>
      <c r="U10">
        <f>SUM(U7:U9)</f>
        <v>4555.5607131257093</v>
      </c>
      <c r="V10">
        <f t="shared" ref="V10:AD10" si="14">SUM(V7:V9)</f>
        <v>-1739.3671131257099</v>
      </c>
      <c r="W10">
        <f t="shared" si="14"/>
        <v>3240.0000000000009</v>
      </c>
      <c r="X10">
        <f t="shared" si="14"/>
        <v>1408.0068000000001</v>
      </c>
      <c r="Y10">
        <f t="shared" si="14"/>
        <v>1831.9932000000003</v>
      </c>
      <c r="Z10">
        <f t="shared" si="14"/>
        <v>91.599660000000029</v>
      </c>
      <c r="AA10">
        <f t="shared" si="14"/>
        <v>1740.3935400000005</v>
      </c>
      <c r="AB10">
        <f t="shared" si="14"/>
        <v>1408.1867999999999</v>
      </c>
      <c r="AC10">
        <f t="shared" si="14"/>
        <v>332.20674000000042</v>
      </c>
      <c r="AD10">
        <f t="shared" si="14"/>
        <v>423.80640000000045</v>
      </c>
    </row>
    <row r="13" spans="1:30" x14ac:dyDescent="0.25">
      <c r="G13" t="s">
        <v>23</v>
      </c>
      <c r="H13">
        <f>F26+G26</f>
        <v>1.2692412551893765E-3</v>
      </c>
      <c r="I13" t="s">
        <v>16</v>
      </c>
    </row>
    <row r="14" spans="1:30" x14ac:dyDescent="0.25">
      <c r="G14" t="s">
        <v>5</v>
      </c>
      <c r="H14">
        <v>0.05</v>
      </c>
    </row>
    <row r="15" spans="1:30" x14ac:dyDescent="0.25">
      <c r="F15" t="s">
        <v>8</v>
      </c>
      <c r="G15" t="s">
        <v>6</v>
      </c>
      <c r="H15" s="2">
        <v>1.38</v>
      </c>
      <c r="I15" t="s">
        <v>15</v>
      </c>
      <c r="J15" t="s">
        <v>25</v>
      </c>
      <c r="P15" t="s">
        <v>31</v>
      </c>
      <c r="Q15">
        <v>167.27</v>
      </c>
      <c r="R15" t="s">
        <v>32</v>
      </c>
    </row>
    <row r="16" spans="1:30" x14ac:dyDescent="0.25">
      <c r="G16" t="s">
        <v>7</v>
      </c>
      <c r="H16" s="2">
        <v>389.733</v>
      </c>
      <c r="I16" t="s">
        <v>15</v>
      </c>
    </row>
    <row r="17" spans="3:9" x14ac:dyDescent="0.25">
      <c r="F17" t="s">
        <v>9</v>
      </c>
      <c r="G17" t="s">
        <v>6</v>
      </c>
      <c r="H17" s="2">
        <v>1.43</v>
      </c>
      <c r="I17" t="s">
        <v>15</v>
      </c>
    </row>
    <row r="18" spans="3:9" x14ac:dyDescent="0.25">
      <c r="G18" t="s">
        <v>7</v>
      </c>
      <c r="H18" s="2">
        <v>389.733</v>
      </c>
      <c r="I18" t="s">
        <v>15</v>
      </c>
    </row>
    <row r="20" spans="3:9" x14ac:dyDescent="0.25">
      <c r="G20" s="3"/>
      <c r="H20" s="3"/>
      <c r="I20" s="3"/>
    </row>
    <row r="22" spans="3:9" x14ac:dyDescent="0.25">
      <c r="E22" t="s">
        <v>24</v>
      </c>
      <c r="F22">
        <v>4</v>
      </c>
      <c r="G22">
        <v>8</v>
      </c>
    </row>
    <row r="23" spans="3:9" x14ac:dyDescent="0.25">
      <c r="C23" t="s">
        <v>13</v>
      </c>
      <c r="E23" t="s">
        <v>0</v>
      </c>
      <c r="F23">
        <f>F7/802000</f>
        <v>1.7206982543640896E-6</v>
      </c>
      <c r="G23">
        <f>J8/802400</f>
        <v>4.8570912263210371E-4</v>
      </c>
    </row>
    <row r="24" spans="3:9" x14ac:dyDescent="0.25">
      <c r="C24" t="s">
        <v>21</v>
      </c>
      <c r="E24" t="s">
        <v>2</v>
      </c>
      <c r="F24">
        <f>F8/997000</f>
        <v>3.9090571715145436E-4</v>
      </c>
      <c r="G24">
        <f>J8/997000</f>
        <v>3.9090571715145436E-4</v>
      </c>
    </row>
    <row r="25" spans="3:9" x14ac:dyDescent="0.25">
      <c r="E25" t="s">
        <v>11</v>
      </c>
      <c r="F25">
        <v>0</v>
      </c>
      <c r="G25">
        <v>0</v>
      </c>
    </row>
    <row r="26" spans="3:9" x14ac:dyDescent="0.25">
      <c r="E26" t="s">
        <v>12</v>
      </c>
      <c r="F26">
        <f>SUM(F23:F25)</f>
        <v>3.9262641540581845E-4</v>
      </c>
      <c r="G26">
        <f>SUM(G23:G25)</f>
        <v>8.7661483978355808E-4</v>
      </c>
      <c r="H26" t="s">
        <v>16</v>
      </c>
    </row>
    <row r="30" spans="3:9" x14ac:dyDescent="0.25">
      <c r="E30" t="s">
        <v>17</v>
      </c>
      <c r="F30">
        <v>802.4</v>
      </c>
      <c r="G30" t="s">
        <v>18</v>
      </c>
      <c r="H30" t="s">
        <v>19</v>
      </c>
    </row>
    <row r="31" spans="3:9" x14ac:dyDescent="0.25">
      <c r="E31" t="s">
        <v>20</v>
      </c>
      <c r="F31">
        <v>997</v>
      </c>
      <c r="G31" t="s">
        <v>18</v>
      </c>
    </row>
    <row r="33" spans="2:36" x14ac:dyDescent="0.25">
      <c r="K33">
        <f>900*0.039</f>
        <v>35.1</v>
      </c>
    </row>
    <row r="38" spans="2:36" ht="15.75" thickBot="1" x14ac:dyDescent="0.3"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spans="2:36" ht="15.75" thickBot="1" x14ac:dyDescent="0.3">
      <c r="D39" t="s">
        <v>26</v>
      </c>
      <c r="E39">
        <v>3.32</v>
      </c>
      <c r="F39">
        <f>E39/100</f>
        <v>3.32E-2</v>
      </c>
      <c r="S39" s="13"/>
      <c r="T39" s="39" t="s">
        <v>39</v>
      </c>
      <c r="U39" s="37">
        <v>1</v>
      </c>
      <c r="V39" s="37">
        <v>2</v>
      </c>
      <c r="W39" s="37">
        <v>3</v>
      </c>
      <c r="X39" s="37">
        <v>4</v>
      </c>
      <c r="Y39" s="37">
        <v>5</v>
      </c>
      <c r="Z39" s="37">
        <v>6</v>
      </c>
      <c r="AA39" s="37">
        <v>7</v>
      </c>
      <c r="AB39" s="37">
        <v>8</v>
      </c>
      <c r="AC39" s="37">
        <v>9</v>
      </c>
      <c r="AD39" s="38">
        <v>10</v>
      </c>
      <c r="AE39" s="39" t="s">
        <v>39</v>
      </c>
      <c r="AF39" s="37">
        <v>6</v>
      </c>
      <c r="AG39" s="37">
        <v>7</v>
      </c>
      <c r="AH39" s="37">
        <v>8</v>
      </c>
      <c r="AI39" s="37">
        <v>9</v>
      </c>
      <c r="AJ39" s="38">
        <v>10</v>
      </c>
    </row>
    <row r="40" spans="2:36" x14ac:dyDescent="0.25">
      <c r="D40" t="s">
        <v>27</v>
      </c>
      <c r="E40">
        <f>0.0394997*100</f>
        <v>3.94997</v>
      </c>
      <c r="F40">
        <f>E40/100</f>
        <v>3.9499699999999999E-2</v>
      </c>
      <c r="S40" s="13"/>
      <c r="T40" s="40" t="s">
        <v>40</v>
      </c>
      <c r="U40" s="31">
        <v>14.7</v>
      </c>
      <c r="V40" s="31"/>
      <c r="W40" s="31">
        <v>40</v>
      </c>
      <c r="X40" s="31">
        <v>14.7</v>
      </c>
      <c r="Y40" s="31">
        <v>14.7</v>
      </c>
      <c r="Z40" s="31">
        <v>14.7</v>
      </c>
      <c r="AA40" s="31">
        <v>40</v>
      </c>
      <c r="AB40" s="31">
        <v>14.7</v>
      </c>
      <c r="AC40" s="31">
        <v>14.7</v>
      </c>
      <c r="AD40" s="34">
        <v>14.7</v>
      </c>
      <c r="AE40" s="40" t="s">
        <v>40</v>
      </c>
      <c r="AF40" s="31">
        <v>14.7</v>
      </c>
      <c r="AG40" s="31">
        <v>40</v>
      </c>
      <c r="AH40" s="31">
        <v>14.7</v>
      </c>
      <c r="AI40" s="31">
        <v>14.7</v>
      </c>
      <c r="AJ40" s="34">
        <v>14.7</v>
      </c>
    </row>
    <row r="41" spans="2:36" x14ac:dyDescent="0.25">
      <c r="D41" t="s">
        <v>28</v>
      </c>
      <c r="E41">
        <f>100-E40-E39</f>
        <v>92.730030000000014</v>
      </c>
      <c r="F41">
        <f>E41/100</f>
        <v>0.92730030000000019</v>
      </c>
      <c r="S41" s="13"/>
      <c r="T41" s="40" t="s">
        <v>41</v>
      </c>
      <c r="U41" s="31">
        <v>5</v>
      </c>
      <c r="V41" s="31">
        <v>5</v>
      </c>
      <c r="W41" s="31">
        <v>5</v>
      </c>
      <c r="X41" s="31">
        <v>5</v>
      </c>
      <c r="Y41" s="31">
        <v>5</v>
      </c>
      <c r="Z41" s="31">
        <v>5</v>
      </c>
      <c r="AA41" s="31">
        <v>5</v>
      </c>
      <c r="AB41" s="31">
        <v>5</v>
      </c>
      <c r="AC41" s="31">
        <v>5</v>
      </c>
      <c r="AD41" s="35">
        <v>5</v>
      </c>
      <c r="AE41" s="40" t="s">
        <v>41</v>
      </c>
      <c r="AF41" s="31">
        <v>5</v>
      </c>
      <c r="AG41" s="31">
        <v>5</v>
      </c>
      <c r="AH41" s="31">
        <v>5</v>
      </c>
      <c r="AI41" s="31">
        <v>5</v>
      </c>
      <c r="AJ41" s="35">
        <v>5</v>
      </c>
    </row>
    <row r="42" spans="2:36" x14ac:dyDescent="0.25">
      <c r="F42">
        <f>SUM(F39:F41)</f>
        <v>1.0000000000000002</v>
      </c>
      <c r="S42" s="13"/>
      <c r="T42" s="40" t="s">
        <v>37</v>
      </c>
      <c r="U42" s="31">
        <v>1</v>
      </c>
      <c r="V42" s="31">
        <v>1</v>
      </c>
      <c r="W42" s="31">
        <v>1</v>
      </c>
      <c r="X42" s="31">
        <v>1</v>
      </c>
      <c r="Y42" s="31">
        <v>1</v>
      </c>
      <c r="Z42" s="31">
        <v>1</v>
      </c>
      <c r="AA42" s="31">
        <v>1</v>
      </c>
      <c r="AB42" s="31">
        <v>1</v>
      </c>
      <c r="AC42" s="31">
        <v>1</v>
      </c>
      <c r="AD42" s="35">
        <v>1</v>
      </c>
      <c r="AE42" s="40" t="s">
        <v>37</v>
      </c>
      <c r="AF42" s="31">
        <v>1</v>
      </c>
      <c r="AG42" s="31">
        <v>1</v>
      </c>
      <c r="AH42" s="31">
        <v>1</v>
      </c>
      <c r="AI42" s="31">
        <v>1</v>
      </c>
      <c r="AJ42" s="35">
        <v>1</v>
      </c>
    </row>
    <row r="43" spans="2:36" ht="15.75" thickBot="1" x14ac:dyDescent="0.3">
      <c r="S43" s="13"/>
      <c r="T43" s="32"/>
      <c r="U43" s="31"/>
      <c r="V43" s="31"/>
      <c r="W43" s="31"/>
      <c r="X43" s="31"/>
      <c r="Y43" s="31"/>
      <c r="Z43" s="31"/>
      <c r="AA43" s="31"/>
      <c r="AB43" s="31"/>
      <c r="AC43" s="31"/>
      <c r="AD43" s="36"/>
      <c r="AE43" s="32"/>
      <c r="AF43" s="31"/>
      <c r="AG43" s="31"/>
      <c r="AH43" s="31"/>
      <c r="AI43" s="31"/>
      <c r="AJ43" s="36"/>
    </row>
    <row r="44" spans="2:36" ht="15.75" thickBot="1" x14ac:dyDescent="0.3">
      <c r="B44" t="s">
        <v>30</v>
      </c>
      <c r="D44" t="s">
        <v>33</v>
      </c>
      <c r="T44" s="41" t="s">
        <v>30</v>
      </c>
      <c r="U44" s="42" t="s">
        <v>35</v>
      </c>
      <c r="V44" s="42" t="s">
        <v>35</v>
      </c>
      <c r="W44" s="42"/>
      <c r="X44" s="42"/>
      <c r="Y44" s="42"/>
      <c r="Z44" s="42"/>
      <c r="AA44" s="42"/>
      <c r="AB44" s="42"/>
      <c r="AC44" s="42"/>
      <c r="AD44" s="43"/>
      <c r="AE44" s="41" t="s">
        <v>30</v>
      </c>
      <c r="AF44" s="42"/>
      <c r="AG44" s="42"/>
      <c r="AH44" s="42"/>
      <c r="AI44" s="42"/>
      <c r="AJ44" s="43"/>
    </row>
    <row r="45" spans="2:36" ht="15.75" thickBot="1" x14ac:dyDescent="0.3">
      <c r="C45" s="4">
        <v>1</v>
      </c>
      <c r="D45" s="5">
        <v>2</v>
      </c>
      <c r="E45" s="6">
        <v>3</v>
      </c>
      <c r="F45" s="6">
        <v>4</v>
      </c>
      <c r="G45" s="6">
        <v>5</v>
      </c>
      <c r="H45" s="6">
        <v>6</v>
      </c>
      <c r="I45" s="6">
        <v>7</v>
      </c>
      <c r="J45" s="6">
        <v>8</v>
      </c>
      <c r="K45" s="6">
        <v>9</v>
      </c>
      <c r="L45" s="7">
        <v>10</v>
      </c>
      <c r="T45" s="32"/>
      <c r="U45" s="31"/>
      <c r="V45" s="31"/>
      <c r="W45" s="31"/>
      <c r="X45" s="31"/>
      <c r="Y45" s="31"/>
      <c r="Z45" s="31"/>
      <c r="AA45" s="31"/>
      <c r="AB45" s="31"/>
      <c r="AC45" s="31"/>
      <c r="AD45" s="35"/>
      <c r="AE45" s="32"/>
      <c r="AF45" s="31"/>
      <c r="AG45" s="31"/>
      <c r="AH45" s="31"/>
      <c r="AI45" s="31"/>
      <c r="AJ45" s="35"/>
    </row>
    <row r="46" spans="2:36" x14ac:dyDescent="0.25">
      <c r="B46" s="17" t="s">
        <v>0</v>
      </c>
      <c r="C46" s="8">
        <f>C7/46.07</f>
        <v>0</v>
      </c>
      <c r="D46" s="8">
        <f t="shared" ref="D46:L46" si="15">D7/46.07</f>
        <v>6.0994139353158283E-2</v>
      </c>
      <c r="E46" s="8">
        <f t="shared" si="15"/>
        <v>0.77164597351855868</v>
      </c>
      <c r="F46" s="8">
        <f t="shared" si="15"/>
        <v>2.9954417191230733E-2</v>
      </c>
      <c r="G46" s="8">
        <f t="shared" si="15"/>
        <v>0.74169155632732786</v>
      </c>
      <c r="H46" s="8">
        <f t="shared" si="15"/>
        <v>3.7084577816366392E-2</v>
      </c>
      <c r="I46" s="8">
        <f t="shared" si="15"/>
        <v>0.70460697851096143</v>
      </c>
      <c r="J46" s="8">
        <f t="shared" si="15"/>
        <v>3.1039722161927501E-2</v>
      </c>
      <c r="K46" s="8">
        <f t="shared" si="15"/>
        <v>0.67356725634903392</v>
      </c>
      <c r="L46" s="8">
        <f t="shared" si="15"/>
        <v>0.71065183416540034</v>
      </c>
      <c r="T46" s="32" t="s">
        <v>0</v>
      </c>
      <c r="U46" s="45">
        <f>U7/46.07</f>
        <v>0</v>
      </c>
      <c r="V46" s="45">
        <f t="shared" ref="V46:AD46" si="16">V7/46.07</f>
        <v>0.21957890167136981</v>
      </c>
      <c r="W46" s="45">
        <f t="shared" si="16"/>
        <v>2.7779255046668112</v>
      </c>
      <c r="X46" s="45">
        <f t="shared" si="16"/>
        <v>0.10783590188843065</v>
      </c>
      <c r="Y46" s="45">
        <f t="shared" si="16"/>
        <v>2.6700896027783805</v>
      </c>
      <c r="Z46" s="45">
        <f t="shared" si="16"/>
        <v>0.13350448013891902</v>
      </c>
      <c r="AA46" s="45">
        <f t="shared" si="16"/>
        <v>2.5365851226394613</v>
      </c>
      <c r="AB46" s="45">
        <f t="shared" si="16"/>
        <v>0.111742999782939</v>
      </c>
      <c r="AC46" s="45">
        <f t="shared" si="16"/>
        <v>2.4248421228565222</v>
      </c>
      <c r="AD46" s="46">
        <f t="shared" si="16"/>
        <v>2.5583466029954409</v>
      </c>
      <c r="AE46" s="32" t="s">
        <v>0</v>
      </c>
      <c r="AF46" s="45">
        <f t="shared" ref="AF46:AJ49" si="17">Z46</f>
        <v>0.13350448013891902</v>
      </c>
      <c r="AG46" s="45">
        <f t="shared" si="17"/>
        <v>2.5365851226394613</v>
      </c>
      <c r="AH46" s="45">
        <f t="shared" si="17"/>
        <v>0.111742999782939</v>
      </c>
      <c r="AI46" s="45">
        <f t="shared" si="17"/>
        <v>2.4248421228565222</v>
      </c>
      <c r="AJ46" s="46">
        <f t="shared" si="17"/>
        <v>2.5583466029954409</v>
      </c>
    </row>
    <row r="47" spans="2:36" x14ac:dyDescent="0.25">
      <c r="B47" s="18" t="s">
        <v>2</v>
      </c>
      <c r="C47" s="11">
        <f>C8/18.02</f>
        <v>70.223836372020443</v>
      </c>
      <c r="D47" s="11">
        <f t="shared" ref="D47:L47" si="18">D8/18.02</f>
        <v>-26.96823148855762</v>
      </c>
      <c r="E47" s="11">
        <f t="shared" si="18"/>
        <v>46.313555493895684</v>
      </c>
      <c r="F47" s="11">
        <f t="shared" si="18"/>
        <v>21.627802441731411</v>
      </c>
      <c r="G47" s="11">
        <f t="shared" si="18"/>
        <v>24.685753052164273</v>
      </c>
      <c r="H47" s="11">
        <f t="shared" si="18"/>
        <v>1.2342876526082136</v>
      </c>
      <c r="I47" s="11">
        <f t="shared" si="18"/>
        <v>23.451465399556056</v>
      </c>
      <c r="J47" s="11">
        <f t="shared" si="18"/>
        <v>21.627802441731411</v>
      </c>
      <c r="K47" s="11">
        <f t="shared" si="18"/>
        <v>1.8236629578246468</v>
      </c>
      <c r="L47" s="11">
        <f t="shared" si="18"/>
        <v>3.0579506104328602</v>
      </c>
      <c r="T47" s="32" t="s">
        <v>2</v>
      </c>
      <c r="U47" s="45">
        <f>U8/18.02</f>
        <v>252.80581093927356</v>
      </c>
      <c r="V47" s="45">
        <f t="shared" ref="V47:AD47" si="19">V8/18.02</f>
        <v>-97.085633358807428</v>
      </c>
      <c r="W47" s="45">
        <f t="shared" si="19"/>
        <v>166.72879977802444</v>
      </c>
      <c r="X47" s="45">
        <f t="shared" si="19"/>
        <v>77.860088790233078</v>
      </c>
      <c r="Y47" s="45">
        <f t="shared" si="19"/>
        <v>88.868710987791374</v>
      </c>
      <c r="Z47" s="45">
        <f t="shared" si="19"/>
        <v>4.4434355493895694</v>
      </c>
      <c r="AA47" s="45">
        <f t="shared" si="19"/>
        <v>84.425275438401798</v>
      </c>
      <c r="AB47" s="45">
        <f t="shared" si="19"/>
        <v>77.860088790233078</v>
      </c>
      <c r="AC47" s="45">
        <f t="shared" si="19"/>
        <v>6.5651866481687282</v>
      </c>
      <c r="AD47" s="46">
        <f t="shared" si="19"/>
        <v>11.008622197558298</v>
      </c>
      <c r="AE47" s="32" t="s">
        <v>2</v>
      </c>
      <c r="AF47" s="45">
        <f t="shared" si="17"/>
        <v>4.4434355493895694</v>
      </c>
      <c r="AG47" s="45">
        <f t="shared" si="17"/>
        <v>84.425275438401798</v>
      </c>
      <c r="AH47" s="45">
        <f t="shared" si="17"/>
        <v>77.860088790233078</v>
      </c>
      <c r="AI47" s="45">
        <f t="shared" si="17"/>
        <v>6.5651866481687282</v>
      </c>
      <c r="AJ47" s="46">
        <f t="shared" si="17"/>
        <v>11.008622197558298</v>
      </c>
    </row>
    <row r="48" spans="2:36" ht="15.75" thickBot="1" x14ac:dyDescent="0.3">
      <c r="B48" s="19" t="s">
        <v>3</v>
      </c>
      <c r="C48" s="14">
        <f>C9/$Q$15</f>
        <v>0</v>
      </c>
      <c r="D48" s="14">
        <f t="shared" ref="D48:L48" si="20">D9/$Q$15</f>
        <v>0</v>
      </c>
      <c r="E48" s="14">
        <f t="shared" si="20"/>
        <v>0.17863334728283611</v>
      </c>
      <c r="F48" s="14">
        <f t="shared" si="20"/>
        <v>0</v>
      </c>
      <c r="G48" s="14">
        <f t="shared" si="20"/>
        <v>0.17863334728283611</v>
      </c>
      <c r="H48" s="14">
        <f t="shared" si="20"/>
        <v>8.931667364141806E-3</v>
      </c>
      <c r="I48" s="14">
        <f t="shared" si="20"/>
        <v>0.16970167991869431</v>
      </c>
      <c r="J48" s="14">
        <f t="shared" si="20"/>
        <v>0</v>
      </c>
      <c r="K48" s="14">
        <f t="shared" si="20"/>
        <v>0.16970167991869431</v>
      </c>
      <c r="L48" s="14">
        <f t="shared" si="20"/>
        <v>0.17863334728283611</v>
      </c>
      <c r="T48" s="44" t="s">
        <v>3</v>
      </c>
      <c r="U48" s="47">
        <f>U9/$Q$15</f>
        <v>0</v>
      </c>
      <c r="V48" s="47">
        <f t="shared" ref="V48:AD48" si="21">V9/$Q$15</f>
        <v>0</v>
      </c>
      <c r="W48" s="47">
        <f t="shared" si="21"/>
        <v>0.64308005021821002</v>
      </c>
      <c r="X48" s="47">
        <f t="shared" si="21"/>
        <v>0</v>
      </c>
      <c r="Y48" s="47">
        <f t="shared" si="21"/>
        <v>0.64308005021821002</v>
      </c>
      <c r="Z48" s="47">
        <f t="shared" si="21"/>
        <v>3.2154002510910502E-2</v>
      </c>
      <c r="AA48" s="47">
        <f t="shared" si="21"/>
        <v>0.61092604770729941</v>
      </c>
      <c r="AB48" s="47">
        <f t="shared" si="21"/>
        <v>0</v>
      </c>
      <c r="AC48" s="47">
        <f t="shared" si="21"/>
        <v>0.61092604770729941</v>
      </c>
      <c r="AD48" s="48">
        <f t="shared" si="21"/>
        <v>0.64308005021821002</v>
      </c>
      <c r="AE48" s="44" t="s">
        <v>3</v>
      </c>
      <c r="AF48" s="45">
        <f t="shared" si="17"/>
        <v>3.2154002510910502E-2</v>
      </c>
      <c r="AG48" s="45">
        <f t="shared" si="17"/>
        <v>0.61092604770729941</v>
      </c>
      <c r="AH48" s="45">
        <f t="shared" si="17"/>
        <v>0</v>
      </c>
      <c r="AI48" s="45">
        <f t="shared" si="17"/>
        <v>0.61092604770729941</v>
      </c>
      <c r="AJ48" s="46">
        <f t="shared" si="17"/>
        <v>0.64308005021821002</v>
      </c>
    </row>
    <row r="49" spans="3:36" ht="15.75" thickBot="1" x14ac:dyDescent="0.3">
      <c r="T49" s="33" t="s">
        <v>36</v>
      </c>
      <c r="U49" s="49">
        <f>SUM(U46:U48)</f>
        <v>252.80581093927356</v>
      </c>
      <c r="V49" s="49">
        <f t="shared" ref="V49:AD49" si="22">SUM(V46:V48)</f>
        <v>-96.866054457136059</v>
      </c>
      <c r="W49" s="49">
        <f t="shared" si="22"/>
        <v>170.14980533290947</v>
      </c>
      <c r="X49" s="49">
        <f t="shared" si="22"/>
        <v>77.967924692121514</v>
      </c>
      <c r="Y49" s="49">
        <f t="shared" si="22"/>
        <v>92.181880640787966</v>
      </c>
      <c r="Z49" s="49">
        <f t="shared" si="22"/>
        <v>4.6090940320393994</v>
      </c>
      <c r="AA49" s="49">
        <f t="shared" si="22"/>
        <v>87.572786608748558</v>
      </c>
      <c r="AB49" s="49">
        <f t="shared" si="22"/>
        <v>77.971831790016012</v>
      </c>
      <c r="AC49" s="49">
        <f t="shared" si="22"/>
        <v>9.60095481873255</v>
      </c>
      <c r="AD49" s="50">
        <f t="shared" si="22"/>
        <v>14.210048850771948</v>
      </c>
      <c r="AE49" s="33" t="s">
        <v>36</v>
      </c>
      <c r="AF49" s="45">
        <f t="shared" si="17"/>
        <v>4.6090940320393994</v>
      </c>
      <c r="AG49" s="45">
        <f t="shared" si="17"/>
        <v>87.572786608748558</v>
      </c>
      <c r="AH49" s="45">
        <f t="shared" si="17"/>
        <v>77.971831790016012</v>
      </c>
      <c r="AI49" s="45">
        <f t="shared" si="17"/>
        <v>9.60095481873255</v>
      </c>
      <c r="AJ49" s="46">
        <f t="shared" si="17"/>
        <v>14.210048850771948</v>
      </c>
    </row>
    <row r="50" spans="3:36" ht="15.75" thickBot="1" x14ac:dyDescent="0.3">
      <c r="T50" s="41" t="s">
        <v>29</v>
      </c>
      <c r="U50" s="42" t="s">
        <v>38</v>
      </c>
      <c r="V50" s="42" t="s">
        <v>38</v>
      </c>
      <c r="W50" s="42"/>
      <c r="X50" s="42"/>
      <c r="Y50" s="42"/>
      <c r="Z50" s="42"/>
      <c r="AA50" s="42"/>
      <c r="AB50" s="42"/>
      <c r="AC50" s="42"/>
      <c r="AD50" s="43"/>
      <c r="AE50" s="41" t="s">
        <v>29</v>
      </c>
      <c r="AF50" s="42"/>
      <c r="AG50" s="42"/>
      <c r="AH50" s="42"/>
      <c r="AI50" s="42"/>
      <c r="AJ50" s="43"/>
    </row>
    <row r="51" spans="3:36" x14ac:dyDescent="0.25">
      <c r="T51" s="32" t="s">
        <v>0</v>
      </c>
      <c r="U51" s="45">
        <f>U7</f>
        <v>0</v>
      </c>
      <c r="V51" s="45">
        <f t="shared" ref="V51:AD51" si="23">V7</f>
        <v>10.116000000000007</v>
      </c>
      <c r="W51" s="45">
        <f t="shared" si="23"/>
        <v>127.97902799999999</v>
      </c>
      <c r="X51" s="45">
        <f t="shared" si="23"/>
        <v>4.968</v>
      </c>
      <c r="Y51" s="45">
        <f t="shared" si="23"/>
        <v>123.01102799999998</v>
      </c>
      <c r="Z51" s="45">
        <f t="shared" si="23"/>
        <v>6.1505513999999994</v>
      </c>
      <c r="AA51" s="45">
        <f t="shared" si="23"/>
        <v>116.86047659999998</v>
      </c>
      <c r="AB51" s="45">
        <f t="shared" si="23"/>
        <v>5.1479999999999997</v>
      </c>
      <c r="AC51" s="45">
        <f t="shared" si="23"/>
        <v>111.71247659999997</v>
      </c>
      <c r="AD51" s="54">
        <f t="shared" si="23"/>
        <v>117.86302799999997</v>
      </c>
      <c r="AE51" s="32" t="s">
        <v>0</v>
      </c>
      <c r="AF51" s="45">
        <f t="shared" ref="AF51:AJ54" si="24">Z51</f>
        <v>6.1505513999999994</v>
      </c>
      <c r="AG51" s="45">
        <f t="shared" si="24"/>
        <v>116.86047659999998</v>
      </c>
      <c r="AH51" s="45">
        <f t="shared" si="24"/>
        <v>5.1479999999999997</v>
      </c>
      <c r="AI51" s="45">
        <f t="shared" si="24"/>
        <v>111.71247659999997</v>
      </c>
      <c r="AJ51" s="46">
        <f t="shared" si="24"/>
        <v>117.86302799999997</v>
      </c>
    </row>
    <row r="52" spans="3:36" x14ac:dyDescent="0.25">
      <c r="T52" s="32" t="s">
        <v>2</v>
      </c>
      <c r="U52" s="45">
        <f t="shared" ref="U52:AD52" si="25">U8</f>
        <v>4555.5607131257093</v>
      </c>
      <c r="V52" s="45">
        <f t="shared" si="25"/>
        <v>-1749.4831131257099</v>
      </c>
      <c r="W52" s="45">
        <f t="shared" si="25"/>
        <v>3004.4529720000005</v>
      </c>
      <c r="X52" s="45">
        <f t="shared" si="25"/>
        <v>1403.0388</v>
      </c>
      <c r="Y52" s="45">
        <f t="shared" si="25"/>
        <v>1601.4141720000005</v>
      </c>
      <c r="Z52" s="45">
        <f t="shared" si="25"/>
        <v>80.070708600000032</v>
      </c>
      <c r="AA52" s="45">
        <f t="shared" si="25"/>
        <v>1521.3434634000005</v>
      </c>
      <c r="AB52" s="45">
        <f t="shared" si="25"/>
        <v>1403.0388</v>
      </c>
      <c r="AC52" s="45">
        <f t="shared" si="25"/>
        <v>118.30466340000048</v>
      </c>
      <c r="AD52" s="46">
        <f t="shared" si="25"/>
        <v>198.37537200000051</v>
      </c>
      <c r="AE52" s="32" t="s">
        <v>2</v>
      </c>
      <c r="AF52" s="45">
        <f t="shared" si="24"/>
        <v>80.070708600000032</v>
      </c>
      <c r="AG52" s="45">
        <f t="shared" si="24"/>
        <v>1521.3434634000005</v>
      </c>
      <c r="AH52" s="45">
        <f t="shared" si="24"/>
        <v>1403.0388</v>
      </c>
      <c r="AI52" s="45">
        <f t="shared" si="24"/>
        <v>118.30466340000048</v>
      </c>
      <c r="AJ52" s="46">
        <f t="shared" si="24"/>
        <v>198.37537200000051</v>
      </c>
    </row>
    <row r="53" spans="3:36" ht="15.75" thickBot="1" x14ac:dyDescent="0.3">
      <c r="T53" s="44" t="s">
        <v>3</v>
      </c>
      <c r="U53" s="45">
        <f t="shared" ref="U53:AD53" si="26">U9</f>
        <v>0</v>
      </c>
      <c r="V53" s="45">
        <f t="shared" si="26"/>
        <v>0</v>
      </c>
      <c r="W53" s="45">
        <f t="shared" si="26"/>
        <v>107.568</v>
      </c>
      <c r="X53" s="45">
        <f t="shared" si="26"/>
        <v>0</v>
      </c>
      <c r="Y53" s="45">
        <f t="shared" si="26"/>
        <v>107.568</v>
      </c>
      <c r="Z53" s="45">
        <f t="shared" si="26"/>
        <v>5.3784000000000001</v>
      </c>
      <c r="AA53" s="45">
        <f t="shared" si="26"/>
        <v>102.18959999999998</v>
      </c>
      <c r="AB53" s="45">
        <f t="shared" si="26"/>
        <v>0</v>
      </c>
      <c r="AC53" s="45">
        <f t="shared" si="26"/>
        <v>102.18959999999998</v>
      </c>
      <c r="AD53" s="46">
        <f t="shared" si="26"/>
        <v>107.568</v>
      </c>
      <c r="AE53" s="44" t="s">
        <v>3</v>
      </c>
      <c r="AF53" s="45">
        <f t="shared" si="24"/>
        <v>5.3784000000000001</v>
      </c>
      <c r="AG53" s="45">
        <f t="shared" si="24"/>
        <v>102.18959999999998</v>
      </c>
      <c r="AH53" s="45">
        <f t="shared" si="24"/>
        <v>0</v>
      </c>
      <c r="AI53" s="45">
        <f t="shared" si="24"/>
        <v>102.18959999999998</v>
      </c>
      <c r="AJ53" s="46">
        <f t="shared" si="24"/>
        <v>107.568</v>
      </c>
    </row>
    <row r="54" spans="3:36" ht="16.5" thickTop="1" thickBot="1" x14ac:dyDescent="0.3">
      <c r="T54" s="33" t="s">
        <v>36</v>
      </c>
      <c r="U54" s="49">
        <v>4776.0933024112992</v>
      </c>
      <c r="V54" s="49">
        <v>-1823.2999138912996</v>
      </c>
      <c r="W54" s="49">
        <v>3240</v>
      </c>
      <c r="X54" s="49">
        <v>1476.1781485199999</v>
      </c>
      <c r="Y54" s="49">
        <v>1763.8218514800001</v>
      </c>
      <c r="Z54" s="49">
        <v>88.191092573999995</v>
      </c>
      <c r="AA54" s="49">
        <v>1675.630758906</v>
      </c>
      <c r="AB54" s="49">
        <v>1476.6152400000001</v>
      </c>
      <c r="AC54" s="49">
        <v>199.0155189059999</v>
      </c>
      <c r="AD54" s="50">
        <v>287.20661147999988</v>
      </c>
      <c r="AE54" s="33" t="s">
        <v>36</v>
      </c>
      <c r="AF54" s="49">
        <f t="shared" si="24"/>
        <v>88.191092573999995</v>
      </c>
      <c r="AG54" s="49">
        <f t="shared" si="24"/>
        <v>1675.630758906</v>
      </c>
      <c r="AH54" s="49">
        <f t="shared" si="24"/>
        <v>1476.6152400000001</v>
      </c>
      <c r="AI54" s="49">
        <f t="shared" si="24"/>
        <v>199.0155189059999</v>
      </c>
      <c r="AJ54" s="50">
        <f t="shared" si="24"/>
        <v>287.20661147999988</v>
      </c>
    </row>
    <row r="58" spans="3:36" x14ac:dyDescent="0.25">
      <c r="C58" s="51" t="s">
        <v>42</v>
      </c>
    </row>
    <row r="59" spans="3:36" x14ac:dyDescent="0.25">
      <c r="C59" s="51" t="s">
        <v>43</v>
      </c>
    </row>
    <row r="60" spans="3:36" x14ac:dyDescent="0.25">
      <c r="C60" s="51" t="s">
        <v>44</v>
      </c>
    </row>
    <row r="61" spans="3:36" x14ac:dyDescent="0.25">
      <c r="C61" s="51" t="s">
        <v>45</v>
      </c>
    </row>
    <row r="62" spans="3:36" x14ac:dyDescent="0.25">
      <c r="C62" s="51" t="s">
        <v>46</v>
      </c>
    </row>
    <row r="63" spans="3:36" x14ac:dyDescent="0.25">
      <c r="C63" s="51" t="s">
        <v>47</v>
      </c>
    </row>
    <row r="64" spans="3:36" x14ac:dyDescent="0.25">
      <c r="C64" s="51" t="s">
        <v>48</v>
      </c>
      <c r="F64" s="13"/>
    </row>
    <row r="65" spans="3:4" x14ac:dyDescent="0.25">
      <c r="C65" s="51" t="s">
        <v>49</v>
      </c>
    </row>
    <row r="66" spans="3:4" x14ac:dyDescent="0.25">
      <c r="C66" s="51" t="s">
        <v>50</v>
      </c>
    </row>
    <row r="67" spans="3:4" x14ac:dyDescent="0.25">
      <c r="C67" s="51" t="s">
        <v>51</v>
      </c>
    </row>
    <row r="68" spans="3:4" x14ac:dyDescent="0.25">
      <c r="C68" s="51" t="s">
        <v>52</v>
      </c>
    </row>
    <row r="69" spans="3:4" x14ac:dyDescent="0.25">
      <c r="C69" s="52" t="s">
        <v>53</v>
      </c>
      <c r="D69" s="53"/>
    </row>
    <row r="70" spans="3:4" x14ac:dyDescent="0.25">
      <c r="C70" s="52" t="s">
        <v>54</v>
      </c>
      <c r="D70" s="53"/>
    </row>
    <row r="71" spans="3:4" x14ac:dyDescent="0.25">
      <c r="C71" s="52" t="s">
        <v>55</v>
      </c>
      <c r="D71" s="53"/>
    </row>
    <row r="72" spans="3:4" x14ac:dyDescent="0.25">
      <c r="C72" s="52" t="s">
        <v>56</v>
      </c>
      <c r="D72" s="53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7079BD2BD8F49975602B661E252B8" ma:contentTypeVersion="7" ma:contentTypeDescription="Create a new document." ma:contentTypeScope="" ma:versionID="6eb344bebba78e990160d6ca43820718">
  <xsd:schema xmlns:xsd="http://www.w3.org/2001/XMLSchema" xmlns:xs="http://www.w3.org/2001/XMLSchema" xmlns:p="http://schemas.microsoft.com/office/2006/metadata/properties" xmlns:ns3="948cb36b-98db-4b11-99ef-f1aeb20fb26c" xmlns:ns4="dcd3136c-638f-4341-9ade-e46389e4a53d" targetNamespace="http://schemas.microsoft.com/office/2006/metadata/properties" ma:root="true" ma:fieldsID="d23adfbba1f9bdad8d2afe060ad1e38a" ns3:_="" ns4:_="">
    <xsd:import namespace="948cb36b-98db-4b11-99ef-f1aeb20fb26c"/>
    <xsd:import namespace="dcd3136c-638f-4341-9ade-e46389e4a5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cb36b-98db-4b11-99ef-f1aeb20fb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3136c-638f-4341-9ade-e46389e4a5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8337E7-57F4-4ED1-8011-B3DA1F91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cb36b-98db-4b11-99ef-f1aeb20fb26c"/>
    <ds:schemaRef ds:uri="dcd3136c-638f-4341-9ade-e46389e4a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20947-E82C-44D4-9586-9CD1CA91B220}">
  <ds:schemaRefs>
    <ds:schemaRef ds:uri="dcd3136c-638f-4341-9ade-e46389e4a53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8cb36b-98db-4b11-99ef-f1aeb20fb2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999BF9-8FA3-461F-AF70-A5CBD7005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= 0</vt:lpstr>
      <vt:lpstr>time =5763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2020-03-11T17:21:59Z</dcterms:created>
  <dcterms:modified xsi:type="dcterms:W3CDTF">2020-03-15T22:08:16Z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0x010100FBC7079BD2BD8F49975602B661E252B8</vt:lpwstr>
  </property>
</Properties>
</file>